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B70D03E3-CA49-4DD5-9141-9E8096F1BF03}" xr6:coauthVersionLast="45" xr6:coauthVersionMax="45" xr10:uidLastSave="{00000000-0000-0000-0000-000000000000}"/>
  <bookViews>
    <workbookView xWindow="-120" yWindow="-120" windowWidth="19440" windowHeight="15000" tabRatio="710" firstSheet="2" activeTab="2" xr2:uid="{00000000-000D-0000-FFFF-FFFF00000000}"/>
  </bookViews>
  <sheets>
    <sheet name="Tableau de bord bis" sheetId="42" r:id="rId1"/>
    <sheet name="Suivi des DPx" sheetId="10" r:id="rId2"/>
    <sheet name="Liste AT" sheetId="1" r:id="rId3"/>
    <sheet name="Challenge" sheetId="43" r:id="rId4"/>
    <sheet name="Programmation et suivi VP&amp;Icare" sheetId="28" r:id="rId5"/>
    <sheet name="Suivi du PAS 2020" sheetId="24" r:id="rId6"/>
    <sheet name="Plan Post Audit" sheetId="36" r:id="rId7"/>
    <sheet name="Listes déroulantes" sheetId="2" r:id="rId8"/>
    <sheet name="Effectifs" sheetId="9" r:id="rId9"/>
    <sheet name="Stats AT BDD" sheetId="41" r:id="rId10"/>
    <sheet name="Feuil1" sheetId="44" r:id="rId11"/>
  </sheets>
  <definedNames>
    <definedName name="_xlnm._FilterDatabase" localSheetId="8" hidden="1">Effectifs!$A$2:$P$2</definedName>
    <definedName name="_xlnm._FilterDatabase" localSheetId="2" hidden="1">'Liste AT'!$A$6:$AP$297</definedName>
    <definedName name="_xlnm._FilterDatabase" localSheetId="7" hidden="1">'Listes déroulantes'!$A$304:$C$304</definedName>
    <definedName name="_xlnm._FilterDatabase" localSheetId="4" hidden="1">'Programmation et suivi VP&amp;Icare'!$A$1:$L$49</definedName>
    <definedName name="_xlnm._FilterDatabase" localSheetId="9" hidden="1">'Stats AT BDD'!$A$1:$S$1</definedName>
    <definedName name="_xlnm._FilterDatabase" localSheetId="1" hidden="1">'Suivi des DPx'!$A$7:$AL$51</definedName>
    <definedName name="chsct">'Listes déroulantes'!$E$2:$E$3</definedName>
    <definedName name="consequences">'Listes déroulantes'!$G$2:$G$4</definedName>
    <definedName name="elmat">'Listes déroulantes'!$L$2:$L$18</definedName>
    <definedName name="Elmat_01">'Listes déroulantes'!$M$2:$M$15</definedName>
    <definedName name="Elmat_02">'Listes déroulantes'!$N$2:$N$21</definedName>
    <definedName name="Elmat_03">'Listes déroulantes'!$O$2:$O$26</definedName>
    <definedName name="Elmat_04">'Listes déroulantes'!$P$2:$P$17</definedName>
    <definedName name="Elmat_05">'Listes déroulantes'!$Q$2:$Q$12</definedName>
    <definedName name="Elmat_06">'Listes déroulantes'!$R$2:$R$18</definedName>
    <definedName name="Elmat_07">'Listes déroulantes'!$S$2:$S$9</definedName>
    <definedName name="Elmat_08">'Listes déroulantes'!$T$2:$T$13</definedName>
    <definedName name="Elmat_09">'Listes déroulantes'!$U$2:$U$5</definedName>
    <definedName name="Elmat_30">'Listes déroulantes'!$V$2:$V$14</definedName>
    <definedName name="Elmat_31">'Listes déroulantes'!$W$2:$W$21</definedName>
    <definedName name="Elmat_32">'Listes déroulantes'!$X$2:$X$4</definedName>
    <definedName name="Elmat_33">'Listes déroulantes'!$Y$2:$Y$3</definedName>
    <definedName name="Elmat_36">'Listes déroulantes'!$Z$2:$Z$7</definedName>
    <definedName name="Elmat_39">'Listes déroulantes'!$AA$2:$AA$24</definedName>
    <definedName name="Elmat_97">'Listes déroulantes'!$AB$2:$AB$12</definedName>
    <definedName name="Elmat_98">'Listes déroulantes'!$AC$2:$AC$16</definedName>
    <definedName name="Elmat_99">'Listes déroulantes'!$AD$2</definedName>
    <definedName name="etat">'Listes déroulantes'!$F$22:$F$25</definedName>
    <definedName name="heure">'Listes déroulantes'!$K$2:$K$26</definedName>
    <definedName name="jour">'Listes déroulantes'!$I$2:$I$8</definedName>
    <definedName name="lésion">'Listes déroulantes'!$F$33:$F$62</definedName>
    <definedName name="mois">'Listes déroulantes'!$J$2:$J$13</definedName>
    <definedName name="ouinon">'Listes déroulantes'!$H$2:$H$3</definedName>
    <definedName name="ouinonprevu">'Listes déroulantes'!$H$5:$H$7</definedName>
    <definedName name="siège">'Listes déroulantes'!$H$30:$H$120</definedName>
    <definedName name="SuiviDU">'Listes déroulantes'!$F$14:$F$17</definedName>
    <definedName name="SuiviFormation">'Listes déroulantes'!$E$13:$E$16</definedName>
    <definedName name="type">'Listes déroulantes'!$F$2:$F$6</definedName>
    <definedName name="uch">'Listes déroulantes'!$A$3:$A$39</definedName>
    <definedName name="UO">'Listes déroulantes'!$D$2:$D$5</definedName>
    <definedName name="UO_ESV">'Listes déroulantes'!$D$2:$D$6</definedName>
    <definedName name="_xlnm.Print_Area" localSheetId="1">'Suivi des DPx'!$A$5:$R$87</definedName>
    <definedName name="_xlnm.Print_Area" localSheetId="5">'Suivi du PAS 2020'!$A$2:$Q$31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7" i="1" l="1"/>
  <c r="O9" i="1"/>
  <c r="O8" i="1"/>
  <c r="O10" i="1" l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H17" i="41" l="1"/>
  <c r="P7" i="1"/>
  <c r="L26" i="28" l="1"/>
  <c r="A26" i="28"/>
  <c r="B26" i="28"/>
  <c r="C26" i="28"/>
  <c r="D26" i="28"/>
  <c r="C25" i="9" l="1"/>
  <c r="D25" i="9" s="1"/>
  <c r="A30" i="41"/>
  <c r="A35" i="41"/>
  <c r="AC34" i="10" l="1"/>
  <c r="P13" i="42" l="1"/>
  <c r="P11" i="42"/>
  <c r="P12" i="42"/>
  <c r="P33" i="42"/>
  <c r="P29" i="42"/>
  <c r="P25" i="42"/>
  <c r="P21" i="42"/>
  <c r="O31" i="24"/>
  <c r="M31" i="24" s="1"/>
  <c r="O32" i="24"/>
  <c r="M32" i="24" s="1"/>
  <c r="N19" i="42" l="1"/>
  <c r="M23" i="42"/>
  <c r="M21" i="42"/>
  <c r="M19" i="42"/>
  <c r="M17" i="42"/>
  <c r="M15" i="42"/>
  <c r="M13" i="42"/>
  <c r="M11" i="42"/>
  <c r="M9" i="42"/>
  <c r="M25" i="42"/>
  <c r="L25" i="42"/>
  <c r="L23" i="42"/>
  <c r="L21" i="42"/>
  <c r="L19" i="42"/>
  <c r="L17" i="42"/>
  <c r="L15" i="42"/>
  <c r="L13" i="42"/>
  <c r="L11" i="42"/>
  <c r="L9" i="42"/>
  <c r="I25" i="42"/>
  <c r="I23" i="42"/>
  <c r="I21" i="42"/>
  <c r="I19" i="42"/>
  <c r="I17" i="42"/>
  <c r="I15" i="42"/>
  <c r="I13" i="42"/>
  <c r="I11" i="42"/>
  <c r="I9" i="42"/>
  <c r="I7" i="42"/>
  <c r="P14" i="42"/>
  <c r="P10" i="42"/>
  <c r="P30" i="42"/>
  <c r="P28" i="42"/>
  <c r="P26" i="42"/>
  <c r="P24" i="42"/>
  <c r="P22" i="42"/>
  <c r="P20" i="42"/>
  <c r="P34" i="42"/>
  <c r="P32" i="42"/>
  <c r="Q13" i="42" l="1"/>
  <c r="Q12" i="42"/>
  <c r="I37" i="42"/>
  <c r="M37" i="42" l="1"/>
  <c r="L37" i="42"/>
  <c r="M7" i="42"/>
  <c r="L7" i="42"/>
  <c r="X27" i="42"/>
  <c r="W27" i="42"/>
  <c r="X26" i="42"/>
  <c r="W26" i="42"/>
  <c r="X23" i="42"/>
  <c r="W23" i="42"/>
  <c r="X22" i="42"/>
  <c r="W22" i="42"/>
  <c r="W18" i="42"/>
  <c r="W17" i="42"/>
  <c r="X18" i="42"/>
  <c r="X17" i="42"/>
  <c r="AJ7" i="1" l="1"/>
  <c r="AL7" i="1" s="1"/>
  <c r="AJ8" i="1"/>
  <c r="AL8" i="1" s="1"/>
  <c r="AJ9" i="1"/>
  <c r="AL9" i="1" s="1"/>
  <c r="AJ10" i="1"/>
  <c r="AL10" i="1" s="1"/>
  <c r="AJ11" i="1"/>
  <c r="AL11" i="1" s="1"/>
  <c r="AJ12" i="1"/>
  <c r="AL12" i="1" s="1"/>
  <c r="AJ13" i="1"/>
  <c r="AL13" i="1" s="1"/>
  <c r="AJ14" i="1"/>
  <c r="AL14" i="1" s="1"/>
  <c r="AJ15" i="1"/>
  <c r="AL15" i="1" s="1"/>
  <c r="AJ16" i="1"/>
  <c r="AL16" i="1" s="1"/>
  <c r="AJ17" i="1"/>
  <c r="AL17" i="1" s="1"/>
  <c r="AJ18" i="1"/>
  <c r="AL18" i="1" s="1"/>
  <c r="AJ19" i="1"/>
  <c r="AL19" i="1" s="1"/>
  <c r="AJ20" i="1"/>
  <c r="AL20" i="1" s="1"/>
  <c r="AJ21" i="1"/>
  <c r="AL21" i="1" s="1"/>
  <c r="AJ22" i="1"/>
  <c r="AL22" i="1" s="1"/>
  <c r="AJ23" i="1"/>
  <c r="AL23" i="1" s="1"/>
  <c r="AJ24" i="1"/>
  <c r="AL24" i="1" s="1"/>
  <c r="AJ25" i="1"/>
  <c r="AL25" i="1" s="1"/>
  <c r="AJ26" i="1"/>
  <c r="AL26" i="1" s="1"/>
  <c r="AJ27" i="1"/>
  <c r="AL27" i="1" s="1"/>
  <c r="AJ28" i="1"/>
  <c r="AL28" i="1" s="1"/>
  <c r="AJ29" i="1"/>
  <c r="AL29" i="1" s="1"/>
  <c r="AJ30" i="1"/>
  <c r="AL30" i="1" s="1"/>
  <c r="AJ31" i="1"/>
  <c r="AL31" i="1" s="1"/>
  <c r="AJ32" i="1"/>
  <c r="AL32" i="1" s="1"/>
  <c r="AJ33" i="1"/>
  <c r="AL33" i="1" s="1"/>
  <c r="AJ34" i="1"/>
  <c r="AL34" i="1" s="1"/>
  <c r="AJ35" i="1"/>
  <c r="AL35" i="1" s="1"/>
  <c r="AJ36" i="1"/>
  <c r="AL36" i="1" s="1"/>
  <c r="AJ37" i="1"/>
  <c r="AL37" i="1" s="1"/>
  <c r="AJ38" i="1"/>
  <c r="AL38" i="1" s="1"/>
  <c r="AJ39" i="1"/>
  <c r="AL39" i="1" s="1"/>
  <c r="AJ40" i="1"/>
  <c r="AL40" i="1" s="1"/>
  <c r="AJ41" i="1"/>
  <c r="AL41" i="1" s="1"/>
  <c r="AJ42" i="1"/>
  <c r="AL42" i="1" s="1"/>
  <c r="AJ43" i="1"/>
  <c r="AL43" i="1" s="1"/>
  <c r="AJ44" i="1"/>
  <c r="AL44" i="1" s="1"/>
  <c r="AJ45" i="1"/>
  <c r="AL45" i="1" s="1"/>
  <c r="AJ46" i="1"/>
  <c r="AL46" i="1" s="1"/>
  <c r="AJ47" i="1"/>
  <c r="AL47" i="1" s="1"/>
  <c r="AJ48" i="1"/>
  <c r="AL48" i="1" s="1"/>
  <c r="AJ49" i="1"/>
  <c r="AL49" i="1" s="1"/>
  <c r="AJ50" i="1"/>
  <c r="AL50" i="1" s="1"/>
  <c r="AJ51" i="1"/>
  <c r="AL51" i="1" s="1"/>
  <c r="AJ52" i="1"/>
  <c r="AL52" i="1" s="1"/>
  <c r="AJ53" i="1"/>
  <c r="AL53" i="1" s="1"/>
  <c r="AJ54" i="1"/>
  <c r="AL54" i="1" s="1"/>
  <c r="AJ55" i="1"/>
  <c r="AL55" i="1" s="1"/>
  <c r="AJ56" i="1"/>
  <c r="AL56" i="1" s="1"/>
  <c r="AJ57" i="1"/>
  <c r="AL57" i="1" s="1"/>
  <c r="AJ58" i="1"/>
  <c r="AL58" i="1" s="1"/>
  <c r="AJ59" i="1"/>
  <c r="AL59" i="1" s="1"/>
  <c r="AJ60" i="1"/>
  <c r="AL60" i="1" s="1"/>
  <c r="AJ61" i="1"/>
  <c r="AL61" i="1" s="1"/>
  <c r="AJ62" i="1"/>
  <c r="AL62" i="1" s="1"/>
  <c r="AJ63" i="1"/>
  <c r="AL63" i="1" s="1"/>
  <c r="AJ64" i="1"/>
  <c r="AL64" i="1" s="1"/>
  <c r="AJ65" i="1"/>
  <c r="AL65" i="1" s="1"/>
  <c r="AJ66" i="1"/>
  <c r="AJ67" i="1"/>
  <c r="AJ68" i="1"/>
  <c r="AJ69" i="1"/>
  <c r="AJ70" i="1"/>
  <c r="AJ71" i="1"/>
  <c r="AJ72" i="1"/>
  <c r="AJ73" i="1"/>
  <c r="Z7" i="1"/>
  <c r="Z8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X11" i="42" l="1"/>
  <c r="W11" i="42"/>
  <c r="W10" i="42"/>
  <c r="X10" i="42"/>
  <c r="C17" i="9" l="1"/>
  <c r="D17" i="9" s="1"/>
  <c r="AC35" i="10" l="1"/>
  <c r="AC39" i="10"/>
  <c r="AC40" i="10"/>
  <c r="F7" i="1" l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AL51" i="10" l="1"/>
  <c r="AL50" i="10"/>
  <c r="AL48" i="10"/>
  <c r="AL47" i="10"/>
  <c r="AL46" i="10"/>
  <c r="AL45" i="10"/>
  <c r="AL44" i="10"/>
  <c r="AL43" i="10"/>
  <c r="AL42" i="10"/>
  <c r="AL41" i="10"/>
  <c r="AL36" i="10"/>
  <c r="AL29" i="10"/>
  <c r="AL17" i="10"/>
  <c r="AL8" i="10"/>
  <c r="AL28" i="10"/>
  <c r="AL27" i="10"/>
  <c r="AL25" i="10"/>
  <c r="AL24" i="10"/>
  <c r="AL23" i="10"/>
  <c r="AL22" i="10"/>
  <c r="AL21" i="10"/>
  <c r="AL20" i="10"/>
  <c r="AL16" i="10"/>
  <c r="AL15" i="10"/>
  <c r="AL14" i="10"/>
  <c r="AL13" i="10"/>
  <c r="AL12" i="10"/>
  <c r="AL11" i="10"/>
  <c r="AC13" i="10"/>
  <c r="AC14" i="10"/>
  <c r="AC15" i="10"/>
  <c r="AC16" i="10"/>
  <c r="AC20" i="10"/>
  <c r="AC21" i="10"/>
  <c r="AC22" i="10"/>
  <c r="AC23" i="10"/>
  <c r="AC24" i="10"/>
  <c r="AC25" i="10"/>
  <c r="AC27" i="10"/>
  <c r="AC28" i="10"/>
  <c r="AC30" i="10"/>
  <c r="AC31" i="10"/>
  <c r="AC32" i="10"/>
  <c r="AC33" i="10"/>
  <c r="AC8" i="10"/>
  <c r="AC18" i="10"/>
  <c r="AC17" i="10"/>
  <c r="AC10" i="10"/>
  <c r="AC9" i="10"/>
  <c r="AC26" i="10"/>
  <c r="AC29" i="10"/>
  <c r="AC36" i="10"/>
  <c r="AC37" i="10"/>
  <c r="AC38" i="10"/>
  <c r="AC41" i="10"/>
  <c r="AC42" i="10"/>
  <c r="AC43" i="10"/>
  <c r="AC44" i="10"/>
  <c r="AC45" i="10"/>
  <c r="AC46" i="10"/>
  <c r="AC47" i="10"/>
  <c r="AC48" i="10"/>
  <c r="AC49" i="10"/>
  <c r="AC50" i="10"/>
  <c r="AC51" i="10"/>
  <c r="AC12" i="10"/>
  <c r="AC11" i="10"/>
  <c r="C18" i="9" l="1"/>
  <c r="C19" i="9"/>
  <c r="C20" i="9"/>
  <c r="C21" i="9"/>
  <c r="C3" i="9"/>
  <c r="C4" i="9"/>
  <c r="C5" i="9"/>
  <c r="C6" i="9"/>
  <c r="C7" i="9"/>
  <c r="C8" i="9"/>
  <c r="C9" i="9"/>
  <c r="C10" i="9"/>
  <c r="C11" i="9"/>
  <c r="C12" i="9"/>
  <c r="C13" i="9"/>
  <c r="C14" i="9"/>
  <c r="C15" i="9"/>
  <c r="C16" i="9"/>
  <c r="C22" i="9"/>
  <c r="C23" i="9"/>
  <c r="C24" i="9"/>
  <c r="C26" i="9"/>
  <c r="C27" i="9"/>
  <c r="C28" i="9"/>
  <c r="C29" i="9"/>
  <c r="C30" i="9"/>
  <c r="C31" i="9"/>
  <c r="C32" i="9"/>
  <c r="V10" i="42" l="1"/>
  <c r="U10" i="42"/>
  <c r="Y10" i="42" l="1"/>
  <c r="D10" i="9" l="1"/>
  <c r="AB7" i="1" l="1"/>
  <c r="AB8" i="1"/>
  <c r="AB9" i="1"/>
  <c r="AB10" i="1"/>
  <c r="AB11" i="1"/>
  <c r="AB12" i="1"/>
  <c r="AB13" i="1"/>
  <c r="AB14" i="1"/>
  <c r="AB15" i="1"/>
  <c r="AB19" i="1"/>
  <c r="AP7" i="1"/>
  <c r="AP8" i="1"/>
  <c r="AP9" i="1"/>
  <c r="AP10" i="1"/>
  <c r="AP11" i="1"/>
  <c r="AP13" i="1"/>
  <c r="AP14" i="1"/>
  <c r="AP15" i="1"/>
  <c r="AB16" i="1"/>
  <c r="AP16" i="1"/>
  <c r="AB17" i="1"/>
  <c r="AP17" i="1"/>
  <c r="AP19" i="1"/>
  <c r="AB20" i="1"/>
  <c r="AP20" i="1"/>
  <c r="AB21" i="1"/>
  <c r="AP21" i="1"/>
  <c r="AB22" i="1"/>
  <c r="AP22" i="1"/>
  <c r="AB23" i="1"/>
  <c r="AP23" i="1"/>
  <c r="AB24" i="1"/>
  <c r="AP24" i="1"/>
  <c r="AB25" i="1"/>
  <c r="AP25" i="1"/>
  <c r="AB26" i="1"/>
  <c r="AP26" i="1"/>
  <c r="AB27" i="1"/>
  <c r="AP27" i="1"/>
  <c r="AB28" i="1"/>
  <c r="AP28" i="1"/>
  <c r="AB29" i="1"/>
  <c r="AP29" i="1"/>
  <c r="AB30" i="1"/>
  <c r="AP30" i="1"/>
  <c r="AB31" i="1"/>
  <c r="AP31" i="1"/>
  <c r="AB32" i="1"/>
  <c r="AP32" i="1"/>
  <c r="AB33" i="1"/>
  <c r="AP33" i="1"/>
  <c r="AB34" i="1"/>
  <c r="AP34" i="1"/>
  <c r="AB35" i="1"/>
  <c r="AP35" i="1"/>
  <c r="B20" i="42" l="1"/>
  <c r="B23" i="42" l="1"/>
  <c r="D23" i="9" l="1"/>
  <c r="A11" i="41" l="1"/>
  <c r="P11" i="41" s="1"/>
  <c r="A12" i="41"/>
  <c r="S12" i="41" s="1"/>
  <c r="A13" i="41"/>
  <c r="U13" i="41" s="1"/>
  <c r="A14" i="41"/>
  <c r="U14" i="41" s="1"/>
  <c r="A15" i="41"/>
  <c r="B15" i="41" s="1"/>
  <c r="A16" i="41"/>
  <c r="S16" i="41" s="1"/>
  <c r="A17" i="41"/>
  <c r="R17" i="41" s="1"/>
  <c r="A18" i="41"/>
  <c r="U18" i="41" s="1"/>
  <c r="A19" i="41"/>
  <c r="W19" i="41" s="1"/>
  <c r="A20" i="41"/>
  <c r="G20" i="41" s="1"/>
  <c r="A21" i="41"/>
  <c r="B21" i="41" s="1"/>
  <c r="A22" i="41"/>
  <c r="B22" i="41" s="1"/>
  <c r="A23" i="41"/>
  <c r="R23" i="41" s="1"/>
  <c r="A24" i="41"/>
  <c r="R24" i="41" s="1"/>
  <c r="A25" i="41"/>
  <c r="A26" i="41"/>
  <c r="W26" i="41" s="1"/>
  <c r="A27" i="41"/>
  <c r="S27" i="41" s="1"/>
  <c r="A28" i="41"/>
  <c r="R28" i="41" s="1"/>
  <c r="A29" i="41"/>
  <c r="S29" i="41" s="1"/>
  <c r="A31" i="41"/>
  <c r="S31" i="41" s="1"/>
  <c r="A32" i="41"/>
  <c r="U32" i="41" s="1"/>
  <c r="A33" i="41"/>
  <c r="R33" i="41" s="1"/>
  <c r="A34" i="41"/>
  <c r="B34" i="41" s="1"/>
  <c r="A36" i="41"/>
  <c r="S36" i="41" s="1"/>
  <c r="A37" i="41"/>
  <c r="P37" i="41" s="1"/>
  <c r="A38" i="41"/>
  <c r="I38" i="41" s="1"/>
  <c r="A39" i="41"/>
  <c r="I39" i="41" s="1"/>
  <c r="A40" i="41"/>
  <c r="B40" i="41" s="1"/>
  <c r="A41" i="41"/>
  <c r="F41" i="41" s="1"/>
  <c r="A42" i="41"/>
  <c r="N42" i="41" s="1"/>
  <c r="A43" i="41"/>
  <c r="A44" i="41"/>
  <c r="A45" i="41"/>
  <c r="A10" i="41"/>
  <c r="A3" i="41"/>
  <c r="B3" i="41" s="1"/>
  <c r="A4" i="41"/>
  <c r="B4" i="41" s="1"/>
  <c r="A5" i="41"/>
  <c r="B5" i="41" s="1"/>
  <c r="A6" i="41"/>
  <c r="A7" i="41"/>
  <c r="A8" i="41"/>
  <c r="H16" i="41" s="1"/>
  <c r="A2" i="41"/>
  <c r="AP36" i="1"/>
  <c r="AP37" i="1"/>
  <c r="AP38" i="1"/>
  <c r="AP39" i="1"/>
  <c r="AP40" i="1"/>
  <c r="AP41" i="1"/>
  <c r="AP42" i="1"/>
  <c r="AP43" i="1"/>
  <c r="AP44" i="1"/>
  <c r="AP45" i="1"/>
  <c r="AP46" i="1"/>
  <c r="AP47" i="1"/>
  <c r="AP48" i="1"/>
  <c r="AP49" i="1"/>
  <c r="AP50" i="1"/>
  <c r="AP51" i="1"/>
  <c r="AP52" i="1"/>
  <c r="AP53" i="1"/>
  <c r="AP54" i="1"/>
  <c r="AP55" i="1"/>
  <c r="AP56" i="1"/>
  <c r="AP57" i="1"/>
  <c r="AP58" i="1"/>
  <c r="AP59" i="1"/>
  <c r="AP60" i="1"/>
  <c r="AP61" i="1"/>
  <c r="AP62" i="1"/>
  <c r="AP63" i="1"/>
  <c r="AP64" i="1"/>
  <c r="AP65" i="1"/>
  <c r="AP66" i="1"/>
  <c r="AP67" i="1"/>
  <c r="AP68" i="1"/>
  <c r="AP69" i="1"/>
  <c r="AP70" i="1"/>
  <c r="AP71" i="1"/>
  <c r="P7" i="41" l="1"/>
  <c r="H15" i="41"/>
  <c r="B6" i="41"/>
  <c r="P6" i="41"/>
  <c r="B2" i="41"/>
  <c r="E7" i="41"/>
  <c r="C7" i="41"/>
  <c r="D7" i="41" s="1"/>
  <c r="B7" i="41"/>
  <c r="S8" i="41"/>
  <c r="B8" i="41"/>
  <c r="B17" i="41"/>
  <c r="B16" i="41"/>
  <c r="F43" i="41"/>
  <c r="B13" i="41"/>
  <c r="B27" i="41"/>
  <c r="B14" i="41"/>
  <c r="B35" i="41"/>
  <c r="B26" i="41"/>
  <c r="G42" i="41"/>
  <c r="B38" i="41"/>
  <c r="B19" i="41"/>
  <c r="R42" i="41"/>
  <c r="B31" i="41"/>
  <c r="J38" i="41"/>
  <c r="B28" i="41"/>
  <c r="B12" i="41"/>
  <c r="U38" i="41"/>
  <c r="B39" i="41"/>
  <c r="G12" i="41"/>
  <c r="U27" i="41"/>
  <c r="B41" i="41"/>
  <c r="B32" i="41"/>
  <c r="B23" i="41"/>
  <c r="C38" i="41" a="1"/>
  <c r="C38" i="41" s="1"/>
  <c r="D38" i="41" s="1"/>
  <c r="M41" i="41"/>
  <c r="S26" i="41"/>
  <c r="W27" i="41"/>
  <c r="B33" i="41"/>
  <c r="E8" i="41"/>
  <c r="G8" i="41"/>
  <c r="J39" i="41"/>
  <c r="M42" i="41"/>
  <c r="R43" i="41"/>
  <c r="R29" i="41"/>
  <c r="R18" i="41"/>
  <c r="S38" i="41"/>
  <c r="U39" i="41"/>
  <c r="B20" i="41"/>
  <c r="C42" i="41" a="1"/>
  <c r="C42" i="41" s="1"/>
  <c r="D42" i="41" s="1"/>
  <c r="F42" i="41"/>
  <c r="G26" i="41"/>
  <c r="L42" i="41"/>
  <c r="R36" i="41"/>
  <c r="S32" i="41"/>
  <c r="S19" i="41"/>
  <c r="U33" i="41"/>
  <c r="U20" i="41"/>
  <c r="W41" i="41"/>
  <c r="C41" i="41" a="1"/>
  <c r="C41" i="41" s="1"/>
  <c r="D41" i="41" s="1"/>
  <c r="F38" i="41"/>
  <c r="L41" i="41"/>
  <c r="N41" i="41"/>
  <c r="S7" i="41"/>
  <c r="B10" i="41"/>
  <c r="R10" i="41"/>
  <c r="S10" i="41"/>
  <c r="U40" i="41"/>
  <c r="R40" i="41"/>
  <c r="J40" i="41"/>
  <c r="I40" i="41"/>
  <c r="S40" i="41"/>
  <c r="N40" i="41"/>
  <c r="M40" i="41"/>
  <c r="L40" i="41"/>
  <c r="F40" i="41"/>
  <c r="U34" i="41"/>
  <c r="R34" i="41"/>
  <c r="S34" i="41"/>
  <c r="U30" i="41"/>
  <c r="R30" i="41"/>
  <c r="S30" i="41"/>
  <c r="U25" i="41"/>
  <c r="R25" i="41"/>
  <c r="W25" i="41"/>
  <c r="S25" i="41"/>
  <c r="U21" i="41"/>
  <c r="R21" i="41"/>
  <c r="U15" i="41"/>
  <c r="R15" i="41"/>
  <c r="E10" i="41"/>
  <c r="E40" i="41"/>
  <c r="E37" i="41"/>
  <c r="E34" i="41"/>
  <c r="E30" i="41"/>
  <c r="E25" i="41"/>
  <c r="E21" i="41"/>
  <c r="E15" i="41"/>
  <c r="E11" i="41"/>
  <c r="K34" i="41"/>
  <c r="S43" i="41"/>
  <c r="N43" i="41"/>
  <c r="M43" i="41"/>
  <c r="L43" i="41"/>
  <c r="S39" i="41"/>
  <c r="N39" i="41"/>
  <c r="M39" i="41"/>
  <c r="L39" i="41"/>
  <c r="W39" i="41"/>
  <c r="W24" i="41"/>
  <c r="S24" i="41"/>
  <c r="W20" i="41"/>
  <c r="S20" i="41"/>
  <c r="S14" i="41"/>
  <c r="E43" i="41"/>
  <c r="E39" i="41"/>
  <c r="E36" i="41"/>
  <c r="E33" i="41"/>
  <c r="E29" i="41"/>
  <c r="E24" i="41"/>
  <c r="E20" i="41"/>
  <c r="E18" i="41"/>
  <c r="E14" i="41"/>
  <c r="G40" i="41"/>
  <c r="G11" i="41"/>
  <c r="K39" i="41"/>
  <c r="K33" i="41"/>
  <c r="K20" i="41"/>
  <c r="K14" i="41"/>
  <c r="P5" i="41"/>
  <c r="P39" i="41"/>
  <c r="P33" i="41"/>
  <c r="P20" i="41"/>
  <c r="P14" i="41"/>
  <c r="W40" i="41"/>
  <c r="B37" i="41"/>
  <c r="B30" i="41"/>
  <c r="B25" i="41"/>
  <c r="B11" i="41"/>
  <c r="C8" i="41" a="1"/>
  <c r="C8" i="41" s="1"/>
  <c r="D8" i="41" s="1"/>
  <c r="U8" i="41"/>
  <c r="P8" i="41"/>
  <c r="K8" i="41"/>
  <c r="J8" i="41"/>
  <c r="I8" i="41"/>
  <c r="P4" i="41"/>
  <c r="W42" i="41"/>
  <c r="P42" i="41"/>
  <c r="K42" i="41"/>
  <c r="W38" i="41"/>
  <c r="P38" i="41"/>
  <c r="K38" i="41"/>
  <c r="P32" i="41"/>
  <c r="K32" i="41"/>
  <c r="P28" i="41"/>
  <c r="K28" i="41"/>
  <c r="P27" i="41"/>
  <c r="K27" i="41"/>
  <c r="G27" i="41"/>
  <c r="P23" i="41"/>
  <c r="K23" i="41"/>
  <c r="G23" i="41"/>
  <c r="S17" i="41"/>
  <c r="W17" i="41"/>
  <c r="P17" i="41"/>
  <c r="K17" i="41"/>
  <c r="P13" i="41"/>
  <c r="K13" i="41"/>
  <c r="C40" i="41" a="1"/>
  <c r="C40" i="41" s="1"/>
  <c r="D40" i="41" s="1"/>
  <c r="E42" i="41"/>
  <c r="E38" i="41"/>
  <c r="E32" i="41"/>
  <c r="E28" i="41"/>
  <c r="E27" i="41"/>
  <c r="E23" i="41"/>
  <c r="E17" i="41"/>
  <c r="E13" i="41"/>
  <c r="G39" i="41"/>
  <c r="G25" i="41"/>
  <c r="G17" i="41"/>
  <c r="I43" i="41"/>
  <c r="J43" i="41"/>
  <c r="K10" i="41"/>
  <c r="K37" i="41"/>
  <c r="K30" i="41"/>
  <c r="K25" i="41"/>
  <c r="K11" i="41"/>
  <c r="L38" i="41"/>
  <c r="M38" i="41"/>
  <c r="N38" i="41"/>
  <c r="P10" i="41"/>
  <c r="P30" i="41"/>
  <c r="P25" i="41"/>
  <c r="R39" i="41"/>
  <c r="R20" i="41"/>
  <c r="R14" i="41"/>
  <c r="S42" i="41"/>
  <c r="S28" i="41"/>
  <c r="S23" i="41"/>
  <c r="U10" i="41"/>
  <c r="U36" i="41"/>
  <c r="U29" i="41"/>
  <c r="U24" i="41"/>
  <c r="W8" i="41"/>
  <c r="W23" i="41"/>
  <c r="U37" i="41"/>
  <c r="R37" i="41"/>
  <c r="S37" i="41"/>
  <c r="W11" i="41"/>
  <c r="U11" i="41"/>
  <c r="R11" i="41"/>
  <c r="K40" i="41"/>
  <c r="K21" i="41"/>
  <c r="K15" i="41"/>
  <c r="P40" i="41"/>
  <c r="P34" i="41"/>
  <c r="P21" i="41"/>
  <c r="P15" i="41"/>
  <c r="S11" i="41"/>
  <c r="U7" i="41"/>
  <c r="K7" i="41"/>
  <c r="J7" i="41"/>
  <c r="I7" i="41"/>
  <c r="R7" i="41"/>
  <c r="N7" i="41"/>
  <c r="M7" i="41"/>
  <c r="L7" i="41"/>
  <c r="G7" i="41"/>
  <c r="F7" i="41"/>
  <c r="P3" i="41"/>
  <c r="B36" i="41"/>
  <c r="B29" i="41"/>
  <c r="B24" i="41"/>
  <c r="B18" i="41"/>
  <c r="P41" i="41"/>
  <c r="K41" i="41"/>
  <c r="U41" i="41"/>
  <c r="R41" i="41"/>
  <c r="J41" i="41"/>
  <c r="I41" i="41"/>
  <c r="G41" i="41"/>
  <c r="P35" i="41"/>
  <c r="K35" i="41"/>
  <c r="U35" i="41"/>
  <c r="R35" i="41"/>
  <c r="P31" i="41"/>
  <c r="K31" i="41"/>
  <c r="U31" i="41"/>
  <c r="R31" i="41"/>
  <c r="P26" i="41"/>
  <c r="K26" i="41"/>
  <c r="U26" i="41"/>
  <c r="R26" i="41"/>
  <c r="P22" i="41"/>
  <c r="K22" i="41"/>
  <c r="U22" i="41"/>
  <c r="R22" i="41"/>
  <c r="P19" i="41"/>
  <c r="K19" i="41"/>
  <c r="U19" i="41"/>
  <c r="R19" i="41"/>
  <c r="G19" i="41"/>
  <c r="W16" i="41"/>
  <c r="P16" i="41"/>
  <c r="K16" i="41"/>
  <c r="U16" i="41"/>
  <c r="R16" i="41"/>
  <c r="P12" i="41"/>
  <c r="K12" i="41"/>
  <c r="W12" i="41"/>
  <c r="U12" i="41"/>
  <c r="R12" i="41"/>
  <c r="C43" i="41" a="1"/>
  <c r="C43" i="41" s="1"/>
  <c r="D43" i="41" s="1"/>
  <c r="C39" i="41" a="1"/>
  <c r="C39" i="41" s="1"/>
  <c r="D39" i="41" s="1"/>
  <c r="E41" i="41"/>
  <c r="E35" i="41"/>
  <c r="E31" i="41"/>
  <c r="E26" i="41"/>
  <c r="E22" i="41"/>
  <c r="E19" i="41"/>
  <c r="E16" i="41"/>
  <c r="E12" i="41"/>
  <c r="F8" i="41"/>
  <c r="F39" i="41"/>
  <c r="G43" i="41"/>
  <c r="G38" i="41"/>
  <c r="G24" i="41"/>
  <c r="G16" i="41"/>
  <c r="I42" i="41"/>
  <c r="J42" i="41"/>
  <c r="K43" i="41"/>
  <c r="K36" i="41"/>
  <c r="K29" i="41"/>
  <c r="K24" i="41"/>
  <c r="K18" i="41"/>
  <c r="L8" i="41"/>
  <c r="M8" i="41"/>
  <c r="N8" i="41"/>
  <c r="P2" i="41"/>
  <c r="P43" i="41"/>
  <c r="P36" i="41"/>
  <c r="P29" i="41"/>
  <c r="P24" i="41"/>
  <c r="P18" i="41"/>
  <c r="R8" i="41"/>
  <c r="R38" i="41"/>
  <c r="R32" i="41"/>
  <c r="R27" i="41"/>
  <c r="R13" i="41"/>
  <c r="S41" i="41"/>
  <c r="S35" i="41"/>
  <c r="S21" i="41"/>
  <c r="S15" i="41"/>
  <c r="U42" i="41"/>
  <c r="U28" i="41"/>
  <c r="U23" i="41"/>
  <c r="U17" i="41"/>
  <c r="W7" i="41"/>
  <c r="T27" i="42"/>
  <c r="T26" i="42"/>
  <c r="T23" i="42"/>
  <c r="T22" i="42"/>
  <c r="T20" i="42"/>
  <c r="T18" i="42"/>
  <c r="T17" i="42"/>
  <c r="T11" i="42"/>
  <c r="U27" i="42"/>
  <c r="U26" i="42"/>
  <c r="U23" i="42"/>
  <c r="U22" i="42"/>
  <c r="U20" i="42"/>
  <c r="U18" i="42"/>
  <c r="U17" i="42"/>
  <c r="U11" i="42"/>
  <c r="V27" i="42"/>
  <c r="V26" i="42"/>
  <c r="V23" i="42"/>
  <c r="V22" i="42"/>
  <c r="V20" i="42"/>
  <c r="V18" i="42"/>
  <c r="V17" i="42"/>
  <c r="V11" i="42"/>
  <c r="W20" i="42"/>
  <c r="Y27" i="42"/>
  <c r="Y26" i="42"/>
  <c r="Y23" i="42"/>
  <c r="Y22" i="42"/>
  <c r="Y20" i="42"/>
  <c r="Y18" i="42"/>
  <c r="Y17" i="42"/>
  <c r="Y11" i="42"/>
  <c r="T10" i="42"/>
  <c r="X20" i="42"/>
  <c r="J37" i="42"/>
  <c r="K37" i="42"/>
  <c r="N37" i="42"/>
  <c r="N20" i="42" s="1"/>
  <c r="J25" i="42"/>
  <c r="K25" i="42"/>
  <c r="N25" i="42"/>
  <c r="J23" i="42"/>
  <c r="K23" i="42"/>
  <c r="N23" i="42"/>
  <c r="J21" i="42"/>
  <c r="K21" i="42"/>
  <c r="N21" i="42"/>
  <c r="J19" i="42"/>
  <c r="K19" i="42"/>
  <c r="J17" i="42"/>
  <c r="K17" i="42"/>
  <c r="N17" i="42"/>
  <c r="J15" i="42"/>
  <c r="K15" i="42"/>
  <c r="N15" i="42"/>
  <c r="J13" i="42"/>
  <c r="K13" i="42"/>
  <c r="N13" i="42"/>
  <c r="J11" i="42"/>
  <c r="K11" i="42"/>
  <c r="N11" i="42"/>
  <c r="J9" i="42"/>
  <c r="K9" i="42"/>
  <c r="N9" i="42"/>
  <c r="J7" i="42"/>
  <c r="K7" i="42"/>
  <c r="N7" i="42"/>
  <c r="B45" i="42"/>
  <c r="B44" i="42"/>
  <c r="B24" i="42"/>
  <c r="B25" i="42"/>
  <c r="B26" i="42"/>
  <c r="B27" i="42"/>
  <c r="B28" i="42"/>
  <c r="B29" i="42"/>
  <c r="B30" i="42"/>
  <c r="B31" i="42"/>
  <c r="B32" i="42"/>
  <c r="B33" i="42"/>
  <c r="B34" i="42"/>
  <c r="B35" i="42"/>
  <c r="B36" i="42"/>
  <c r="B37" i="42"/>
  <c r="B38" i="42"/>
  <c r="B39" i="42"/>
  <c r="N28" i="41"/>
  <c r="K24" i="42" l="1"/>
  <c r="K16" i="42"/>
  <c r="M28" i="41"/>
  <c r="I28" i="41"/>
  <c r="J16" i="42"/>
  <c r="N10" i="42"/>
  <c r="N18" i="42"/>
  <c r="N26" i="42"/>
  <c r="J24" i="42"/>
  <c r="C31" i="41"/>
  <c r="D31" i="41" s="1"/>
  <c r="F23" i="41"/>
  <c r="L23" i="41" s="1"/>
  <c r="C23" i="41"/>
  <c r="F14" i="41"/>
  <c r="C14" i="41"/>
  <c r="F11" i="41"/>
  <c r="C11" i="41"/>
  <c r="F13" i="41"/>
  <c r="C13" i="41"/>
  <c r="F27" i="41"/>
  <c r="C27" i="41"/>
  <c r="F18" i="41"/>
  <c r="C18" i="41"/>
  <c r="F15" i="41"/>
  <c r="C15" i="41"/>
  <c r="F30" i="41"/>
  <c r="C30" i="41"/>
  <c r="F10" i="41"/>
  <c r="C10" i="41"/>
  <c r="C12" i="41"/>
  <c r="D12" i="41" s="1"/>
  <c r="C26" i="41"/>
  <c r="D26" i="41" s="1"/>
  <c r="F17" i="41"/>
  <c r="C17" i="41"/>
  <c r="F28" i="41"/>
  <c r="C28" i="41"/>
  <c r="D28" i="41" s="1"/>
  <c r="F20" i="41"/>
  <c r="C20" i="41"/>
  <c r="F33" i="41"/>
  <c r="C33" i="41"/>
  <c r="F34" i="41"/>
  <c r="C34" i="41"/>
  <c r="C19" i="41"/>
  <c r="D19" i="41" s="1"/>
  <c r="F25" i="41"/>
  <c r="C25" i="41"/>
  <c r="C22" i="41"/>
  <c r="D22" i="41" s="1"/>
  <c r="C35" i="41"/>
  <c r="D35" i="41" s="1"/>
  <c r="F29" i="41"/>
  <c r="C29" i="41"/>
  <c r="C16" i="41"/>
  <c r="D16" i="41" s="1"/>
  <c r="F32" i="41"/>
  <c r="C32" i="41"/>
  <c r="F24" i="41"/>
  <c r="C24" i="41"/>
  <c r="F36" i="41"/>
  <c r="C36" i="41"/>
  <c r="F21" i="41"/>
  <c r="C21" i="41"/>
  <c r="D21" i="41" s="1"/>
  <c r="F37" i="41"/>
  <c r="L37" i="41" s="1"/>
  <c r="C37" i="41"/>
  <c r="D37" i="41" s="1"/>
  <c r="K8" i="42"/>
  <c r="K12" i="42"/>
  <c r="J10" i="42"/>
  <c r="N16" i="42"/>
  <c r="J18" i="42"/>
  <c r="N24" i="42"/>
  <c r="J26" i="42"/>
  <c r="J8" i="42"/>
  <c r="J12" i="42"/>
  <c r="J20" i="42"/>
  <c r="J14" i="42"/>
  <c r="J22" i="42"/>
  <c r="N8" i="42"/>
  <c r="N12" i="42"/>
  <c r="N14" i="42"/>
  <c r="N22" i="42"/>
  <c r="K20" i="42"/>
  <c r="K14" i="42"/>
  <c r="K22" i="42"/>
  <c r="K10" i="42"/>
  <c r="K18" i="42"/>
  <c r="K26" i="42"/>
  <c r="W12" i="42"/>
  <c r="X28" i="42"/>
  <c r="Y24" i="42"/>
  <c r="L28" i="41" l="1"/>
  <c r="D27" i="41"/>
  <c r="D14" i="41"/>
  <c r="L21" i="41"/>
  <c r="L17" i="41"/>
  <c r="L14" i="41"/>
  <c r="L18" i="41"/>
  <c r="L25" i="41"/>
  <c r="F26" i="41"/>
  <c r="L26" i="41" s="1"/>
  <c r="D32" i="41"/>
  <c r="L27" i="41"/>
  <c r="L34" i="41"/>
  <c r="D36" i="41"/>
  <c r="L13" i="41"/>
  <c r="L33" i="41"/>
  <c r="L10" i="41"/>
  <c r="D24" i="41"/>
  <c r="D29" i="41"/>
  <c r="L11" i="41"/>
  <c r="L20" i="41"/>
  <c r="L30" i="41"/>
  <c r="D18" i="41"/>
  <c r="D23" i="41"/>
  <c r="L32" i="41"/>
  <c r="F12" i="41"/>
  <c r="L12" i="41" s="1"/>
  <c r="D11" i="41"/>
  <c r="D25" i="41"/>
  <c r="L29" i="41"/>
  <c r="F16" i="41"/>
  <c r="L16" i="41" s="1"/>
  <c r="L15" i="41"/>
  <c r="D20" i="41"/>
  <c r="D33" i="41"/>
  <c r="D15" i="41"/>
  <c r="D30" i="41"/>
  <c r="L24" i="41"/>
  <c r="L36" i="41"/>
  <c r="D10" i="41"/>
  <c r="F22" i="41"/>
  <c r="L22" i="41" s="1"/>
  <c r="F35" i="41"/>
  <c r="L35" i="41" s="1"/>
  <c r="D17" i="41"/>
  <c r="D34" i="41"/>
  <c r="F19" i="41"/>
  <c r="L19" i="41" s="1"/>
  <c r="F31" i="41"/>
  <c r="L31" i="41" s="1"/>
  <c r="D13" i="41"/>
  <c r="X12" i="42"/>
  <c r="Y19" i="42"/>
  <c r="X24" i="42"/>
  <c r="X19" i="42"/>
  <c r="W28" i="42"/>
  <c r="W24" i="42"/>
  <c r="W19" i="42"/>
  <c r="Y28" i="42"/>
  <c r="Y12" i="42"/>
  <c r="D4" i="9"/>
  <c r="D5" i="9"/>
  <c r="D6" i="9"/>
  <c r="D7" i="9"/>
  <c r="D8" i="9"/>
  <c r="D9" i="9"/>
  <c r="D11" i="9"/>
  <c r="D12" i="9"/>
  <c r="D13" i="9"/>
  <c r="D14" i="9"/>
  <c r="D15" i="9"/>
  <c r="D16" i="9"/>
  <c r="D18" i="9"/>
  <c r="D19" i="9"/>
  <c r="D20" i="9"/>
  <c r="D21" i="9"/>
  <c r="D22" i="9"/>
  <c r="D24" i="9"/>
  <c r="D26" i="9"/>
  <c r="D27" i="9"/>
  <c r="D28" i="9"/>
  <c r="D29" i="9"/>
  <c r="D30" i="9"/>
  <c r="D31" i="9"/>
  <c r="D32" i="9"/>
  <c r="D3" i="9"/>
  <c r="N36" i="41"/>
  <c r="N19" i="41"/>
  <c r="N25" i="41"/>
  <c r="N24" i="41"/>
  <c r="N26" i="41"/>
  <c r="N34" i="41"/>
  <c r="N33" i="41"/>
  <c r="N20" i="41"/>
  <c r="N22" i="41"/>
  <c r="N29" i="41"/>
  <c r="N27" i="41"/>
  <c r="N30" i="41"/>
  <c r="N14" i="41"/>
  <c r="N35" i="41"/>
  <c r="N32" i="41"/>
  <c r="N17" i="41"/>
  <c r="N37" i="41"/>
  <c r="N21" i="41"/>
  <c r="N31" i="41"/>
  <c r="N13" i="41"/>
  <c r="N12" i="41"/>
  <c r="N11" i="41"/>
  <c r="N23" i="41"/>
  <c r="N18" i="41"/>
  <c r="N16" i="41"/>
  <c r="N15" i="41"/>
  <c r="N10" i="41"/>
  <c r="M14" i="41" l="1"/>
  <c r="M21" i="41"/>
  <c r="M20" i="41"/>
  <c r="M35" i="41"/>
  <c r="M26" i="41"/>
  <c r="M17" i="41"/>
  <c r="M34" i="41"/>
  <c r="M16" i="41"/>
  <c r="M33" i="41"/>
  <c r="M19" i="41"/>
  <c r="M15" i="41"/>
  <c r="M30" i="41"/>
  <c r="M36" i="41"/>
  <c r="M23" i="41"/>
  <c r="M32" i="41"/>
  <c r="M29" i="41"/>
  <c r="M25" i="41"/>
  <c r="M24" i="41"/>
  <c r="M13" i="41"/>
  <c r="M37" i="41"/>
  <c r="M22" i="41"/>
  <c r="M18" i="41"/>
  <c r="M12" i="41"/>
  <c r="M27" i="41"/>
  <c r="M31" i="41"/>
  <c r="M11" i="41"/>
  <c r="M10" i="41"/>
  <c r="J20" i="41"/>
  <c r="J26" i="41"/>
  <c r="J17" i="41"/>
  <c r="J16" i="41"/>
  <c r="J19" i="41"/>
  <c r="J23" i="41"/>
  <c r="J25" i="41"/>
  <c r="J24" i="41"/>
  <c r="J12" i="41"/>
  <c r="J27" i="41"/>
  <c r="J11" i="41"/>
  <c r="I14" i="41"/>
  <c r="I21" i="41"/>
  <c r="I20" i="41"/>
  <c r="I35" i="41"/>
  <c r="I26" i="41"/>
  <c r="I17" i="41"/>
  <c r="I34" i="41"/>
  <c r="I16" i="41"/>
  <c r="I33" i="41"/>
  <c r="I19" i="41"/>
  <c r="I15" i="41"/>
  <c r="I30" i="41"/>
  <c r="I36" i="41"/>
  <c r="I23" i="41"/>
  <c r="I32" i="41"/>
  <c r="I29" i="41"/>
  <c r="I25" i="41"/>
  <c r="I24" i="41"/>
  <c r="I13" i="41"/>
  <c r="I37" i="41"/>
  <c r="I22" i="41"/>
  <c r="I18" i="41"/>
  <c r="I12" i="41"/>
  <c r="I27" i="41"/>
  <c r="I31" i="41"/>
  <c r="I11" i="41"/>
  <c r="I10" i="41"/>
  <c r="N35" i="9"/>
  <c r="P35" i="9"/>
  <c r="N37" i="9"/>
  <c r="N38" i="9"/>
  <c r="N36" i="9"/>
  <c r="O37" i="9"/>
  <c r="O38" i="9"/>
  <c r="O36" i="9"/>
  <c r="P37" i="9"/>
  <c r="P38" i="9"/>
  <c r="O35" i="9"/>
  <c r="P36" i="9"/>
  <c r="M38" i="9"/>
  <c r="L38" i="9"/>
  <c r="G34" i="9"/>
  <c r="G38" i="9"/>
  <c r="K38" i="9"/>
  <c r="K37" i="9"/>
  <c r="I36" i="9"/>
  <c r="M36" i="9"/>
  <c r="K35" i="9"/>
  <c r="I34" i="9"/>
  <c r="M34" i="9"/>
  <c r="G35" i="9"/>
  <c r="H37" i="9"/>
  <c r="H35" i="9"/>
  <c r="N34" i="9"/>
  <c r="G36" i="9"/>
  <c r="I38" i="9"/>
  <c r="I37" i="9"/>
  <c r="M37" i="9"/>
  <c r="K36" i="9"/>
  <c r="I35" i="9"/>
  <c r="M35" i="9"/>
  <c r="K34" i="9"/>
  <c r="G37" i="9"/>
  <c r="J38" i="9"/>
  <c r="J37" i="9"/>
  <c r="H36" i="9"/>
  <c r="L36" i="9"/>
  <c r="J35" i="9"/>
  <c r="H34" i="9"/>
  <c r="L34" i="9"/>
  <c r="H38" i="9"/>
  <c r="L37" i="9"/>
  <c r="J36" i="9"/>
  <c r="L35" i="9"/>
  <c r="J34" i="9"/>
  <c r="F35" i="9"/>
  <c r="F34" i="9"/>
  <c r="F36" i="9"/>
  <c r="F37" i="9"/>
  <c r="F38" i="9"/>
  <c r="E35" i="9"/>
  <c r="E37" i="9"/>
  <c r="E34" i="9"/>
  <c r="E36" i="9"/>
  <c r="E38" i="9"/>
  <c r="N5" i="41"/>
  <c r="N6" i="41"/>
  <c r="W28" i="41" l="1"/>
  <c r="J28" i="41" s="1"/>
  <c r="W14" i="41"/>
  <c r="J14" i="41" s="1"/>
  <c r="W36" i="41"/>
  <c r="J36" i="41" s="1"/>
  <c r="G36" i="41"/>
  <c r="W29" i="41"/>
  <c r="J29" i="41" s="1"/>
  <c r="W22" i="41"/>
  <c r="J22" i="41" s="1"/>
  <c r="D26" i="43"/>
  <c r="E26" i="43"/>
  <c r="F26" i="43"/>
  <c r="C26" i="43"/>
  <c r="F80" i="1" l="1"/>
  <c r="F81" i="1"/>
  <c r="G46" i="42" l="1"/>
  <c r="U54" i="41" l="1"/>
  <c r="P40" i="42" l="1"/>
  <c r="P39" i="42"/>
  <c r="P38" i="42"/>
  <c r="Q26" i="42" l="1"/>
  <c r="Q38" i="42"/>
  <c r="Q39" i="42"/>
  <c r="Q40" i="42"/>
  <c r="Q32" i="42"/>
  <c r="Q28" i="42"/>
  <c r="Q25" i="42"/>
  <c r="Q24" i="42"/>
  <c r="Q22" i="42"/>
  <c r="Q20" i="42"/>
  <c r="Q30" i="42"/>
  <c r="Q29" i="42"/>
  <c r="Q33" i="42"/>
  <c r="Q34" i="42"/>
  <c r="Q21" i="42"/>
  <c r="T19" i="42"/>
  <c r="M22" i="42"/>
  <c r="L18" i="42"/>
  <c r="I26" i="42"/>
  <c r="I22" i="42"/>
  <c r="I18" i="42"/>
  <c r="I14" i="42"/>
  <c r="I10" i="42"/>
  <c r="M8" i="42" l="1"/>
  <c r="L22" i="42"/>
  <c r="L10" i="42"/>
  <c r="L26" i="42"/>
  <c r="L14" i="42"/>
  <c r="M14" i="42"/>
  <c r="U19" i="42"/>
  <c r="V19" i="42"/>
  <c r="T28" i="42"/>
  <c r="L12" i="42"/>
  <c r="L16" i="42"/>
  <c r="L20" i="42"/>
  <c r="L24" i="42"/>
  <c r="T12" i="42"/>
  <c r="V28" i="42"/>
  <c r="I12" i="42"/>
  <c r="I16" i="42"/>
  <c r="I20" i="42"/>
  <c r="I24" i="42"/>
  <c r="I8" i="42"/>
  <c r="M16" i="42"/>
  <c r="M24" i="42"/>
  <c r="M10" i="42"/>
  <c r="L8" i="42"/>
  <c r="U28" i="42"/>
  <c r="V12" i="42"/>
  <c r="V24" i="42"/>
  <c r="M20" i="42"/>
  <c r="M18" i="42"/>
  <c r="M26" i="42"/>
  <c r="T24" i="42"/>
  <c r="M12" i="42"/>
  <c r="U24" i="42"/>
  <c r="Q11" i="42"/>
  <c r="Q14" i="42"/>
  <c r="Q10" i="42"/>
  <c r="U12" i="42"/>
  <c r="AB36" i="1" l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Z62" i="1"/>
  <c r="AB62" i="1" s="1"/>
  <c r="Z63" i="1"/>
  <c r="AB63" i="1" s="1"/>
  <c r="Z64" i="1"/>
  <c r="AB64" i="1" s="1"/>
  <c r="Z65" i="1"/>
  <c r="AB65" i="1" s="1"/>
  <c r="Z66" i="1"/>
  <c r="AB66" i="1" s="1"/>
  <c r="Z67" i="1"/>
  <c r="AB67" i="1" s="1"/>
  <c r="Z68" i="1"/>
  <c r="AB68" i="1" s="1"/>
  <c r="Z69" i="1"/>
  <c r="AB69" i="1" s="1"/>
  <c r="Z70" i="1"/>
  <c r="AB70" i="1" s="1"/>
  <c r="Z71" i="1"/>
  <c r="AB71" i="1" s="1"/>
  <c r="Z72" i="1"/>
  <c r="AB72" i="1" s="1"/>
  <c r="AP72" i="1"/>
  <c r="Z73" i="1"/>
  <c r="AB73" i="1" s="1"/>
  <c r="AP73" i="1"/>
  <c r="Z74" i="1"/>
  <c r="AB74" i="1" s="1"/>
  <c r="AP74" i="1"/>
  <c r="Z75" i="1"/>
  <c r="AB75" i="1" s="1"/>
  <c r="AP75" i="1"/>
  <c r="Z76" i="1"/>
  <c r="AB76" i="1" s="1"/>
  <c r="AP76" i="1"/>
  <c r="Z77" i="1"/>
  <c r="AB77" i="1" s="1"/>
  <c r="AP77" i="1"/>
  <c r="Z78" i="1"/>
  <c r="AB78" i="1" s="1"/>
  <c r="AP78" i="1"/>
  <c r="Z79" i="1"/>
  <c r="AB79" i="1" s="1"/>
  <c r="AP79" i="1"/>
  <c r="Z80" i="1"/>
  <c r="AB80" i="1" s="1"/>
  <c r="AP80" i="1"/>
  <c r="Z81" i="1"/>
  <c r="AB81" i="1" s="1"/>
  <c r="AP81" i="1"/>
  <c r="F82" i="1"/>
  <c r="Z82" i="1"/>
  <c r="AB82" i="1" s="1"/>
  <c r="AP82" i="1"/>
  <c r="F83" i="1"/>
  <c r="Z83" i="1"/>
  <c r="AB83" i="1" s="1"/>
  <c r="AP83" i="1"/>
  <c r="F84" i="1"/>
  <c r="Z84" i="1"/>
  <c r="AB84" i="1" s="1"/>
  <c r="AP84" i="1"/>
  <c r="F85" i="1"/>
  <c r="Z85" i="1"/>
  <c r="AB85" i="1" s="1"/>
  <c r="AP85" i="1"/>
  <c r="F86" i="1"/>
  <c r="Z86" i="1"/>
  <c r="AB86" i="1" s="1"/>
  <c r="AP86" i="1"/>
  <c r="F87" i="1"/>
  <c r="Z87" i="1"/>
  <c r="AB87" i="1" s="1"/>
  <c r="AP87" i="1"/>
  <c r="F88" i="1"/>
  <c r="Z88" i="1"/>
  <c r="AB88" i="1" s="1"/>
  <c r="AP88" i="1"/>
  <c r="F89" i="1"/>
  <c r="Z89" i="1"/>
  <c r="AB89" i="1" s="1"/>
  <c r="AP89" i="1"/>
  <c r="F90" i="1"/>
  <c r="Z90" i="1"/>
  <c r="AB90" i="1" s="1"/>
  <c r="AP90" i="1"/>
  <c r="F91" i="1"/>
  <c r="Z91" i="1"/>
  <c r="AB91" i="1" s="1"/>
  <c r="AP91" i="1"/>
  <c r="F92" i="1"/>
  <c r="Z92" i="1"/>
  <c r="AB92" i="1" s="1"/>
  <c r="AP92" i="1"/>
  <c r="F93" i="1"/>
  <c r="Z93" i="1"/>
  <c r="AB93" i="1" s="1"/>
  <c r="AP93" i="1"/>
  <c r="F94" i="1"/>
  <c r="Z94" i="1"/>
  <c r="AB94" i="1" s="1"/>
  <c r="AP94" i="1"/>
  <c r="F95" i="1"/>
  <c r="Z95" i="1"/>
  <c r="AB95" i="1" s="1"/>
  <c r="AP95" i="1"/>
  <c r="F96" i="1"/>
  <c r="Z96" i="1"/>
  <c r="AB96" i="1" s="1"/>
  <c r="AP96" i="1"/>
  <c r="F97" i="1"/>
  <c r="Z97" i="1"/>
  <c r="AB97" i="1" s="1"/>
  <c r="AP97" i="1"/>
  <c r="F98" i="1"/>
  <c r="Z98" i="1"/>
  <c r="AB98" i="1" s="1"/>
  <c r="AP98" i="1"/>
  <c r="F99" i="1"/>
  <c r="Z99" i="1"/>
  <c r="AB99" i="1" s="1"/>
  <c r="AP99" i="1"/>
  <c r="F100" i="1"/>
  <c r="Z100" i="1"/>
  <c r="AB100" i="1" s="1"/>
  <c r="AP100" i="1"/>
  <c r="F101" i="1"/>
  <c r="Z101" i="1"/>
  <c r="AB101" i="1" s="1"/>
  <c r="AP101" i="1"/>
  <c r="F102" i="1"/>
  <c r="Z102" i="1"/>
  <c r="AB102" i="1" s="1"/>
  <c r="AP102" i="1"/>
  <c r="F103" i="1"/>
  <c r="Z103" i="1"/>
  <c r="AB103" i="1" s="1"/>
  <c r="AP103" i="1"/>
  <c r="F104" i="1"/>
  <c r="Z104" i="1"/>
  <c r="AB104" i="1" s="1"/>
  <c r="AP104" i="1"/>
  <c r="F105" i="1"/>
  <c r="Z105" i="1"/>
  <c r="AB105" i="1" s="1"/>
  <c r="AP105" i="1"/>
  <c r="F106" i="1"/>
  <c r="Z106" i="1"/>
  <c r="AB106" i="1" s="1"/>
  <c r="AP106" i="1"/>
  <c r="F107" i="1"/>
  <c r="Z107" i="1"/>
  <c r="AB107" i="1" s="1"/>
  <c r="AP107" i="1"/>
  <c r="F108" i="1"/>
  <c r="Z108" i="1"/>
  <c r="AB108" i="1" s="1"/>
  <c r="AP108" i="1"/>
  <c r="F109" i="1"/>
  <c r="Z109" i="1"/>
  <c r="AB109" i="1" s="1"/>
  <c r="AP109" i="1"/>
  <c r="F110" i="1"/>
  <c r="Z110" i="1"/>
  <c r="AB110" i="1" s="1"/>
  <c r="AP110" i="1"/>
  <c r="F111" i="1"/>
  <c r="Z111" i="1"/>
  <c r="AB111" i="1" s="1"/>
  <c r="AP111" i="1"/>
  <c r="F112" i="1"/>
  <c r="Z112" i="1"/>
  <c r="AB112" i="1" s="1"/>
  <c r="AP112" i="1"/>
  <c r="F113" i="1"/>
  <c r="Z113" i="1"/>
  <c r="AB113" i="1" s="1"/>
  <c r="AP113" i="1"/>
  <c r="F114" i="1"/>
  <c r="Z114" i="1"/>
  <c r="AB114" i="1" s="1"/>
  <c r="AP114" i="1"/>
  <c r="F115" i="1"/>
  <c r="Z115" i="1"/>
  <c r="AB115" i="1" s="1"/>
  <c r="AP115" i="1"/>
  <c r="F116" i="1"/>
  <c r="Z116" i="1"/>
  <c r="AB116" i="1" s="1"/>
  <c r="AP116" i="1"/>
  <c r="F117" i="1"/>
  <c r="Z117" i="1"/>
  <c r="AB117" i="1" s="1"/>
  <c r="AP117" i="1"/>
  <c r="F118" i="1"/>
  <c r="Z118" i="1"/>
  <c r="AB118" i="1" s="1"/>
  <c r="AP118" i="1"/>
  <c r="F119" i="1"/>
  <c r="Z119" i="1"/>
  <c r="AB119" i="1" s="1"/>
  <c r="AP119" i="1"/>
  <c r="F120" i="1"/>
  <c r="Z120" i="1"/>
  <c r="AB120" i="1" s="1"/>
  <c r="AP120" i="1"/>
  <c r="F121" i="1"/>
  <c r="Z121" i="1"/>
  <c r="AB121" i="1" s="1"/>
  <c r="AP121" i="1"/>
  <c r="F122" i="1"/>
  <c r="Z122" i="1"/>
  <c r="AB122" i="1" s="1"/>
  <c r="AP122" i="1"/>
  <c r="F123" i="1"/>
  <c r="Z123" i="1"/>
  <c r="AB123" i="1" s="1"/>
  <c r="AP123" i="1"/>
  <c r="F124" i="1"/>
  <c r="Z124" i="1"/>
  <c r="AB124" i="1" s="1"/>
  <c r="AP124" i="1"/>
  <c r="F125" i="1"/>
  <c r="Z125" i="1"/>
  <c r="AB125" i="1" s="1"/>
  <c r="AP125" i="1"/>
  <c r="F126" i="1"/>
  <c r="Z126" i="1"/>
  <c r="AB126" i="1" s="1"/>
  <c r="AP126" i="1"/>
  <c r="F127" i="1"/>
  <c r="Z127" i="1"/>
  <c r="AB127" i="1" s="1"/>
  <c r="AP127" i="1"/>
  <c r="F128" i="1"/>
  <c r="Z128" i="1"/>
  <c r="AB128" i="1" s="1"/>
  <c r="AP128" i="1"/>
  <c r="F129" i="1"/>
  <c r="Z129" i="1"/>
  <c r="AB129" i="1" s="1"/>
  <c r="AP129" i="1"/>
  <c r="F130" i="1"/>
  <c r="Z130" i="1"/>
  <c r="AB130" i="1" s="1"/>
  <c r="AP130" i="1"/>
  <c r="F131" i="1"/>
  <c r="Z131" i="1"/>
  <c r="AB131" i="1" s="1"/>
  <c r="AP131" i="1"/>
  <c r="F132" i="1"/>
  <c r="Z132" i="1"/>
  <c r="AB132" i="1" s="1"/>
  <c r="AP132" i="1"/>
  <c r="F133" i="1"/>
  <c r="Z133" i="1"/>
  <c r="AB133" i="1" s="1"/>
  <c r="AP133" i="1"/>
  <c r="F134" i="1"/>
  <c r="Z134" i="1"/>
  <c r="AB134" i="1" s="1"/>
  <c r="AP134" i="1"/>
  <c r="F135" i="1"/>
  <c r="Z135" i="1"/>
  <c r="AB135" i="1" s="1"/>
  <c r="AP135" i="1"/>
  <c r="F136" i="1"/>
  <c r="Z136" i="1"/>
  <c r="AB136" i="1" s="1"/>
  <c r="AP136" i="1"/>
  <c r="F137" i="1"/>
  <c r="Z137" i="1"/>
  <c r="AB137" i="1" s="1"/>
  <c r="AP137" i="1"/>
  <c r="F138" i="1"/>
  <c r="Z138" i="1"/>
  <c r="AB138" i="1" s="1"/>
  <c r="AP138" i="1"/>
  <c r="F139" i="1"/>
  <c r="Z139" i="1"/>
  <c r="AB139" i="1" s="1"/>
  <c r="AP139" i="1"/>
  <c r="F140" i="1"/>
  <c r="Z140" i="1"/>
  <c r="AB140" i="1" s="1"/>
  <c r="AP140" i="1"/>
  <c r="F141" i="1"/>
  <c r="Z141" i="1"/>
  <c r="AB141" i="1" s="1"/>
  <c r="AP141" i="1"/>
  <c r="F142" i="1"/>
  <c r="Z142" i="1"/>
  <c r="AB142" i="1" s="1"/>
  <c r="AP142" i="1"/>
  <c r="F143" i="1"/>
  <c r="Z143" i="1"/>
  <c r="AB143" i="1" s="1"/>
  <c r="AP143" i="1"/>
  <c r="F144" i="1"/>
  <c r="Z144" i="1"/>
  <c r="AB144" i="1" s="1"/>
  <c r="AP144" i="1"/>
  <c r="F145" i="1"/>
  <c r="Z145" i="1"/>
  <c r="AB145" i="1" s="1"/>
  <c r="AP145" i="1"/>
  <c r="F146" i="1"/>
  <c r="Z146" i="1"/>
  <c r="AB146" i="1" s="1"/>
  <c r="AP146" i="1"/>
  <c r="F147" i="1"/>
  <c r="Z147" i="1"/>
  <c r="AB147" i="1" s="1"/>
  <c r="AP147" i="1"/>
  <c r="F148" i="1"/>
  <c r="Z148" i="1"/>
  <c r="AB148" i="1" s="1"/>
  <c r="AP148" i="1"/>
  <c r="F149" i="1"/>
  <c r="Z149" i="1"/>
  <c r="AB149" i="1" s="1"/>
  <c r="AP149" i="1"/>
  <c r="F150" i="1"/>
  <c r="Z150" i="1"/>
  <c r="AB150" i="1" s="1"/>
  <c r="AP150" i="1"/>
  <c r="F151" i="1"/>
  <c r="Z151" i="1"/>
  <c r="AB151" i="1" s="1"/>
  <c r="AP151" i="1"/>
  <c r="F152" i="1"/>
  <c r="Z152" i="1"/>
  <c r="AB152" i="1" s="1"/>
  <c r="AP152" i="1"/>
  <c r="F153" i="1"/>
  <c r="Z153" i="1"/>
  <c r="AB153" i="1" s="1"/>
  <c r="AP153" i="1"/>
  <c r="F154" i="1"/>
  <c r="Z154" i="1"/>
  <c r="AB154" i="1" s="1"/>
  <c r="AP154" i="1"/>
  <c r="F155" i="1"/>
  <c r="Z155" i="1"/>
  <c r="AB155" i="1" s="1"/>
  <c r="AP155" i="1"/>
  <c r="F156" i="1"/>
  <c r="Z156" i="1"/>
  <c r="AB156" i="1" s="1"/>
  <c r="AP156" i="1"/>
  <c r="F157" i="1"/>
  <c r="Z157" i="1"/>
  <c r="AB157" i="1" s="1"/>
  <c r="AP157" i="1"/>
  <c r="F158" i="1"/>
  <c r="Z158" i="1"/>
  <c r="AB158" i="1" s="1"/>
  <c r="AP158" i="1"/>
  <c r="F159" i="1"/>
  <c r="Z159" i="1"/>
  <c r="AB159" i="1" s="1"/>
  <c r="AP159" i="1"/>
  <c r="F160" i="1"/>
  <c r="Z160" i="1"/>
  <c r="AB160" i="1" s="1"/>
  <c r="AP160" i="1"/>
  <c r="F161" i="1"/>
  <c r="Z161" i="1"/>
  <c r="AB161" i="1" s="1"/>
  <c r="AP161" i="1"/>
  <c r="F162" i="1"/>
  <c r="Z162" i="1"/>
  <c r="AB162" i="1" s="1"/>
  <c r="AP162" i="1"/>
  <c r="F163" i="1"/>
  <c r="Z163" i="1"/>
  <c r="AB163" i="1" s="1"/>
  <c r="AP163" i="1"/>
  <c r="F164" i="1"/>
  <c r="Z164" i="1"/>
  <c r="AB164" i="1" s="1"/>
  <c r="AP164" i="1"/>
  <c r="F165" i="1"/>
  <c r="Z165" i="1"/>
  <c r="AB165" i="1" s="1"/>
  <c r="AP165" i="1"/>
  <c r="F166" i="1"/>
  <c r="Z166" i="1"/>
  <c r="AB166" i="1" s="1"/>
  <c r="AP166" i="1"/>
  <c r="F167" i="1"/>
  <c r="Z167" i="1"/>
  <c r="AB167" i="1" s="1"/>
  <c r="AP167" i="1"/>
  <c r="F168" i="1"/>
  <c r="O168" i="1"/>
  <c r="Z168" i="1"/>
  <c r="AB168" i="1" s="1"/>
  <c r="AP168" i="1"/>
  <c r="F169" i="1"/>
  <c r="O169" i="1"/>
  <c r="Z169" i="1"/>
  <c r="AB169" i="1" s="1"/>
  <c r="AP169" i="1"/>
  <c r="F170" i="1"/>
  <c r="O170" i="1"/>
  <c r="Z170" i="1"/>
  <c r="AB170" i="1" s="1"/>
  <c r="AP170" i="1"/>
  <c r="F171" i="1"/>
  <c r="O171" i="1"/>
  <c r="Z171" i="1"/>
  <c r="AB171" i="1" s="1"/>
  <c r="AP171" i="1"/>
  <c r="F172" i="1"/>
  <c r="O172" i="1"/>
  <c r="Z172" i="1"/>
  <c r="AB172" i="1" s="1"/>
  <c r="AP172" i="1"/>
  <c r="F173" i="1"/>
  <c r="O173" i="1"/>
  <c r="Z173" i="1"/>
  <c r="AB173" i="1" s="1"/>
  <c r="AP173" i="1"/>
  <c r="F174" i="1"/>
  <c r="O174" i="1"/>
  <c r="Z174" i="1"/>
  <c r="AB174" i="1" s="1"/>
  <c r="AP174" i="1"/>
  <c r="F175" i="1"/>
  <c r="O175" i="1"/>
  <c r="Z175" i="1"/>
  <c r="AB175" i="1" s="1"/>
  <c r="AP175" i="1"/>
  <c r="F176" i="1"/>
  <c r="O176" i="1"/>
  <c r="Z176" i="1"/>
  <c r="AB176" i="1" s="1"/>
  <c r="AP176" i="1"/>
  <c r="F177" i="1"/>
  <c r="O177" i="1"/>
  <c r="Z177" i="1"/>
  <c r="AB177" i="1" s="1"/>
  <c r="AP177" i="1"/>
  <c r="F178" i="1"/>
  <c r="O178" i="1"/>
  <c r="Z178" i="1"/>
  <c r="AB178" i="1" s="1"/>
  <c r="AP178" i="1"/>
  <c r="F179" i="1"/>
  <c r="O179" i="1"/>
  <c r="Z179" i="1"/>
  <c r="AB179" i="1" s="1"/>
  <c r="AP179" i="1"/>
  <c r="F180" i="1"/>
  <c r="O180" i="1"/>
  <c r="Z180" i="1"/>
  <c r="AB180" i="1" s="1"/>
  <c r="AP180" i="1"/>
  <c r="F181" i="1"/>
  <c r="O181" i="1"/>
  <c r="Z181" i="1"/>
  <c r="AB181" i="1" s="1"/>
  <c r="AP181" i="1"/>
  <c r="F182" i="1"/>
  <c r="O182" i="1"/>
  <c r="Z182" i="1"/>
  <c r="AB182" i="1" s="1"/>
  <c r="AP182" i="1"/>
  <c r="F183" i="1"/>
  <c r="O183" i="1"/>
  <c r="Z183" i="1"/>
  <c r="AB183" i="1" s="1"/>
  <c r="AP183" i="1"/>
  <c r="F184" i="1"/>
  <c r="O184" i="1"/>
  <c r="Z184" i="1"/>
  <c r="AB184" i="1" s="1"/>
  <c r="AP184" i="1"/>
  <c r="F185" i="1"/>
  <c r="O185" i="1"/>
  <c r="Z185" i="1"/>
  <c r="AB185" i="1" s="1"/>
  <c r="AP185" i="1"/>
  <c r="F186" i="1"/>
  <c r="O186" i="1"/>
  <c r="Z186" i="1"/>
  <c r="AB186" i="1" s="1"/>
  <c r="AP186" i="1"/>
  <c r="F187" i="1"/>
  <c r="O187" i="1"/>
  <c r="Z187" i="1"/>
  <c r="AB187" i="1" s="1"/>
  <c r="AP187" i="1"/>
  <c r="F188" i="1"/>
  <c r="O188" i="1"/>
  <c r="Z188" i="1"/>
  <c r="AB188" i="1" s="1"/>
  <c r="AP188" i="1"/>
  <c r="F189" i="1"/>
  <c r="O189" i="1"/>
  <c r="Z189" i="1"/>
  <c r="AB189" i="1" s="1"/>
  <c r="AP189" i="1"/>
  <c r="F190" i="1"/>
  <c r="O190" i="1"/>
  <c r="Z190" i="1"/>
  <c r="AB190" i="1" s="1"/>
  <c r="AP190" i="1"/>
  <c r="F191" i="1"/>
  <c r="O191" i="1"/>
  <c r="Z191" i="1"/>
  <c r="AB191" i="1" s="1"/>
  <c r="AP191" i="1"/>
  <c r="F192" i="1"/>
  <c r="O192" i="1"/>
  <c r="Z192" i="1"/>
  <c r="AB192" i="1" s="1"/>
  <c r="AP192" i="1"/>
  <c r="F193" i="1"/>
  <c r="O193" i="1"/>
  <c r="Z193" i="1"/>
  <c r="AB193" i="1" s="1"/>
  <c r="AP193" i="1"/>
  <c r="F194" i="1"/>
  <c r="O194" i="1"/>
  <c r="Z194" i="1"/>
  <c r="AB194" i="1" s="1"/>
  <c r="AP194" i="1"/>
  <c r="F195" i="1"/>
  <c r="O195" i="1"/>
  <c r="Z195" i="1"/>
  <c r="AB195" i="1" s="1"/>
  <c r="AP195" i="1"/>
  <c r="F196" i="1"/>
  <c r="O196" i="1"/>
  <c r="Z196" i="1"/>
  <c r="AB196" i="1" s="1"/>
  <c r="AP196" i="1"/>
  <c r="F197" i="1"/>
  <c r="O197" i="1"/>
  <c r="Z197" i="1"/>
  <c r="AB197" i="1" s="1"/>
  <c r="AP197" i="1"/>
  <c r="F198" i="1"/>
  <c r="O198" i="1"/>
  <c r="Z198" i="1"/>
  <c r="AB198" i="1" s="1"/>
  <c r="AP198" i="1"/>
  <c r="F199" i="1"/>
  <c r="O199" i="1"/>
  <c r="Z199" i="1"/>
  <c r="AB199" i="1" s="1"/>
  <c r="AP199" i="1"/>
  <c r="F200" i="1"/>
  <c r="O200" i="1"/>
  <c r="Z200" i="1"/>
  <c r="AB200" i="1" s="1"/>
  <c r="AP200" i="1"/>
  <c r="F201" i="1"/>
  <c r="O201" i="1"/>
  <c r="Z201" i="1"/>
  <c r="AB201" i="1" s="1"/>
  <c r="AP201" i="1"/>
  <c r="F202" i="1"/>
  <c r="O202" i="1"/>
  <c r="Z202" i="1"/>
  <c r="AB202" i="1" s="1"/>
  <c r="AP202" i="1"/>
  <c r="F203" i="1"/>
  <c r="O203" i="1"/>
  <c r="Z203" i="1"/>
  <c r="AB203" i="1" s="1"/>
  <c r="AP203" i="1"/>
  <c r="F204" i="1"/>
  <c r="O204" i="1"/>
  <c r="Z204" i="1"/>
  <c r="AB204" i="1" s="1"/>
  <c r="AP204" i="1"/>
  <c r="F205" i="1"/>
  <c r="O205" i="1"/>
  <c r="Z205" i="1"/>
  <c r="AB205" i="1" s="1"/>
  <c r="AP205" i="1"/>
  <c r="F206" i="1"/>
  <c r="O206" i="1"/>
  <c r="Z206" i="1"/>
  <c r="AB206" i="1" s="1"/>
  <c r="AP206" i="1"/>
  <c r="F207" i="1"/>
  <c r="O207" i="1"/>
  <c r="Z207" i="1"/>
  <c r="AB207" i="1" s="1"/>
  <c r="AP207" i="1"/>
  <c r="F208" i="1"/>
  <c r="O208" i="1"/>
  <c r="Z208" i="1"/>
  <c r="AB208" i="1" s="1"/>
  <c r="AP208" i="1"/>
  <c r="F209" i="1"/>
  <c r="O209" i="1"/>
  <c r="Z209" i="1"/>
  <c r="AB209" i="1" s="1"/>
  <c r="AP209" i="1"/>
  <c r="F210" i="1"/>
  <c r="O210" i="1"/>
  <c r="Z210" i="1"/>
  <c r="AB210" i="1" s="1"/>
  <c r="AP210" i="1"/>
  <c r="F211" i="1"/>
  <c r="O211" i="1"/>
  <c r="Z211" i="1"/>
  <c r="AB211" i="1" s="1"/>
  <c r="AP211" i="1"/>
  <c r="F212" i="1"/>
  <c r="O212" i="1"/>
  <c r="Z212" i="1"/>
  <c r="AB212" i="1" s="1"/>
  <c r="AP212" i="1"/>
  <c r="F213" i="1"/>
  <c r="O213" i="1"/>
  <c r="Z213" i="1"/>
  <c r="AB213" i="1" s="1"/>
  <c r="AP213" i="1"/>
  <c r="F214" i="1"/>
  <c r="O214" i="1"/>
  <c r="Z214" i="1"/>
  <c r="AB214" i="1" s="1"/>
  <c r="AP214" i="1"/>
  <c r="F215" i="1"/>
  <c r="O215" i="1"/>
  <c r="Z215" i="1"/>
  <c r="AB215" i="1" s="1"/>
  <c r="AP215" i="1"/>
  <c r="F216" i="1"/>
  <c r="O216" i="1"/>
  <c r="Z216" i="1"/>
  <c r="AB216" i="1" s="1"/>
  <c r="AP216" i="1"/>
  <c r="F217" i="1"/>
  <c r="O217" i="1"/>
  <c r="Z217" i="1"/>
  <c r="AB217" i="1" s="1"/>
  <c r="AP217" i="1"/>
  <c r="F218" i="1"/>
  <c r="O218" i="1"/>
  <c r="Z218" i="1"/>
  <c r="AB218" i="1" s="1"/>
  <c r="AP218" i="1"/>
  <c r="F219" i="1"/>
  <c r="O219" i="1"/>
  <c r="Z219" i="1"/>
  <c r="AB219" i="1" s="1"/>
  <c r="AP219" i="1"/>
  <c r="F220" i="1"/>
  <c r="O220" i="1"/>
  <c r="Z220" i="1"/>
  <c r="AB220" i="1" s="1"/>
  <c r="AP220" i="1"/>
  <c r="F221" i="1"/>
  <c r="O221" i="1"/>
  <c r="Z221" i="1"/>
  <c r="AB221" i="1" s="1"/>
  <c r="AP221" i="1"/>
  <c r="F222" i="1"/>
  <c r="O222" i="1"/>
  <c r="Z222" i="1"/>
  <c r="AB222" i="1" s="1"/>
  <c r="AP222" i="1"/>
  <c r="F223" i="1"/>
  <c r="O223" i="1"/>
  <c r="Z223" i="1"/>
  <c r="AB223" i="1" s="1"/>
  <c r="AP223" i="1"/>
  <c r="F224" i="1"/>
  <c r="O224" i="1"/>
  <c r="Z224" i="1"/>
  <c r="AB224" i="1" s="1"/>
  <c r="AP224" i="1"/>
  <c r="F225" i="1"/>
  <c r="O225" i="1"/>
  <c r="Z225" i="1"/>
  <c r="AB225" i="1" s="1"/>
  <c r="AP225" i="1"/>
  <c r="F226" i="1"/>
  <c r="O226" i="1"/>
  <c r="Z226" i="1"/>
  <c r="AB226" i="1" s="1"/>
  <c r="AP226" i="1"/>
  <c r="F227" i="1"/>
  <c r="O227" i="1"/>
  <c r="Z227" i="1"/>
  <c r="AB227" i="1" s="1"/>
  <c r="AP227" i="1"/>
  <c r="F228" i="1"/>
  <c r="O228" i="1"/>
  <c r="Z228" i="1"/>
  <c r="AB228" i="1" s="1"/>
  <c r="AP228" i="1"/>
  <c r="F229" i="1"/>
  <c r="O229" i="1"/>
  <c r="Z229" i="1"/>
  <c r="AB229" i="1" s="1"/>
  <c r="AP229" i="1"/>
  <c r="F230" i="1"/>
  <c r="O230" i="1"/>
  <c r="Z230" i="1"/>
  <c r="AB230" i="1" s="1"/>
  <c r="AP230" i="1"/>
  <c r="F231" i="1"/>
  <c r="O231" i="1"/>
  <c r="Z231" i="1"/>
  <c r="AB231" i="1" s="1"/>
  <c r="AP231" i="1"/>
  <c r="F232" i="1"/>
  <c r="O232" i="1"/>
  <c r="Z232" i="1"/>
  <c r="AB232" i="1" s="1"/>
  <c r="AP232" i="1"/>
  <c r="F233" i="1"/>
  <c r="O233" i="1"/>
  <c r="Z233" i="1"/>
  <c r="AB233" i="1" s="1"/>
  <c r="AP233" i="1"/>
  <c r="F234" i="1"/>
  <c r="O234" i="1"/>
  <c r="Z234" i="1"/>
  <c r="AB234" i="1" s="1"/>
  <c r="AP234" i="1"/>
  <c r="F235" i="1"/>
  <c r="O235" i="1"/>
  <c r="Z235" i="1"/>
  <c r="AB235" i="1" s="1"/>
  <c r="AP235" i="1"/>
  <c r="F236" i="1"/>
  <c r="O236" i="1"/>
  <c r="Z236" i="1"/>
  <c r="AB236" i="1" s="1"/>
  <c r="AP236" i="1"/>
  <c r="F237" i="1"/>
  <c r="O237" i="1"/>
  <c r="Z237" i="1"/>
  <c r="AB237" i="1" s="1"/>
  <c r="AP237" i="1"/>
  <c r="F238" i="1"/>
  <c r="O238" i="1"/>
  <c r="Z238" i="1"/>
  <c r="AB238" i="1" s="1"/>
  <c r="AP238" i="1"/>
  <c r="F239" i="1"/>
  <c r="O239" i="1"/>
  <c r="Z239" i="1"/>
  <c r="AB239" i="1" s="1"/>
  <c r="AP239" i="1"/>
  <c r="F240" i="1"/>
  <c r="O240" i="1"/>
  <c r="Z240" i="1"/>
  <c r="AB240" i="1" s="1"/>
  <c r="AP240" i="1"/>
  <c r="F241" i="1"/>
  <c r="O241" i="1"/>
  <c r="Z241" i="1"/>
  <c r="AB241" i="1" s="1"/>
  <c r="AP241" i="1"/>
  <c r="F242" i="1"/>
  <c r="O242" i="1"/>
  <c r="Z242" i="1"/>
  <c r="AB242" i="1" s="1"/>
  <c r="AP242" i="1"/>
  <c r="F243" i="1"/>
  <c r="O243" i="1"/>
  <c r="Z243" i="1"/>
  <c r="AB243" i="1" s="1"/>
  <c r="AP243" i="1"/>
  <c r="F244" i="1"/>
  <c r="O244" i="1"/>
  <c r="Z244" i="1"/>
  <c r="AB244" i="1" s="1"/>
  <c r="AP244" i="1"/>
  <c r="F245" i="1"/>
  <c r="O245" i="1"/>
  <c r="Z245" i="1"/>
  <c r="AB245" i="1" s="1"/>
  <c r="AP245" i="1"/>
  <c r="F246" i="1"/>
  <c r="O246" i="1"/>
  <c r="Z246" i="1"/>
  <c r="AB246" i="1" s="1"/>
  <c r="AP246" i="1"/>
  <c r="F247" i="1"/>
  <c r="O247" i="1"/>
  <c r="Z247" i="1"/>
  <c r="AB247" i="1" s="1"/>
  <c r="AP247" i="1"/>
  <c r="F248" i="1"/>
  <c r="O248" i="1"/>
  <c r="Z248" i="1"/>
  <c r="AB248" i="1" s="1"/>
  <c r="AP248" i="1"/>
  <c r="F249" i="1"/>
  <c r="O249" i="1"/>
  <c r="Z249" i="1"/>
  <c r="AB249" i="1" s="1"/>
  <c r="AP249" i="1"/>
  <c r="F250" i="1"/>
  <c r="O250" i="1"/>
  <c r="Z250" i="1"/>
  <c r="AB250" i="1" s="1"/>
  <c r="AP250" i="1"/>
  <c r="F251" i="1"/>
  <c r="O251" i="1"/>
  <c r="Z251" i="1"/>
  <c r="AB251" i="1" s="1"/>
  <c r="AP251" i="1"/>
  <c r="F252" i="1"/>
  <c r="O252" i="1"/>
  <c r="Z252" i="1"/>
  <c r="AB252" i="1" s="1"/>
  <c r="AP252" i="1"/>
  <c r="F253" i="1"/>
  <c r="O253" i="1"/>
  <c r="Z253" i="1"/>
  <c r="AB253" i="1" s="1"/>
  <c r="AP253" i="1"/>
  <c r="F254" i="1"/>
  <c r="O254" i="1"/>
  <c r="Z254" i="1"/>
  <c r="AB254" i="1" s="1"/>
  <c r="AP254" i="1"/>
  <c r="F255" i="1"/>
  <c r="O255" i="1"/>
  <c r="Z255" i="1"/>
  <c r="AB255" i="1" s="1"/>
  <c r="AP255" i="1"/>
  <c r="F256" i="1"/>
  <c r="O256" i="1"/>
  <c r="Z256" i="1"/>
  <c r="AB256" i="1" s="1"/>
  <c r="AP256" i="1"/>
  <c r="F257" i="1"/>
  <c r="O257" i="1"/>
  <c r="Z257" i="1"/>
  <c r="AB257" i="1" s="1"/>
  <c r="AP257" i="1"/>
  <c r="F258" i="1"/>
  <c r="O258" i="1"/>
  <c r="Z258" i="1"/>
  <c r="AB258" i="1" s="1"/>
  <c r="AP258" i="1"/>
  <c r="F259" i="1"/>
  <c r="O259" i="1"/>
  <c r="Z259" i="1"/>
  <c r="AB259" i="1" s="1"/>
  <c r="AP259" i="1"/>
  <c r="F260" i="1"/>
  <c r="O260" i="1"/>
  <c r="Z260" i="1"/>
  <c r="AB260" i="1" s="1"/>
  <c r="AP260" i="1"/>
  <c r="F261" i="1"/>
  <c r="O261" i="1"/>
  <c r="Z261" i="1"/>
  <c r="AB261" i="1" s="1"/>
  <c r="AP261" i="1"/>
  <c r="F262" i="1"/>
  <c r="O262" i="1"/>
  <c r="Z262" i="1"/>
  <c r="AB262" i="1" s="1"/>
  <c r="AP262" i="1"/>
  <c r="F263" i="1"/>
  <c r="O263" i="1"/>
  <c r="Z263" i="1"/>
  <c r="AB263" i="1" s="1"/>
  <c r="AP263" i="1"/>
  <c r="F264" i="1"/>
  <c r="O264" i="1"/>
  <c r="Z264" i="1"/>
  <c r="AB264" i="1" s="1"/>
  <c r="AP264" i="1"/>
  <c r="F265" i="1"/>
  <c r="O265" i="1"/>
  <c r="Z265" i="1"/>
  <c r="AB265" i="1" s="1"/>
  <c r="AP265" i="1"/>
  <c r="F266" i="1"/>
  <c r="O266" i="1"/>
  <c r="Z266" i="1"/>
  <c r="AB266" i="1" s="1"/>
  <c r="AP266" i="1"/>
  <c r="F267" i="1"/>
  <c r="O267" i="1"/>
  <c r="Z267" i="1"/>
  <c r="AB267" i="1" s="1"/>
  <c r="AP267" i="1"/>
  <c r="F268" i="1"/>
  <c r="O268" i="1"/>
  <c r="Z268" i="1"/>
  <c r="AB268" i="1" s="1"/>
  <c r="AP268" i="1"/>
  <c r="F269" i="1"/>
  <c r="O269" i="1"/>
  <c r="Z269" i="1"/>
  <c r="AB269" i="1" s="1"/>
  <c r="AP269" i="1"/>
  <c r="F270" i="1"/>
  <c r="O270" i="1"/>
  <c r="Z270" i="1"/>
  <c r="AB270" i="1" s="1"/>
  <c r="AP270" i="1"/>
  <c r="F271" i="1"/>
  <c r="O271" i="1"/>
  <c r="Z271" i="1"/>
  <c r="AB271" i="1" s="1"/>
  <c r="AP271" i="1"/>
  <c r="F272" i="1"/>
  <c r="O272" i="1"/>
  <c r="Z272" i="1"/>
  <c r="AB272" i="1" s="1"/>
  <c r="AP272" i="1"/>
  <c r="F273" i="1"/>
  <c r="O273" i="1"/>
  <c r="Z273" i="1"/>
  <c r="AB273" i="1" s="1"/>
  <c r="AP273" i="1"/>
  <c r="F274" i="1"/>
  <c r="O274" i="1"/>
  <c r="Z274" i="1"/>
  <c r="AB274" i="1" s="1"/>
  <c r="AP274" i="1"/>
  <c r="F275" i="1"/>
  <c r="O275" i="1"/>
  <c r="Z275" i="1"/>
  <c r="AB275" i="1" s="1"/>
  <c r="AP275" i="1"/>
  <c r="F276" i="1"/>
  <c r="O276" i="1"/>
  <c r="Z276" i="1"/>
  <c r="AB276" i="1" s="1"/>
  <c r="AP276" i="1"/>
  <c r="F277" i="1"/>
  <c r="O277" i="1"/>
  <c r="Z277" i="1"/>
  <c r="AB277" i="1" s="1"/>
  <c r="AP277" i="1"/>
  <c r="F278" i="1"/>
  <c r="O278" i="1"/>
  <c r="Z278" i="1"/>
  <c r="AB278" i="1" s="1"/>
  <c r="AP278" i="1"/>
  <c r="F279" i="1"/>
  <c r="O279" i="1"/>
  <c r="Z279" i="1"/>
  <c r="AB279" i="1" s="1"/>
  <c r="AP279" i="1"/>
  <c r="F280" i="1"/>
  <c r="O280" i="1"/>
  <c r="Z280" i="1"/>
  <c r="AB280" i="1" s="1"/>
  <c r="AP280" i="1"/>
  <c r="F281" i="1"/>
  <c r="O281" i="1"/>
  <c r="Z281" i="1"/>
  <c r="AB281" i="1" s="1"/>
  <c r="AP281" i="1"/>
  <c r="F282" i="1"/>
  <c r="O282" i="1"/>
  <c r="Z282" i="1"/>
  <c r="AB282" i="1" s="1"/>
  <c r="AP282" i="1"/>
  <c r="F283" i="1"/>
  <c r="O283" i="1"/>
  <c r="Z283" i="1"/>
  <c r="AB283" i="1" s="1"/>
  <c r="AP283" i="1"/>
  <c r="F284" i="1"/>
  <c r="O284" i="1"/>
  <c r="Z284" i="1"/>
  <c r="AB284" i="1" s="1"/>
  <c r="AP284" i="1"/>
  <c r="F285" i="1"/>
  <c r="O285" i="1"/>
  <c r="Z285" i="1"/>
  <c r="AB285" i="1" s="1"/>
  <c r="AP285" i="1"/>
  <c r="F286" i="1"/>
  <c r="O286" i="1"/>
  <c r="Z286" i="1"/>
  <c r="AB286" i="1" s="1"/>
  <c r="AP286" i="1"/>
  <c r="F287" i="1"/>
  <c r="O287" i="1"/>
  <c r="Z287" i="1"/>
  <c r="AB287" i="1" s="1"/>
  <c r="AP287" i="1"/>
  <c r="F288" i="1"/>
  <c r="O288" i="1"/>
  <c r="Z288" i="1"/>
  <c r="AB288" i="1" s="1"/>
  <c r="AP288" i="1"/>
  <c r="F289" i="1"/>
  <c r="O289" i="1"/>
  <c r="Z289" i="1"/>
  <c r="AB289" i="1" s="1"/>
  <c r="AP289" i="1"/>
  <c r="F290" i="1"/>
  <c r="O290" i="1"/>
  <c r="Z290" i="1"/>
  <c r="AB290" i="1" s="1"/>
  <c r="AP290" i="1"/>
  <c r="F291" i="1"/>
  <c r="O291" i="1"/>
  <c r="Z291" i="1"/>
  <c r="AB291" i="1" s="1"/>
  <c r="AP291" i="1"/>
  <c r="F292" i="1"/>
  <c r="O292" i="1"/>
  <c r="Z292" i="1"/>
  <c r="AB292" i="1" s="1"/>
  <c r="AP292" i="1"/>
  <c r="F293" i="1"/>
  <c r="O293" i="1"/>
  <c r="Z293" i="1"/>
  <c r="AB293" i="1" s="1"/>
  <c r="AP293" i="1"/>
  <c r="F294" i="1"/>
  <c r="O294" i="1"/>
  <c r="Z294" i="1"/>
  <c r="AB294" i="1" s="1"/>
  <c r="AP294" i="1"/>
  <c r="F295" i="1"/>
  <c r="O295" i="1"/>
  <c r="Z295" i="1"/>
  <c r="AB295" i="1" s="1"/>
  <c r="AP295" i="1"/>
  <c r="F296" i="1"/>
  <c r="O296" i="1"/>
  <c r="Z296" i="1"/>
  <c r="AB296" i="1" s="1"/>
  <c r="AP296" i="1"/>
  <c r="F297" i="1"/>
  <c r="O297" i="1"/>
  <c r="Z297" i="1"/>
  <c r="AB297" i="1" s="1"/>
  <c r="AP297" i="1"/>
  <c r="G1" i="42"/>
  <c r="Q2" i="41" l="1"/>
  <c r="H2" i="41"/>
  <c r="H11" i="41"/>
  <c r="H37" i="41"/>
  <c r="H19" i="41"/>
  <c r="H36" i="41"/>
  <c r="H29" i="41"/>
  <c r="H27" i="41"/>
  <c r="H18" i="41"/>
  <c r="H5" i="41"/>
  <c r="H20" i="41"/>
  <c r="H25" i="41"/>
  <c r="H30" i="41"/>
  <c r="H24" i="41"/>
  <c r="H21" i="41"/>
  <c r="H28" i="41"/>
  <c r="H26" i="41"/>
  <c r="H12" i="41"/>
  <c r="H32" i="41"/>
  <c r="H31" i="41"/>
  <c r="H22" i="41"/>
  <c r="H35" i="41"/>
  <c r="H23" i="41"/>
  <c r="H14" i="41"/>
  <c r="H34" i="41"/>
  <c r="H6" i="41"/>
  <c r="H10" i="41"/>
  <c r="H3" i="41"/>
  <c r="H13" i="41"/>
  <c r="H4" i="41"/>
  <c r="H33" i="41"/>
  <c r="G2" i="41"/>
  <c r="Q3" i="41"/>
  <c r="F12" i="42" s="1"/>
  <c r="Q6" i="41"/>
  <c r="D12" i="42" s="1"/>
  <c r="Q4" i="41"/>
  <c r="G12" i="42" s="1"/>
  <c r="Q5" i="41"/>
  <c r="C12" i="42" s="1"/>
  <c r="T2" i="41"/>
  <c r="G20" i="42"/>
  <c r="T6" i="41"/>
  <c r="D19" i="42" s="1"/>
  <c r="T4" i="41"/>
  <c r="G19" i="42" s="1"/>
  <c r="T5" i="41"/>
  <c r="C19" i="42" s="1"/>
  <c r="T3" i="41"/>
  <c r="F19" i="42" s="1"/>
  <c r="D20" i="42"/>
  <c r="F20" i="42"/>
  <c r="C20" i="42"/>
  <c r="E20" i="42"/>
  <c r="V3" i="41"/>
  <c r="F9" i="42" s="1"/>
  <c r="U2" i="41"/>
  <c r="V4" i="41"/>
  <c r="G9" i="42" s="1"/>
  <c r="V2" i="41"/>
  <c r="V5" i="41"/>
  <c r="C9" i="42" s="1"/>
  <c r="V6" i="41"/>
  <c r="D9" i="42" s="1"/>
  <c r="C23" i="42"/>
  <c r="K4" i="41"/>
  <c r="W4" i="41"/>
  <c r="K2" i="41"/>
  <c r="R6" i="41"/>
  <c r="D10" i="42" s="1"/>
  <c r="K3" i="41"/>
  <c r="U4" i="41"/>
  <c r="G4" i="41"/>
  <c r="U5" i="41"/>
  <c r="C11" i="42" s="1"/>
  <c r="R5" i="41"/>
  <c r="C10" i="42" s="1"/>
  <c r="U3" i="41"/>
  <c r="S4" i="41"/>
  <c r="E5" i="41"/>
  <c r="C5" i="41" s="1"/>
  <c r="R2" i="41"/>
  <c r="U6" i="41"/>
  <c r="D11" i="42" s="1"/>
  <c r="E4" i="41"/>
  <c r="R4" i="41"/>
  <c r="E2" i="41"/>
  <c r="C2" i="41" s="1"/>
  <c r="K5" i="41"/>
  <c r="E6" i="41"/>
  <c r="C6" i="41" s="1"/>
  <c r="S6" i="41"/>
  <c r="E3" i="41"/>
  <c r="R3" i="41"/>
  <c r="K6" i="41"/>
  <c r="F45" i="42"/>
  <c r="C44" i="42"/>
  <c r="E44" i="42"/>
  <c r="F43" i="42"/>
  <c r="D26" i="42"/>
  <c r="D30" i="42"/>
  <c r="D34" i="42"/>
  <c r="D38" i="42"/>
  <c r="C26" i="42"/>
  <c r="C30" i="42"/>
  <c r="C34" i="42"/>
  <c r="C38" i="42"/>
  <c r="G24" i="42"/>
  <c r="G28" i="42"/>
  <c r="G32" i="42"/>
  <c r="G36" i="42"/>
  <c r="G23" i="42"/>
  <c r="F27" i="42"/>
  <c r="F31" i="42"/>
  <c r="F35" i="42"/>
  <c r="F39" i="42"/>
  <c r="E26" i="42"/>
  <c r="E30" i="42"/>
  <c r="E34" i="42"/>
  <c r="E38" i="42"/>
  <c r="W47" i="41"/>
  <c r="W51" i="41"/>
  <c r="G45" i="42"/>
  <c r="G44" i="42"/>
  <c r="G43" i="42"/>
  <c r="D25" i="42"/>
  <c r="D29" i="42"/>
  <c r="D33" i="42"/>
  <c r="D37" i="42"/>
  <c r="C25" i="42"/>
  <c r="C29" i="42"/>
  <c r="C33" i="42"/>
  <c r="C37" i="42"/>
  <c r="G25" i="42"/>
  <c r="G29" i="42"/>
  <c r="G33" i="42"/>
  <c r="G37" i="42"/>
  <c r="F24" i="42"/>
  <c r="F28" i="42"/>
  <c r="F32" i="42"/>
  <c r="F36" i="42"/>
  <c r="F23" i="42"/>
  <c r="E27" i="42"/>
  <c r="E31" i="42"/>
  <c r="E35" i="42"/>
  <c r="E39" i="42"/>
  <c r="W50" i="41"/>
  <c r="W53" i="41"/>
  <c r="W62" i="41"/>
  <c r="W72" i="41"/>
  <c r="W52" i="41"/>
  <c r="W57" i="41"/>
  <c r="W61" i="41"/>
  <c r="W65" i="41"/>
  <c r="W69" i="41"/>
  <c r="W73" i="41"/>
  <c r="W60" i="41"/>
  <c r="W68" i="41"/>
  <c r="C45" i="42"/>
  <c r="E45" i="42"/>
  <c r="F44" i="42"/>
  <c r="D43" i="42"/>
  <c r="D24" i="42"/>
  <c r="D28" i="42"/>
  <c r="D32" i="42"/>
  <c r="D36" i="42"/>
  <c r="C24" i="42"/>
  <c r="C28" i="42"/>
  <c r="C32" i="42"/>
  <c r="C36" i="42"/>
  <c r="D23" i="42"/>
  <c r="G26" i="42"/>
  <c r="G30" i="42"/>
  <c r="G34" i="42"/>
  <c r="G38" i="42"/>
  <c r="F25" i="42"/>
  <c r="F29" i="42"/>
  <c r="F33" i="42"/>
  <c r="F37" i="42"/>
  <c r="E24" i="42"/>
  <c r="E28" i="42"/>
  <c r="E32" i="42"/>
  <c r="E36" i="42"/>
  <c r="W49" i="41"/>
  <c r="D45" i="42"/>
  <c r="D44" i="42"/>
  <c r="C43" i="42"/>
  <c r="E43" i="42"/>
  <c r="D27" i="42"/>
  <c r="D31" i="42"/>
  <c r="D35" i="42"/>
  <c r="D39" i="42"/>
  <c r="C27" i="42"/>
  <c r="C31" i="42"/>
  <c r="C35" i="42"/>
  <c r="C39" i="42"/>
  <c r="E23" i="42"/>
  <c r="G27" i="42"/>
  <c r="G31" i="42"/>
  <c r="G35" i="42"/>
  <c r="G39" i="42"/>
  <c r="F26" i="42"/>
  <c r="F30" i="42"/>
  <c r="F34" i="42"/>
  <c r="F38" i="42"/>
  <c r="E25" i="42"/>
  <c r="E29" i="42"/>
  <c r="E33" i="42"/>
  <c r="E37" i="42"/>
  <c r="W46" i="41"/>
  <c r="W58" i="41"/>
  <c r="W66" i="41"/>
  <c r="W48" i="41"/>
  <c r="W55" i="41"/>
  <c r="W59" i="41"/>
  <c r="W63" i="41"/>
  <c r="W67" i="41"/>
  <c r="W71" i="41"/>
  <c r="W56" i="41"/>
  <c r="W64" i="41"/>
  <c r="W70" i="41"/>
  <c r="I5" i="41" l="1"/>
  <c r="M5" i="41"/>
  <c r="I6" i="41"/>
  <c r="M6" i="41"/>
  <c r="F5" i="41"/>
  <c r="L5" i="41" s="1"/>
  <c r="D5" i="41"/>
  <c r="C15" i="42" s="1"/>
  <c r="F3" i="41"/>
  <c r="L3" i="41" s="1"/>
  <c r="C3" i="41"/>
  <c r="D3" i="41" s="1"/>
  <c r="F2" i="41"/>
  <c r="F6" i="41"/>
  <c r="L6" i="41" s="1"/>
  <c r="D6" i="41"/>
  <c r="D15" i="42" s="1"/>
  <c r="F4" i="41"/>
  <c r="L4" i="41" s="1"/>
  <c r="C4" i="41"/>
  <c r="D4" i="41" s="1"/>
  <c r="K54" i="41"/>
  <c r="E12" i="42"/>
  <c r="B12" i="42"/>
  <c r="B19" i="42"/>
  <c r="E19" i="42"/>
  <c r="B9" i="42"/>
  <c r="E9" i="42"/>
  <c r="O5" i="41"/>
  <c r="O6" i="41"/>
  <c r="B43" i="42"/>
  <c r="B10" i="42"/>
  <c r="E10" i="42"/>
  <c r="E11" i="42"/>
  <c r="B11" i="42"/>
  <c r="B54" i="41"/>
  <c r="D2" i="41" l="1"/>
  <c r="D54" i="41" s="1"/>
  <c r="C54" i="41"/>
  <c r="F54" i="41"/>
  <c r="L2" i="41"/>
  <c r="L54" i="41" s="1"/>
  <c r="C16" i="42"/>
  <c r="D16" i="42"/>
  <c r="C7" i="42"/>
  <c r="C8" i="42" s="1"/>
  <c r="E7" i="42"/>
  <c r="E8" i="42" s="1"/>
  <c r="B7" i="42"/>
  <c r="B8" i="42" s="1"/>
  <c r="D7" i="42"/>
  <c r="D8" i="42" s="1"/>
  <c r="G15" i="42"/>
  <c r="F11" i="42"/>
  <c r="G10" i="42"/>
  <c r="F7" i="42"/>
  <c r="F10" i="42"/>
  <c r="F15" i="42"/>
  <c r="AP5" i="10"/>
  <c r="AP3" i="10"/>
  <c r="AP2" i="10"/>
  <c r="AU83" i="10"/>
  <c r="AU95" i="10"/>
  <c r="AU77" i="10"/>
  <c r="AU80" i="10"/>
  <c r="AU98" i="10"/>
  <c r="AW106" i="10"/>
  <c r="AW103" i="10"/>
  <c r="AU106" i="10"/>
  <c r="AU103" i="10"/>
  <c r="AW98" i="10"/>
  <c r="AW95" i="10"/>
  <c r="AW92" i="10"/>
  <c r="AU92" i="10"/>
  <c r="AW89" i="10"/>
  <c r="AU89" i="10"/>
  <c r="AW86" i="10"/>
  <c r="AU86" i="10"/>
  <c r="AW83" i="10"/>
  <c r="AW80" i="10"/>
  <c r="AW77" i="10"/>
  <c r="O34" i="9"/>
  <c r="P34" i="9"/>
  <c r="S13" i="41"/>
  <c r="W34" i="41"/>
  <c r="J34" i="41" s="1"/>
  <c r="G29" i="41"/>
  <c r="O41" i="36"/>
  <c r="M41" i="36" s="1"/>
  <c r="M40" i="36"/>
  <c r="M39" i="36"/>
  <c r="AK56" i="10"/>
  <c r="AK55" i="10"/>
  <c r="AK54" i="10"/>
  <c r="AI56" i="10"/>
  <c r="AI55" i="10"/>
  <c r="AI54" i="10"/>
  <c r="AE56" i="10"/>
  <c r="AE55" i="10"/>
  <c r="AE54" i="10"/>
  <c r="W18" i="41"/>
  <c r="J18" i="41" s="1"/>
  <c r="O29" i="24"/>
  <c r="M29" i="24" s="1"/>
  <c r="O30" i="24"/>
  <c r="M30" i="24" s="1"/>
  <c r="O33" i="24"/>
  <c r="M33" i="24" s="1"/>
  <c r="N3" i="41"/>
  <c r="N2" i="41"/>
  <c r="N4" i="41"/>
  <c r="J4" i="41" l="1"/>
  <c r="M4" i="41"/>
  <c r="G16" i="42" s="1"/>
  <c r="M3" i="41"/>
  <c r="F16" i="42" s="1"/>
  <c r="I4" i="41"/>
  <c r="I3" i="41"/>
  <c r="M2" i="41"/>
  <c r="E16" i="42" s="1"/>
  <c r="I2" i="41"/>
  <c r="S33" i="41"/>
  <c r="S5" i="41"/>
  <c r="C18" i="42" s="1"/>
  <c r="W13" i="41"/>
  <c r="J13" i="41" s="1"/>
  <c r="G13" i="41"/>
  <c r="W2" i="41"/>
  <c r="J2" i="41" s="1"/>
  <c r="G18" i="41"/>
  <c r="S18" i="41"/>
  <c r="S2" i="41"/>
  <c r="G14" i="41"/>
  <c r="G34" i="41"/>
  <c r="G28" i="41"/>
  <c r="W32" i="41"/>
  <c r="J32" i="41" s="1"/>
  <c r="G32" i="41"/>
  <c r="G21" i="41"/>
  <c r="W21" i="41"/>
  <c r="J21" i="41" s="1"/>
  <c r="W3" i="41"/>
  <c r="J3" i="41" s="1"/>
  <c r="G31" i="41"/>
  <c r="W31" i="41"/>
  <c r="J31" i="41" s="1"/>
  <c r="G30" i="41"/>
  <c r="W30" i="41"/>
  <c r="J30" i="41" s="1"/>
  <c r="G22" i="41"/>
  <c r="F46" i="42"/>
  <c r="G3" i="41"/>
  <c r="F14" i="42" s="1"/>
  <c r="W37" i="41"/>
  <c r="J37" i="41" s="1"/>
  <c r="W6" i="41"/>
  <c r="G37" i="41"/>
  <c r="D46" i="42"/>
  <c r="G6" i="41"/>
  <c r="D14" i="42" s="1"/>
  <c r="G33" i="41"/>
  <c r="W33" i="41"/>
  <c r="J33" i="41" s="1"/>
  <c r="W43" i="41"/>
  <c r="W44" i="41"/>
  <c r="W45" i="41"/>
  <c r="W15" i="41"/>
  <c r="J15" i="41" s="1"/>
  <c r="G15" i="41"/>
  <c r="W10" i="41"/>
  <c r="J10" i="41" s="1"/>
  <c r="G10" i="41"/>
  <c r="E46" i="42"/>
  <c r="W35" i="41"/>
  <c r="J35" i="41" s="1"/>
  <c r="W5" i="41"/>
  <c r="J5" i="41" s="1"/>
  <c r="G35" i="41"/>
  <c r="B46" i="42"/>
  <c r="C46" i="42"/>
  <c r="G5" i="41"/>
  <c r="AP11" i="10"/>
  <c r="AW109" i="10" s="1"/>
  <c r="AP7" i="10"/>
  <c r="N54" i="41"/>
  <c r="M54" i="41" s="1"/>
  <c r="O3" i="41"/>
  <c r="O4" i="41"/>
  <c r="O2" i="41"/>
  <c r="P39" i="9"/>
  <c r="H39" i="9"/>
  <c r="G39" i="9"/>
  <c r="F39" i="9"/>
  <c r="J39" i="9"/>
  <c r="N39" i="9"/>
  <c r="S22" i="41"/>
  <c r="S3" i="41"/>
  <c r="D18" i="42"/>
  <c r="I39" i="9"/>
  <c r="O39" i="9"/>
  <c r="E39" i="9"/>
  <c r="G7" i="42"/>
  <c r="G8" i="42" s="1"/>
  <c r="G11" i="42"/>
  <c r="AI63" i="10"/>
  <c r="AI62" i="10"/>
  <c r="AI64" i="10"/>
  <c r="F8" i="42"/>
  <c r="M39" i="9"/>
  <c r="G14" i="42"/>
  <c r="L39" i="9"/>
  <c r="K39" i="9"/>
  <c r="S54" i="41"/>
  <c r="J6" i="41" l="1"/>
  <c r="D17" i="42" s="1"/>
  <c r="I54" i="41"/>
  <c r="E17" i="42"/>
  <c r="E14" i="42"/>
  <c r="G54" i="41"/>
  <c r="J54" i="41" s="1"/>
  <c r="B16" i="42"/>
  <c r="O54" i="41"/>
  <c r="W54" i="41"/>
  <c r="C17" i="42"/>
  <c r="C14" i="42"/>
  <c r="B14" i="42"/>
  <c r="E18" i="42"/>
  <c r="B18" i="42"/>
  <c r="E15" i="42"/>
  <c r="B15" i="42"/>
  <c r="AW93" i="10"/>
  <c r="AW99" i="10"/>
  <c r="AW107" i="10"/>
  <c r="AU90" i="10"/>
  <c r="AU99" i="10"/>
  <c r="AU109" i="10"/>
  <c r="AU87" i="10"/>
  <c r="AW84" i="10"/>
  <c r="AW104" i="10"/>
  <c r="AU93" i="10"/>
  <c r="AU78" i="10"/>
  <c r="AW96" i="10"/>
  <c r="AW90" i="10"/>
  <c r="AU104" i="10"/>
  <c r="AU96" i="10"/>
  <c r="AU107" i="10"/>
  <c r="AW81" i="10"/>
  <c r="AU84" i="10"/>
  <c r="AW78" i="10"/>
  <c r="AW87" i="10"/>
  <c r="AU81" i="10"/>
  <c r="G17" i="42"/>
  <c r="G18" i="42"/>
  <c r="F18" i="42"/>
  <c r="F17" i="42"/>
  <c r="B17" i="42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DUPUTEL Michael (PACA)</author>
    <author>nakhal audrey</author>
    <author>8809900D</author>
    <author>9102174T</author>
  </authors>
  <commentList>
    <comment ref="E6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PRPFH06
PRPFH01</t>
        </r>
      </text>
    </comment>
    <comment ref="G6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PRPFH05</t>
        </r>
      </text>
    </comment>
    <comment ref="I6" authorId="0" shapeId="0" xr:uid="{00000000-0006-0000-0100-000003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RHST01
ETRANS02</t>
        </r>
      </text>
    </comment>
    <comment ref="K6" authorId="0" shapeId="0" xr:uid="{00000000-0006-0000-0100-000004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RHRHR01N</t>
        </r>
      </text>
    </comment>
    <comment ref="M6" authorId="0" shapeId="0" xr:uid="{00000000-0006-0000-0100-000005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RHRHT12R</t>
        </r>
      </text>
    </comment>
    <comment ref="O6" authorId="0" shapeId="0" xr:uid="{00000000-0006-0000-0100-000006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RHST02
ETRANS005</t>
        </r>
      </text>
    </comment>
    <comment ref="Q6" authorId="0" shapeId="0" xr:uid="{00000000-0006-0000-0100-000007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RHRHN318
COACTIDU</t>
        </r>
      </text>
    </comment>
    <comment ref="U6" authorId="0" shapeId="0" xr:uid="{00000000-0006-0000-0100-000008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PRPFH07</t>
        </r>
      </text>
    </comment>
    <comment ref="W6" authorId="0" shapeId="0" xr:uid="{00000000-0006-0000-0100-000009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RHASECINC</t>
        </r>
      </text>
    </comment>
    <comment ref="Y6" authorId="0" shapeId="0" xr:uid="{00000000-0006-0000-0100-00000A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RHRHT3008
</t>
        </r>
      </text>
    </comment>
    <comment ref="AA6" authorId="0" shapeId="0" xr:uid="{00000000-0006-0000-0100-00000B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RHRHT60N
</t>
        </r>
      </text>
    </comment>
    <comment ref="AJ6" authorId="1" shapeId="0" xr:uid="{00000000-0006-0000-0100-00000C000000}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les fiches de prévention de la pénibilité sont stockées dans mr_nel_eev_commun</t>
        </r>
      </text>
    </comment>
    <comment ref="D7" authorId="2" shapeId="0" xr:uid="{00000000-0006-0000-0100-00000D000000}">
      <text>
        <r>
          <rPr>
            <b/>
            <sz val="8"/>
            <color indexed="81"/>
            <rFont val="Tahoma"/>
            <family val="2"/>
          </rPr>
          <t>[Code UCH] Nom de l'Unité</t>
        </r>
      </text>
    </comment>
    <comment ref="O9" authorId="3" shapeId="0" xr:uid="{00000000-0006-0000-0100-00000E000000}">
      <text>
        <r>
          <rPr>
            <b/>
            <sz val="9"/>
            <color indexed="81"/>
            <rFont val="Tahoma"/>
            <family val="2"/>
          </rPr>
          <t xml:space="preserve">Julie :
</t>
        </r>
        <r>
          <rPr>
            <sz val="9"/>
            <color indexed="81"/>
            <rFont val="Tahoma"/>
            <family val="2"/>
          </rPr>
          <t xml:space="preserve">
Formation du 06/12/2013 annulée
</t>
        </r>
      </text>
    </comment>
    <comment ref="AJ25" authorId="1" shapeId="0" xr:uid="{00000000-0006-0000-0100-00000F000000}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les Fiches de pénibilité des agents du Siège sont stockées dans mr_nel_eev_pole_rh </t>
        </r>
      </text>
    </comment>
    <comment ref="AJ41" authorId="1" shapeId="0" xr:uid="{00000000-0006-0000-0100-000010000000}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  <comment ref="AJ42" authorId="1" shapeId="0" xr:uid="{00000000-0006-0000-0100-000011000000}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  <comment ref="AJ43" authorId="1" shapeId="0" xr:uid="{00000000-0006-0000-0100-000012000000}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  <comment ref="AJ44" authorId="1" shapeId="0" xr:uid="{00000000-0006-0000-0100-000013000000}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8809900D</author>
  </authors>
  <commentList>
    <comment ref="D6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Utiliser le N°CP dans IDAP.</t>
        </r>
      </text>
    </comment>
    <comment ref="E6" authorId="0" shapeId="0" xr:uid="{00000000-0006-0000-0200-000002000000}">
      <text>
        <r>
          <rPr>
            <b/>
            <sz val="9"/>
            <color indexed="81"/>
            <rFont val="Tahoma"/>
            <family val="2"/>
          </rPr>
          <t>A trouver dans IDAP</t>
        </r>
      </text>
    </comment>
    <comment ref="H6" authorId="0" shapeId="0" xr:uid="{00000000-0006-0000-0200-000003000000}">
      <text>
        <r>
          <rPr>
            <b/>
            <sz val="9"/>
            <color indexed="81"/>
            <rFont val="Tahoma"/>
            <family val="2"/>
          </rPr>
          <t>L'agent est contractuel si la déclaration d'AT est un formulaire CERFA et non SNCF</t>
        </r>
      </text>
    </comment>
  </commentList>
</comments>
</file>

<file path=xl/sharedStrings.xml><?xml version="1.0" encoding="utf-8"?>
<sst xmlns="http://schemas.openxmlformats.org/spreadsheetml/2006/main" count="2863" uniqueCount="1401">
  <si>
    <t>REY</t>
  </si>
  <si>
    <t>FRANCES</t>
  </si>
  <si>
    <t>MANSION</t>
  </si>
  <si>
    <t>Formations DPX</t>
  </si>
  <si>
    <t>Risques Psychosociaux</t>
  </si>
  <si>
    <t></t>
  </si>
  <si>
    <t></t>
  </si>
  <si>
    <t>MALBRANCHE</t>
  </si>
  <si>
    <t>Angélique</t>
  </si>
  <si>
    <t>Victime</t>
  </si>
  <si>
    <t>Rattachement</t>
  </si>
  <si>
    <t>Détails</t>
  </si>
  <si>
    <t>Nature de l'accident</t>
  </si>
  <si>
    <t>Circonstances</t>
  </si>
  <si>
    <t>Nom</t>
  </si>
  <si>
    <t>Prénom</t>
  </si>
  <si>
    <t>âge</t>
  </si>
  <si>
    <t>CHSCT</t>
  </si>
  <si>
    <t>UO</t>
  </si>
  <si>
    <t>Date</t>
  </si>
  <si>
    <t>Type accident</t>
  </si>
  <si>
    <t>conséquences</t>
  </si>
  <si>
    <t>Famille Elmat</t>
  </si>
  <si>
    <t>Elmat</t>
  </si>
  <si>
    <t>Nature des lésions</t>
  </si>
  <si>
    <t>siège de la lésion</t>
  </si>
  <si>
    <t>jour
 semaine</t>
  </si>
  <si>
    <t>Heure</t>
  </si>
  <si>
    <t>Dirigeant</t>
  </si>
  <si>
    <t xml:space="preserve">Nb actions </t>
  </si>
  <si>
    <t>Nb d'actions réalisées</t>
  </si>
  <si>
    <t>% actions réalisées</t>
  </si>
  <si>
    <t>Nice EM</t>
  </si>
  <si>
    <t>travail</t>
  </si>
  <si>
    <t>avec arrêt</t>
  </si>
  <si>
    <t>97_Atteintes aux personnes</t>
  </si>
  <si>
    <t>06_groupe d'agents en gare</t>
  </si>
  <si>
    <t>Contusion, hématome</t>
  </si>
  <si>
    <t>paume et dos de la main G</t>
  </si>
  <si>
    <t>oui</t>
  </si>
  <si>
    <t>23h-23h59</t>
  </si>
  <si>
    <t>non</t>
  </si>
  <si>
    <t>trajet</t>
  </si>
  <si>
    <t>sans arrêt</t>
  </si>
  <si>
    <t>3h-3h59</t>
  </si>
  <si>
    <t>98_Divers</t>
  </si>
  <si>
    <t>Mercredi</t>
  </si>
  <si>
    <t>10h-10h59</t>
  </si>
  <si>
    <t>01_Plain Pied</t>
  </si>
  <si>
    <t>17_sol en mauvais état</t>
  </si>
  <si>
    <t>Lundi</t>
  </si>
  <si>
    <t>15h-15h59</t>
  </si>
  <si>
    <t>Nice IM</t>
  </si>
  <si>
    <t>Siège EEV</t>
  </si>
  <si>
    <t>T rejeté par CP</t>
  </si>
  <si>
    <t>03_sol glissant</t>
  </si>
  <si>
    <t>Jeudi</t>
  </si>
  <si>
    <t>7h-7h59</t>
  </si>
  <si>
    <t>02_Dénivellation</t>
  </si>
  <si>
    <t>03_escalier</t>
  </si>
  <si>
    <t>9h-9h59</t>
  </si>
  <si>
    <t>Dimanche</t>
  </si>
  <si>
    <t>16h-16h59</t>
  </si>
  <si>
    <t>Mardi</t>
  </si>
  <si>
    <t>13h-13h59</t>
  </si>
  <si>
    <t>17h-17h59</t>
  </si>
  <si>
    <t>20h-20h59</t>
  </si>
  <si>
    <t>11h-11h59</t>
  </si>
  <si>
    <t>03_Manipulation d'objet</t>
  </si>
  <si>
    <t>02_non classé</t>
  </si>
  <si>
    <t>8h-8h59</t>
  </si>
  <si>
    <t>05_Objets, masses ou particules en mouvement accidentel</t>
  </si>
  <si>
    <t>6h-6h59</t>
  </si>
  <si>
    <t>18h-18h59</t>
  </si>
  <si>
    <t>14h-14h59</t>
  </si>
  <si>
    <t>05_obstacle normalement fixe par nature</t>
  </si>
  <si>
    <t>12h-12h59</t>
  </si>
  <si>
    <t>Didier</t>
  </si>
  <si>
    <t>04_Manutention manuelle de charges</t>
  </si>
  <si>
    <t>17_déplacement d'une PMR</t>
  </si>
  <si>
    <t>06_Appareils de levage et manutention</t>
  </si>
  <si>
    <t>Claude</t>
  </si>
  <si>
    <t>Philippe</t>
  </si>
  <si>
    <t>21h-21h59</t>
  </si>
  <si>
    <t>07_Accessoires de levage, amarrage et préhension</t>
  </si>
  <si>
    <t>09_sangle, tendeur élastique</t>
  </si>
  <si>
    <t>contractuel</t>
  </si>
  <si>
    <t>débutant (&lt; 1 an)</t>
  </si>
  <si>
    <t>Dossier Prévention Accident</t>
  </si>
  <si>
    <t>UCH</t>
  </si>
  <si>
    <t>Type Accident</t>
  </si>
  <si>
    <t>J rejeté par CP</t>
  </si>
  <si>
    <t>Oui/Non</t>
  </si>
  <si>
    <t>décès</t>
  </si>
  <si>
    <t>Jour</t>
  </si>
  <si>
    <t>Vendredi</t>
  </si>
  <si>
    <t>Samedi</t>
  </si>
  <si>
    <t>0h-0h59</t>
  </si>
  <si>
    <t>1h-1h59</t>
  </si>
  <si>
    <t>2h-2h59</t>
  </si>
  <si>
    <t>4h-4h59</t>
  </si>
  <si>
    <t>5h-5h59</t>
  </si>
  <si>
    <t>19h-19h59</t>
  </si>
  <si>
    <t>22h-22h59</t>
  </si>
  <si>
    <t>08_Véhicules (sauf chariots de manutention)</t>
  </si>
  <si>
    <t>31_Outils à main</t>
  </si>
  <si>
    <t>39_Electricité</t>
  </si>
  <si>
    <t>36_Vapeurs, fumées, gaz et poussières délétères</t>
  </si>
  <si>
    <t>Elmat_01</t>
  </si>
  <si>
    <t>Elmat_02</t>
  </si>
  <si>
    <t>Elmat_03</t>
  </si>
  <si>
    <t>Elmat_04</t>
  </si>
  <si>
    <t>Elmat_05</t>
  </si>
  <si>
    <t>Elmat_06</t>
  </si>
  <si>
    <t>Elmat_07</t>
  </si>
  <si>
    <t>Elmat_08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</si>
  <si>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</si>
  <si>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</si>
  <si>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</si>
  <si>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</si>
  <si>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</si>
  <si>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</si>
  <si>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</si>
  <si>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</si>
  <si>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</si>
  <si>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</si>
  <si>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</si>
  <si>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</si>
  <si>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</si>
  <si>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</si>
  <si>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</si>
  <si>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</si>
  <si>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</si>
  <si>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</si>
  <si>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</si>
  <si>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</si>
  <si>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</si>
  <si>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décembre</t>
  </si>
  <si>
    <t>Désignation</t>
  </si>
  <si>
    <t>janvier</t>
  </si>
  <si>
    <t xml:space="preserve">novembre </t>
  </si>
  <si>
    <t>Vente Zone Ouest TER</t>
  </si>
  <si>
    <t>Vente Zone Est TER</t>
  </si>
  <si>
    <t>Lutte anti-fraude</t>
  </si>
  <si>
    <t>Cannes Produit Train</t>
  </si>
  <si>
    <t>NES TER</t>
  </si>
  <si>
    <t>BEE TER</t>
  </si>
  <si>
    <t>Fréjus auto-train</t>
  </si>
  <si>
    <t>Nice Produit Train</t>
  </si>
  <si>
    <t>Accueil Nice</t>
  </si>
  <si>
    <t>Pôle OG</t>
  </si>
  <si>
    <t>Pôle RH</t>
  </si>
  <si>
    <t>Pôle QP</t>
  </si>
  <si>
    <t>Pôle S</t>
  </si>
  <si>
    <t>Gestion de site</t>
  </si>
  <si>
    <t>Pôle Gare</t>
  </si>
  <si>
    <t>NES</t>
  </si>
  <si>
    <t>total par UO</t>
  </si>
  <si>
    <t>GC</t>
  </si>
  <si>
    <t>Conséquences</t>
  </si>
  <si>
    <t>Mois</t>
  </si>
  <si>
    <t>18_sol encombré</t>
  </si>
  <si>
    <t>19_talus, remblai</t>
  </si>
  <si>
    <t>04_planche à clous</t>
  </si>
  <si>
    <t>06_obstacle abandonné ou entreposé temporairement</t>
  </si>
  <si>
    <t>07_voie ferrée et appareil de voie</t>
  </si>
  <si>
    <t>08_piste aménagée, itinéraire</t>
  </si>
  <si>
    <t>09_entrevoie ou accotement non aménagé</t>
  </si>
  <si>
    <t>16_déplacement dans cabine de conduite ou coursive</t>
  </si>
  <si>
    <t>20_déplacement dans véhicule remorqué ou automoteur</t>
  </si>
  <si>
    <t>20_entrée/sortie dans les attelages</t>
  </si>
  <si>
    <t>04_échelle transportable</t>
  </si>
  <si>
    <t>18_échelle fixe par nature</t>
  </si>
  <si>
    <t>19_échelle lorry</t>
  </si>
  <si>
    <t>20_plate-forme déplaçable</t>
  </si>
  <si>
    <t>21_escabeau</t>
  </si>
  <si>
    <t>05_échafaudage, coffrage</t>
  </si>
  <si>
    <t>06_support de fortune</t>
  </si>
  <si>
    <t>07_passerelle, galerie surélevée, ouvrage d'art</t>
  </si>
  <si>
    <t>08_toiture, terrasse, verrière</t>
  </si>
  <si>
    <t>09_ouverture du sol dans bâtiment</t>
  </si>
  <si>
    <t>11_mât, poteau, pylône, charpente, portique</t>
  </si>
  <si>
    <t>13_véhicule routier à l'arrêt</t>
  </si>
  <si>
    <t>14_machine ou appareil divers</t>
  </si>
  <si>
    <t>12_fouille, puits en construction, tranchée, fosse</t>
  </si>
  <si>
    <t>15_chute de véhicule ferroviaire à l'arrêt</t>
  </si>
  <si>
    <t>16_chute de véhicule ferroviaire en mouvement</t>
  </si>
  <si>
    <t>17_entre un quai et un véhicule</t>
  </si>
  <si>
    <t>29_escalier dans rame voyageurs</t>
  </si>
  <si>
    <t>03_bagage</t>
  </si>
  <si>
    <t>05_rail</t>
  </si>
  <si>
    <t>06_grosse pièce métallique et appareil de voie</t>
  </si>
  <si>
    <t>07_traverse en bois ou en métal</t>
  </si>
  <si>
    <t>08_traverse en béton</t>
  </si>
  <si>
    <t>09_bois d'appareils</t>
  </si>
  <si>
    <t>10_pièce de bois diverse</t>
  </si>
  <si>
    <t>11_gros matériel</t>
  </si>
  <si>
    <t>12_autre matériel de voie</t>
  </si>
  <si>
    <t>04_colis</t>
  </si>
  <si>
    <t>13_ballast, sable, terre, gravats, déchets</t>
  </si>
  <si>
    <t>14_matériel d'installation caténaires</t>
  </si>
  <si>
    <t>15_matériel électrique divers</t>
  </si>
  <si>
    <t>16_matériel et équipement divers</t>
  </si>
  <si>
    <t>03_produit d'éboulement ou d'effondrement</t>
  </si>
  <si>
    <t>04_effondrement de matières stockées ou empilées</t>
  </si>
  <si>
    <t>12_objet, masse</t>
  </si>
  <si>
    <t>05_particule imputable aux meules</t>
  </si>
  <si>
    <t>06_particule imputables aux autres machines</t>
  </si>
  <si>
    <t>07_autre particule</t>
  </si>
  <si>
    <t>08_particule imputable au tranchage ou à la frappe</t>
  </si>
  <si>
    <t>09_élément de véhicule ferroviaire</t>
  </si>
  <si>
    <t>10_produit caustique, corrosif, toxique</t>
  </si>
  <si>
    <t>11_élément mobile</t>
  </si>
  <si>
    <t>03_ascenseur, monte-charge</t>
  </si>
  <si>
    <t>04_pont roulant, portique</t>
  </si>
  <si>
    <t>05_grue, derrick, titan</t>
  </si>
  <si>
    <t>06_palan, moufle, poulie de levage</t>
  </si>
  <si>
    <t>07_treuil</t>
  </si>
  <si>
    <t>08_cric, vérin, chevalet de levage</t>
  </si>
  <si>
    <t>09_convoyeur</t>
  </si>
  <si>
    <t>10_élévateur à godets</t>
  </si>
  <si>
    <t>11_chariot de manutention automoteur conducteur porté</t>
  </si>
  <si>
    <t>18_chariot de manutention automoteur conducteur accompagnant</t>
  </si>
  <si>
    <t>12_chariot de manutention à main</t>
  </si>
  <si>
    <t>13_transporteur sur rails aériens</t>
  </si>
  <si>
    <t>14_plan incliné</t>
  </si>
  <si>
    <t>15_chariot transbordeur</t>
  </si>
  <si>
    <t>21_tracteur</t>
  </si>
  <si>
    <t>22_plate-forme élévatrice PMR</t>
  </si>
  <si>
    <t>03_chaîne</t>
  </si>
  <si>
    <t>04_câble métallique</t>
  </si>
  <si>
    <t>05_cordage textile</t>
  </si>
  <si>
    <t>06_élingue</t>
  </si>
  <si>
    <t>07_palonnier, crochet, araignée à traverses</t>
  </si>
  <si>
    <t>08_pince</t>
  </si>
  <si>
    <t>Vente Menton</t>
  </si>
  <si>
    <t>Accueil Monaco Menton</t>
  </si>
  <si>
    <t>Escale St Raphaël</t>
  </si>
  <si>
    <t>Escale Les Arcs</t>
  </si>
  <si>
    <t>Escale Menton</t>
  </si>
  <si>
    <t>Escale Monaco</t>
  </si>
  <si>
    <t>Escale Vintimille</t>
  </si>
  <si>
    <t>Escale Antibes</t>
  </si>
  <si>
    <t>Vente Antibes Extérieur</t>
  </si>
  <si>
    <t>Vente Cannes Extérieur</t>
  </si>
  <si>
    <t>Direction Opérationnelle Escale</t>
  </si>
  <si>
    <t>Billettique Monétique TER</t>
  </si>
  <si>
    <t>NON</t>
  </si>
  <si>
    <t>INSCRIT</t>
  </si>
  <si>
    <t>OUI</t>
  </si>
  <si>
    <t>TOTAL</t>
  </si>
  <si>
    <t>Etat</t>
  </si>
  <si>
    <t>Statut</t>
  </si>
  <si>
    <t>Coactivité</t>
  </si>
  <si>
    <t>Visite Planifiée</t>
  </si>
  <si>
    <t>Risque alcool</t>
  </si>
  <si>
    <t>Relation agent victime</t>
  </si>
  <si>
    <t>A JOUR</t>
  </si>
  <si>
    <t>Arbre des causes</t>
  </si>
  <si>
    <t>NON A JOUR</t>
  </si>
  <si>
    <t>INCOMPLET</t>
  </si>
  <si>
    <t>INEXISTANT</t>
  </si>
  <si>
    <t>Formations</t>
  </si>
  <si>
    <t>Facultatif</t>
  </si>
  <si>
    <t>SIEGE</t>
  </si>
  <si>
    <t>AMBROSIONI</t>
  </si>
  <si>
    <t>BERTHUEL</t>
  </si>
  <si>
    <t>Frédéric</t>
  </si>
  <si>
    <t>Laurent</t>
  </si>
  <si>
    <t>CAZORLA</t>
  </si>
  <si>
    <t>Bernard</t>
  </si>
  <si>
    <t>BOFFA</t>
  </si>
  <si>
    <t>JUSTINIANO</t>
  </si>
  <si>
    <t>% Manquantes</t>
  </si>
  <si>
    <t>Unité</t>
  </si>
  <si>
    <t>Risque Alcool</t>
  </si>
  <si>
    <t>SuiviDU</t>
  </si>
  <si>
    <t>SuiviFormation</t>
  </si>
  <si>
    <t>Siège</t>
  </si>
  <si>
    <t>Relation agent-victime</t>
  </si>
  <si>
    <t>Actions terminées</t>
  </si>
  <si>
    <t>Actions en cours</t>
  </si>
  <si>
    <t>Actions non commencées</t>
  </si>
  <si>
    <t>NON COMMENCEE</t>
  </si>
  <si>
    <t>EN COURS</t>
  </si>
  <si>
    <t>TERMINEE</t>
  </si>
  <si>
    <t>Etat PAS</t>
  </si>
  <si>
    <t>Suivi du PAS - Sécurité du Personnel</t>
  </si>
  <si>
    <t>J</t>
  </si>
  <si>
    <t>F</t>
  </si>
  <si>
    <t>M</t>
  </si>
  <si>
    <t>A</t>
  </si>
  <si>
    <t>S</t>
  </si>
  <si>
    <t>O</t>
  </si>
  <si>
    <t>N</t>
  </si>
  <si>
    <t>D</t>
  </si>
  <si>
    <t>u</t>
  </si>
  <si>
    <t>v</t>
  </si>
  <si>
    <t>w</t>
  </si>
  <si>
    <t>RETOUR AU TABLEAU DE BORD</t>
  </si>
  <si>
    <t>03_véhicule automobile sur roues</t>
  </si>
  <si>
    <t>04_motocycle, vélomoteur, scooter</t>
  </si>
  <si>
    <t>05_bicyclette</t>
  </si>
  <si>
    <t>06_wagonnet et lorry</t>
  </si>
  <si>
    <t>07_engin ou organe d'engin moteur</t>
  </si>
  <si>
    <t>08_véhicule ou organe de véhicule remorqué</t>
  </si>
  <si>
    <t>09_heurt de véhicules ferroviaires entre eux</t>
  </si>
  <si>
    <t>10_heurt de véhicule ferroviaire avec un obstacle</t>
  </si>
  <si>
    <t>11_heurt d'agent sur voie principale (victime)</t>
  </si>
  <si>
    <t>12_heurt d'agent sur voie de service (victime)</t>
  </si>
  <si>
    <t>13_engin mécanisé</t>
  </si>
  <si>
    <t>Elmat_09</t>
  </si>
  <si>
    <t>09_Machines productrices et transformatrices d'énergie</t>
  </si>
  <si>
    <t>03_pompe, compresseur, ventilateur</t>
  </si>
  <si>
    <t>04_moteur à explosion et à combustion interne</t>
  </si>
  <si>
    <t>05_machine électrique tournante</t>
  </si>
  <si>
    <t>Elmat_30</t>
  </si>
  <si>
    <t>03_meule</t>
  </si>
  <si>
    <t>04_ponceuse, polisseuse</t>
  </si>
  <si>
    <t>05_visseuse, serreuse</t>
  </si>
  <si>
    <t>06_marteau, riveteur</t>
  </si>
  <si>
    <t>07_burin dériveteur</t>
  </si>
  <si>
    <t>08_perceuse, chignole</t>
  </si>
  <si>
    <t>09_scie électrique ou pneumatique</t>
  </si>
  <si>
    <t>10_marteau piqueur, bourreuse légère</t>
  </si>
  <si>
    <t>11_marteau perforateur</t>
  </si>
  <si>
    <t>12_brise béton</t>
  </si>
  <si>
    <t>13_pistolet de scellement à cartouches explosives</t>
  </si>
  <si>
    <t>14_tondeuse, faucheuse, débroussailleuse</t>
  </si>
  <si>
    <t>Elmat_31</t>
  </si>
  <si>
    <t>03_lime, râpe, brosse</t>
  </si>
  <si>
    <t>04_burin, broche, poinçon, tranche, ciseau à bois</t>
  </si>
  <si>
    <t>05_cisaille et ciseau à branches</t>
  </si>
  <si>
    <t>06_scie à main</t>
  </si>
  <si>
    <t>07_hache, serpe, herminette</t>
  </si>
  <si>
    <t>08_couteau, tranchet, serpette, cutter</t>
  </si>
  <si>
    <t>09_croc, crochet, gaffe</t>
  </si>
  <si>
    <t>10_marteau, masse, massette</t>
  </si>
  <si>
    <t>11_clef</t>
  </si>
  <si>
    <t>12_tournevis</t>
  </si>
  <si>
    <t>13_tenaille, arrache-clous, pince coupante</t>
  </si>
  <si>
    <t>14_levier, pince de manutention</t>
  </si>
  <si>
    <t>15_pelle, bêche, pic, pioche</t>
  </si>
  <si>
    <t>16_barre de débranchement</t>
  </si>
  <si>
    <t>17_perche de mise au rail</t>
  </si>
  <si>
    <t>18_pince à sertir</t>
  </si>
  <si>
    <t>19_fer à souder</t>
  </si>
  <si>
    <t>20_agrafeuse</t>
  </si>
  <si>
    <t>21 _pince multiprise</t>
  </si>
  <si>
    <t>Elmat_32</t>
  </si>
  <si>
    <t>09_Aérosol</t>
  </si>
  <si>
    <t>10_Avertisseur sonore à grande puissance</t>
  </si>
  <si>
    <t>32_Appareils à pression</t>
  </si>
  <si>
    <t>Elmat_33</t>
  </si>
  <si>
    <t>07_appareil de chauffage</t>
  </si>
  <si>
    <t>33_Appareils, ustensiles, produits chauds, fours, étuves…</t>
  </si>
  <si>
    <t>Elmat_36</t>
  </si>
  <si>
    <t>04_gaz d'échappement</t>
  </si>
  <si>
    <t>05_émanation de fosses, souterrains, égouts, citernes</t>
  </si>
  <si>
    <t>06_autre gaz et vapeur délétère</t>
  </si>
  <si>
    <t>07_poussière délétère ou toxique</t>
  </si>
  <si>
    <t>03_oxyde de carbone</t>
  </si>
  <si>
    <t>Elmat_39</t>
  </si>
  <si>
    <t>03_installation fixe basse tension</t>
  </si>
  <si>
    <t>04_pont roulant</t>
  </si>
  <si>
    <t>05_machine-outil portative</t>
  </si>
  <si>
    <t>06_machine et appareil de soudure électrique</t>
  </si>
  <si>
    <t>07_lampe portative</t>
  </si>
  <si>
    <t>08_plate-forme d'essais</t>
  </si>
  <si>
    <t>09_poste de transformation, côté BT</t>
  </si>
  <si>
    <t>10_poste de transformation, côté HT</t>
  </si>
  <si>
    <t>11_ligne aérienne BT</t>
  </si>
  <si>
    <t>12_ligne aérienne HT autre que caténaire</t>
  </si>
  <si>
    <t>13_canalisation enterrée</t>
  </si>
  <si>
    <t>14_matériel à haute fréquence</t>
  </si>
  <si>
    <t>15_1500V sans chute ou chute stoppée</t>
  </si>
  <si>
    <t>16_1500V avec chute</t>
  </si>
  <si>
    <t>17_25000V sans chute ou chute stoppée</t>
  </si>
  <si>
    <t>18_25000V avec chute</t>
  </si>
  <si>
    <t>19_3ème rail</t>
  </si>
  <si>
    <t>20_installation préchauffage, câblot d'énergie</t>
  </si>
  <si>
    <t>21_installation électrique du matériel roulant</t>
  </si>
  <si>
    <t>22_autre courant de traction</t>
  </si>
  <si>
    <t>23_batterie d'accumulateurs</t>
  </si>
  <si>
    <t>Elmat_97</t>
  </si>
  <si>
    <t>03_agent seul en gare</t>
  </si>
  <si>
    <t>05_agent seul dans train grandes lignes</t>
  </si>
  <si>
    <t>08_groupe d'agents dans train grandes lignes</t>
  </si>
  <si>
    <t>10_agent seul dans train régional</t>
  </si>
  <si>
    <t>11_groupe d'agents dans train régional</t>
  </si>
  <si>
    <t>09_au cours d'un déplacement</t>
  </si>
  <si>
    <t>12_agent seul : atelier, voie, chantier</t>
  </si>
  <si>
    <t>13_groupe d'agents : atelier, voie, chantier</t>
  </si>
  <si>
    <t>14_agent circulant en voyageur</t>
  </si>
  <si>
    <t>Elmat_98</t>
  </si>
  <si>
    <t>02_incendie</t>
  </si>
  <si>
    <t>04_entraînement physique</t>
  </si>
  <si>
    <t>05_animal</t>
  </si>
  <si>
    <t>06_insecte</t>
  </si>
  <si>
    <t>07_engin de guerre</t>
  </si>
  <si>
    <t>08_foudre</t>
  </si>
  <si>
    <t>09_insolation</t>
  </si>
  <si>
    <t>10_malaise</t>
  </si>
  <si>
    <t>11_conducteur témoin d'un accident de personne</t>
  </si>
  <si>
    <t>12_outrages</t>
  </si>
  <si>
    <t>13_attentat</t>
  </si>
  <si>
    <t>14_piqûre de seringue</t>
  </si>
  <si>
    <t>15_acte de malveillance</t>
  </si>
  <si>
    <t>16_rixe entre agents</t>
  </si>
  <si>
    <t>17_agent témoin sauf conducteur</t>
  </si>
  <si>
    <t>Elmat_99</t>
  </si>
  <si>
    <t>00_non classé</t>
  </si>
  <si>
    <t>99_non classé</t>
  </si>
  <si>
    <t>nature de la lésion non précisée</t>
  </si>
  <si>
    <t>Amputation</t>
  </si>
  <si>
    <t>Asphyxie</t>
  </si>
  <si>
    <t>Brûlure</t>
  </si>
  <si>
    <t>Claquage</t>
  </si>
  <si>
    <t>Commotion</t>
  </si>
  <si>
    <t>Déchirure musculaire ou tendineuse</t>
  </si>
  <si>
    <t>Dermite</t>
  </si>
  <si>
    <t>Douleur dorsale</t>
  </si>
  <si>
    <t>Douleur musculaire</t>
  </si>
  <si>
    <t>Entorse</t>
  </si>
  <si>
    <t>Fracture</t>
  </si>
  <si>
    <t>Gelure</t>
  </si>
  <si>
    <t>Hernie</t>
  </si>
  <si>
    <t>Inflammation</t>
  </si>
  <si>
    <t>Insolation</t>
  </si>
  <si>
    <t>Intoxication</t>
  </si>
  <si>
    <t>Lésion nerveuse</t>
  </si>
  <si>
    <t>Lumbago</t>
  </si>
  <si>
    <t>Luxation</t>
  </si>
  <si>
    <t>Malaise</t>
  </si>
  <si>
    <t xml:space="preserve">Morsure </t>
  </si>
  <si>
    <t>Noyade</t>
  </si>
  <si>
    <t>Piqûre</t>
  </si>
  <si>
    <t>Plaie (coupure écorchure)</t>
  </si>
  <si>
    <t>Présence d'un corps étranger</t>
  </si>
  <si>
    <t>Trouble auditif</t>
  </si>
  <si>
    <t>Trouble visuel</t>
  </si>
  <si>
    <t>Accident ayant entraîné un décès</t>
  </si>
  <si>
    <t>Lésion</t>
  </si>
  <si>
    <t>région crânienne</t>
  </si>
  <si>
    <t>face, nez</t>
  </si>
  <si>
    <t>appareil auditif D</t>
  </si>
  <si>
    <t>appareil auditif G</t>
  </si>
  <si>
    <t>cou, nuque</t>
  </si>
  <si>
    <t>mâchoire, dents</t>
  </si>
  <si>
    <t>œil D</t>
  </si>
  <si>
    <t>œil G</t>
  </si>
  <si>
    <t>yeux D et G</t>
  </si>
  <si>
    <t>épaule D</t>
  </si>
  <si>
    <t>épaule G</t>
  </si>
  <si>
    <t>épaules D et G</t>
  </si>
  <si>
    <t>bras D</t>
  </si>
  <si>
    <t>bras G</t>
  </si>
  <si>
    <t>bras D et G</t>
  </si>
  <si>
    <t>coude D</t>
  </si>
  <si>
    <t>coude G</t>
  </si>
  <si>
    <t>coudes D et G</t>
  </si>
  <si>
    <t>avant-bras D</t>
  </si>
  <si>
    <t>avant-bras D et G</t>
  </si>
  <si>
    <t>poignet D</t>
  </si>
  <si>
    <t>poignet G</t>
  </si>
  <si>
    <t>poignets D et G</t>
  </si>
  <si>
    <t>paume et dos de la main D</t>
  </si>
  <si>
    <t>paumes et dos des mains D et G</t>
  </si>
  <si>
    <t>pouce D</t>
  </si>
  <si>
    <t>pouce G</t>
  </si>
  <si>
    <t>pouces D et G</t>
  </si>
  <si>
    <t>index D</t>
  </si>
  <si>
    <t>index G</t>
  </si>
  <si>
    <t>index D et G</t>
  </si>
  <si>
    <t>doigt D</t>
  </si>
  <si>
    <t>doigt G</t>
  </si>
  <si>
    <t>doigts D et G</t>
  </si>
  <si>
    <t>pouce et index D</t>
  </si>
  <si>
    <t>pouce et index G</t>
  </si>
  <si>
    <t>pouces et index D et G</t>
  </si>
  <si>
    <t>plusieurs doigts de la main D</t>
  </si>
  <si>
    <t>plusieurs doigts de la main G</t>
  </si>
  <si>
    <t>plusieurs doigts de la main D et G</t>
  </si>
  <si>
    <t>thorax</t>
  </si>
  <si>
    <t>abdomen</t>
  </si>
  <si>
    <t>périnée</t>
  </si>
  <si>
    <t>bassin</t>
  </si>
  <si>
    <t xml:space="preserve">dos </t>
  </si>
  <si>
    <t>région lombaire</t>
  </si>
  <si>
    <t>rachis et moelle épinière</t>
  </si>
  <si>
    <t>hanche D</t>
  </si>
  <si>
    <t>hanche G</t>
  </si>
  <si>
    <t>hanches D et G</t>
  </si>
  <si>
    <t>cuisse D</t>
  </si>
  <si>
    <t>cuisse G</t>
  </si>
  <si>
    <t>cuisses D et G</t>
  </si>
  <si>
    <t>genou D</t>
  </si>
  <si>
    <t>genou G</t>
  </si>
  <si>
    <t>genoux D et G</t>
  </si>
  <si>
    <t>jambe D</t>
  </si>
  <si>
    <t>jambe G</t>
  </si>
  <si>
    <t>jambes D et G</t>
  </si>
  <si>
    <t>cou-de-pied D</t>
  </si>
  <si>
    <t>cou-de-pied G</t>
  </si>
  <si>
    <t>cous-de-pied D et G</t>
  </si>
  <si>
    <t>plante et dos du pied D</t>
  </si>
  <si>
    <t>plante et dos du pied G</t>
  </si>
  <si>
    <t>plantes et dos des pieds D et G</t>
  </si>
  <si>
    <t>talon D</t>
  </si>
  <si>
    <t>talon G</t>
  </si>
  <si>
    <t>talons D et G</t>
  </si>
  <si>
    <t>orteil D</t>
  </si>
  <si>
    <t>orteil G</t>
  </si>
  <si>
    <t>orteils D et G</t>
  </si>
  <si>
    <t>cheville D</t>
  </si>
  <si>
    <t>cheville G</t>
  </si>
  <si>
    <t>cheville D et G</t>
  </si>
  <si>
    <t>localisations multiples</t>
  </si>
  <si>
    <t>voies respiratoires</t>
  </si>
  <si>
    <t>appareil digestif</t>
  </si>
  <si>
    <t>sièges internes divers</t>
  </si>
  <si>
    <t>psychisme</t>
  </si>
  <si>
    <t>03_partie de machine ou de matériel en cours de montage</t>
  </si>
  <si>
    <t>04_objet manipulé au poste même de travail</t>
  </si>
  <si>
    <t>05_partie mobile du matériel roulant</t>
  </si>
  <si>
    <t>06_organe d'attelage, crochet de traction</t>
  </si>
  <si>
    <t>07_organe de liaison entre véhicules</t>
  </si>
  <si>
    <t>08_tampon</t>
  </si>
  <si>
    <t>09_organe d'intercirculation</t>
  </si>
  <si>
    <t>10_matériel d'exploitation et de manœuvre</t>
  </si>
  <si>
    <t>12_levier et poignée de manœuvre des appareils de voie</t>
  </si>
  <si>
    <t>13_objet divers manipulé en cabine de conduite</t>
  </si>
  <si>
    <t>14_rail</t>
  </si>
  <si>
    <t>15_traverse bois ou métal</t>
  </si>
  <si>
    <t>16_traverse en béton</t>
  </si>
  <si>
    <t>17_gros matériel</t>
  </si>
  <si>
    <t>18_autre matériel de voie</t>
  </si>
  <si>
    <t>19_partie de machine ou de matériel en cours de démontage</t>
  </si>
  <si>
    <t>20_semelle, sabot de frein</t>
  </si>
  <si>
    <t>21_matériel d'installation caténaires</t>
  </si>
  <si>
    <t>22_matériel électrique divers</t>
  </si>
  <si>
    <t>23_matériel et équipement divers</t>
  </si>
  <si>
    <t>24_grosse pièce métallique et appareil de voie</t>
  </si>
  <si>
    <t>25_bois d'appareils</t>
  </si>
  <si>
    <t>26_pièce de bois diverse</t>
  </si>
  <si>
    <t>ALAMEL</t>
  </si>
  <si>
    <t>MàJ du DU</t>
  </si>
  <si>
    <t>RPS</t>
  </si>
  <si>
    <t>Pénibilité</t>
  </si>
  <si>
    <t>PREVU</t>
  </si>
  <si>
    <t>Total Etablissement</t>
  </si>
  <si>
    <t>Nice Services en gare</t>
  </si>
  <si>
    <t>Accidentologie</t>
  </si>
  <si>
    <t>Yan</t>
  </si>
  <si>
    <t>Antibes</t>
  </si>
  <si>
    <t>Menton</t>
  </si>
  <si>
    <t>Vintimille</t>
  </si>
  <si>
    <t>Commentaires</t>
  </si>
  <si>
    <t xml:space="preserve">Nom du DPX </t>
  </si>
  <si>
    <t>Tél</t>
  </si>
  <si>
    <t>Gare</t>
  </si>
  <si>
    <t>KN2 effectué</t>
  </si>
  <si>
    <t>Bouclage</t>
  </si>
  <si>
    <t>KN2 PDVI</t>
  </si>
  <si>
    <t>Effectif</t>
  </si>
  <si>
    <t>Remarques</t>
  </si>
  <si>
    <t>Management SST CNAM</t>
  </si>
  <si>
    <t>Sécurité Incendie</t>
  </si>
  <si>
    <t>Risque Chimique</t>
  </si>
  <si>
    <t>Présentation du DU</t>
  </si>
  <si>
    <t>Cagnes/Mer</t>
  </si>
  <si>
    <t>Cros de Cagnes</t>
  </si>
  <si>
    <t>St Laurent</t>
  </si>
  <si>
    <t>Trinité-Victor</t>
  </si>
  <si>
    <t>Nice-Riquier</t>
  </si>
  <si>
    <t>Beaulieu/Mer</t>
  </si>
  <si>
    <t>Garavan</t>
  </si>
  <si>
    <t>Carnolès</t>
  </si>
  <si>
    <t>Sospel</t>
  </si>
  <si>
    <t>Villefranche/Mer</t>
  </si>
  <si>
    <t>Villeneuve-Loubet</t>
  </si>
  <si>
    <t>Nice St Augustin</t>
  </si>
  <si>
    <t>Date VP prévue</t>
  </si>
  <si>
    <t>Date VP effectuée</t>
  </si>
  <si>
    <t>Document unique</t>
  </si>
  <si>
    <t>Mesure/Preuves d'avancement</t>
  </si>
  <si>
    <t>Indicateurs (A inscrire dans les cases)</t>
  </si>
  <si>
    <t>Sécurité incendie</t>
  </si>
  <si>
    <t>Risque chimique</t>
  </si>
  <si>
    <t>Risques psycho-sociaux</t>
  </si>
  <si>
    <t>Nb de jours depuis le dernier repos</t>
  </si>
  <si>
    <t>début arret</t>
  </si>
  <si>
    <t>fin arret</t>
  </si>
  <si>
    <t>Présenté en CHSCT</t>
  </si>
  <si>
    <t>Rempli par le COSEC</t>
  </si>
  <si>
    <t>DPA dans les temps</t>
  </si>
  <si>
    <t>Nb de jours d'arrêt</t>
  </si>
  <si>
    <t>TER ESCALE EST</t>
  </si>
  <si>
    <t>TER MIXTE</t>
  </si>
  <si>
    <t>ESCALE EST</t>
  </si>
  <si>
    <t>Siège UO TER MIXTE</t>
  </si>
  <si>
    <t>Siège UO TER ESCALE EST</t>
  </si>
  <si>
    <t>Vente  menton Voie Unique</t>
  </si>
  <si>
    <t>Direction ETABLISSEMENT</t>
  </si>
  <si>
    <t>Escale Cannes Services en gare</t>
  </si>
  <si>
    <t>Copil SST</t>
  </si>
  <si>
    <t>Regles de calcul</t>
  </si>
  <si>
    <t>jours depuis le dernier accident</t>
  </si>
  <si>
    <t>St Raphaël / Valescure</t>
  </si>
  <si>
    <t>KN2 prévu</t>
  </si>
  <si>
    <t>Filière 26 / 27</t>
  </si>
  <si>
    <t>Filière 26</t>
  </si>
  <si>
    <t>Filière 27</t>
  </si>
  <si>
    <t>SIMON</t>
  </si>
  <si>
    <t>SERRE</t>
  </si>
  <si>
    <t>06 14 01 11 39</t>
  </si>
  <si>
    <t>total EEV TER CA</t>
  </si>
  <si>
    <t>06 01 00 07 61</t>
  </si>
  <si>
    <t>BIOT</t>
  </si>
  <si>
    <t xml:space="preserve"> L’évaluation des risques est partiellement documentée. Les pièces constitutives de son élaboration ne sont pas toutes conservées.</t>
  </si>
  <si>
    <t>Suivi du Plan d'action post Audit - Sécurité du Personnel</t>
  </si>
  <si>
    <t>Indicateurs</t>
  </si>
  <si>
    <t>Présence des archives chez DPX</t>
  </si>
  <si>
    <t>Fiche de redressement KN2</t>
  </si>
  <si>
    <t xml:space="preserve"> Les modalités de la veille réglementaire ne sont pas décrites. Un texte est en cours d’élaboration.</t>
  </si>
  <si>
    <t>Texte écrit et diffusé</t>
  </si>
  <si>
    <t>Texte en cours d’écriture</t>
  </si>
  <si>
    <t xml:space="preserve"> L’établissement n’a pas identifié les exigences SST qui lui sont applicables.</t>
  </si>
  <si>
    <t>Actions correctives</t>
  </si>
  <si>
    <t xml:space="preserve"> Archiver les supports d’évaluation des risques (DPX)</t>
  </si>
  <si>
    <t xml:space="preserve"> Finir la rédaction du texte décrivant la veille réglementaire</t>
  </si>
  <si>
    <t xml:space="preserve"> Mettre en place un outil de veille réglementaire</t>
  </si>
  <si>
    <t>Outil disponible sur le serveur commun</t>
  </si>
  <si>
    <t>Bilan dans PAPACT</t>
  </si>
  <si>
    <t>Outil de veille reglementaire créé en début d'année</t>
  </si>
  <si>
    <t xml:space="preserve"> Les PAPACT ne sont pas connus de la ligne hiérarchique</t>
  </si>
  <si>
    <t xml:space="preserve"> Le PAPACT doit être systématiquement présenté à chaque CHSCT</t>
  </si>
  <si>
    <t>Présentation du PAPACT figure à l’ordre du jour du CHSCT</t>
  </si>
  <si>
    <t>Non présentés aux 2 derniers CHSCT du premier semestre</t>
  </si>
  <si>
    <t xml:space="preserve"> Les fiches actions du PAS ne sont pas complètement renseignées (absence d’indication des moyens et financements)</t>
  </si>
  <si>
    <t xml:space="preserve"> Ajouter indications de moyens et financements dans les fiches action du PAS 2016</t>
  </si>
  <si>
    <t xml:space="preserve"> Les fiches actions de PAS 2016 comportent ces indications</t>
  </si>
  <si>
    <t>Les fiches action du PAS 2016 comprennent les moyens et financement</t>
  </si>
  <si>
    <t xml:space="preserve"> Le PAPACT du CHSCT Intra-Muros ne fait pas l’objet d’un suivi régulier lors des réunions</t>
  </si>
  <si>
    <t xml:space="preserve"> Le suivi des actions doit être commenté et évalué</t>
  </si>
  <si>
    <t>Indication du suivi des actions dans un paragraphe spécifique PAPACT du compte-rendu de réunion CHSCT</t>
  </si>
  <si>
    <t xml:space="preserve"> PAPACT abordé en Copil SST</t>
  </si>
  <si>
    <t xml:space="preserve"> Copil SST reporté au second semestre + PAPACT non abordés dans les CHSCT du premier semestre</t>
  </si>
  <si>
    <t xml:space="preserve"> A la suite du changement de COSEC en mai 2013, le salarié compétent en protection et prévention des risques professionnels n’a pas été désigné</t>
  </si>
  <si>
    <t xml:space="preserve"> Désignation à confirmer lors du premier CHSCT de chaque Président.</t>
  </si>
  <si>
    <t xml:space="preserve"> Mention dans le compte-rendu CHSCT</t>
  </si>
  <si>
    <t xml:space="preserve"> Le salarié compétent n’a pas encore été désigné lors des CHSCT du premier semestre</t>
  </si>
  <si>
    <t xml:space="preserve"> Les fiches de poste DPX manquent de précision en ce qui concerne les missions SST.</t>
  </si>
  <si>
    <t xml:space="preserve"> Inclure les missions SST des DPX dans les fiches de postes.</t>
  </si>
  <si>
    <t>Vérification des fiches de poste</t>
  </si>
  <si>
    <t>Missions SST présentes dans les fiches de poste des DPX</t>
  </si>
  <si>
    <t xml:space="preserve"> Fiches de poste non mises à jour</t>
  </si>
  <si>
    <t xml:space="preserve"> 87 % des EIF ont été réalisés pour l’année 2014</t>
  </si>
  <si>
    <t xml:space="preserve"> Planifier les EIF et bâtir le SPF de manière à tendre vers le 100% </t>
  </si>
  <si>
    <t>Pourcentage EIF réalisés</t>
  </si>
  <si>
    <t>Bilan Formation</t>
  </si>
  <si>
    <t xml:space="preserve"> Planification des formations en cours</t>
  </si>
  <si>
    <t xml:space="preserve"> Une proportion importante d’opérateurs n’ont pas encore suivi certaines formations prévues au plan d’action établissement notamment JurPlaGa et Chimique</t>
  </si>
  <si>
    <t xml:space="preserve"> Planifier les formations manquantes</t>
  </si>
  <si>
    <t>Pourcentage d’agents formés JurPlaGa et chimique</t>
  </si>
  <si>
    <t>Planification des formations JurPlaGa et Chimique en cours</t>
  </si>
  <si>
    <t xml:space="preserve"> Les évaluations de niveau 3 des formations sont partiellement réalisées..</t>
  </si>
  <si>
    <t xml:space="preserve"> Planifier les éval de niveau 3</t>
  </si>
  <si>
    <t>Pourcentage éval3 réalisées</t>
  </si>
  <si>
    <t xml:space="preserve"> La charte d’établissement Risque Alcool n’est pas élaborée</t>
  </si>
  <si>
    <t xml:space="preserve"> Charte élaborée et communiquée</t>
  </si>
  <si>
    <t>Charte disponible sur le serveur commun</t>
  </si>
  <si>
    <t>vérification de l’affichage lors des VP</t>
  </si>
  <si>
    <t>Charte établie et communiquée sur le serveur commun en début d'année</t>
  </si>
  <si>
    <t xml:space="preserve"> Le plan de communication n’est pas réalisé pour l’année 2015</t>
  </si>
  <si>
    <t xml:space="preserve"> Etablir le plan de communication pour l’année 2016 avec le RCo.</t>
  </si>
  <si>
    <t>Réalisation du Pco</t>
  </si>
  <si>
    <t>Plan de communication non établi au premier semestre</t>
  </si>
  <si>
    <t xml:space="preserve"> Les réunions d’expression des salariés ne sont pas réalisées sur l’ensemble des secteurs</t>
  </si>
  <si>
    <t xml:space="preserve"> Réaliser dans chaque secteur une réunion au moins par trimestre </t>
  </si>
  <si>
    <t>Compte-rendus de réunions</t>
  </si>
  <si>
    <t>RMUO</t>
  </si>
  <si>
    <t xml:space="preserve"> Les recommandations formulées par l’observatoire de la QVT ne sont pas présentées en CHSCT.</t>
  </si>
  <si>
    <t>Inscrit à l’ordre du jour</t>
  </si>
  <si>
    <t xml:space="preserve"> Présenter ces recommandations lors des CHSCT</t>
  </si>
  <si>
    <t>PV de réunion CHSCT</t>
  </si>
  <si>
    <t>Les recommandations n’ont pas été présentées lors des CHSCT du premier Semestre</t>
  </si>
  <si>
    <t xml:space="preserve"> La fiche entreprise du périmètre Intra-muros n’est pas réalisée</t>
  </si>
  <si>
    <t xml:space="preserve"> Réaliser la fiche et la présenter en CHSCT</t>
  </si>
  <si>
    <t xml:space="preserve"> Les projets de texte concernant la SST ne sont pas présentés pour avis en CHSCT</t>
  </si>
  <si>
    <t xml:space="preserve"> Présenter les projets au premier CHSCT suivant leur rédaction</t>
  </si>
  <si>
    <t>1 texte présenté (management SST) lors de CHSCT du premier Semestre</t>
  </si>
  <si>
    <t xml:space="preserve"> A ce jour 80 personnes sont en retard concernant la visite de médecine du travail.</t>
  </si>
  <si>
    <t xml:space="preserve"> Planifier  et suivre avec l’aide de l’outil de suivi la réalisation de ces visites</t>
  </si>
  <si>
    <t>Pourcentage de visites médicales à jour.</t>
  </si>
  <si>
    <t>En cours de planification</t>
  </si>
  <si>
    <t xml:space="preserve"> L’évaluation de la conformité aux exigences légales et réglementaires n’est pas réalisée. </t>
  </si>
  <si>
    <t xml:space="preserve"> Mettre en place un outil de veille réglementaire </t>
  </si>
  <si>
    <t>Outil disponible sur le serveur du Pôle S</t>
  </si>
  <si>
    <t>Outil mis en place en début d'année</t>
  </si>
  <si>
    <t xml:space="preserve"> L’arbre des causes de certains DPA est très superficiel </t>
  </si>
  <si>
    <t xml:space="preserve"> Accompagnement pédagogique, appuyé s’il y a lieu par des formations</t>
  </si>
  <si>
    <t>arbres des causes correctement réalisés dans le DPA.</t>
  </si>
  <si>
    <t>Note de la COREP</t>
  </si>
  <si>
    <t xml:space="preserve">Tutoriels et docs d’appui disponibles sur le serveur commun + accompagnement pédagogique </t>
  </si>
  <si>
    <t xml:space="preserve"> Le délai de traitement des DPA n’est pas toujours respecté</t>
  </si>
  <si>
    <t xml:space="preserve"> Sensibiliser les acteurs sur la nécessité de respecter les délais de transmission</t>
  </si>
  <si>
    <t>Pourcentage des DPA traités dans les délais</t>
  </si>
  <si>
    <t>7/13 DPA au premier semestre respectent les délais</t>
  </si>
  <si>
    <t xml:space="preserve"> Les PAPACT ne sont pas à l’ordre du jour des COPIL SST.</t>
  </si>
  <si>
    <t xml:space="preserve"> Présenter les PAPACT au COPIL SST </t>
  </si>
  <si>
    <t>Inscription à l’ordre du jour.</t>
  </si>
  <si>
    <t>Compte-rendu de COPIL</t>
  </si>
  <si>
    <t>COPIL SST reporté au 2e semestre</t>
  </si>
  <si>
    <t>Maitrise opérationnelle</t>
  </si>
  <si>
    <t xml:space="preserve"> Les dossiers techniques amiante ne sont pas toujours consultés </t>
  </si>
  <si>
    <t xml:space="preserve"> Lorsque les travaux touchent l’infrastructure, la transmis-sion de la fiche récapitulative amiante doit être faite.</t>
  </si>
  <si>
    <t>La fiche récapitulative amiante présente dans les PP</t>
  </si>
  <si>
    <t>KN2 PP</t>
  </si>
  <si>
    <t xml:space="preserve"> Des permis de feu sont établis pour une durée supérieure à 24h et ne sont pas signés par l’agent veillant la sécurité du chantier</t>
  </si>
  <si>
    <t xml:space="preserve"> Vérifier que l’entrerpise exté-rieur ai pris connaissance des conditions relatives au feu présentes dans le plan de pré-vention.</t>
  </si>
  <si>
    <t>Permis de feu signés</t>
  </si>
  <si>
    <t>VP et KN2 PP</t>
  </si>
  <si>
    <t xml:space="preserve"> Un agent d’escale court dans les escaliers à l’intérieur de la rame lors de la visite à l’arrivée d’un train </t>
  </si>
  <si>
    <t xml:space="preserve"> Rappel sur le vif à l’agent + sensibilisation via une cam-pagne d’affichage des bonnes pratiques SST</t>
  </si>
  <si>
    <t>Traçabilité en action PDVI</t>
  </si>
  <si>
    <t>KN2</t>
  </si>
  <si>
    <t>Rappel fait , campagne d'affichage des bonnes pratiques en cours d'élaboration</t>
  </si>
  <si>
    <t xml:space="preserve"> 2 élévateurs PMR ne sont pas attachés sur les quais </t>
  </si>
  <si>
    <t xml:space="preserve"> Rappel à la société exterieure des règles d’utilisation et d’immobilisation des éléva-teurs</t>
  </si>
  <si>
    <t>Elévateurs PMR attachés constaté lors des VP</t>
  </si>
  <si>
    <t>COSUI</t>
  </si>
  <si>
    <t>Suivi des observations lors des VP</t>
  </si>
  <si>
    <t xml:space="preserve"> Au local manœuvre coté vintimille, une armoire électrique n’est pas fermée à clé </t>
  </si>
  <si>
    <t xml:space="preserve"> Intervention auprès du TC pour fermer cette armoire</t>
  </si>
  <si>
    <t>Constat de la fermeture de l’armoire</t>
  </si>
  <si>
    <t>Prochaine VP</t>
  </si>
  <si>
    <t xml:space="preserve"> La paire de gants isolants de classe 3 n’est pas stockée dans son sachet de protection et la date de premiere utilisation est peu lisible </t>
  </si>
  <si>
    <t xml:space="preserve"> Ranger systematiquement la paire de gants dans son sachet et faire en sorte que la date de première utilisation soit lisible</t>
  </si>
  <si>
    <t>Constat des gants rangés dans leur emballage</t>
  </si>
  <si>
    <t xml:space="preserve"> Les modalités de consultation des DTA ne sont pas affichées dans les batiments </t>
  </si>
  <si>
    <t xml:space="preserve"> Afficher sur chaque site les modalités de consultation des DTA ainsi que les coordon-nées du CLA</t>
  </si>
  <si>
    <t>Modalités de consultation des DTA affichés sur chaque site</t>
  </si>
  <si>
    <t>Lors de chaque VP</t>
  </si>
  <si>
    <t xml:space="preserve"> Les points de rassemblement du personnel en cas d’incendie ne sont pas repérés sur les consignes d’évacuation  (NICE, BOULOURIS, ST RAPHAEL, LES ARCS)</t>
  </si>
  <si>
    <t xml:space="preserve"> Le point de rassemblement du personnel doit être indiqué sur le plan d’évacuation de la consigne incendie</t>
  </si>
  <si>
    <t>Constat sur le plan d’évacuation</t>
  </si>
  <si>
    <t xml:space="preserve"> Absence d’ethylotest dans les véhicules </t>
  </si>
  <si>
    <t xml:space="preserve"> Mise en place d’ethylotests dans les véhicules de service</t>
  </si>
  <si>
    <t>Controles sporadiques sur les véhicules</t>
  </si>
  <si>
    <t>Mention dans la pochette de documents du véhicule</t>
  </si>
  <si>
    <t>Management de la SST</t>
  </si>
  <si>
    <t>Point sensible</t>
  </si>
  <si>
    <t>NC Mineure</t>
  </si>
  <si>
    <t>NC Majeure</t>
  </si>
  <si>
    <t>Commentaires
Aout 2016</t>
  </si>
  <si>
    <t xml:space="preserve">Commentaires
</t>
  </si>
  <si>
    <t>SCHNEIDER</t>
  </si>
  <si>
    <t>Patricia</t>
  </si>
  <si>
    <t>Nicolas</t>
  </si>
  <si>
    <t>ANAP (Information)</t>
  </si>
  <si>
    <t>06 26 96 08 84</t>
  </si>
  <si>
    <t>Christophe</t>
  </si>
  <si>
    <t>10/11 KN2 avec EVRP présente</t>
  </si>
  <si>
    <t>Cazorla</t>
  </si>
  <si>
    <t>06 18 71 45 64</t>
  </si>
  <si>
    <t>Bilan EDG à demander au pôle OG vers le 15 de chaque mois: saisir dans le tableau l'effectif réalisé par UCH</t>
  </si>
  <si>
    <t>POINTEL</t>
  </si>
  <si>
    <t>MUNSCH-GELSOMINO</t>
  </si>
  <si>
    <t>Céline</t>
  </si>
  <si>
    <t>Rempli par le N+2</t>
  </si>
  <si>
    <t>Alamel</t>
  </si>
  <si>
    <t>Nice Service en gare</t>
  </si>
  <si>
    <t>DOE Nice</t>
  </si>
  <si>
    <t>Monaco accueil / escale</t>
  </si>
  <si>
    <t>Nb D'accidents</t>
  </si>
  <si>
    <t>Pourcentage</t>
  </si>
  <si>
    <t>Année en cours</t>
  </si>
  <si>
    <t>Taux de fréquence</t>
  </si>
  <si>
    <t>AT avec arret</t>
  </si>
  <si>
    <t>numéros de lignes</t>
  </si>
  <si>
    <t>effectifs</t>
  </si>
  <si>
    <t>Les arcs</t>
  </si>
  <si>
    <t xml:space="preserve"> Frejus</t>
  </si>
  <si>
    <t>EVRP FER  ou plateforme   + RPS</t>
  </si>
  <si>
    <t>Taux d'avancement</t>
  </si>
  <si>
    <t>EVRP FER ou Plateforme</t>
  </si>
  <si>
    <t>%</t>
  </si>
  <si>
    <t>Moyenne TOTALE</t>
  </si>
  <si>
    <t>TOTAL EEV</t>
  </si>
  <si>
    <t>NEYRAVAL</t>
  </si>
  <si>
    <t>Christelle</t>
  </si>
  <si>
    <t>Pole QP</t>
  </si>
  <si>
    <t>Date du dernier AT</t>
  </si>
  <si>
    <t>Nb d'AT avec arrêt</t>
  </si>
  <si>
    <t>Nb de Jours d'arrêt</t>
  </si>
  <si>
    <t>Nb de jours depuis le dernier accident</t>
  </si>
  <si>
    <t>Causes des AT(nb de cas)</t>
  </si>
  <si>
    <t>Statistiques AT</t>
  </si>
  <si>
    <t>Formation</t>
  </si>
  <si>
    <t>Mois en cours</t>
  </si>
  <si>
    <t>Nb d'accidents de trajet</t>
  </si>
  <si>
    <t>Suivi du PAS</t>
  </si>
  <si>
    <t>Nombre d'actions</t>
  </si>
  <si>
    <t>Etat des actions</t>
  </si>
  <si>
    <t>Suivi des VP / KN2</t>
  </si>
  <si>
    <t>Suivi des VP</t>
  </si>
  <si>
    <t>Nb de VP à faire</t>
  </si>
  <si>
    <t>Nb de VP Réalisées</t>
  </si>
  <si>
    <t>Suivi des KN2</t>
  </si>
  <si>
    <t>Nb de KN2 à faire</t>
  </si>
  <si>
    <t>Nb de KN2 Réalisés</t>
  </si>
  <si>
    <t>KN2 Bouclage</t>
  </si>
  <si>
    <t>KN2 Plan de prévention</t>
  </si>
  <si>
    <t>Suivi détaillé</t>
  </si>
  <si>
    <t>Theme Accidentologie</t>
  </si>
  <si>
    <t>Theme DU</t>
  </si>
  <si>
    <t>Theme Management</t>
  </si>
  <si>
    <t>Theme Prevention</t>
  </si>
  <si>
    <t>Suivi global PAS</t>
  </si>
  <si>
    <t>Suivi global Plan Post Audit</t>
  </si>
  <si>
    <t/>
  </si>
  <si>
    <t>588636/588701</t>
  </si>
  <si>
    <t>EVRP PLATEFORME</t>
  </si>
  <si>
    <t>Accidents de trajet</t>
  </si>
  <si>
    <t>Effectif total</t>
  </si>
  <si>
    <t>Nombre de DPX</t>
  </si>
  <si>
    <t>Nb de KN2 Vente Réalisés</t>
  </si>
  <si>
    <t>KN2 PP Prévu</t>
  </si>
  <si>
    <t>KN2 PPEffectué</t>
  </si>
  <si>
    <t>At avec arret trajet</t>
  </si>
  <si>
    <t>Nb d'Accident de travail</t>
  </si>
  <si>
    <t>Nb Accident de Trajet avec Arret</t>
  </si>
  <si>
    <t>Nb d'AT total</t>
  </si>
  <si>
    <t>DET ESV</t>
  </si>
  <si>
    <t>LACAILLE</t>
  </si>
  <si>
    <t>Fabrice</t>
  </si>
  <si>
    <t>Pole S</t>
  </si>
  <si>
    <t>TRAIN</t>
  </si>
  <si>
    <t>TER Bommarito</t>
  </si>
  <si>
    <t>TER Dallo</t>
  </si>
  <si>
    <t>TER Viteau</t>
  </si>
  <si>
    <t>TER Porcher</t>
  </si>
  <si>
    <t>TER Giovagnoli</t>
  </si>
  <si>
    <t>TER Auguste</t>
  </si>
  <si>
    <t>LAF Dalle 1</t>
  </si>
  <si>
    <t>EMI</t>
  </si>
  <si>
    <t>Challenge SST</t>
  </si>
  <si>
    <t>Equipes</t>
  </si>
  <si>
    <t>Trimestre 1</t>
  </si>
  <si>
    <t>Trimestre 2</t>
  </si>
  <si>
    <t>Trimestre 3</t>
  </si>
  <si>
    <t>Trimestre 4</t>
  </si>
  <si>
    <t>Challenge validé</t>
  </si>
  <si>
    <t>Challenge Non Atteind</t>
  </si>
  <si>
    <t>TOTAL /29</t>
  </si>
  <si>
    <t>LE PAGE</t>
  </si>
  <si>
    <t>Jean marc</t>
  </si>
  <si>
    <t>Martine</t>
  </si>
  <si>
    <t>CAVAGLIERI</t>
  </si>
  <si>
    <t>RDET</t>
  </si>
  <si>
    <t>BESSOLES</t>
  </si>
  <si>
    <t>Guilem</t>
  </si>
  <si>
    <t>Suivi des Managers</t>
  </si>
  <si>
    <t>BOMMARITO</t>
  </si>
  <si>
    <t>DALLO</t>
  </si>
  <si>
    <t>VITEAU</t>
  </si>
  <si>
    <t>PORCHER</t>
  </si>
  <si>
    <t>GIOVAGNOLI</t>
  </si>
  <si>
    <t>AUGUSTE</t>
  </si>
  <si>
    <t>DALLE</t>
  </si>
  <si>
    <t>TIMBONE</t>
  </si>
  <si>
    <t>VIGLIECCA</t>
  </si>
  <si>
    <t>EMI RET ASCT</t>
  </si>
  <si>
    <t>EMI ESCALE</t>
  </si>
  <si>
    <t>Christine</t>
  </si>
  <si>
    <t>ESV</t>
  </si>
  <si>
    <t>Taux de fréquence (sans trajet)</t>
  </si>
  <si>
    <t>Taux de gravité (sans trajet)</t>
  </si>
  <si>
    <t>taux fréquences AT sans trajet</t>
  </si>
  <si>
    <t>Nb Jours arret sans trajet</t>
  </si>
  <si>
    <t>Nb jours arrêts total</t>
  </si>
  <si>
    <t>Taux de gravité sans trajet</t>
  </si>
  <si>
    <t>Analyse AT dans les temps</t>
  </si>
  <si>
    <t>RAQA dans les temps</t>
  </si>
  <si>
    <t xml:space="preserve"> date théorique (+48h) d'alerte sur plateforme</t>
  </si>
  <si>
    <t>reconstitution AT</t>
  </si>
  <si>
    <t>Validé par le DET</t>
  </si>
  <si>
    <t>Renseigné vers  HELIOS</t>
  </si>
  <si>
    <t>Cloture du dossier</t>
  </si>
  <si>
    <t>Veille SST (ex VP)</t>
  </si>
  <si>
    <t>Bettina</t>
  </si>
  <si>
    <t>tiers</t>
  </si>
  <si>
    <t xml:space="preserve">Le PAPACT a été présenté au dernier CHSCT </t>
  </si>
  <si>
    <t xml:space="preserve">Désignation du salarié compétent  effectuée suite à changement de COSEC en 2017 </t>
  </si>
  <si>
    <t>suivi sytématique lors des VP</t>
  </si>
  <si>
    <t>Modalités décrites dans le texte sur le management de la SST</t>
  </si>
  <si>
    <t>Transfert de l'outil FER dans l'outil Plateforme. Evaluations visibles et consultables dans l'outil</t>
  </si>
  <si>
    <t>Eric</t>
  </si>
  <si>
    <t>Franck</t>
  </si>
  <si>
    <t>Ariel</t>
  </si>
  <si>
    <t>Isabelle</t>
  </si>
  <si>
    <t>GARCIA</t>
  </si>
  <si>
    <t>TER Garcia</t>
  </si>
  <si>
    <t>Sandra</t>
  </si>
  <si>
    <t>Stephanie</t>
  </si>
  <si>
    <t>Marie</t>
  </si>
  <si>
    <t>TOTAL DPX/RET</t>
  </si>
  <si>
    <t xml:space="preserve"> </t>
  </si>
  <si>
    <t>Indice de fréquence</t>
  </si>
  <si>
    <t>Siège UO TER TRAINS</t>
  </si>
  <si>
    <t xml:space="preserve"> date d'initialisation du RAQA</t>
  </si>
  <si>
    <t>Nice</t>
  </si>
  <si>
    <t>Boutique Zou à Nice</t>
  </si>
  <si>
    <t>ZUPPO</t>
  </si>
  <si>
    <t>NGABI</t>
  </si>
  <si>
    <t>Samira</t>
  </si>
  <si>
    <t>Etat CPR</t>
  </si>
  <si>
    <t>Non renseigné</t>
  </si>
  <si>
    <t>Non reconnu</t>
  </si>
  <si>
    <t>Reconnu</t>
  </si>
  <si>
    <t>En cours</t>
  </si>
  <si>
    <t>Risque Routier</t>
  </si>
  <si>
    <t>Cannes Marchandises</t>
  </si>
  <si>
    <t>Mouans Sartoux</t>
  </si>
  <si>
    <t>Grasse</t>
  </si>
  <si>
    <t>Golfe Juan</t>
  </si>
  <si>
    <t xml:space="preserve">Cannes la Bocca </t>
  </si>
  <si>
    <t>Frejus</t>
  </si>
  <si>
    <t>Boulouris</t>
  </si>
  <si>
    <t>Mandelieu la Napoule</t>
  </si>
  <si>
    <t>Juan Les Pins</t>
  </si>
  <si>
    <t>Consolidé</t>
  </si>
  <si>
    <t>MANAGEMENT SST</t>
  </si>
  <si>
    <t>Tableau SST</t>
  </si>
  <si>
    <t>Tableau SST de suivi des AT</t>
  </si>
  <si>
    <t>Actions Ic@re</t>
  </si>
  <si>
    <t>Ic@re</t>
  </si>
  <si>
    <t xml:space="preserve">VITTEAU </t>
  </si>
  <si>
    <t>NICE</t>
  </si>
  <si>
    <t>07 70 29 65 98</t>
  </si>
  <si>
    <t>06 11 91 7 330</t>
  </si>
  <si>
    <t>06 27 12 85 45</t>
  </si>
  <si>
    <t>06 12 28 60 77</t>
  </si>
  <si>
    <t>06 03 28 95 28</t>
  </si>
  <si>
    <t>06 12 59 49 65</t>
  </si>
  <si>
    <t>06 12 21 83 59</t>
  </si>
  <si>
    <t>06 12 28 0 263</t>
  </si>
  <si>
    <t>Jean-François</t>
  </si>
  <si>
    <t>Nb reconstitution effectuée sur AT avec arrêt</t>
  </si>
  <si>
    <t>Reconstitution AT</t>
  </si>
  <si>
    <t>Non concerné</t>
  </si>
  <si>
    <t>Marianne</t>
  </si>
  <si>
    <t>Compte-rendu des CHSCT</t>
  </si>
  <si>
    <t>Les PAPACT sont systématiquement évoqués lors des CHSCT</t>
  </si>
  <si>
    <t>PAPACT sera à l'ordre du jour du COPIL SST du mois d'avril(reporté au 3 juillet)</t>
  </si>
  <si>
    <t>Traçabilité action PDVI Bulletin mensuel du COSEC sur le sujet en février 2018</t>
  </si>
  <si>
    <t>Constat sur le plan de prévention</t>
  </si>
  <si>
    <t>AT avec arrêt</t>
  </si>
  <si>
    <t>Nb Atravail avec Arrêt</t>
  </si>
  <si>
    <t>Etat CPR (non reconnue)</t>
  </si>
  <si>
    <t>Nb AT CPR (hors "Non reconnu")</t>
  </si>
  <si>
    <t>Pascal</t>
  </si>
  <si>
    <t>DUO EMI</t>
  </si>
  <si>
    <t>quasi-accident</t>
  </si>
  <si>
    <t>sans conséquences</t>
  </si>
  <si>
    <t>Quasi accident</t>
  </si>
  <si>
    <t>Nb de Quasi Accident</t>
  </si>
  <si>
    <t>Nb de déclarations AT</t>
  </si>
  <si>
    <t>BERTOLOTTI</t>
  </si>
  <si>
    <t>Florence</t>
  </si>
  <si>
    <t>DOL</t>
  </si>
  <si>
    <t>Dominique</t>
  </si>
  <si>
    <t>RDUO TRAIN</t>
  </si>
  <si>
    <t>PIOPPO</t>
  </si>
  <si>
    <t>Marie-Thérèse</t>
  </si>
  <si>
    <t>Assist. Régularité UO TRAIN</t>
  </si>
  <si>
    <t>BAILE</t>
  </si>
  <si>
    <t>Sandrine</t>
  </si>
  <si>
    <t>choc émotionnel</t>
  </si>
  <si>
    <t>GARDES</t>
  </si>
  <si>
    <t>Laurence</t>
  </si>
  <si>
    <t>DUO TER EST</t>
  </si>
  <si>
    <t>Assist. Sécurité TER OUEST</t>
  </si>
  <si>
    <t>RDUO TER OUEST</t>
  </si>
  <si>
    <t>TOTAL ESV TER CA</t>
  </si>
  <si>
    <t>MORRETI</t>
  </si>
  <si>
    <t>CPH Grasse/Canne-la-Bocca</t>
  </si>
  <si>
    <t>Les Arcs/Frejus Auto-train</t>
  </si>
  <si>
    <t>Cannes Voyageurs</t>
  </si>
  <si>
    <t>Antibes Golf Juan et Juan les Pins</t>
  </si>
  <si>
    <t>Secteur Estérel/ RSC Esterel</t>
  </si>
  <si>
    <t>Ligne OUEST / Agent de la relation Client Ouest</t>
  </si>
  <si>
    <t>Equipe mobile Ligne Est &amp; Merveilles/RSC Merveilles</t>
  </si>
  <si>
    <t>Agent de la relation Client Est</t>
  </si>
  <si>
    <t>Secteur Menton-Vintimille</t>
  </si>
  <si>
    <t>COE Nice</t>
  </si>
  <si>
    <t>Services en gare Nice-Ville</t>
  </si>
  <si>
    <t>Benoit</t>
  </si>
  <si>
    <t>TER EST</t>
  </si>
  <si>
    <t>TER OUEST</t>
  </si>
  <si>
    <t>Ligne Ouest/Agent de la relation Client Ouest</t>
  </si>
  <si>
    <t>Antibes Golf Juan &amp; Juan les Pins</t>
  </si>
  <si>
    <t>CPH Cannes la Bocca - Grasse</t>
  </si>
  <si>
    <t>Secteur Esterel / RSC Esterel</t>
  </si>
  <si>
    <t>Les Arcs-Fréjus Auto Train</t>
  </si>
  <si>
    <t>Service en gare Nice Ville</t>
  </si>
  <si>
    <t>Produit Train Nice</t>
  </si>
  <si>
    <t>Agent de la relation client Est</t>
  </si>
  <si>
    <t>DUO TRAIN</t>
  </si>
  <si>
    <t>EMI Accompagnement</t>
  </si>
  <si>
    <t>EMI Escale</t>
  </si>
  <si>
    <t>Agent de la relation client EST</t>
  </si>
  <si>
    <t>Equipe mobile ligne Est &amp; Merveilles/RSC Merveilles</t>
  </si>
  <si>
    <t>Secteur Menton - Vintimille</t>
  </si>
  <si>
    <t>Ligne Ouest/agent de la relation client Ouest</t>
  </si>
  <si>
    <t>CPH Cannes la Bocca-Grasse</t>
  </si>
  <si>
    <t>Cannes Voyageur</t>
  </si>
  <si>
    <t>Secteur estérel/RSC Estérel</t>
  </si>
  <si>
    <t>Les Arcs-Fréjus auto train</t>
  </si>
  <si>
    <t xml:space="preserve">LAF Dalle </t>
  </si>
  <si>
    <t>Siège UO TER OUEST</t>
  </si>
  <si>
    <t>Siège UO TER EST</t>
  </si>
  <si>
    <t>Document Unique 2019</t>
  </si>
  <si>
    <t>LABBEY</t>
  </si>
  <si>
    <t>RENARD</t>
  </si>
  <si>
    <t>LEMAIRE</t>
  </si>
  <si>
    <t>Fanchon</t>
  </si>
  <si>
    <t>Assist. Sécurité TRAIN</t>
  </si>
  <si>
    <t>DUO TER OUEST</t>
  </si>
  <si>
    <t>RDUO TER EST</t>
  </si>
  <si>
    <t>CPST TRAIN</t>
  </si>
  <si>
    <t>GUILLEMIN</t>
  </si>
  <si>
    <t xml:space="preserve">Cannes </t>
  </si>
  <si>
    <t>MORETTI</t>
  </si>
  <si>
    <t xml:space="preserve">Malbranche </t>
  </si>
  <si>
    <t>Dirigeant CPS</t>
  </si>
  <si>
    <t>18/01/018</t>
  </si>
  <si>
    <t>Enquête réalisée dans les temps</t>
  </si>
  <si>
    <t xml:space="preserve">Date théorique "Enquête réalisée" (Dpx) </t>
  </si>
  <si>
    <t>Date pratique "Enquête réalisée"</t>
  </si>
  <si>
    <t>Engager la transformation managériale</t>
  </si>
  <si>
    <t>Actions et Communications sur l'accidentologie</t>
  </si>
  <si>
    <t>Restructuration du Document Unique</t>
  </si>
  <si>
    <t>Renforcer l'appropriation des Règles qui Sauvent</t>
  </si>
  <si>
    <t>Création d'un kit SST,SI,SE et déploiement à tous les managers</t>
  </si>
  <si>
    <t xml:space="preserve"> Datede sensibilisation prévues sur la région
- Nb de managers présents/nb de managers prévus
- Bilan Quadrimestriel</t>
  </si>
  <si>
    <t>Former les managers à la nouvelle démarche managériale"Mieux voir, mieux dire"</t>
  </si>
  <si>
    <t>Réaliser entretien post AT avec arrêt, DPX avec membre du CODIR</t>
  </si>
  <si>
    <t>Nb d'entretien réalisé/nb d'AT avec arrêt</t>
  </si>
  <si>
    <t>Réaliser des actions sur Ic@are, sur les pistes et itinéraires(matérialisation des points dangereux, signalement à Infrapôle pour intervention selon EF02201, vigie expres,,,)</t>
  </si>
  <si>
    <t>Accompagner le déploiement des chaussure s de travail adaptées aux ESV</t>
  </si>
  <si>
    <t>Taux de veille de site</t>
  </si>
  <si>
    <t>Renforcer la veille Ic@re sur le suivi des déplacements</t>
  </si>
  <si>
    <t>Participer à la semaine du respect en réalisant des croisements de vue</t>
  </si>
  <si>
    <t>❻</t>
  </si>
  <si>
    <t>❼</t>
  </si>
  <si>
    <t>Formation sûreté en gare ,systématique pour les agents de la relation clients</t>
  </si>
  <si>
    <t>Poursuivre l'affichage mensuel de l'accidentologie</t>
  </si>
  <si>
    <t>Bilan distribué/Mois écoulés</t>
  </si>
  <si>
    <t>Proformation</t>
  </si>
  <si>
    <t>Nb agents formés/Nb d'agents à former</t>
  </si>
  <si>
    <t>Création EVRP générique</t>
  </si>
  <si>
    <t>Modifier la structure du DU par rapport au projet sol</t>
  </si>
  <si>
    <t>Réaliser EVRP sur poste les plus modifiés</t>
  </si>
  <si>
    <t>Plateforme</t>
  </si>
  <si>
    <t>NB d’EVRP crées sur Plateforme</t>
  </si>
  <si>
    <t>1 EVRP crée</t>
  </si>
  <si>
    <t>Flash SST tous les deux mois sur une règle qui sauve, en s'appuyant sur les supports régionaux</t>
  </si>
  <si>
    <t>6 Flash à réalisés</t>
  </si>
  <si>
    <t>Contrôles de la bonne mise en oeuvre des RQS</t>
  </si>
  <si>
    <t>Pas d'AT en rapport avec les RQS</t>
  </si>
  <si>
    <t>Organisation des dépistages aléatoires sur produits psychoactifs</t>
  </si>
  <si>
    <t>4/an</t>
  </si>
  <si>
    <t>Nb d'agents détectés positifs</t>
  </si>
  <si>
    <t xml:space="preserve">Managers présents/24 à voir </t>
  </si>
  <si>
    <t>Public concerné: Managers opérationnels et RDUO</t>
  </si>
  <si>
    <t>Kit réalisé:  déploiement Managers débuté sur le mois d'avril sous forme d'une journée de sensibilisation      =&gt; 18 inscrits /24 managers  75%</t>
  </si>
  <si>
    <t>Réorganisation DU (projet de service)</t>
  </si>
  <si>
    <t>49% d'agents formés à l'UO ter Ouest(avec 100% Equipes de Ligne)- 55% agents formés UO Ter Est (avec 71% Equipes de Ligne)- 90% d'agents formés Equipe Escale EMI</t>
  </si>
  <si>
    <t>Taux d'avancement à 20%</t>
  </si>
  <si>
    <t>Taux d'avancement à 50%</t>
  </si>
  <si>
    <t>Taux d'avancement à 80%</t>
  </si>
  <si>
    <t>MORENA</t>
  </si>
  <si>
    <t>Max</t>
  </si>
  <si>
    <t>SOCA</t>
  </si>
  <si>
    <t>COE + produit train Nice</t>
  </si>
  <si>
    <t>PECORINO</t>
  </si>
  <si>
    <t>Corinne</t>
  </si>
  <si>
    <t xml:space="preserve">GUILLEMIN </t>
  </si>
  <si>
    <t xml:space="preserve">Assist. Régularité UOs TER </t>
  </si>
  <si>
    <t>Préventeur DSEM</t>
  </si>
  <si>
    <t>CLE COSI DSEM</t>
  </si>
  <si>
    <t>82% de reconstitution réalisées</t>
  </si>
  <si>
    <t>Distribution effectuée</t>
  </si>
  <si>
    <t>Nice ST Roch</t>
  </si>
  <si>
    <t>NICE SOCA</t>
  </si>
  <si>
    <t>SORIANO</t>
  </si>
  <si>
    <t>Bureau Nice</t>
  </si>
  <si>
    <r>
      <t>Sont concernées par cette action , les UOS Est et Ouest et l'équipe escale EMI, car formation sureté comprise dans le corpus ASCT,</t>
    </r>
    <r>
      <rPr>
        <sz val="9"/>
        <color rgb="FFFF0000"/>
        <rFont val="Arial"/>
        <family val="2"/>
      </rPr>
      <t xml:space="preserve"> 6 formations annulées sur le 2 ème semestre</t>
    </r>
  </si>
  <si>
    <t xml:space="preserve">Plan de veille Ic@re des DPX  Action demandée par les DUO </t>
  </si>
  <si>
    <t>Nb de flash réalisé,</t>
  </si>
  <si>
    <t>toutes les EVRP refaites sur Menton/ Vintimille et sur certains RET</t>
  </si>
  <si>
    <t>Veille Ic@re, les RQS sont déployées en tant que veille Obligatoire dasn Ic@re, certains DPX ont ajouté une action collective supplémentaire dans leur veille</t>
  </si>
  <si>
    <t>10 affiches distribuées correspondant au bilan des mois de Janvier à octobre 80,33%</t>
  </si>
  <si>
    <t>5 Flash /REX / note de service réalisés</t>
  </si>
  <si>
    <t>2020-01</t>
  </si>
  <si>
    <t>2020-02</t>
  </si>
  <si>
    <t>2020-03</t>
  </si>
  <si>
    <t>2020-04</t>
  </si>
  <si>
    <t>2020-05</t>
  </si>
  <si>
    <t>2020-06</t>
  </si>
  <si>
    <t>2020-07</t>
  </si>
  <si>
    <t>2020-08</t>
  </si>
  <si>
    <t>2020-09</t>
  </si>
  <si>
    <t>2020-10</t>
  </si>
  <si>
    <t>2020-11</t>
  </si>
  <si>
    <t>2020-12</t>
  </si>
  <si>
    <t>2020-13</t>
  </si>
  <si>
    <t>2020-14</t>
  </si>
  <si>
    <t>2020-15</t>
  </si>
  <si>
    <t>2020-16</t>
  </si>
  <si>
    <t>2020-17</t>
  </si>
  <si>
    <t>2020-18</t>
  </si>
  <si>
    <t>2020-19</t>
  </si>
  <si>
    <t>2020-20</t>
  </si>
  <si>
    <t>2020-21</t>
  </si>
  <si>
    <t>2020-22</t>
  </si>
  <si>
    <t>2020-23</t>
  </si>
  <si>
    <t>2020-24</t>
  </si>
  <si>
    <t>2020-25</t>
  </si>
  <si>
    <t>2020-26</t>
  </si>
  <si>
    <t>2020-27</t>
  </si>
  <si>
    <t>2020-28</t>
  </si>
  <si>
    <t>2020-29</t>
  </si>
  <si>
    <t>2020-30</t>
  </si>
  <si>
    <t>2020-31</t>
  </si>
  <si>
    <t>2020-32</t>
  </si>
  <si>
    <t>2020-33</t>
  </si>
  <si>
    <t>2020-34</t>
  </si>
  <si>
    <t>2020-35</t>
  </si>
  <si>
    <t>2020-36</t>
  </si>
  <si>
    <t>2020-37</t>
  </si>
  <si>
    <t>2020-38</t>
  </si>
  <si>
    <t>2020-39</t>
  </si>
  <si>
    <t>2020-40</t>
  </si>
  <si>
    <t>2020-41</t>
  </si>
  <si>
    <t>2020-42</t>
  </si>
  <si>
    <t>2020-43</t>
  </si>
  <si>
    <t>2020-44</t>
  </si>
  <si>
    <t>2020-45</t>
  </si>
  <si>
    <t>2020-46</t>
  </si>
  <si>
    <t>2020-47</t>
  </si>
  <si>
    <t>2020-48</t>
  </si>
  <si>
    <t>2020-49</t>
  </si>
  <si>
    <t>2020-50</t>
  </si>
  <si>
    <t>2020-51</t>
  </si>
  <si>
    <t>2020-52</t>
  </si>
  <si>
    <t>2020-53</t>
  </si>
  <si>
    <t>2020-54</t>
  </si>
  <si>
    <t>2020-55</t>
  </si>
  <si>
    <t>2020-56</t>
  </si>
  <si>
    <t>2020-57</t>
  </si>
  <si>
    <t>2020-58</t>
  </si>
  <si>
    <t>2020-59</t>
  </si>
  <si>
    <t>2020-60</t>
  </si>
  <si>
    <t>2020-61</t>
  </si>
  <si>
    <t>2020-62</t>
  </si>
  <si>
    <t>2020-63</t>
  </si>
  <si>
    <t>2020-64</t>
  </si>
  <si>
    <t>2020-65</t>
  </si>
  <si>
    <t>2020-66</t>
  </si>
  <si>
    <t>2020-67</t>
  </si>
  <si>
    <t>2020-68</t>
  </si>
  <si>
    <t>2020-69</t>
  </si>
  <si>
    <t>2020-70</t>
  </si>
  <si>
    <t>2020-71</t>
  </si>
  <si>
    <t>2020-72</t>
  </si>
  <si>
    <t>2020-73</t>
  </si>
  <si>
    <t>2020-74</t>
  </si>
  <si>
    <t>2020-75</t>
  </si>
  <si>
    <t>2020-76</t>
  </si>
  <si>
    <t>2020-77</t>
  </si>
  <si>
    <t>2020-78</t>
  </si>
  <si>
    <t>2020-79</t>
  </si>
  <si>
    <t>2020-80</t>
  </si>
  <si>
    <t>2020-81</t>
  </si>
  <si>
    <t>2020-82</t>
  </si>
  <si>
    <t>2020-83</t>
  </si>
  <si>
    <t>2020-84</t>
  </si>
  <si>
    <t>2020-85</t>
  </si>
  <si>
    <t>2020-86</t>
  </si>
  <si>
    <t>2020-87</t>
  </si>
  <si>
    <t>2020-88</t>
  </si>
  <si>
    <t>2020-89</t>
  </si>
  <si>
    <t>2020-90</t>
  </si>
  <si>
    <t>2020-91</t>
  </si>
  <si>
    <t>2020-92</t>
  </si>
  <si>
    <t>2020-93</t>
  </si>
  <si>
    <t>2020-94</t>
  </si>
  <si>
    <t>2020-95</t>
  </si>
  <si>
    <t>2020-96</t>
  </si>
  <si>
    <t>2020-97</t>
  </si>
  <si>
    <t>2020-98</t>
  </si>
  <si>
    <t>2020-99</t>
  </si>
  <si>
    <t>2020-100</t>
  </si>
  <si>
    <t>2020-101</t>
  </si>
  <si>
    <t>2020-102</t>
  </si>
  <si>
    <t>2020-103</t>
  </si>
  <si>
    <t>2020-104</t>
  </si>
  <si>
    <t>2020-105</t>
  </si>
  <si>
    <t>2020-106</t>
  </si>
  <si>
    <t>2020-107</t>
  </si>
  <si>
    <t>2020-108</t>
  </si>
  <si>
    <t>2020-109</t>
  </si>
  <si>
    <t>2020-110</t>
  </si>
  <si>
    <t>2020-111</t>
  </si>
  <si>
    <t>2020-112</t>
  </si>
  <si>
    <t>2020-113</t>
  </si>
  <si>
    <t>2020-114</t>
  </si>
  <si>
    <t>2020-115</t>
  </si>
  <si>
    <t>2020-116</t>
  </si>
  <si>
    <t>2020-117</t>
  </si>
  <si>
    <t>2020-118</t>
  </si>
  <si>
    <t>2020-119</t>
  </si>
  <si>
    <t>2020-120</t>
  </si>
  <si>
    <t>2020-121</t>
  </si>
  <si>
    <t>2020-122</t>
  </si>
  <si>
    <t>2020-123</t>
  </si>
  <si>
    <t>2020-124</t>
  </si>
  <si>
    <t>2020-125</t>
  </si>
  <si>
    <t>2020-126</t>
  </si>
  <si>
    <t>2020-127</t>
  </si>
  <si>
    <t>2020-128</t>
  </si>
  <si>
    <t>2020-129</t>
  </si>
  <si>
    <t>2020-130</t>
  </si>
  <si>
    <t>2020-131</t>
  </si>
  <si>
    <t>2020-132</t>
  </si>
  <si>
    <t>2020-133</t>
  </si>
  <si>
    <t>2020-134</t>
  </si>
  <si>
    <t>2020-135</t>
  </si>
  <si>
    <t>2020-136</t>
  </si>
  <si>
    <t>2020-137</t>
  </si>
  <si>
    <t>2020-138</t>
  </si>
  <si>
    <t>2020-139</t>
  </si>
  <si>
    <t>2020-140</t>
  </si>
  <si>
    <t>2020-141</t>
  </si>
  <si>
    <t>2020-142</t>
  </si>
  <si>
    <t>2020-143</t>
  </si>
  <si>
    <t>2020-144</t>
  </si>
  <si>
    <t>2020-145</t>
  </si>
  <si>
    <t>2020-146</t>
  </si>
  <si>
    <t>2020-147</t>
  </si>
  <si>
    <t>2020-148</t>
  </si>
  <si>
    <t>2020-149</t>
  </si>
  <si>
    <t>2020-150</t>
  </si>
  <si>
    <t>2020-151</t>
  </si>
  <si>
    <t>2020-152</t>
  </si>
  <si>
    <t>2020-153</t>
  </si>
  <si>
    <t>2020-154</t>
  </si>
  <si>
    <t>2020-155</t>
  </si>
  <si>
    <t>2020-156</t>
  </si>
  <si>
    <t>2020-157</t>
  </si>
  <si>
    <t>2020-158</t>
  </si>
  <si>
    <t>2020-159</t>
  </si>
  <si>
    <t>2020-160</t>
  </si>
  <si>
    <t>2020-161</t>
  </si>
  <si>
    <t>2020-162</t>
  </si>
  <si>
    <t>2020-163</t>
  </si>
  <si>
    <t>2020-164</t>
  </si>
  <si>
    <t>2020-165</t>
  </si>
  <si>
    <t>2020-166</t>
  </si>
  <si>
    <t>2020-167</t>
  </si>
  <si>
    <t>2020-168</t>
  </si>
  <si>
    <t>2020-169</t>
  </si>
  <si>
    <t>2020-170</t>
  </si>
  <si>
    <t>2020-171</t>
  </si>
  <si>
    <t>2020-172</t>
  </si>
  <si>
    <t>2020-173</t>
  </si>
  <si>
    <t>2020-174</t>
  </si>
  <si>
    <t>2020-175</t>
  </si>
  <si>
    <t>2020-176</t>
  </si>
  <si>
    <t>2020-177</t>
  </si>
  <si>
    <t>2020-178</t>
  </si>
  <si>
    <t>2020-179</t>
  </si>
  <si>
    <t>2020-180</t>
  </si>
  <si>
    <t>2020-181</t>
  </si>
  <si>
    <t>2020-182</t>
  </si>
  <si>
    <t>2020-183</t>
  </si>
  <si>
    <t>2020-184</t>
  </si>
  <si>
    <t>2020-185</t>
  </si>
  <si>
    <t>2020-186</t>
  </si>
  <si>
    <t>2020-187</t>
  </si>
  <si>
    <t>2020-188</t>
  </si>
  <si>
    <t>2020-189</t>
  </si>
  <si>
    <t>2020-190</t>
  </si>
  <si>
    <t>2020-191</t>
  </si>
  <si>
    <t>2020-192</t>
  </si>
  <si>
    <t>2020-193</t>
  </si>
  <si>
    <t>2020-194</t>
  </si>
  <si>
    <t>2020-195</t>
  </si>
  <si>
    <t>2020-196</t>
  </si>
  <si>
    <t>2020-197</t>
  </si>
  <si>
    <t>2020-198</t>
  </si>
  <si>
    <t>2020-199</t>
  </si>
  <si>
    <t>2020-200</t>
  </si>
  <si>
    <t>2020-201</t>
  </si>
  <si>
    <t>2020-202</t>
  </si>
  <si>
    <t>2020-203</t>
  </si>
  <si>
    <t>2020-204</t>
  </si>
  <si>
    <t>2020-205</t>
  </si>
  <si>
    <t>2020-206</t>
  </si>
  <si>
    <t>2020-207</t>
  </si>
  <si>
    <t>2020-208</t>
  </si>
  <si>
    <t>2020-209</t>
  </si>
  <si>
    <t>2020-210</t>
  </si>
  <si>
    <t>2020-211</t>
  </si>
  <si>
    <t>2020-212</t>
  </si>
  <si>
    <t>2020-213</t>
  </si>
  <si>
    <t>2020-214</t>
  </si>
  <si>
    <t>2020-215</t>
  </si>
  <si>
    <t>2020-216</t>
  </si>
  <si>
    <t>2020-217</t>
  </si>
  <si>
    <t>2020-218</t>
  </si>
  <si>
    <t>2020-219</t>
  </si>
  <si>
    <t>2020-220</t>
  </si>
  <si>
    <t>2020-221</t>
  </si>
  <si>
    <t>2020-222</t>
  </si>
  <si>
    <t>2020-223</t>
  </si>
  <si>
    <t>2020-224</t>
  </si>
  <si>
    <t>2020-225</t>
  </si>
  <si>
    <t>2020-226</t>
  </si>
  <si>
    <t>2020-227</t>
  </si>
  <si>
    <t>2020-228</t>
  </si>
  <si>
    <t>2020-229</t>
  </si>
  <si>
    <t>2020-230</t>
  </si>
  <si>
    <t>2020-231</t>
  </si>
  <si>
    <t>2020-232</t>
  </si>
  <si>
    <t>2020-233</t>
  </si>
  <si>
    <t>2020-234</t>
  </si>
  <si>
    <t>2020-235</t>
  </si>
  <si>
    <t>2020-236</t>
  </si>
  <si>
    <t>2020-237</t>
  </si>
  <si>
    <t>2020-238</t>
  </si>
  <si>
    <t>2020-239</t>
  </si>
  <si>
    <t>2020-240</t>
  </si>
  <si>
    <t>2020-241</t>
  </si>
  <si>
    <t>2020-242</t>
  </si>
  <si>
    <t>2020-243</t>
  </si>
  <si>
    <t>2020-244</t>
  </si>
  <si>
    <t>2020-245</t>
  </si>
  <si>
    <t>2020-246</t>
  </si>
  <si>
    <t>2020-247</t>
  </si>
  <si>
    <t>2020-248</t>
  </si>
  <si>
    <t>2020-249</t>
  </si>
  <si>
    <t>2020-250</t>
  </si>
  <si>
    <t>2020-251</t>
  </si>
  <si>
    <t>2020-252</t>
  </si>
  <si>
    <t>2020-253</t>
  </si>
  <si>
    <t>2020-254</t>
  </si>
  <si>
    <t>2020-255</t>
  </si>
  <si>
    <t>2020-256</t>
  </si>
  <si>
    <t>2020-257</t>
  </si>
  <si>
    <t>2020-258</t>
  </si>
  <si>
    <t>2020-259</t>
  </si>
  <si>
    <t>2020-260</t>
  </si>
  <si>
    <t>2020-261</t>
  </si>
  <si>
    <t>2020-262</t>
  </si>
  <si>
    <t>2020-263</t>
  </si>
  <si>
    <t>2020-264</t>
  </si>
  <si>
    <t>2020-265</t>
  </si>
  <si>
    <t>2020-266</t>
  </si>
  <si>
    <t>2020-267</t>
  </si>
  <si>
    <t>2020-268</t>
  </si>
  <si>
    <t>2020-269</t>
  </si>
  <si>
    <t>2020-270</t>
  </si>
  <si>
    <t>2020-271</t>
  </si>
  <si>
    <t>2020-272</t>
  </si>
  <si>
    <t>2020-273</t>
  </si>
  <si>
    <t>2020-274</t>
  </si>
  <si>
    <t>2020-275</t>
  </si>
  <si>
    <t>2020-276</t>
  </si>
  <si>
    <t>2020-277</t>
  </si>
  <si>
    <t>2020-278</t>
  </si>
  <si>
    <t>2020-279</t>
  </si>
  <si>
    <t>2020-280</t>
  </si>
  <si>
    <t>2020-281</t>
  </si>
  <si>
    <t>2020-282</t>
  </si>
  <si>
    <t>2020-283</t>
  </si>
  <si>
    <t>2020-284</t>
  </si>
  <si>
    <t>2020-285</t>
  </si>
  <si>
    <t>2020-286</t>
  </si>
  <si>
    <t>2020-287</t>
  </si>
  <si>
    <t>2020-288</t>
  </si>
  <si>
    <t>2020-289</t>
  </si>
  <si>
    <t>2020-290</t>
  </si>
  <si>
    <t>2020-291</t>
  </si>
  <si>
    <t xml:space="preserve">Mois </t>
  </si>
  <si>
    <t>Nb  jours arrêts au cours du mois</t>
  </si>
  <si>
    <t>Nb de jours d'arrêt au cours du mois</t>
  </si>
  <si>
    <t>AT sans arrêt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</si>
</sst>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-* #,##0.00\ _€_-;\-* #,##0.00\ _€_-;_-* &quot;-&quot;??\ _€_-;_-@_-"/>
    <numFmt numFmtId="165" formatCode="dd/mm/yy;@"/>
    <numFmt numFmtId="166" formatCode="0.0%"/>
    <numFmt numFmtId="167" formatCode="0#&quot; &quot;##&quot; &quot;##&quot; &quot;##&quot; &quot;##"/>
    <numFmt numFmtId="168" formatCode="mm"/>
  </numFmts>
  <fonts count="88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4"/>
      <name val="Arial"/>
      <family val="2"/>
    </font>
    <font>
      <sz val="20"/>
      <name val="Arial"/>
      <family val="2"/>
    </font>
    <font>
      <b/>
      <sz val="8"/>
      <color indexed="81"/>
      <name val="Tahoma"/>
      <family val="2"/>
    </font>
    <font>
      <sz val="10"/>
      <color indexed="8"/>
      <name val="Arial"/>
      <family val="2"/>
    </font>
    <font>
      <sz val="10"/>
      <color indexed="9"/>
      <name val="Arial"/>
      <family val="2"/>
    </font>
    <font>
      <sz val="8"/>
      <name val="Calibri"/>
      <family val="2"/>
    </font>
    <font>
      <sz val="10"/>
      <name val="Arial"/>
      <family val="2"/>
    </font>
    <font>
      <sz val="8"/>
      <name val="Arial"/>
      <family val="2"/>
    </font>
    <font>
      <sz val="18"/>
      <name val="Arial"/>
      <family val="2"/>
    </font>
    <font>
      <sz val="10"/>
      <color indexed="9"/>
      <name val="Arial"/>
      <family val="2"/>
    </font>
    <font>
      <sz val="16"/>
      <name val="Wingdings 2"/>
      <family val="1"/>
      <charset val="2"/>
    </font>
    <font>
      <sz val="16"/>
      <name val="Arial"/>
      <family val="2"/>
    </font>
    <font>
      <sz val="12"/>
      <color indexed="63"/>
      <name val="Wingdings 2"/>
      <family val="1"/>
      <charset val="2"/>
    </font>
    <font>
      <b/>
      <sz val="9"/>
      <color indexed="81"/>
      <name val="Tahoma"/>
      <family val="2"/>
    </font>
    <font>
      <sz val="16"/>
      <color indexed="8"/>
      <name val="Wingdings"/>
      <charset val="2"/>
    </font>
    <font>
      <sz val="10"/>
      <color indexed="55"/>
      <name val="Arial"/>
      <family val="2"/>
    </font>
    <font>
      <sz val="9"/>
      <color indexed="81"/>
      <name val="Tahoma"/>
      <family val="2"/>
    </font>
    <font>
      <u/>
      <sz val="11"/>
      <color theme="10"/>
      <name val="Calibri"/>
      <family val="2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Arial"/>
      <family val="2"/>
    </font>
    <font>
      <b/>
      <sz val="12"/>
      <name val="Arial"/>
      <family val="2"/>
    </font>
    <font>
      <b/>
      <i/>
      <sz val="10"/>
      <name val="Arial"/>
      <family val="2"/>
    </font>
    <font>
      <sz val="10"/>
      <color theme="1"/>
      <name val="Tahoma"/>
      <family val="2"/>
    </font>
    <font>
      <sz val="9"/>
      <name val="Arial"/>
      <family val="2"/>
    </font>
    <font>
      <b/>
      <sz val="9"/>
      <name val="Arial"/>
      <family val="2"/>
    </font>
    <font>
      <b/>
      <sz val="9"/>
      <name val="Tahoma"/>
      <family val="2"/>
    </font>
    <font>
      <sz val="9"/>
      <name val="Tahoma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24"/>
      <name val="Arial"/>
      <family val="2"/>
    </font>
    <font>
      <b/>
      <sz val="12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0"/>
      <color theme="0"/>
      <name val="Arial"/>
      <family val="2"/>
    </font>
    <font>
      <sz val="14"/>
      <color indexed="9"/>
      <name val="Avenir LT Std 55 Roman"/>
      <family val="2"/>
    </font>
    <font>
      <sz val="10"/>
      <color indexed="9"/>
      <name val="Avenir LT Std 55 Roman"/>
      <family val="2"/>
    </font>
    <font>
      <b/>
      <sz val="18"/>
      <color indexed="9"/>
      <name val="Avenir LT Std 55 Roman"/>
      <family val="2"/>
    </font>
    <font>
      <b/>
      <sz val="9"/>
      <name val="Avenir LT Std 55 Roman"/>
      <family val="2"/>
    </font>
    <font>
      <sz val="16"/>
      <name val="Avenir LT Std 55 Roman"/>
      <family val="2"/>
    </font>
    <font>
      <sz val="10"/>
      <color theme="1"/>
      <name val="Avenir LT Std 55 Roman"/>
      <family val="2"/>
    </font>
    <font>
      <sz val="10"/>
      <name val="Avenir LT Std 55 Roman"/>
      <family val="2"/>
    </font>
    <font>
      <sz val="9"/>
      <name val="Avenir LT Std 55 Roman"/>
      <family val="2"/>
    </font>
    <font>
      <sz val="16"/>
      <color indexed="8"/>
      <name val="Avenir LT Std 55 Roman"/>
      <family val="2"/>
    </font>
    <font>
      <sz val="11"/>
      <color theme="0"/>
      <name val="Avenir LT Std 55 Roman"/>
      <family val="2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Avenir LT Std 55 Roman"/>
      <family val="2"/>
    </font>
    <font>
      <sz val="22"/>
      <color rgb="FF00B050"/>
      <name val="Avenir LT Std 55 Roman"/>
      <family val="2"/>
    </font>
    <font>
      <sz val="9"/>
      <color indexed="8"/>
      <name val="Avenir LT Std 55 Roman"/>
      <family val="2"/>
    </font>
    <font>
      <b/>
      <sz val="12"/>
      <color indexed="9"/>
      <name val="Avenir LT Std 55 Roman"/>
      <family val="2"/>
    </font>
    <font>
      <b/>
      <sz val="10"/>
      <color theme="0"/>
      <name val="Avenir LT Std 55 Roman"/>
      <family val="2"/>
    </font>
    <font>
      <b/>
      <sz val="10"/>
      <name val="Avenir LT Std 55 Roman"/>
      <family val="2"/>
    </font>
    <font>
      <sz val="10"/>
      <color indexed="8"/>
      <name val="Avenir LT Std 55 Roman"/>
      <family val="2"/>
    </font>
    <font>
      <b/>
      <sz val="10"/>
      <color indexed="8"/>
      <name val="Avenir LT Std 55 Roman"/>
      <family val="2"/>
    </font>
    <font>
      <sz val="22"/>
      <color theme="9" tint="-0.249977111117893"/>
      <name val="Avenir LT Std 55 Roman"/>
      <family val="2"/>
    </font>
    <font>
      <b/>
      <sz val="12"/>
      <color theme="0"/>
      <name val="Avenir LT Std 55 Roman"/>
      <family val="2"/>
    </font>
    <font>
      <sz val="22"/>
      <color theme="7" tint="-0.249977111117893"/>
      <name val="Avenir LT Std 55 Roman"/>
      <family val="2"/>
    </font>
    <font>
      <b/>
      <sz val="10"/>
      <color indexed="8"/>
      <name val="Arial"/>
      <family val="2"/>
    </font>
    <font>
      <sz val="26"/>
      <color theme="1"/>
      <name val="Avenir LT Std 55 Roman"/>
      <family val="2"/>
    </font>
    <font>
      <sz val="8"/>
      <color indexed="8"/>
      <name val="Avenir LT Std 55 Roman"/>
      <family val="2"/>
    </font>
    <font>
      <sz val="8"/>
      <name val="Avenir LT Std 55 Roman"/>
      <family val="2"/>
    </font>
    <font>
      <sz val="10"/>
      <color indexed="8"/>
      <name val="Avenir LT Std 55 Roman"/>
      <family val="2"/>
    </font>
    <font>
      <sz val="10"/>
      <color rgb="FF19130D"/>
      <name val="Arial"/>
      <family val="2"/>
    </font>
    <font>
      <sz val="12"/>
      <color theme="1"/>
      <name val="Arial"/>
      <family val="2"/>
    </font>
    <font>
      <u/>
      <sz val="10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sz val="16"/>
      <name val="Wingdings"/>
      <charset val="2"/>
    </font>
    <font>
      <sz val="14"/>
      <name val="Calibri"/>
      <family val="2"/>
    </font>
    <font>
      <sz val="9"/>
      <color rgb="FFFF0000"/>
      <name val="Arial"/>
      <family val="2"/>
    </font>
    <font>
      <sz val="12"/>
      <color theme="1"/>
      <name val="Calibri"/>
      <family val="2"/>
      <scheme val="minor"/>
    </font>
  </fonts>
  <fills count="86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  <fill>
      <patternFill patternType="lightUp"/>
    </fill>
    <fill>
      <patternFill patternType="solid">
        <fgColor theme="0" tint="-0.34998626667073579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7CBF33"/>
        <bgColor indexed="64"/>
      </patternFill>
    </fill>
    <fill>
      <patternFill patternType="solid">
        <fgColor rgb="FF0070C0"/>
        <bgColor indexed="64"/>
      </patternFill>
    </fill>
  </fills>
  <borders count="6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</borders>
  <cellStyleXfs count="47">
    <xf numFmtId="0" fontId="0" fillId="0" borderId="0"/>
    <xf numFmtId="0" fontId="20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9" fillId="0" borderId="0"/>
    <xf numFmtId="0" fontId="21" fillId="21" borderId="0" applyNumberFormat="0" applyBorder="0" applyAlignment="0" applyProtection="0"/>
    <xf numFmtId="0" fontId="21" fillId="22" borderId="0" applyNumberFormat="0" applyBorder="0" applyAlignment="0" applyProtection="0"/>
    <xf numFmtId="0" fontId="32" fillId="0" borderId="0" applyNumberFormat="0" applyFill="0" applyBorder="0" applyAlignment="0" applyProtection="0"/>
    <xf numFmtId="0" fontId="33" fillId="0" borderId="44" applyNumberFormat="0" applyFill="0" applyAlignment="0" applyProtection="0"/>
    <xf numFmtId="0" fontId="34" fillId="0" borderId="45" applyNumberFormat="0" applyFill="0" applyAlignment="0" applyProtection="0"/>
    <xf numFmtId="0" fontId="35" fillId="0" borderId="46" applyNumberFormat="0" applyFill="0" applyAlignment="0" applyProtection="0"/>
    <xf numFmtId="0" fontId="35" fillId="0" borderId="0" applyNumberFormat="0" applyFill="0" applyBorder="0" applyAlignment="0" applyProtection="0"/>
    <xf numFmtId="0" fontId="36" fillId="39" borderId="0" applyNumberFormat="0" applyBorder="0" applyAlignment="0" applyProtection="0"/>
    <xf numFmtId="0" fontId="37" fillId="40" borderId="0" applyNumberFormat="0" applyBorder="0" applyAlignment="0" applyProtection="0"/>
    <xf numFmtId="0" fontId="38" fillId="41" borderId="0" applyNumberFormat="0" applyBorder="0" applyAlignment="0" applyProtection="0"/>
    <xf numFmtId="0" fontId="39" fillId="42" borderId="47" applyNumberFormat="0" applyAlignment="0" applyProtection="0"/>
    <xf numFmtId="0" fontId="40" fillId="43" borderId="48" applyNumberFormat="0" applyAlignment="0" applyProtection="0"/>
    <xf numFmtId="0" fontId="41" fillId="43" borderId="47" applyNumberFormat="0" applyAlignment="0" applyProtection="0"/>
    <xf numFmtId="0" fontId="42" fillId="0" borderId="49" applyNumberFormat="0" applyFill="0" applyAlignment="0" applyProtection="0"/>
    <xf numFmtId="0" fontId="43" fillId="44" borderId="50" applyNumberFormat="0" applyAlignment="0" applyProtection="0"/>
    <xf numFmtId="0" fontId="44" fillId="0" borderId="0" applyNumberFormat="0" applyFill="0" applyBorder="0" applyAlignment="0" applyProtection="0"/>
    <xf numFmtId="0" fontId="31" fillId="45" borderId="51" applyNumberFormat="0" applyFont="0" applyAlignment="0" applyProtection="0"/>
    <xf numFmtId="0" fontId="45" fillId="0" borderId="0" applyNumberFormat="0" applyFill="0" applyBorder="0" applyAlignment="0" applyProtection="0"/>
    <xf numFmtId="0" fontId="22" fillId="0" borderId="52" applyNumberFormat="0" applyFill="0" applyAlignment="0" applyProtection="0"/>
    <xf numFmtId="0" fontId="21" fillId="46" borderId="0" applyNumberFormat="0" applyBorder="0" applyAlignment="0" applyProtection="0"/>
    <xf numFmtId="0" fontId="31" fillId="47" borderId="0" applyNumberFormat="0" applyBorder="0" applyAlignment="0" applyProtection="0"/>
    <xf numFmtId="0" fontId="31" fillId="48" borderId="0" applyNumberFormat="0" applyBorder="0" applyAlignment="0" applyProtection="0"/>
    <xf numFmtId="0" fontId="21" fillId="49" borderId="0" applyNumberFormat="0" applyBorder="0" applyAlignment="0" applyProtection="0"/>
    <xf numFmtId="0" fontId="31" fillId="50" borderId="0" applyNumberFormat="0" applyBorder="0" applyAlignment="0" applyProtection="0"/>
    <xf numFmtId="0" fontId="31" fillId="51" borderId="0" applyNumberFormat="0" applyBorder="0" applyAlignment="0" applyProtection="0"/>
    <xf numFmtId="0" fontId="21" fillId="52" borderId="0" applyNumberFormat="0" applyBorder="0" applyAlignment="0" applyProtection="0"/>
    <xf numFmtId="0" fontId="31" fillId="53" borderId="0" applyNumberFormat="0" applyBorder="0" applyAlignment="0" applyProtection="0"/>
    <xf numFmtId="0" fontId="31" fillId="54" borderId="0" applyNumberFormat="0" applyBorder="0" applyAlignment="0" applyProtection="0"/>
    <xf numFmtId="0" fontId="21" fillId="55" borderId="0" applyNumberFormat="0" applyBorder="0" applyAlignment="0" applyProtection="0"/>
    <xf numFmtId="0" fontId="21" fillId="56" borderId="0" applyNumberFormat="0" applyBorder="0" applyAlignment="0" applyProtection="0"/>
    <xf numFmtId="0" fontId="31" fillId="57" borderId="0" applyNumberFormat="0" applyBorder="0" applyAlignment="0" applyProtection="0"/>
    <xf numFmtId="0" fontId="31" fillId="58" borderId="0" applyNumberFormat="0" applyBorder="0" applyAlignment="0" applyProtection="0"/>
    <xf numFmtId="0" fontId="21" fillId="59" borderId="0" applyNumberFormat="0" applyBorder="0" applyAlignment="0" applyProtection="0"/>
    <xf numFmtId="0" fontId="21" fillId="60" borderId="0" applyNumberFormat="0" applyBorder="0" applyAlignment="0" applyProtection="0"/>
    <xf numFmtId="0" fontId="31" fillId="61" borderId="0" applyNumberFormat="0" applyBorder="0" applyAlignment="0" applyProtection="0"/>
    <xf numFmtId="0" fontId="31" fillId="62" borderId="0" applyNumberFormat="0" applyBorder="0" applyAlignment="0" applyProtection="0"/>
    <xf numFmtId="0" fontId="21" fillId="63" borderId="0" applyNumberFormat="0" applyBorder="0" applyAlignment="0" applyProtection="0"/>
    <xf numFmtId="0" fontId="21" fillId="64" borderId="0" applyNumberFormat="0" applyBorder="0" applyAlignment="0" applyProtection="0"/>
    <xf numFmtId="0" fontId="31" fillId="65" borderId="0" applyNumberFormat="0" applyBorder="0" applyAlignment="0" applyProtection="0"/>
    <xf numFmtId="0" fontId="31" fillId="66" borderId="0" applyNumberFormat="0" applyBorder="0" applyAlignment="0" applyProtection="0"/>
    <xf numFmtId="0" fontId="21" fillId="67" borderId="0" applyNumberFormat="0" applyBorder="0" applyAlignment="0" applyProtection="0"/>
    <xf numFmtId="164" fontId="31" fillId="0" borderId="0" applyFont="0" applyFill="0" applyBorder="0" applyAlignment="0" applyProtection="0"/>
    <xf numFmtId="9" fontId="31" fillId="0" borderId="0" applyFont="0" applyFill="0" applyBorder="0" applyAlignment="0" applyProtection="0"/>
  </cellStyleXfs>
  <cellXfs count="623">
    <xf numFmtId="0" fontId="0" fillId="0" borderId="0" xfId="0"/>
    <xf numFmtId="0" fontId="2" fillId="0" borderId="2" xfId="0" applyFont="1" applyBorder="1" applyAlignment="1" applyProtection="1">
      <alignment horizontal="center" vertical="center" wrapText="1"/>
      <protection locked="0"/>
    </xf>
    <xf numFmtId="1" fontId="1" fillId="0" borderId="0" xfId="0" applyNumberFormat="1" applyFont="1" applyAlignment="1" applyProtection="1">
      <alignment vertical="center" wrapText="1"/>
      <protection locked="0"/>
    </xf>
    <xf numFmtId="49" fontId="6" fillId="0" borderId="2" xfId="0" applyNumberFormat="1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165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vertical="center" wrapText="1"/>
      <protection locked="0"/>
    </xf>
    <xf numFmtId="49" fontId="6" fillId="0" borderId="6" xfId="0" applyNumberFormat="1" applyFont="1" applyBorder="1" applyAlignment="1" applyProtection="1">
      <alignment vertical="center" wrapText="1"/>
      <protection locked="0"/>
    </xf>
    <xf numFmtId="0" fontId="6" fillId="0" borderId="6" xfId="0" applyFont="1" applyBorder="1" applyAlignment="1" applyProtection="1">
      <alignment horizontal="center" vertical="center" wrapText="1"/>
      <protection locked="0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/>
    <xf numFmtId="0" fontId="6" fillId="0" borderId="0" xfId="0" applyFont="1" applyBorder="1"/>
    <xf numFmtId="0" fontId="6" fillId="0" borderId="0" xfId="0" applyFont="1" applyFill="1" applyBorder="1"/>
    <xf numFmtId="0" fontId="1" fillId="2" borderId="9" xfId="0" applyFont="1" applyFill="1" applyBorder="1" applyAlignment="1">
      <alignment horizontal="center" vertical="center"/>
    </xf>
    <xf numFmtId="0" fontId="1" fillId="9" borderId="9" xfId="0" applyFont="1" applyFill="1" applyBorder="1" applyAlignment="1">
      <alignment horizontal="center" vertical="center"/>
    </xf>
    <xf numFmtId="0" fontId="1" fillId="10" borderId="9" xfId="0" applyFont="1" applyFill="1" applyBorder="1" applyAlignment="1">
      <alignment horizontal="center" vertical="center"/>
    </xf>
    <xf numFmtId="0" fontId="1" fillId="11" borderId="9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6" fillId="0" borderId="0" xfId="0" applyFont="1" applyAlignment="1">
      <alignment horizontal="left"/>
    </xf>
    <xf numFmtId="0" fontId="6" fillId="0" borderId="9" xfId="0" applyFont="1" applyBorder="1" applyAlignment="1">
      <alignment horizontal="left" vertical="center"/>
    </xf>
    <xf numFmtId="0" fontId="2" fillId="0" borderId="0" xfId="2" applyAlignment="1">
      <alignment vertical="center"/>
    </xf>
    <xf numFmtId="14" fontId="2" fillId="0" borderId="0" xfId="2" applyNumberFormat="1" applyAlignment="1">
      <alignment horizontal="center" vertical="center"/>
    </xf>
    <xf numFmtId="0" fontId="2" fillId="0" borderId="0" xfId="2" applyAlignment="1">
      <alignment horizontal="center" vertical="center"/>
    </xf>
    <xf numFmtId="0" fontId="2" fillId="0" borderId="0" xfId="2" applyBorder="1" applyAlignment="1">
      <alignment vertical="center"/>
    </xf>
    <xf numFmtId="14" fontId="2" fillId="0" borderId="0" xfId="2" applyNumberFormat="1" applyBorder="1" applyAlignment="1">
      <alignment horizontal="center" vertical="center"/>
    </xf>
    <xf numFmtId="0" fontId="2" fillId="0" borderId="0" xfId="2" applyBorder="1" applyAlignment="1">
      <alignment horizontal="center" vertical="center"/>
    </xf>
    <xf numFmtId="14" fontId="2" fillId="0" borderId="0" xfId="2" applyNumberFormat="1" applyBorder="1" applyAlignment="1">
      <alignment vertical="center"/>
    </xf>
    <xf numFmtId="0" fontId="2" fillId="0" borderId="0" xfId="2" applyFill="1" applyBorder="1" applyAlignment="1">
      <alignment vertical="center"/>
    </xf>
    <xf numFmtId="14" fontId="2" fillId="0" borderId="0" xfId="2" applyNumberFormat="1" applyFill="1" applyBorder="1" applyAlignment="1">
      <alignment vertical="center"/>
    </xf>
    <xf numFmtId="14" fontId="2" fillId="0" borderId="0" xfId="2" applyNumberFormat="1" applyFill="1" applyBorder="1" applyAlignment="1">
      <alignment horizontal="center" vertical="center"/>
    </xf>
    <xf numFmtId="166" fontId="2" fillId="0" borderId="0" xfId="2" applyNumberFormat="1" applyBorder="1" applyAlignment="1">
      <alignment horizontal="center" vertical="center"/>
    </xf>
    <xf numFmtId="0" fontId="1" fillId="0" borderId="9" xfId="2" applyNumberFormat="1" applyFont="1" applyBorder="1" applyAlignment="1">
      <alignment horizontal="center" vertical="center"/>
    </xf>
    <xf numFmtId="0" fontId="2" fillId="2" borderId="9" xfId="2" applyFill="1" applyBorder="1" applyAlignment="1">
      <alignment horizontal="center" vertical="center"/>
    </xf>
    <xf numFmtId="1" fontId="1" fillId="0" borderId="9" xfId="2" applyNumberFormat="1" applyFont="1" applyBorder="1" applyAlignment="1">
      <alignment horizontal="center" vertical="center"/>
    </xf>
    <xf numFmtId="0" fontId="2" fillId="0" borderId="9" xfId="2" applyBorder="1" applyAlignment="1">
      <alignment horizontal="center" vertical="center"/>
    </xf>
    <xf numFmtId="0" fontId="2" fillId="0" borderId="9" xfId="2" applyFill="1" applyBorder="1" applyAlignment="1">
      <alignment horizontal="center" vertical="center"/>
    </xf>
    <xf numFmtId="0" fontId="2" fillId="2" borderId="9" xfId="2" applyFill="1" applyBorder="1" applyAlignment="1">
      <alignment vertical="center"/>
    </xf>
    <xf numFmtId="0" fontId="2" fillId="0" borderId="0" xfId="2" applyFill="1" applyBorder="1" applyAlignment="1">
      <alignment horizontal="left" vertical="center"/>
    </xf>
    <xf numFmtId="0" fontId="2" fillId="0" borderId="0" xfId="2" applyFill="1" applyBorder="1" applyAlignment="1">
      <alignment horizontal="center" vertical="center"/>
    </xf>
    <xf numFmtId="14" fontId="2" fillId="0" borderId="9" xfId="2" applyNumberFormat="1" applyBorder="1" applyAlignment="1">
      <alignment horizontal="center" vertical="center"/>
    </xf>
    <xf numFmtId="0" fontId="1" fillId="0" borderId="9" xfId="2" applyFont="1" applyBorder="1" applyAlignment="1">
      <alignment horizontal="center" vertical="center"/>
    </xf>
    <xf numFmtId="14" fontId="1" fillId="0" borderId="9" xfId="2" applyNumberFormat="1" applyFont="1" applyBorder="1" applyAlignment="1">
      <alignment horizontal="center" vertical="center"/>
    </xf>
    <xf numFmtId="0" fontId="2" fillId="0" borderId="9" xfId="2" applyFill="1" applyBorder="1" applyAlignment="1">
      <alignment vertical="center"/>
    </xf>
    <xf numFmtId="0" fontId="2" fillId="0" borderId="9" xfId="2" applyBorder="1" applyAlignment="1">
      <alignment vertical="center"/>
    </xf>
    <xf numFmtId="0" fontId="2" fillId="0" borderId="0" xfId="2"/>
    <xf numFmtId="0" fontId="9" fillId="0" borderId="0" xfId="3" applyAlignment="1">
      <alignment vertical="center" wrapText="1"/>
    </xf>
    <xf numFmtId="0" fontId="12" fillId="14" borderId="0" xfId="3" applyFont="1" applyFill="1" applyAlignment="1">
      <alignment horizontal="center" vertical="center" wrapText="1"/>
    </xf>
    <xf numFmtId="0" fontId="9" fillId="0" borderId="0" xfId="3" applyAlignment="1">
      <alignment horizontal="center" vertical="center" wrapText="1"/>
    </xf>
    <xf numFmtId="0" fontId="13" fillId="0" borderId="0" xfId="3" applyFont="1" applyAlignment="1">
      <alignment horizontal="center" vertical="center" wrapText="1"/>
    </xf>
    <xf numFmtId="0" fontId="9" fillId="0" borderId="9" xfId="3" applyBorder="1" applyAlignment="1">
      <alignment horizontal="center" vertical="center" wrapText="1"/>
    </xf>
    <xf numFmtId="0" fontId="14" fillId="0" borderId="0" xfId="3" applyFont="1" applyAlignment="1">
      <alignment horizontal="center" vertical="center" wrapText="1"/>
    </xf>
    <xf numFmtId="0" fontId="9" fillId="0" borderId="0" xfId="3" applyFill="1" applyAlignment="1">
      <alignment horizontal="center" vertical="center" wrapText="1"/>
    </xf>
    <xf numFmtId="0" fontId="9" fillId="0" borderId="0" xfId="3" applyNumberFormat="1" applyAlignment="1">
      <alignment horizontal="center" vertical="center" wrapText="1"/>
    </xf>
    <xf numFmtId="14" fontId="6" fillId="0" borderId="0" xfId="0" applyNumberFormat="1" applyFont="1" applyBorder="1"/>
    <xf numFmtId="1" fontId="6" fillId="0" borderId="0" xfId="0" applyNumberFormat="1" applyFont="1"/>
    <xf numFmtId="0" fontId="6" fillId="0" borderId="0" xfId="0" applyNumberFormat="1" applyFont="1"/>
    <xf numFmtId="0" fontId="6" fillId="0" borderId="17" xfId="0" applyFont="1" applyBorder="1" applyAlignment="1" applyProtection="1">
      <alignment horizontal="center" vertical="center" wrapText="1"/>
      <protection locked="0"/>
    </xf>
    <xf numFmtId="0" fontId="1" fillId="7" borderId="9" xfId="2" applyFont="1" applyFill="1" applyBorder="1" applyAlignment="1">
      <alignment horizontal="center" vertical="center"/>
    </xf>
    <xf numFmtId="0" fontId="1" fillId="8" borderId="9" xfId="2" applyFont="1" applyFill="1" applyBorder="1" applyAlignment="1">
      <alignment horizontal="center" vertical="center"/>
    </xf>
    <xf numFmtId="0" fontId="1" fillId="16" borderId="9" xfId="2" applyFont="1" applyFill="1" applyBorder="1" applyAlignment="1">
      <alignment horizontal="center" vertical="center"/>
    </xf>
    <xf numFmtId="0" fontId="1" fillId="0" borderId="9" xfId="2" applyNumberFormat="1" applyFont="1" applyFill="1" applyBorder="1" applyAlignment="1">
      <alignment horizontal="center" vertical="center"/>
    </xf>
    <xf numFmtId="0" fontId="6" fillId="15" borderId="9" xfId="1" applyFont="1" applyFill="1" applyBorder="1" applyAlignment="1" applyProtection="1">
      <alignment horizontal="center" vertical="center" wrapText="1"/>
    </xf>
    <xf numFmtId="0" fontId="2" fillId="2" borderId="9" xfId="2" applyFont="1" applyFill="1" applyBorder="1" applyAlignment="1">
      <alignment vertical="center"/>
    </xf>
    <xf numFmtId="0" fontId="9" fillId="0" borderId="0" xfId="3" applyFill="1" applyBorder="1" applyAlignment="1">
      <alignment horizontal="center" vertical="center" wrapText="1"/>
    </xf>
    <xf numFmtId="0" fontId="9" fillId="0" borderId="0" xfId="3" applyBorder="1" applyAlignment="1">
      <alignment horizontal="center" vertical="center" wrapText="1"/>
    </xf>
    <xf numFmtId="0" fontId="15" fillId="0" borderId="0" xfId="0" applyFont="1"/>
    <xf numFmtId="0" fontId="17" fillId="0" borderId="0" xfId="0" applyFont="1" applyAlignment="1">
      <alignment horizontal="center" vertical="center"/>
    </xf>
    <xf numFmtId="0" fontId="9" fillId="0" borderId="9" xfId="3" applyFont="1" applyBorder="1" applyAlignment="1">
      <alignment horizontal="center" vertical="center" wrapText="1"/>
    </xf>
    <xf numFmtId="0" fontId="9" fillId="23" borderId="0" xfId="3" applyFill="1" applyAlignment="1">
      <alignment horizontal="center" vertical="center" wrapText="1"/>
    </xf>
    <xf numFmtId="0" fontId="9" fillId="23" borderId="0" xfId="3" applyFont="1" applyFill="1" applyAlignment="1">
      <alignment horizontal="center" vertical="center" wrapText="1"/>
    </xf>
    <xf numFmtId="0" fontId="9" fillId="23" borderId="9" xfId="3" applyFont="1" applyFill="1" applyBorder="1" applyAlignment="1">
      <alignment horizontal="center" vertical="center" wrapText="1"/>
    </xf>
    <xf numFmtId="0" fontId="9" fillId="23" borderId="0" xfId="3" applyFill="1" applyAlignment="1">
      <alignment vertical="center" wrapText="1"/>
    </xf>
    <xf numFmtId="0" fontId="24" fillId="27" borderId="13" xfId="2" applyFont="1" applyFill="1" applyBorder="1" applyAlignment="1">
      <alignment horizontal="center" vertical="center"/>
    </xf>
    <xf numFmtId="0" fontId="25" fillId="32" borderId="9" xfId="2" applyFont="1" applyFill="1" applyBorder="1" applyAlignment="1">
      <alignment horizontal="center" vertical="center"/>
    </xf>
    <xf numFmtId="0" fontId="1" fillId="0" borderId="27" xfId="2" applyFont="1" applyBorder="1" applyAlignment="1">
      <alignment horizontal="left" vertical="center"/>
    </xf>
    <xf numFmtId="14" fontId="2" fillId="0" borderId="9" xfId="2" applyNumberForma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9" xfId="0" applyBorder="1"/>
    <xf numFmtId="0" fontId="1" fillId="29" borderId="9" xfId="0" applyFont="1" applyFill="1" applyBorder="1" applyAlignment="1">
      <alignment horizontal="center" vertical="center"/>
    </xf>
    <xf numFmtId="0" fontId="1" fillId="34" borderId="14" xfId="0" applyFont="1" applyFill="1" applyBorder="1" applyAlignment="1">
      <alignment horizontal="center" vertical="center"/>
    </xf>
    <xf numFmtId="0" fontId="1" fillId="34" borderId="9" xfId="0" applyFont="1" applyFill="1" applyBorder="1" applyAlignment="1">
      <alignment horizontal="center" vertical="center"/>
    </xf>
    <xf numFmtId="0" fontId="1" fillId="35" borderId="9" xfId="0" applyFont="1" applyFill="1" applyBorder="1" applyAlignment="1">
      <alignment horizontal="center" vertical="center"/>
    </xf>
    <xf numFmtId="0" fontId="1" fillId="36" borderId="9" xfId="0" applyFont="1" applyFill="1" applyBorder="1" applyAlignment="1">
      <alignment horizontal="center" vertical="center"/>
    </xf>
    <xf numFmtId="0" fontId="2" fillId="0" borderId="0" xfId="3" applyFont="1" applyBorder="1" applyAlignment="1">
      <alignment vertical="center" wrapText="1"/>
    </xf>
    <xf numFmtId="49" fontId="21" fillId="0" borderId="0" xfId="5" applyNumberFormat="1" applyFill="1" applyBorder="1" applyAlignment="1">
      <alignment horizontal="center" vertical="center" wrapText="1"/>
    </xf>
    <xf numFmtId="49" fontId="9" fillId="0" borderId="0" xfId="3" applyNumberFormat="1" applyFill="1" applyBorder="1" applyAlignment="1">
      <alignment horizontal="center" vertical="center" wrapText="1"/>
    </xf>
    <xf numFmtId="0" fontId="2" fillId="0" borderId="0" xfId="2" applyBorder="1" applyAlignment="1">
      <alignment horizontal="left" vertical="center"/>
    </xf>
    <xf numFmtId="0" fontId="0" fillId="0" borderId="18" xfId="0" applyBorder="1"/>
    <xf numFmtId="0" fontId="28" fillId="3" borderId="22" xfId="3" applyFont="1" applyFill="1" applyBorder="1" applyAlignment="1">
      <alignment horizontal="center" vertical="center" wrapText="1"/>
    </xf>
    <xf numFmtId="0" fontId="28" fillId="27" borderId="22" xfId="3" applyFont="1" applyFill="1" applyBorder="1" applyAlignment="1">
      <alignment horizontal="center" vertical="center" wrapText="1"/>
    </xf>
    <xf numFmtId="0" fontId="27" fillId="0" borderId="0" xfId="3" applyFont="1" applyAlignment="1">
      <alignment vertical="center" wrapText="1"/>
    </xf>
    <xf numFmtId="0" fontId="27" fillId="0" borderId="0" xfId="3" applyFont="1" applyBorder="1" applyAlignment="1">
      <alignment vertical="center" wrapText="1"/>
    </xf>
    <xf numFmtId="0" fontId="29" fillId="3" borderId="22" xfId="3" applyFont="1" applyFill="1" applyBorder="1" applyAlignment="1">
      <alignment horizontal="center" vertical="center" wrapText="1"/>
    </xf>
    <xf numFmtId="0" fontId="29" fillId="27" borderId="22" xfId="3" applyFont="1" applyFill="1" applyBorder="1" applyAlignment="1">
      <alignment horizontal="center" vertical="center" wrapText="1"/>
    </xf>
    <xf numFmtId="0" fontId="29" fillId="30" borderId="22" xfId="3" applyFont="1" applyFill="1" applyBorder="1" applyAlignment="1">
      <alignment horizontal="center" vertical="center" wrapText="1"/>
    </xf>
    <xf numFmtId="0" fontId="3" fillId="23" borderId="21" xfId="3" applyFont="1" applyFill="1" applyBorder="1" applyAlignment="1">
      <alignment horizontal="center" vertical="center" wrapText="1"/>
    </xf>
    <xf numFmtId="0" fontId="6" fillId="0" borderId="4" xfId="0" applyNumberFormat="1" applyFont="1" applyBorder="1" applyAlignment="1" applyProtection="1">
      <alignment horizontal="center" vertical="center" wrapText="1"/>
      <protection locked="0"/>
    </xf>
    <xf numFmtId="0" fontId="1" fillId="38" borderId="9" xfId="0" applyFont="1" applyFill="1" applyBorder="1" applyAlignment="1">
      <alignment horizontal="center" vertical="center"/>
    </xf>
    <xf numFmtId="0" fontId="2" fillId="2" borderId="10" xfId="2" applyFill="1" applyBorder="1" applyAlignment="1">
      <alignment horizontal="center" vertical="center"/>
    </xf>
    <xf numFmtId="0" fontId="2" fillId="2" borderId="10" xfId="2" applyFill="1" applyBorder="1" applyAlignment="1">
      <alignment vertical="center"/>
    </xf>
    <xf numFmtId="14" fontId="2" fillId="2" borderId="10" xfId="2" applyNumberFormat="1" applyFont="1" applyFill="1" applyBorder="1" applyAlignment="1">
      <alignment horizontal="center" vertical="center"/>
    </xf>
    <xf numFmtId="14" fontId="2" fillId="2" borderId="10" xfId="2" applyNumberFormat="1" applyFill="1" applyBorder="1" applyAlignment="1">
      <alignment horizontal="center" vertical="center"/>
    </xf>
    <xf numFmtId="14" fontId="2" fillId="2" borderId="33" xfId="2" applyNumberFormat="1" applyFill="1" applyBorder="1" applyAlignment="1">
      <alignment horizontal="center" vertical="center"/>
    </xf>
    <xf numFmtId="0" fontId="2" fillId="2" borderId="26" xfId="2" applyFont="1" applyFill="1" applyBorder="1" applyAlignment="1">
      <alignment horizontal="center" vertical="center"/>
    </xf>
    <xf numFmtId="0" fontId="2" fillId="2" borderId="10" xfId="2" applyFont="1" applyFill="1" applyBorder="1" applyAlignment="1">
      <alignment horizontal="center" vertical="center"/>
    </xf>
    <xf numFmtId="14" fontId="2" fillId="2" borderId="25" xfId="2" applyNumberFormat="1" applyFont="1" applyFill="1" applyBorder="1" applyAlignment="1">
      <alignment horizontal="center" vertical="center"/>
    </xf>
    <xf numFmtId="0" fontId="2" fillId="2" borderId="34" xfId="2" applyFont="1" applyFill="1" applyBorder="1" applyAlignment="1">
      <alignment horizontal="center" vertical="center"/>
    </xf>
    <xf numFmtId="0" fontId="50" fillId="72" borderId="9" xfId="0" applyFont="1" applyFill="1" applyBorder="1" applyAlignment="1">
      <alignment horizontal="center" vertical="center"/>
    </xf>
    <xf numFmtId="11" fontId="6" fillId="0" borderId="0" xfId="0" applyNumberFormat="1" applyFont="1"/>
    <xf numFmtId="0" fontId="9" fillId="0" borderId="0" xfId="3" applyFont="1" applyBorder="1" applyAlignment="1">
      <alignment horizontal="center" vertical="center" wrapText="1"/>
    </xf>
    <xf numFmtId="0" fontId="11" fillId="28" borderId="0" xfId="3" applyFont="1" applyFill="1" applyAlignment="1">
      <alignment horizontal="left" vertical="center" wrapText="1"/>
    </xf>
    <xf numFmtId="0" fontId="2" fillId="0" borderId="0" xfId="3" applyFont="1" applyBorder="1" applyAlignment="1">
      <alignment horizontal="center" vertical="center" wrapText="1"/>
    </xf>
    <xf numFmtId="0" fontId="17" fillId="0" borderId="0" xfId="0" applyFont="1" applyBorder="1" applyAlignment="1">
      <alignment horizontal="center" vertical="center"/>
    </xf>
    <xf numFmtId="0" fontId="11" fillId="0" borderId="0" xfId="3" applyFont="1" applyFill="1" applyAlignment="1">
      <alignment horizontal="left" vertical="center" wrapText="1"/>
    </xf>
    <xf numFmtId="0" fontId="6" fillId="0" borderId="0" xfId="1" applyFont="1" applyFill="1" applyBorder="1" applyAlignment="1" applyProtection="1">
      <alignment horizontal="center" vertical="center" wrapText="1"/>
    </xf>
    <xf numFmtId="0" fontId="14" fillId="0" borderId="0" xfId="3" applyFont="1" applyFill="1" applyAlignment="1">
      <alignment horizontal="center" vertical="center" wrapText="1"/>
    </xf>
    <xf numFmtId="0" fontId="3" fillId="0" borderId="0" xfId="3" applyFont="1" applyFill="1" applyBorder="1" applyAlignment="1">
      <alignment horizontal="center" vertical="center" wrapText="1"/>
    </xf>
    <xf numFmtId="0" fontId="9" fillId="0" borderId="0" xfId="3" applyFill="1" applyAlignment="1">
      <alignment vertical="center" wrapText="1"/>
    </xf>
    <xf numFmtId="0" fontId="3" fillId="0" borderId="0" xfId="3" applyFont="1" applyFill="1" applyAlignment="1">
      <alignment horizontal="left" vertical="center" wrapText="1"/>
    </xf>
    <xf numFmtId="0" fontId="52" fillId="14" borderId="9" xfId="3" applyFont="1" applyFill="1" applyBorder="1" applyAlignment="1">
      <alignment horizontal="center" vertical="center" wrapText="1"/>
    </xf>
    <xf numFmtId="0" fontId="53" fillId="14" borderId="0" xfId="3" applyFont="1" applyFill="1" applyAlignment="1">
      <alignment horizontal="center" vertical="center" wrapText="1"/>
    </xf>
    <xf numFmtId="0" fontId="54" fillId="32" borderId="22" xfId="3" applyFont="1" applyFill="1" applyBorder="1" applyAlignment="1">
      <alignment horizontal="center" vertical="center" wrapText="1"/>
    </xf>
    <xf numFmtId="0" fontId="54" fillId="3" borderId="22" xfId="3" applyFont="1" applyFill="1" applyBorder="1" applyAlignment="1">
      <alignment horizontal="center" vertical="center" wrapText="1"/>
    </xf>
    <xf numFmtId="0" fontId="54" fillId="27" borderId="22" xfId="3" applyFont="1" applyFill="1" applyBorder="1" applyAlignment="1">
      <alignment horizontal="center" vertical="center" wrapText="1"/>
    </xf>
    <xf numFmtId="0" fontId="54" fillId="30" borderId="22" xfId="3" applyFont="1" applyFill="1" applyBorder="1" applyAlignment="1">
      <alignment horizontal="center" vertical="center" wrapText="1"/>
    </xf>
    <xf numFmtId="0" fontId="57" fillId="0" borderId="9" xfId="3" applyFont="1" applyBorder="1" applyAlignment="1">
      <alignment horizontal="center" vertical="center" wrapText="1"/>
    </xf>
    <xf numFmtId="0" fontId="55" fillId="69" borderId="9" xfId="3" applyFont="1" applyFill="1" applyBorder="1" applyAlignment="1">
      <alignment horizontal="left" vertical="center" wrapText="1"/>
    </xf>
    <xf numFmtId="0" fontId="56" fillId="0" borderId="9" xfId="0" applyFont="1" applyBorder="1" applyAlignment="1">
      <alignment horizontal="left" wrapText="1"/>
    </xf>
    <xf numFmtId="49" fontId="56" fillId="23" borderId="9" xfId="5" applyNumberFormat="1" applyFont="1" applyFill="1" applyBorder="1" applyAlignment="1">
      <alignment horizontal="left" vertical="center" wrapText="1"/>
    </xf>
    <xf numFmtId="0" fontId="56" fillId="23" borderId="9" xfId="5" applyFont="1" applyFill="1" applyBorder="1" applyAlignment="1">
      <alignment horizontal="left" vertical="center" wrapText="1"/>
    </xf>
    <xf numFmtId="0" fontId="56" fillId="23" borderId="9" xfId="3" applyFont="1" applyFill="1" applyBorder="1" applyAlignment="1">
      <alignment horizontal="left" vertical="center" wrapText="1"/>
    </xf>
    <xf numFmtId="0" fontId="56" fillId="24" borderId="9" xfId="3" applyFont="1" applyFill="1" applyBorder="1" applyAlignment="1">
      <alignment horizontal="left" vertical="center" wrapText="1"/>
    </xf>
    <xf numFmtId="0" fontId="57" fillId="0" borderId="9" xfId="3" applyFont="1" applyBorder="1" applyAlignment="1">
      <alignment horizontal="left" vertical="center" wrapText="1"/>
    </xf>
    <xf numFmtId="0" fontId="58" fillId="0" borderId="9" xfId="3" applyFont="1" applyBorder="1" applyAlignment="1">
      <alignment horizontal="left" vertical="center" wrapText="1"/>
    </xf>
    <xf numFmtId="0" fontId="56" fillId="0" borderId="9" xfId="3" applyFont="1" applyFill="1" applyBorder="1" applyAlignment="1">
      <alignment horizontal="left" vertical="center" wrapText="1"/>
    </xf>
    <xf numFmtId="49" fontId="56" fillId="24" borderId="9" xfId="3" applyNumberFormat="1" applyFont="1" applyFill="1" applyBorder="1" applyAlignment="1">
      <alignment horizontal="left" vertical="center" wrapText="1"/>
    </xf>
    <xf numFmtId="0" fontId="55" fillId="25" borderId="9" xfId="3" applyFont="1" applyFill="1" applyBorder="1" applyAlignment="1">
      <alignment horizontal="left" vertical="center" wrapText="1"/>
    </xf>
    <xf numFmtId="0" fontId="56" fillId="38" borderId="9" xfId="3" applyFont="1" applyFill="1" applyBorder="1" applyAlignment="1">
      <alignment horizontal="left" vertical="center" wrapText="1"/>
    </xf>
    <xf numFmtId="49" fontId="56" fillId="0" borderId="9" xfId="5" applyNumberFormat="1" applyFont="1" applyFill="1" applyBorder="1" applyAlignment="1">
      <alignment horizontal="left" vertical="center" wrapText="1"/>
    </xf>
    <xf numFmtId="49" fontId="56" fillId="0" borderId="9" xfId="3" applyNumberFormat="1" applyFont="1" applyFill="1" applyBorder="1" applyAlignment="1">
      <alignment horizontal="left" vertical="center" wrapText="1"/>
    </xf>
    <xf numFmtId="0" fontId="59" fillId="25" borderId="9" xfId="0" applyFont="1" applyFill="1" applyBorder="1" applyAlignment="1">
      <alignment horizontal="left" vertical="center"/>
    </xf>
    <xf numFmtId="49" fontId="56" fillId="24" borderId="9" xfId="5" applyNumberFormat="1" applyFont="1" applyFill="1" applyBorder="1" applyAlignment="1">
      <alignment horizontal="left" vertical="center" wrapText="1"/>
    </xf>
    <xf numFmtId="0" fontId="59" fillId="69" borderId="9" xfId="0" applyFont="1" applyFill="1" applyBorder="1" applyAlignment="1">
      <alignment horizontal="left" vertical="center"/>
    </xf>
    <xf numFmtId="0" fontId="59" fillId="20" borderId="9" xfId="0" applyFont="1" applyFill="1" applyBorder="1" applyAlignment="1">
      <alignment horizontal="left" vertical="center"/>
    </xf>
    <xf numFmtId="0" fontId="57" fillId="0" borderId="9" xfId="3" applyFont="1" applyFill="1" applyBorder="1" applyAlignment="1">
      <alignment horizontal="left" vertical="center" wrapText="1"/>
    </xf>
    <xf numFmtId="49" fontId="60" fillId="0" borderId="9" xfId="5" applyNumberFormat="1" applyFont="1" applyFill="1" applyBorder="1" applyAlignment="1">
      <alignment horizontal="left" vertical="center" wrapText="1"/>
    </xf>
    <xf numFmtId="0" fontId="57" fillId="24" borderId="9" xfId="3" applyFont="1" applyFill="1" applyBorder="1" applyAlignment="1">
      <alignment horizontal="left" vertical="center" wrapText="1"/>
    </xf>
    <xf numFmtId="49" fontId="57" fillId="0" borderId="9" xfId="3" applyNumberFormat="1" applyFont="1" applyFill="1" applyBorder="1" applyAlignment="1">
      <alignment horizontal="left" vertical="center" wrapText="1"/>
    </xf>
    <xf numFmtId="49" fontId="60" fillId="24" borderId="9" xfId="5" applyNumberFormat="1" applyFont="1" applyFill="1" applyBorder="1" applyAlignment="1">
      <alignment horizontal="left" vertical="center" wrapText="1"/>
    </xf>
    <xf numFmtId="49" fontId="57" fillId="24" borderId="9" xfId="3" applyNumberFormat="1" applyFont="1" applyFill="1" applyBorder="1" applyAlignment="1">
      <alignment horizontal="left" vertical="center" wrapText="1"/>
    </xf>
    <xf numFmtId="0" fontId="58" fillId="0" borderId="5" xfId="3" applyFont="1" applyBorder="1" applyAlignment="1">
      <alignment horizontal="left" vertical="center" wrapText="1"/>
    </xf>
    <xf numFmtId="0" fontId="54" fillId="30" borderId="36" xfId="3" applyFont="1" applyFill="1" applyBorder="1" applyAlignment="1">
      <alignment horizontal="center" vertical="center" wrapText="1"/>
    </xf>
    <xf numFmtId="0" fontId="3" fillId="69" borderId="37" xfId="3" applyFont="1" applyFill="1" applyBorder="1" applyAlignment="1">
      <alignment horizontal="left" vertical="center" wrapText="1"/>
    </xf>
    <xf numFmtId="0" fontId="3" fillId="25" borderId="37" xfId="3" applyFont="1" applyFill="1" applyBorder="1" applyAlignment="1">
      <alignment horizontal="left" vertical="center" wrapText="1"/>
    </xf>
    <xf numFmtId="0" fontId="3" fillId="20" borderId="37" xfId="3" applyFont="1" applyFill="1" applyBorder="1" applyAlignment="1">
      <alignment horizontal="left" vertical="center" wrapText="1"/>
    </xf>
    <xf numFmtId="14" fontId="2" fillId="23" borderId="9" xfId="2" applyNumberFormat="1" applyFill="1" applyBorder="1" applyAlignment="1">
      <alignment horizontal="center" vertical="center"/>
    </xf>
    <xf numFmtId="14" fontId="2" fillId="23" borderId="9" xfId="2" applyNumberFormat="1" applyFont="1" applyFill="1" applyBorder="1" applyAlignment="1">
      <alignment horizontal="center" vertical="center"/>
    </xf>
    <xf numFmtId="14" fontId="2" fillId="23" borderId="9" xfId="2" applyNumberFormat="1" applyFill="1" applyBorder="1" applyAlignment="1">
      <alignment vertical="center"/>
    </xf>
    <xf numFmtId="0" fontId="2" fillId="74" borderId="9" xfId="2" applyFill="1" applyBorder="1" applyAlignment="1">
      <alignment vertical="center"/>
    </xf>
    <xf numFmtId="0" fontId="2" fillId="74" borderId="9" xfId="2" applyFont="1" applyFill="1" applyBorder="1" applyAlignment="1">
      <alignment vertical="center"/>
    </xf>
    <xf numFmtId="0" fontId="1" fillId="2" borderId="36" xfId="0" applyFont="1" applyFill="1" applyBorder="1" applyAlignment="1">
      <alignment horizontal="center" vertical="center"/>
    </xf>
    <xf numFmtId="0" fontId="1" fillId="2" borderId="57" xfId="0" applyFont="1" applyFill="1" applyBorder="1" applyAlignment="1">
      <alignment horizontal="center" vertical="center"/>
    </xf>
    <xf numFmtId="0" fontId="1" fillId="2" borderId="38" xfId="0" applyFont="1" applyFill="1" applyBorder="1" applyAlignment="1">
      <alignment horizontal="center" vertical="center"/>
    </xf>
    <xf numFmtId="0" fontId="2" fillId="0" borderId="2" xfId="0" applyFont="1" applyBorder="1" applyAlignment="1" applyProtection="1">
      <alignment horizontal="center" vertical="center" wrapText="1"/>
      <protection locked="0"/>
    </xf>
    <xf numFmtId="49" fontId="6" fillId="0" borderId="2" xfId="0" applyNumberFormat="1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165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vertical="center" wrapText="1"/>
      <protection locked="0"/>
    </xf>
    <xf numFmtId="1" fontId="6" fillId="0" borderId="2" xfId="0" applyNumberFormat="1" applyFont="1" applyBorder="1" applyAlignment="1" applyProtection="1">
      <alignment horizontal="center" vertical="center" wrapText="1"/>
      <protection locked="0"/>
    </xf>
    <xf numFmtId="49" fontId="6" fillId="0" borderId="6" xfId="0" applyNumberFormat="1" applyFont="1" applyBorder="1" applyAlignment="1" applyProtection="1">
      <alignment vertical="center" wrapText="1"/>
      <protection locked="0"/>
    </xf>
    <xf numFmtId="0" fontId="6" fillId="0" borderId="6" xfId="0" applyFont="1" applyBorder="1" applyAlignment="1" applyProtection="1">
      <alignment horizontal="center" vertical="center" wrapText="1"/>
      <protection locked="0"/>
    </xf>
    <xf numFmtId="10" fontId="6" fillId="3" borderId="3" xfId="0" applyNumberFormat="1" applyFont="1" applyFill="1" applyBorder="1" applyAlignment="1" applyProtection="1">
      <alignment horizontal="center" vertical="center" wrapText="1"/>
    </xf>
    <xf numFmtId="165" fontId="1" fillId="3" borderId="2" xfId="0" applyNumberFormat="1" applyFont="1" applyFill="1" applyBorder="1" applyAlignment="1" applyProtection="1">
      <alignment horizontal="center" vertical="center" wrapText="1"/>
    </xf>
    <xf numFmtId="0" fontId="6" fillId="0" borderId="2" xfId="0" applyFont="1" applyFill="1" applyBorder="1" applyAlignment="1" applyProtection="1">
      <alignment horizontal="center" vertical="center" wrapText="1"/>
      <protection locked="0"/>
    </xf>
    <xf numFmtId="0" fontId="6" fillId="0" borderId="3" xfId="0" applyFont="1" applyFill="1" applyBorder="1" applyAlignment="1" applyProtection="1">
      <alignment horizontal="center" vertical="center" wrapText="1"/>
      <protection locked="0"/>
    </xf>
    <xf numFmtId="0" fontId="6" fillId="0" borderId="17" xfId="0" applyFont="1" applyBorder="1" applyAlignment="1" applyProtection="1">
      <alignment horizontal="center" vertical="center" wrapText="1"/>
      <protection locked="0"/>
    </xf>
    <xf numFmtId="0" fontId="6" fillId="6" borderId="2" xfId="0" applyFont="1" applyFill="1" applyBorder="1" applyAlignment="1" applyProtection="1">
      <alignment horizontal="center" vertical="center" wrapText="1"/>
    </xf>
    <xf numFmtId="1" fontId="1" fillId="68" borderId="3" xfId="0" applyNumberFormat="1" applyFont="1" applyFill="1" applyBorder="1" applyAlignment="1" applyProtection="1">
      <alignment horizontal="center" vertical="center" wrapText="1"/>
    </xf>
    <xf numFmtId="0" fontId="6" fillId="0" borderId="4" xfId="0" applyNumberFormat="1" applyFont="1" applyBorder="1" applyAlignment="1" applyProtection="1">
      <alignment horizontal="center" vertical="center" wrapText="1"/>
      <protection locked="0"/>
    </xf>
    <xf numFmtId="14" fontId="6" fillId="0" borderId="4" xfId="0" applyNumberFormat="1" applyFont="1" applyBorder="1" applyAlignment="1" applyProtection="1">
      <alignment horizontal="center" vertical="center" wrapText="1"/>
      <protection locked="0"/>
    </xf>
    <xf numFmtId="0" fontId="0" fillId="0" borderId="0" xfId="0"/>
    <xf numFmtId="1" fontId="1" fillId="4" borderId="5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12" xfId="0" applyFont="1" applyFill="1" applyBorder="1" applyAlignment="1" applyProtection="1">
      <alignment horizontal="center" vertical="center" wrapText="1"/>
    </xf>
    <xf numFmtId="0" fontId="2" fillId="0" borderId="9" xfId="3" applyFont="1" applyFill="1" applyBorder="1" applyAlignment="1">
      <alignment vertical="center" wrapText="1"/>
    </xf>
    <xf numFmtId="0" fontId="9" fillId="0" borderId="9" xfId="3" applyFill="1" applyBorder="1" applyAlignment="1">
      <alignment horizontal="center" vertical="center" wrapText="1"/>
    </xf>
    <xf numFmtId="0" fontId="30" fillId="0" borderId="9" xfId="3" applyFont="1" applyFill="1" applyBorder="1" applyAlignment="1">
      <alignment vertical="center" wrapText="1"/>
    </xf>
    <xf numFmtId="0" fontId="27" fillId="0" borderId="9" xfId="3" applyFont="1" applyFill="1" applyBorder="1" applyAlignment="1">
      <alignment vertical="center" wrapText="1"/>
    </xf>
    <xf numFmtId="0" fontId="23" fillId="23" borderId="0" xfId="2" applyFont="1" applyFill="1" applyBorder="1" applyAlignment="1">
      <alignment vertical="center"/>
    </xf>
    <xf numFmtId="1" fontId="1" fillId="0" borderId="0" xfId="2" applyNumberFormat="1" applyFont="1" applyBorder="1" applyAlignment="1">
      <alignment horizontal="center" vertical="center"/>
    </xf>
    <xf numFmtId="10" fontId="2" fillId="0" borderId="13" xfId="2" applyNumberFormat="1" applyBorder="1" applyAlignment="1">
      <alignment vertical="center"/>
    </xf>
    <xf numFmtId="0" fontId="1" fillId="0" borderId="0" xfId="2" applyNumberFormat="1" applyFont="1" applyBorder="1" applyAlignment="1">
      <alignment horizontal="center" vertical="center"/>
    </xf>
    <xf numFmtId="0" fontId="2" fillId="2" borderId="18" xfId="2" applyFont="1" applyFill="1" applyBorder="1" applyAlignment="1">
      <alignment vertical="center"/>
    </xf>
    <xf numFmtId="1" fontId="1" fillId="0" borderId="19" xfId="2" applyNumberFormat="1" applyFont="1" applyBorder="1" applyAlignment="1">
      <alignment horizontal="center" vertical="center"/>
    </xf>
    <xf numFmtId="0" fontId="2" fillId="0" borderId="42" xfId="2" applyBorder="1" applyAlignment="1">
      <alignment vertical="center"/>
    </xf>
    <xf numFmtId="10" fontId="2" fillId="0" borderId="29" xfId="2" applyNumberFormat="1" applyBorder="1" applyAlignment="1">
      <alignment vertical="center"/>
    </xf>
    <xf numFmtId="0" fontId="2" fillId="0" borderId="42" xfId="2" applyFill="1" applyBorder="1" applyAlignment="1">
      <alignment vertical="center"/>
    </xf>
    <xf numFmtId="0" fontId="2" fillId="0" borderId="43" xfId="2" applyFill="1" applyBorder="1" applyAlignment="1">
      <alignment horizontal="left" vertical="center"/>
    </xf>
    <xf numFmtId="0" fontId="2" fillId="2" borderId="18" xfId="2" applyFill="1" applyBorder="1" applyAlignment="1">
      <alignment vertical="center"/>
    </xf>
    <xf numFmtId="14" fontId="2" fillId="0" borderId="43" xfId="2" applyNumberFormat="1" applyBorder="1" applyAlignment="1">
      <alignment horizontal="center" vertical="center"/>
    </xf>
    <xf numFmtId="0" fontId="2" fillId="0" borderId="43" xfId="2" applyBorder="1" applyAlignment="1">
      <alignment horizontal="left" vertical="center"/>
    </xf>
    <xf numFmtId="0" fontId="2" fillId="0" borderId="53" xfId="2" applyBorder="1" applyAlignment="1">
      <alignment vertical="center"/>
    </xf>
    <xf numFmtId="0" fontId="2" fillId="0" borderId="54" xfId="2" applyBorder="1" applyAlignment="1">
      <alignment vertical="center"/>
    </xf>
    <xf numFmtId="0" fontId="61" fillId="0" borderId="9" xfId="0" applyFont="1" applyBorder="1" applyAlignment="1">
      <alignment vertical="distributed"/>
    </xf>
    <xf numFmtId="0" fontId="0" fillId="71" borderId="9" xfId="0" applyFill="1" applyBorder="1"/>
    <xf numFmtId="0" fontId="2" fillId="2" borderId="28" xfId="2" applyFill="1" applyBorder="1" applyAlignment="1">
      <alignment vertical="center"/>
    </xf>
    <xf numFmtId="0" fontId="2" fillId="2" borderId="14" xfId="2" applyFill="1" applyBorder="1" applyAlignment="1">
      <alignment vertical="center"/>
    </xf>
    <xf numFmtId="0" fontId="1" fillId="2" borderId="1" xfId="2" applyFont="1" applyFill="1" applyBorder="1" applyAlignment="1">
      <alignment horizontal="center" vertical="center"/>
    </xf>
    <xf numFmtId="0" fontId="2" fillId="0" borderId="15" xfId="2" applyBorder="1" applyAlignment="1">
      <alignment horizontal="center" vertical="center"/>
    </xf>
    <xf numFmtId="9" fontId="1" fillId="0" borderId="1" xfId="2" applyNumberFormat="1" applyFont="1" applyBorder="1" applyAlignment="1">
      <alignment horizontal="center" vertical="center"/>
    </xf>
    <xf numFmtId="0" fontId="2" fillId="0" borderId="58" xfId="2" applyBorder="1" applyAlignment="1">
      <alignment horizontal="center" vertical="center"/>
    </xf>
    <xf numFmtId="9" fontId="1" fillId="0" borderId="8" xfId="2" applyNumberFormat="1" applyFont="1" applyBorder="1" applyAlignment="1">
      <alignment horizontal="center" vertical="center"/>
    </xf>
    <xf numFmtId="166" fontId="2" fillId="0" borderId="0" xfId="2" applyNumberFormat="1" applyFont="1" applyBorder="1" applyAlignment="1">
      <alignment horizontal="center" vertical="center"/>
    </xf>
    <xf numFmtId="0" fontId="6" fillId="0" borderId="9" xfId="0" applyFont="1" applyFill="1" applyBorder="1" applyAlignment="1" applyProtection="1">
      <alignment horizontal="center" vertical="center" wrapText="1"/>
    </xf>
    <xf numFmtId="14" fontId="6" fillId="0" borderId="9" xfId="0" applyNumberFormat="1" applyFont="1" applyFill="1" applyBorder="1" applyAlignment="1" applyProtection="1">
      <alignment horizontal="center" vertical="center" wrapText="1"/>
    </xf>
    <xf numFmtId="0" fontId="0" fillId="0" borderId="9" xfId="0" applyNumberFormat="1" applyBorder="1" applyAlignment="1">
      <alignment horizontal="center" vertical="center"/>
    </xf>
    <xf numFmtId="2" fontId="0" fillId="0" borderId="9" xfId="0" applyNumberFormat="1" applyBorder="1"/>
    <xf numFmtId="0" fontId="6" fillId="71" borderId="9" xfId="0" applyFont="1" applyFill="1" applyBorder="1" applyAlignment="1" applyProtection="1">
      <alignment horizontal="center" vertical="center" wrapText="1"/>
    </xf>
    <xf numFmtId="14" fontId="6" fillId="71" borderId="9" xfId="0" applyNumberFormat="1" applyFont="1" applyFill="1" applyBorder="1" applyAlignment="1" applyProtection="1">
      <alignment horizontal="center" vertical="center" wrapText="1"/>
    </xf>
    <xf numFmtId="0" fontId="62" fillId="23" borderId="0" xfId="0" applyFont="1" applyFill="1" applyBorder="1"/>
    <xf numFmtId="0" fontId="63" fillId="23" borderId="0" xfId="0" applyFont="1" applyFill="1" applyBorder="1"/>
    <xf numFmtId="0" fontId="64" fillId="23" borderId="13" xfId="0" applyFont="1" applyFill="1" applyBorder="1"/>
    <xf numFmtId="0" fontId="63" fillId="23" borderId="13" xfId="0" applyFont="1" applyFill="1" applyBorder="1"/>
    <xf numFmtId="0" fontId="67" fillId="76" borderId="5" xfId="0" applyFont="1" applyFill="1" applyBorder="1" applyAlignment="1">
      <alignment vertical="center"/>
    </xf>
    <xf numFmtId="0" fontId="68" fillId="3" borderId="9" xfId="0" applyFont="1" applyFill="1" applyBorder="1" applyAlignment="1">
      <alignment horizontal="center" vertical="center"/>
    </xf>
    <xf numFmtId="0" fontId="69" fillId="9" borderId="9" xfId="0" applyFont="1" applyFill="1" applyBorder="1" applyAlignment="1">
      <alignment horizontal="center" vertical="center"/>
    </xf>
    <xf numFmtId="0" fontId="69" fillId="38" borderId="9" xfId="0" applyFont="1" applyFill="1" applyBorder="1" applyAlignment="1">
      <alignment horizontal="center" vertical="center"/>
    </xf>
    <xf numFmtId="0" fontId="69" fillId="31" borderId="9" xfId="0" applyFont="1" applyFill="1" applyBorder="1" applyAlignment="1">
      <alignment horizontal="left" vertical="center"/>
    </xf>
    <xf numFmtId="0" fontId="70" fillId="31" borderId="9" xfId="0" applyFont="1" applyFill="1" applyBorder="1" applyAlignment="1">
      <alignment horizontal="center" vertical="center"/>
    </xf>
    <xf numFmtId="0" fontId="69" fillId="31" borderId="9" xfId="0" applyFont="1" applyFill="1" applyBorder="1" applyAlignment="1">
      <alignment horizontal="center" vertical="center"/>
    </xf>
    <xf numFmtId="0" fontId="69" fillId="30" borderId="9" xfId="0" applyFont="1" applyFill="1" applyBorder="1" applyAlignment="1">
      <alignment horizontal="left" vertical="center"/>
    </xf>
    <xf numFmtId="0" fontId="70" fillId="30" borderId="9" xfId="0" applyFont="1" applyFill="1" applyBorder="1" applyAlignment="1">
      <alignment horizontal="center" vertical="center"/>
    </xf>
    <xf numFmtId="0" fontId="69" fillId="30" borderId="9" xfId="0" applyFont="1" applyFill="1" applyBorder="1" applyAlignment="1">
      <alignment horizontal="center" vertical="center"/>
    </xf>
    <xf numFmtId="0" fontId="71" fillId="23" borderId="13" xfId="0" applyFont="1" applyFill="1" applyBorder="1"/>
    <xf numFmtId="0" fontId="60" fillId="76" borderId="9" xfId="0" applyFont="1" applyFill="1" applyBorder="1"/>
    <xf numFmtId="0" fontId="63" fillId="28" borderId="9" xfId="0" applyFont="1" applyFill="1" applyBorder="1" applyAlignment="1">
      <alignment horizontal="center"/>
    </xf>
    <xf numFmtId="0" fontId="63" fillId="70" borderId="9" xfId="0" applyFont="1" applyFill="1" applyBorder="1" applyAlignment="1">
      <alignment horizontal="center"/>
    </xf>
    <xf numFmtId="0" fontId="73" fillId="23" borderId="13" xfId="0" applyFont="1" applyFill="1" applyBorder="1"/>
    <xf numFmtId="49" fontId="6" fillId="0" borderId="2" xfId="0" applyNumberFormat="1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49" fontId="6" fillId="0" borderId="6" xfId="0" applyNumberFormat="1" applyFont="1" applyBorder="1" applyAlignment="1" applyProtection="1">
      <alignment vertical="center" wrapText="1"/>
      <protection locked="0"/>
    </xf>
    <xf numFmtId="0" fontId="6" fillId="0" borderId="12" xfId="0" applyFont="1" applyFill="1" applyBorder="1" applyAlignment="1" applyProtection="1">
      <alignment horizontal="center" vertical="center" wrapText="1"/>
    </xf>
    <xf numFmtId="0" fontId="2" fillId="0" borderId="2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165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vertical="center" wrapText="1"/>
      <protection locked="0"/>
    </xf>
    <xf numFmtId="1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6" xfId="0" applyFont="1" applyBorder="1" applyAlignment="1" applyProtection="1">
      <alignment horizontal="center" vertical="center" wrapText="1"/>
      <protection locked="0"/>
    </xf>
    <xf numFmtId="10" fontId="6" fillId="3" borderId="3" xfId="0" applyNumberFormat="1" applyFont="1" applyFill="1" applyBorder="1" applyAlignment="1" applyProtection="1">
      <alignment horizontal="center" vertical="center" wrapText="1"/>
    </xf>
    <xf numFmtId="0" fontId="6" fillId="0" borderId="0" xfId="0" applyFont="1" applyAlignment="1">
      <alignment vertical="center" wrapText="1"/>
    </xf>
    <xf numFmtId="0" fontId="6" fillId="0" borderId="2" xfId="0" applyFont="1" applyFill="1" applyBorder="1" applyAlignment="1" applyProtection="1">
      <alignment horizontal="center" vertical="center" wrapText="1"/>
      <protection locked="0"/>
    </xf>
    <xf numFmtId="0" fontId="6" fillId="0" borderId="3" xfId="0" applyFont="1" applyFill="1" applyBorder="1" applyAlignment="1" applyProtection="1">
      <alignment horizontal="center" vertical="center" wrapText="1"/>
      <protection locked="0"/>
    </xf>
    <xf numFmtId="0" fontId="6" fillId="0" borderId="17" xfId="0" applyFont="1" applyBorder="1" applyAlignment="1" applyProtection="1">
      <alignment horizontal="center" vertical="center" wrapText="1"/>
      <protection locked="0"/>
    </xf>
    <xf numFmtId="0" fontId="6" fillId="17" borderId="2" xfId="0" applyFont="1" applyFill="1" applyBorder="1" applyAlignment="1" applyProtection="1">
      <alignment horizontal="center" vertical="center" wrapText="1"/>
      <protection locked="0"/>
    </xf>
    <xf numFmtId="0" fontId="6" fillId="0" borderId="4" xfId="0" applyNumberFormat="1" applyFont="1" applyBorder="1" applyAlignment="1" applyProtection="1">
      <alignment horizontal="center" vertical="center" wrapText="1"/>
      <protection locked="0"/>
    </xf>
    <xf numFmtId="14" fontId="6" fillId="0" borderId="4" xfId="0" applyNumberFormat="1" applyFont="1" applyBorder="1" applyAlignment="1" applyProtection="1">
      <alignment horizontal="center" vertical="center" wrapText="1"/>
      <protection locked="0"/>
    </xf>
    <xf numFmtId="165" fontId="1" fillId="3" borderId="2" xfId="0" applyNumberFormat="1" applyFont="1" applyFill="1" applyBorder="1" applyAlignment="1" applyProtection="1">
      <alignment horizontal="center" vertical="center" wrapText="1"/>
    </xf>
    <xf numFmtId="0" fontId="6" fillId="6" borderId="2" xfId="0" applyFont="1" applyFill="1" applyBorder="1" applyAlignment="1" applyProtection="1">
      <alignment horizontal="center" vertical="center" wrapText="1"/>
    </xf>
    <xf numFmtId="0" fontId="6" fillId="3" borderId="3" xfId="0" applyNumberFormat="1" applyFont="1" applyFill="1" applyBorder="1" applyAlignment="1" applyProtection="1">
      <alignment horizontal="center" vertical="center" wrapText="1"/>
    </xf>
    <xf numFmtId="0" fontId="0" fillId="0" borderId="0" xfId="0"/>
    <xf numFmtId="0" fontId="2" fillId="0" borderId="9" xfId="2" applyFont="1" applyBorder="1" applyAlignment="1">
      <alignment horizontal="center" vertical="center"/>
    </xf>
    <xf numFmtId="167" fontId="2" fillId="0" borderId="9" xfId="2" applyNumberFormat="1" applyBorder="1" applyAlignment="1">
      <alignment horizontal="center" vertical="center"/>
    </xf>
    <xf numFmtId="0" fontId="2" fillId="23" borderId="9" xfId="0" applyFont="1" applyFill="1" applyBorder="1" applyAlignment="1">
      <alignment horizontal="center" vertical="center" wrapText="1"/>
    </xf>
    <xf numFmtId="0" fontId="1" fillId="0" borderId="18" xfId="0" applyFont="1" applyFill="1" applyBorder="1" applyAlignment="1">
      <alignment horizontal="center" vertical="center" wrapText="1"/>
    </xf>
    <xf numFmtId="0" fontId="0" fillId="0" borderId="9" xfId="0" applyBorder="1"/>
    <xf numFmtId="0" fontId="1" fillId="23" borderId="28" xfId="0" applyFont="1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23" borderId="19" xfId="0" applyFill="1" applyBorder="1" applyAlignment="1">
      <alignment horizontal="center" vertical="center" wrapText="1"/>
    </xf>
    <xf numFmtId="0" fontId="0" fillId="0" borderId="19" xfId="0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/>
    </xf>
    <xf numFmtId="0" fontId="22" fillId="0" borderId="18" xfId="0" applyFont="1" applyBorder="1" applyAlignment="1">
      <alignment horizontal="center"/>
    </xf>
    <xf numFmtId="0" fontId="22" fillId="0" borderId="18" xfId="0" applyFont="1" applyFill="1" applyBorder="1" applyAlignment="1">
      <alignment horizontal="center"/>
    </xf>
    <xf numFmtId="0" fontId="0" fillId="0" borderId="19" xfId="0" applyFill="1" applyBorder="1" applyAlignment="1">
      <alignment horizontal="center" vertical="center"/>
    </xf>
    <xf numFmtId="0" fontId="1" fillId="23" borderId="18" xfId="0" applyFont="1" applyFill="1" applyBorder="1" applyAlignment="1">
      <alignment horizontal="center" vertical="center" wrapText="1"/>
    </xf>
    <xf numFmtId="0" fontId="22" fillId="0" borderId="28" xfId="0" applyFont="1" applyFill="1" applyBorder="1" applyAlignment="1">
      <alignment horizontal="center"/>
    </xf>
    <xf numFmtId="14" fontId="0" fillId="23" borderId="14" xfId="0" applyNumberFormat="1" applyFill="1" applyBorder="1" applyAlignment="1">
      <alignment horizontal="center" vertical="center" wrapText="1"/>
    </xf>
    <xf numFmtId="14" fontId="0" fillId="23" borderId="9" xfId="0" applyNumberFormat="1" applyFill="1" applyBorder="1" applyAlignment="1">
      <alignment horizontal="center" vertical="center" wrapText="1"/>
    </xf>
    <xf numFmtId="14" fontId="0" fillId="0" borderId="9" xfId="0" applyNumberFormat="1" applyFill="1" applyBorder="1" applyAlignment="1">
      <alignment horizontal="center" vertical="center" wrapText="1"/>
    </xf>
    <xf numFmtId="14" fontId="2" fillId="23" borderId="9" xfId="0" applyNumberFormat="1" applyFont="1" applyFill="1" applyBorder="1" applyAlignment="1">
      <alignment horizontal="center" vertical="center" wrapText="1"/>
    </xf>
    <xf numFmtId="167" fontId="2" fillId="0" borderId="39" xfId="2" applyNumberFormat="1" applyBorder="1" applyAlignment="1">
      <alignment horizontal="center" vertical="center"/>
    </xf>
    <xf numFmtId="0" fontId="2" fillId="0" borderId="39" xfId="2" applyFont="1" applyBorder="1" applyAlignment="1">
      <alignment horizontal="center" vertical="center"/>
    </xf>
    <xf numFmtId="0" fontId="2" fillId="0" borderId="10" xfId="2" applyFont="1" applyBorder="1" applyAlignment="1">
      <alignment horizontal="center" vertical="center"/>
    </xf>
    <xf numFmtId="167" fontId="2" fillId="0" borderId="10" xfId="2" applyNumberFormat="1" applyBorder="1" applyAlignment="1">
      <alignment horizontal="center" vertical="center"/>
    </xf>
    <xf numFmtId="0" fontId="0" fillId="0" borderId="25" xfId="0" applyFill="1" applyBorder="1" applyAlignment="1">
      <alignment horizontal="center" vertical="center" wrapText="1"/>
    </xf>
    <xf numFmtId="14" fontId="0" fillId="23" borderId="10" xfId="0" applyNumberFormat="1" applyFill="1" applyBorder="1" applyAlignment="1">
      <alignment horizontal="center" vertical="center" wrapText="1"/>
    </xf>
    <xf numFmtId="14" fontId="0" fillId="0" borderId="10" xfId="0" applyNumberFormat="1" applyFill="1" applyBorder="1" applyAlignment="1">
      <alignment horizontal="center" vertical="center" wrapText="1"/>
    </xf>
    <xf numFmtId="14" fontId="0" fillId="0" borderId="9" xfId="0" applyNumberFormat="1" applyBorder="1" applyAlignment="1">
      <alignment horizontal="center"/>
    </xf>
    <xf numFmtId="167" fontId="2" fillId="23" borderId="9" xfId="2" applyNumberFormat="1" applyFill="1" applyBorder="1" applyAlignment="1">
      <alignment horizontal="center" vertical="center"/>
    </xf>
    <xf numFmtId="0" fontId="2" fillId="23" borderId="39" xfId="0" applyFont="1" applyFill="1" applyBorder="1" applyAlignment="1">
      <alignment horizontal="center" vertical="center" wrapText="1"/>
    </xf>
    <xf numFmtId="0" fontId="0" fillId="0" borderId="19" xfId="0" applyFont="1" applyFill="1" applyBorder="1" applyAlignment="1">
      <alignment horizontal="center" vertical="center"/>
    </xf>
    <xf numFmtId="0" fontId="69" fillId="77" borderId="9" xfId="0" applyFont="1" applyFill="1" applyBorder="1" applyAlignment="1">
      <alignment horizontal="center" vertical="center"/>
    </xf>
    <xf numFmtId="2" fontId="70" fillId="30" borderId="9" xfId="0" applyNumberFormat="1" applyFont="1" applyFill="1" applyBorder="1" applyAlignment="1">
      <alignment horizontal="center" vertical="center"/>
    </xf>
    <xf numFmtId="2" fontId="70" fillId="31" borderId="9" xfId="0" applyNumberFormat="1" applyFont="1" applyFill="1" applyBorder="1" applyAlignment="1">
      <alignment horizontal="center" vertical="center"/>
    </xf>
    <xf numFmtId="10" fontId="69" fillId="31" borderId="9" xfId="0" applyNumberFormat="1" applyFont="1" applyFill="1" applyBorder="1" applyAlignment="1">
      <alignment horizontal="center" vertical="center"/>
    </xf>
    <xf numFmtId="10" fontId="69" fillId="30" borderId="9" xfId="0" applyNumberFormat="1" applyFont="1" applyFill="1" applyBorder="1" applyAlignment="1">
      <alignment horizontal="center" vertical="center"/>
    </xf>
    <xf numFmtId="10" fontId="70" fillId="31" borderId="9" xfId="0" applyNumberFormat="1" applyFont="1" applyFill="1" applyBorder="1" applyAlignment="1">
      <alignment horizontal="center" vertical="center"/>
    </xf>
    <xf numFmtId="10" fontId="70" fillId="30" borderId="9" xfId="0" applyNumberFormat="1" applyFont="1" applyFill="1" applyBorder="1" applyAlignment="1">
      <alignment horizontal="center" vertical="center"/>
    </xf>
    <xf numFmtId="0" fontId="69" fillId="31" borderId="9" xfId="0" applyFont="1" applyFill="1" applyBorder="1" applyAlignment="1">
      <alignment horizontal="right" vertical="center"/>
    </xf>
    <xf numFmtId="0" fontId="69" fillId="30" borderId="9" xfId="0" applyFont="1" applyFill="1" applyBorder="1" applyAlignment="1">
      <alignment horizontal="right" vertical="center"/>
    </xf>
    <xf numFmtId="0" fontId="70" fillId="31" borderId="9" xfId="0" applyFont="1" applyFill="1" applyBorder="1" applyAlignment="1">
      <alignment horizontal="left" vertical="center"/>
    </xf>
    <xf numFmtId="0" fontId="70" fillId="30" borderId="9" xfId="0" applyFont="1" applyFill="1" applyBorder="1" applyAlignment="1">
      <alignment horizontal="left" vertical="center"/>
    </xf>
    <xf numFmtId="0" fontId="69" fillId="30" borderId="9" xfId="0" applyFont="1" applyFill="1" applyBorder="1" applyAlignment="1">
      <alignment horizontal="left" vertical="center" wrapText="1"/>
    </xf>
    <xf numFmtId="49" fontId="2" fillId="0" borderId="9" xfId="3" applyNumberFormat="1" applyFont="1" applyFill="1" applyBorder="1" applyAlignment="1">
      <alignment vertical="center" wrapText="1"/>
    </xf>
    <xf numFmtId="49" fontId="9" fillId="0" borderId="9" xfId="3" applyNumberFormat="1" applyFill="1" applyBorder="1" applyAlignment="1">
      <alignment vertical="center" wrapText="1"/>
    </xf>
    <xf numFmtId="0" fontId="0" fillId="0" borderId="9" xfId="0" applyFill="1" applyBorder="1"/>
    <xf numFmtId="0" fontId="2" fillId="2" borderId="0" xfId="2" applyFill="1" applyBorder="1" applyAlignment="1">
      <alignment horizontal="center" vertical="center"/>
    </xf>
    <xf numFmtId="10" fontId="2" fillId="0" borderId="0" xfId="2" applyNumberFormat="1" applyBorder="1" applyAlignment="1">
      <alignment vertical="center"/>
    </xf>
    <xf numFmtId="10" fontId="2" fillId="0" borderId="43" xfId="2" applyNumberFormat="1" applyBorder="1" applyAlignment="1">
      <alignment vertical="center"/>
    </xf>
    <xf numFmtId="14" fontId="2" fillId="0" borderId="9" xfId="2" applyNumberFormat="1" applyBorder="1" applyAlignment="1">
      <alignment vertical="center"/>
    </xf>
    <xf numFmtId="9" fontId="1" fillId="7" borderId="9" xfId="2" applyNumberFormat="1" applyFont="1" applyFill="1" applyBorder="1" applyAlignment="1">
      <alignment horizontal="center" vertical="center"/>
    </xf>
    <xf numFmtId="0" fontId="18" fillId="0" borderId="9" xfId="2" applyFont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23" borderId="26" xfId="0" applyFont="1" applyFill="1" applyBorder="1" applyAlignment="1">
      <alignment horizontal="center" vertical="center" wrapText="1"/>
    </xf>
    <xf numFmtId="0" fontId="0" fillId="0" borderId="25" xfId="0" applyFont="1" applyFill="1" applyBorder="1" applyAlignment="1">
      <alignment horizontal="center" vertical="center"/>
    </xf>
    <xf numFmtId="14" fontId="0" fillId="0" borderId="10" xfId="0" applyNumberFormat="1" applyBorder="1" applyAlignment="1">
      <alignment horizontal="center"/>
    </xf>
    <xf numFmtId="0" fontId="0" fillId="0" borderId="10" xfId="0" applyBorder="1"/>
    <xf numFmtId="14" fontId="2" fillId="23" borderId="14" xfId="0" applyNumberFormat="1" applyFont="1" applyFill="1" applyBorder="1" applyAlignment="1">
      <alignment horizontal="center" vertical="center" wrapText="1"/>
    </xf>
    <xf numFmtId="0" fontId="0" fillId="0" borderId="14" xfId="0" applyBorder="1"/>
    <xf numFmtId="0" fontId="0" fillId="0" borderId="19" xfId="0" applyBorder="1"/>
    <xf numFmtId="0" fontId="0" fillId="0" borderId="7" xfId="0" applyBorder="1"/>
    <xf numFmtId="0" fontId="0" fillId="0" borderId="1" xfId="0" applyBorder="1"/>
    <xf numFmtId="0" fontId="0" fillId="0" borderId="8" xfId="0" applyBorder="1"/>
    <xf numFmtId="0" fontId="74" fillId="69" borderId="9" xfId="0" applyFont="1" applyFill="1" applyBorder="1" applyAlignment="1">
      <alignment horizontal="center" vertical="center"/>
    </xf>
    <xf numFmtId="0" fontId="1" fillId="32" borderId="9" xfId="0" applyFont="1" applyFill="1" applyBorder="1" applyAlignment="1">
      <alignment horizontal="center" vertical="center"/>
    </xf>
    <xf numFmtId="0" fontId="6" fillId="23" borderId="9" xfId="0" applyFont="1" applyFill="1" applyBorder="1" applyAlignment="1">
      <alignment horizontal="left" vertical="center"/>
    </xf>
    <xf numFmtId="0" fontId="0" fillId="23" borderId="0" xfId="0" applyFill="1"/>
    <xf numFmtId="0" fontId="0" fillId="27" borderId="9" xfId="0" applyFill="1" applyBorder="1"/>
    <xf numFmtId="0" fontId="0" fillId="23" borderId="9" xfId="0" applyFill="1" applyBorder="1"/>
    <xf numFmtId="0" fontId="0" fillId="23" borderId="0" xfId="0" applyFill="1" applyBorder="1"/>
    <xf numFmtId="0" fontId="6" fillId="23" borderId="0" xfId="0" applyFont="1" applyFill="1" applyBorder="1" applyAlignment="1">
      <alignment horizontal="left" vertical="center"/>
    </xf>
    <xf numFmtId="0" fontId="1" fillId="23" borderId="0" xfId="0" applyFont="1" applyFill="1" applyBorder="1" applyAlignment="1">
      <alignment horizontal="center" vertical="center"/>
    </xf>
    <xf numFmtId="0" fontId="74" fillId="23" borderId="0" xfId="0" applyFont="1" applyFill="1" applyBorder="1" applyAlignment="1">
      <alignment horizontal="center" vertical="center"/>
    </xf>
    <xf numFmtId="0" fontId="6" fillId="34" borderId="9" xfId="0" applyFont="1" applyFill="1" applyBorder="1" applyAlignment="1">
      <alignment horizontal="left" vertical="center"/>
    </xf>
    <xf numFmtId="0" fontId="0" fillId="34" borderId="9" xfId="0" applyFill="1" applyBorder="1"/>
    <xf numFmtId="0" fontId="6" fillId="34" borderId="9" xfId="0" applyFont="1" applyFill="1" applyBorder="1" applyAlignment="1">
      <alignment horizontal="left"/>
    </xf>
    <xf numFmtId="0" fontId="6" fillId="34" borderId="9" xfId="0" applyFont="1" applyFill="1" applyBorder="1"/>
    <xf numFmtId="0" fontId="65" fillId="38" borderId="9" xfId="0" applyFont="1" applyFill="1" applyBorder="1" applyAlignment="1">
      <alignment horizontal="center" vertical="center"/>
    </xf>
    <xf numFmtId="0" fontId="65" fillId="38" borderId="9" xfId="0" applyFont="1" applyFill="1" applyBorder="1" applyAlignment="1">
      <alignment horizontal="center" vertical="center" wrapText="1"/>
    </xf>
    <xf numFmtId="0" fontId="76" fillId="31" borderId="9" xfId="0" applyFont="1" applyFill="1" applyBorder="1" applyAlignment="1">
      <alignment horizontal="left" vertical="center" wrapText="1"/>
    </xf>
    <xf numFmtId="0" fontId="76" fillId="30" borderId="9" xfId="0" applyFont="1" applyFill="1" applyBorder="1" applyAlignment="1">
      <alignment horizontal="left" vertical="center" wrapText="1"/>
    </xf>
    <xf numFmtId="14" fontId="77" fillId="23" borderId="0" xfId="0" applyNumberFormat="1" applyFont="1" applyFill="1" applyBorder="1"/>
    <xf numFmtId="0" fontId="68" fillId="69" borderId="9" xfId="0" applyFont="1" applyFill="1" applyBorder="1" applyAlignment="1">
      <alignment horizontal="center" vertical="center"/>
    </xf>
    <xf numFmtId="0" fontId="68" fillId="32" borderId="9" xfId="0" applyFont="1" applyFill="1" applyBorder="1" applyAlignment="1">
      <alignment horizontal="center" vertical="center"/>
    </xf>
    <xf numFmtId="0" fontId="74" fillId="32" borderId="9" xfId="0" applyFont="1" applyFill="1" applyBorder="1" applyAlignment="1">
      <alignment horizontal="center" vertical="center"/>
    </xf>
    <xf numFmtId="0" fontId="78" fillId="31" borderId="9" xfId="0" applyFont="1" applyFill="1" applyBorder="1" applyAlignment="1">
      <alignment horizontal="center" vertical="center"/>
    </xf>
    <xf numFmtId="0" fontId="6" fillId="78" borderId="9" xfId="0" applyFont="1" applyFill="1" applyBorder="1" applyAlignment="1" applyProtection="1">
      <alignment horizontal="center" vertical="center" wrapText="1"/>
    </xf>
    <xf numFmtId="14" fontId="6" fillId="78" borderId="9" xfId="0" applyNumberFormat="1" applyFont="1" applyFill="1" applyBorder="1" applyAlignment="1" applyProtection="1">
      <alignment horizontal="center" vertical="center" wrapText="1"/>
    </xf>
    <xf numFmtId="0" fontId="0" fillId="78" borderId="9" xfId="0" applyNumberFormat="1" applyFill="1" applyBorder="1" applyAlignment="1">
      <alignment horizontal="center" vertical="center"/>
    </xf>
    <xf numFmtId="0" fontId="0" fillId="78" borderId="9" xfId="0" applyFill="1" applyBorder="1"/>
    <xf numFmtId="2" fontId="0" fillId="78" borderId="9" xfId="0" applyNumberFormat="1" applyFill="1" applyBorder="1"/>
    <xf numFmtId="0" fontId="0" fillId="0" borderId="9" xfId="0" applyBorder="1" applyAlignment="1">
      <alignment vertical="distributed"/>
    </xf>
    <xf numFmtId="0" fontId="6" fillId="0" borderId="19" xfId="0" applyFont="1" applyBorder="1" applyAlignment="1" applyProtection="1">
      <alignment vertical="center" wrapText="1"/>
      <protection locked="0"/>
    </xf>
    <xf numFmtId="0" fontId="62" fillId="74" borderId="9" xfId="0" applyFont="1" applyFill="1" applyBorder="1"/>
    <xf numFmtId="0" fontId="6" fillId="74" borderId="9" xfId="0" applyFont="1" applyFill="1" applyBorder="1" applyAlignment="1">
      <alignment horizontal="left" vertical="center"/>
    </xf>
    <xf numFmtId="0" fontId="1" fillId="0" borderId="10" xfId="2" applyFont="1" applyBorder="1" applyAlignment="1">
      <alignment horizontal="center" vertical="center"/>
    </xf>
    <xf numFmtId="0" fontId="62" fillId="74" borderId="10" xfId="0" applyFont="1" applyFill="1" applyBorder="1"/>
    <xf numFmtId="0" fontId="2" fillId="74" borderId="10" xfId="2" applyFont="1" applyFill="1" applyBorder="1" applyAlignment="1">
      <alignment vertical="center"/>
    </xf>
    <xf numFmtId="0" fontId="6" fillId="74" borderId="10" xfId="0" applyFont="1" applyFill="1" applyBorder="1" applyAlignment="1">
      <alignment horizontal="left" vertical="center"/>
    </xf>
    <xf numFmtId="14" fontId="2" fillId="23" borderId="10" xfId="2" applyNumberFormat="1" applyFill="1" applyBorder="1" applyAlignment="1">
      <alignment horizontal="center" vertical="center"/>
    </xf>
    <xf numFmtId="14" fontId="1" fillId="0" borderId="10" xfId="2" applyNumberFormat="1" applyFont="1" applyBorder="1" applyAlignment="1">
      <alignment horizontal="center" vertical="center"/>
    </xf>
    <xf numFmtId="14" fontId="2" fillId="0" borderId="10" xfId="2" applyNumberFormat="1" applyFill="1" applyBorder="1" applyAlignment="1">
      <alignment horizontal="center" vertical="center"/>
    </xf>
    <xf numFmtId="0" fontId="2" fillId="0" borderId="10" xfId="2" applyBorder="1" applyAlignment="1">
      <alignment horizontal="center" vertical="center"/>
    </xf>
    <xf numFmtId="14" fontId="2" fillId="23" borderId="10" xfId="2" applyNumberFormat="1" applyFill="1" applyBorder="1" applyAlignment="1">
      <alignment vertical="center"/>
    </xf>
    <xf numFmtId="14" fontId="2" fillId="0" borderId="10" xfId="2" applyNumberFormat="1" applyBorder="1" applyAlignment="1">
      <alignment horizontal="center" vertical="center"/>
    </xf>
    <xf numFmtId="0" fontId="1" fillId="0" borderId="0" xfId="2" applyFont="1" applyFill="1" applyBorder="1" applyAlignment="1">
      <alignment horizontal="center" vertical="center"/>
    </xf>
    <xf numFmtId="0" fontId="2" fillId="0" borderId="0" xfId="2" applyFont="1" applyFill="1" applyBorder="1" applyAlignment="1">
      <alignment vertical="center"/>
    </xf>
    <xf numFmtId="0" fontId="6" fillId="0" borderId="0" xfId="0" applyFont="1" applyFill="1" applyBorder="1" applyAlignment="1">
      <alignment horizontal="left" vertical="center"/>
    </xf>
    <xf numFmtId="14" fontId="1" fillId="0" borderId="0" xfId="2" applyNumberFormat="1" applyFont="1" applyFill="1" applyBorder="1" applyAlignment="1">
      <alignment horizontal="center" vertical="center"/>
    </xf>
    <xf numFmtId="9" fontId="1" fillId="0" borderId="0" xfId="2" applyNumberFormat="1" applyFont="1" applyFill="1" applyBorder="1" applyAlignment="1">
      <alignment horizontal="center" vertical="center"/>
    </xf>
    <xf numFmtId="0" fontId="18" fillId="0" borderId="0" xfId="2" applyFont="1" applyFill="1" applyBorder="1" applyAlignment="1">
      <alignment horizontal="center" vertical="center"/>
    </xf>
    <xf numFmtId="0" fontId="1" fillId="0" borderId="0" xfId="2" applyNumberFormat="1" applyFont="1" applyFill="1" applyBorder="1" applyAlignment="1">
      <alignment horizontal="center" vertical="center"/>
    </xf>
    <xf numFmtId="1" fontId="1" fillId="0" borderId="0" xfId="2" applyNumberFormat="1" applyFont="1" applyFill="1" applyBorder="1" applyAlignment="1">
      <alignment horizontal="center" vertical="center"/>
    </xf>
    <xf numFmtId="0" fontId="2" fillId="0" borderId="0" xfId="2" applyFill="1" applyAlignment="1">
      <alignment horizontal="center" vertical="center"/>
    </xf>
    <xf numFmtId="0" fontId="2" fillId="0" borderId="0" xfId="2" applyFill="1" applyAlignment="1">
      <alignment vertical="center"/>
    </xf>
    <xf numFmtId="14" fontId="2" fillId="0" borderId="0" xfId="2" applyNumberFormat="1" applyFill="1" applyAlignment="1">
      <alignment horizontal="center" vertical="center"/>
    </xf>
    <xf numFmtId="0" fontId="1" fillId="0" borderId="9" xfId="2" applyFont="1" applyFill="1" applyBorder="1" applyAlignment="1">
      <alignment horizontal="center" vertical="center"/>
    </xf>
    <xf numFmtId="0" fontId="25" fillId="0" borderId="9" xfId="2" applyFont="1" applyFill="1" applyBorder="1" applyAlignment="1">
      <alignment horizontal="center" vertical="center"/>
    </xf>
    <xf numFmtId="0" fontId="80" fillId="24" borderId="0" xfId="2" applyFont="1" applyFill="1" applyAlignment="1">
      <alignment horizontal="center" vertical="center"/>
    </xf>
    <xf numFmtId="2" fontId="0" fillId="71" borderId="9" xfId="0" applyNumberFormat="1" applyFill="1" applyBorder="1"/>
    <xf numFmtId="0" fontId="6" fillId="0" borderId="3" xfId="0" applyFont="1" applyBorder="1" applyAlignment="1" applyProtection="1">
      <alignment vertical="top" wrapText="1"/>
      <protection locked="0"/>
    </xf>
    <xf numFmtId="0" fontId="26" fillId="0" borderId="9" xfId="0" applyFont="1" applyFill="1" applyBorder="1" applyAlignment="1">
      <alignment vertical="center" wrapText="1"/>
    </xf>
    <xf numFmtId="0" fontId="2" fillId="23" borderId="9" xfId="3" applyFont="1" applyFill="1" applyBorder="1" applyAlignment="1">
      <alignment vertical="center" wrapText="1"/>
    </xf>
    <xf numFmtId="0" fontId="9" fillId="23" borderId="9" xfId="3" applyFill="1" applyBorder="1" applyAlignment="1">
      <alignment vertical="center" wrapText="1"/>
    </xf>
    <xf numFmtId="0" fontId="20" fillId="0" borderId="9" xfId="1" applyFill="1" applyBorder="1" applyAlignment="1" applyProtection="1">
      <alignment vertical="center" wrapText="1"/>
    </xf>
    <xf numFmtId="0" fontId="22" fillId="0" borderId="18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69" borderId="9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81" borderId="14" xfId="0" applyFill="1" applyBorder="1"/>
    <xf numFmtId="0" fontId="48" fillId="23" borderId="9" xfId="3" applyFont="1" applyFill="1" applyBorder="1" applyAlignment="1">
      <alignment horizontal="center" vertical="center" wrapText="1"/>
    </xf>
    <xf numFmtId="0" fontId="48" fillId="69" borderId="9" xfId="3" applyFont="1" applyFill="1" applyBorder="1" applyAlignment="1">
      <alignment horizontal="center" vertical="center" wrapText="1"/>
    </xf>
    <xf numFmtId="49" fontId="48" fillId="69" borderId="9" xfId="3" applyNumberFormat="1" applyFont="1" applyFill="1" applyBorder="1" applyAlignment="1">
      <alignment horizontal="center" vertical="center" wrapText="1"/>
    </xf>
    <xf numFmtId="0" fontId="9" fillId="69" borderId="9" xfId="3" applyFill="1" applyBorder="1" applyAlignment="1">
      <alignment vertical="center" wrapText="1"/>
    </xf>
    <xf numFmtId="0" fontId="21" fillId="69" borderId="9" xfId="5" applyFill="1" applyBorder="1" applyAlignment="1">
      <alignment horizontal="center" vertical="center" wrapText="1"/>
    </xf>
    <xf numFmtId="0" fontId="9" fillId="69" borderId="9" xfId="3" applyFill="1" applyBorder="1" applyAlignment="1">
      <alignment horizontal="center" vertical="center" wrapText="1"/>
    </xf>
    <xf numFmtId="0" fontId="2" fillId="69" borderId="9" xfId="3" applyFont="1" applyFill="1" applyBorder="1" applyAlignment="1">
      <alignment vertical="center" wrapText="1"/>
    </xf>
    <xf numFmtId="0" fontId="82" fillId="0" borderId="0" xfId="0" applyFont="1"/>
    <xf numFmtId="0" fontId="79" fillId="0" borderId="3" xfId="0" applyFont="1" applyBorder="1" applyAlignment="1">
      <alignment vertical="center" wrapText="1"/>
    </xf>
    <xf numFmtId="0" fontId="79" fillId="0" borderId="0" xfId="0" applyFont="1" applyBorder="1" applyAlignment="1">
      <alignment horizontal="center" wrapText="1"/>
    </xf>
    <xf numFmtId="14" fontId="0" fillId="0" borderId="9" xfId="0" applyNumberFormat="1" applyBorder="1"/>
    <xf numFmtId="0" fontId="9" fillId="36" borderId="9" xfId="3" applyFill="1" applyBorder="1" applyAlignment="1">
      <alignment horizontal="center" vertical="center" wrapText="1"/>
    </xf>
    <xf numFmtId="0" fontId="47" fillId="23" borderId="9" xfId="3" applyFont="1" applyFill="1" applyBorder="1" applyAlignment="1">
      <alignment horizontal="center" vertical="center" wrapText="1"/>
    </xf>
    <xf numFmtId="0" fontId="2" fillId="83" borderId="9" xfId="2" applyFill="1" applyBorder="1" applyAlignment="1">
      <alignment horizontal="center" vertical="center"/>
    </xf>
    <xf numFmtId="0" fontId="2" fillId="84" borderId="9" xfId="2" applyFill="1" applyBorder="1" applyAlignment="1">
      <alignment horizontal="center" vertical="center"/>
    </xf>
    <xf numFmtId="0" fontId="2" fillId="85" borderId="9" xfId="2" applyFill="1" applyBorder="1" applyAlignment="1">
      <alignment horizontal="center" vertical="center"/>
    </xf>
    <xf numFmtId="0" fontId="1" fillId="85" borderId="9" xfId="2" applyFont="1" applyFill="1" applyBorder="1" applyAlignment="1">
      <alignment horizontal="center" vertical="center"/>
    </xf>
    <xf numFmtId="0" fontId="2" fillId="74" borderId="0" xfId="2" applyFill="1" applyAlignment="1">
      <alignment vertical="center"/>
    </xf>
    <xf numFmtId="0" fontId="1" fillId="77" borderId="9" xfId="0" applyFont="1" applyFill="1" applyBorder="1" applyAlignment="1">
      <alignment horizontal="center" vertical="center"/>
    </xf>
    <xf numFmtId="0" fontId="62" fillId="24" borderId="2" xfId="0" applyFont="1" applyFill="1" applyBorder="1" applyAlignment="1">
      <alignment horizontal="center" vertical="center" wrapText="1"/>
    </xf>
    <xf numFmtId="0" fontId="62" fillId="24" borderId="12" xfId="0" applyFont="1" applyFill="1" applyBorder="1" applyAlignment="1">
      <alignment horizontal="center" vertical="center" wrapText="1"/>
    </xf>
    <xf numFmtId="0" fontId="62" fillId="24" borderId="9" xfId="0" applyFont="1" applyFill="1" applyBorder="1" applyAlignment="1">
      <alignment horizontal="center" vertical="center" wrapText="1"/>
    </xf>
    <xf numFmtId="0" fontId="62" fillId="24" borderId="1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9" xfId="0" applyBorder="1" applyAlignment="1"/>
    <xf numFmtId="0" fontId="0" fillId="0" borderId="0" xfId="0" applyAlignment="1"/>
    <xf numFmtId="0" fontId="6" fillId="0" borderId="9" xfId="0" applyFont="1" applyBorder="1" applyAlignment="1">
      <alignment horizontal="left" vertical="center" wrapText="1"/>
    </xf>
    <xf numFmtId="0" fontId="6" fillId="78" borderId="9" xfId="0" applyFont="1" applyFill="1" applyBorder="1" applyAlignment="1">
      <alignment horizontal="left" vertical="center" wrapText="1"/>
    </xf>
    <xf numFmtId="0" fontId="0" fillId="0" borderId="9" xfId="0" applyBorder="1" applyAlignment="1">
      <alignment horizontal="left" wrapText="1"/>
    </xf>
    <xf numFmtId="0" fontId="0" fillId="71" borderId="9" xfId="0" applyFill="1" applyBorder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9" xfId="0" applyBorder="1" applyAlignment="1">
      <alignment horizontal="center" vertical="center" wrapText="1"/>
    </xf>
    <xf numFmtId="0" fontId="0" fillId="78" borderId="9" xfId="0" applyFill="1" applyBorder="1" applyAlignment="1">
      <alignment horizontal="center" vertical="center" wrapText="1"/>
    </xf>
    <xf numFmtId="0" fontId="0" fillId="71" borderId="9" xfId="0" applyFill="1" applyBorder="1" applyAlignment="1">
      <alignment horizontal="center" vertical="center" wrapText="1"/>
    </xf>
    <xf numFmtId="0" fontId="0" fillId="78" borderId="9" xfId="0" applyFill="1" applyBorder="1" applyAlignment="1">
      <alignment horizontal="center" vertical="center"/>
    </xf>
    <xf numFmtId="0" fontId="0" fillId="71" borderId="9" xfId="0" applyFill="1" applyBorder="1" applyAlignment="1">
      <alignment horizontal="center" vertical="center"/>
    </xf>
    <xf numFmtId="0" fontId="6" fillId="0" borderId="9" xfId="0" applyFont="1" applyFill="1" applyBorder="1" applyAlignment="1" applyProtection="1">
      <alignment horizontal="center" vertical="center"/>
    </xf>
    <xf numFmtId="14" fontId="6" fillId="0" borderId="9" xfId="0" applyNumberFormat="1" applyFont="1" applyFill="1" applyBorder="1" applyAlignment="1" applyProtection="1">
      <alignment horizontal="center" vertical="center"/>
    </xf>
    <xf numFmtId="2" fontId="0" fillId="0" borderId="9" xfId="0" applyNumberFormat="1" applyBorder="1" applyAlignment="1"/>
    <xf numFmtId="0" fontId="0" fillId="0" borderId="0" xfId="0" applyBorder="1" applyAlignment="1">
      <alignment horizontal="center" vertical="center"/>
    </xf>
    <xf numFmtId="0" fontId="4" fillId="0" borderId="9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82" fillId="0" borderId="9" xfId="0" applyFont="1" applyBorder="1" applyAlignment="1">
      <alignment horizontal="center" vertical="center" wrapText="1"/>
    </xf>
    <xf numFmtId="0" fontId="82" fillId="23" borderId="9" xfId="0" applyFont="1" applyFill="1" applyBorder="1" applyAlignment="1">
      <alignment horizontal="center" vertical="center" wrapText="1"/>
    </xf>
    <xf numFmtId="0" fontId="6" fillId="23" borderId="0" xfId="0" applyFont="1" applyFill="1" applyBorder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6" fillId="73" borderId="0" xfId="0" applyFont="1" applyFill="1" applyAlignment="1">
      <alignment horizontal="center" vertical="center" wrapText="1"/>
    </xf>
    <xf numFmtId="2" fontId="82" fillId="0" borderId="9" xfId="0" applyNumberFormat="1" applyFont="1" applyBorder="1" applyAlignment="1">
      <alignment horizontal="center" vertical="center" wrapText="1"/>
    </xf>
    <xf numFmtId="2" fontId="82" fillId="7" borderId="9" xfId="0" applyNumberFormat="1" applyFont="1" applyFill="1" applyBorder="1" applyAlignment="1">
      <alignment horizontal="center" vertical="center" wrapText="1"/>
    </xf>
    <xf numFmtId="2" fontId="83" fillId="0" borderId="9" xfId="0" applyNumberFormat="1" applyFont="1" applyFill="1" applyBorder="1" applyAlignment="1">
      <alignment horizontal="right" vertical="center" wrapText="1"/>
    </xf>
    <xf numFmtId="14" fontId="0" fillId="0" borderId="14" xfId="0" applyNumberFormat="1" applyBorder="1" applyAlignment="1">
      <alignment horizontal="center" vertical="center"/>
    </xf>
    <xf numFmtId="14" fontId="6" fillId="0" borderId="0" xfId="0" applyNumberFormat="1" applyFont="1" applyAlignment="1">
      <alignment horizontal="center" vertical="center" wrapText="1"/>
    </xf>
    <xf numFmtId="14" fontId="6" fillId="23" borderId="2" xfId="0" applyNumberFormat="1" applyFont="1" applyFill="1" applyBorder="1" applyAlignment="1" applyProtection="1">
      <alignment horizontal="center" vertical="center" wrapText="1"/>
      <protection locked="0"/>
    </xf>
    <xf numFmtId="14" fontId="6" fillId="0" borderId="2" xfId="0" applyNumberFormat="1" applyFont="1" applyBorder="1" applyAlignment="1" applyProtection="1">
      <alignment horizontal="center" vertical="center" wrapText="1"/>
      <protection locked="0"/>
    </xf>
    <xf numFmtId="14" fontId="6" fillId="0" borderId="2" xfId="0" applyNumberFormat="1" applyFont="1" applyFill="1" applyBorder="1" applyAlignment="1" applyProtection="1">
      <alignment horizontal="center" vertical="center" wrapText="1"/>
      <protection locked="0"/>
    </xf>
    <xf numFmtId="14" fontId="74" fillId="68" borderId="2" xfId="0" applyNumberFormat="1" applyFont="1" applyFill="1" applyBorder="1" applyAlignment="1" applyProtection="1">
      <alignment horizontal="center" vertical="center" wrapText="1"/>
      <protection locked="0"/>
    </xf>
    <xf numFmtId="14" fontId="6" fillId="0" borderId="0" xfId="0" applyNumberFormat="1" applyFont="1" applyFill="1" applyAlignment="1">
      <alignment horizontal="center" vertical="center" wrapText="1"/>
    </xf>
    <xf numFmtId="14" fontId="6" fillId="23" borderId="2" xfId="0" applyNumberFormat="1" applyFont="1" applyFill="1" applyBorder="1" applyAlignment="1" applyProtection="1">
      <alignment horizontal="center" vertical="center" wrapText="1"/>
    </xf>
    <xf numFmtId="14" fontId="74" fillId="68" borderId="2" xfId="0" applyNumberFormat="1" applyFont="1" applyFill="1" applyBorder="1" applyAlignment="1" applyProtection="1">
      <alignment horizontal="center" vertical="center" wrapText="1"/>
    </xf>
    <xf numFmtId="0" fontId="74" fillId="0" borderId="14" xfId="0" applyFont="1" applyBorder="1" applyAlignment="1">
      <alignment horizontal="center" vertical="center" wrapText="1"/>
    </xf>
    <xf numFmtId="2" fontId="83" fillId="0" borderId="9" xfId="0" applyNumberFormat="1" applyFont="1" applyFill="1" applyBorder="1" applyAlignment="1">
      <alignment horizontal="center" vertical="center" wrapText="1"/>
    </xf>
    <xf numFmtId="2" fontId="83" fillId="0" borderId="20" xfId="0" applyNumberFormat="1" applyFont="1" applyFill="1" applyBorder="1" applyAlignment="1">
      <alignment horizontal="center" vertical="center" wrapText="1"/>
    </xf>
    <xf numFmtId="2" fontId="83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22" fillId="0" borderId="26" xfId="0" applyFont="1" applyBorder="1" applyAlignment="1">
      <alignment horizontal="center"/>
    </xf>
    <xf numFmtId="0" fontId="22" fillId="0" borderId="26" xfId="0" applyFont="1" applyFill="1" applyBorder="1" applyAlignment="1">
      <alignment horizontal="center"/>
    </xf>
    <xf numFmtId="0" fontId="0" fillId="0" borderId="25" xfId="0" applyBorder="1" applyAlignment="1">
      <alignment horizontal="center" vertical="center"/>
    </xf>
    <xf numFmtId="0" fontId="0" fillId="81" borderId="9" xfId="0" applyFill="1" applyBorder="1"/>
    <xf numFmtId="14" fontId="0" fillId="0" borderId="14" xfId="0" applyNumberFormat="1" applyBorder="1" applyAlignment="1">
      <alignment horizontal="center"/>
    </xf>
    <xf numFmtId="0" fontId="1" fillId="23" borderId="30" xfId="0" applyFont="1" applyFill="1" applyBorder="1" applyAlignment="1">
      <alignment horizontal="center" vertical="center" wrapText="1"/>
    </xf>
    <xf numFmtId="0" fontId="1" fillId="0" borderId="28" xfId="0" applyFont="1" applyBorder="1" applyAlignment="1">
      <alignment horizontal="center" vertical="center" wrapText="1"/>
    </xf>
    <xf numFmtId="0" fontId="2" fillId="80" borderId="39" xfId="0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/>
    </xf>
    <xf numFmtId="0" fontId="0" fillId="0" borderId="40" xfId="0" applyFont="1" applyFill="1" applyBorder="1" applyAlignment="1">
      <alignment horizontal="center" vertical="center"/>
    </xf>
    <xf numFmtId="0" fontId="0" fillId="23" borderId="41" xfId="0" applyFill="1" applyBorder="1" applyAlignment="1">
      <alignment horizontal="center" vertical="center" wrapText="1"/>
    </xf>
    <xf numFmtId="0" fontId="26" fillId="0" borderId="9" xfId="0" applyFont="1" applyFill="1" applyBorder="1" applyAlignment="1">
      <alignment horizontal="center" vertical="justify" wrapText="1"/>
    </xf>
    <xf numFmtId="0" fontId="62" fillId="79" borderId="5" xfId="5" applyFont="1" applyFill="1" applyBorder="1" applyAlignment="1">
      <alignment vertical="center" wrapText="1"/>
    </xf>
    <xf numFmtId="0" fontId="62" fillId="79" borderId="13" xfId="5" applyFont="1" applyFill="1" applyBorder="1" applyAlignment="1">
      <alignment vertical="center" wrapText="1"/>
    </xf>
    <xf numFmtId="0" fontId="84" fillId="0" borderId="0" xfId="3" applyFont="1" applyAlignment="1">
      <alignment horizontal="center" vertical="center" wrapText="1"/>
    </xf>
    <xf numFmtId="0" fontId="85" fillId="0" borderId="0" xfId="3" applyFont="1" applyAlignment="1">
      <alignment horizontal="center" vertical="center" wrapText="1"/>
    </xf>
    <xf numFmtId="0" fontId="81" fillId="0" borderId="9" xfId="3" applyFont="1" applyFill="1" applyBorder="1" applyAlignment="1">
      <alignment vertical="center" wrapText="1"/>
    </xf>
    <xf numFmtId="0" fontId="23" fillId="24" borderId="2" xfId="2" applyFont="1" applyFill="1" applyBorder="1" applyAlignment="1">
      <alignment horizontal="center" vertical="center" wrapText="1"/>
    </xf>
    <xf numFmtId="9" fontId="6" fillId="0" borderId="0" xfId="0" applyNumberFormat="1" applyFont="1"/>
    <xf numFmtId="9" fontId="9" fillId="0" borderId="9" xfId="46" applyFont="1" applyFill="1" applyBorder="1" applyAlignment="1">
      <alignment horizontal="center" vertical="center" wrapText="1"/>
    </xf>
    <xf numFmtId="9" fontId="9" fillId="0" borderId="0" xfId="46" applyFont="1" applyAlignment="1">
      <alignment horizontal="center" vertical="center" wrapText="1"/>
    </xf>
    <xf numFmtId="9" fontId="12" fillId="14" borderId="0" xfId="46" applyFont="1" applyFill="1" applyAlignment="1">
      <alignment horizontal="center" vertical="center" wrapText="1"/>
    </xf>
    <xf numFmtId="9" fontId="9" fillId="0" borderId="0" xfId="46" applyFont="1" applyBorder="1" applyAlignment="1">
      <alignment horizontal="center" vertical="center" wrapText="1"/>
    </xf>
    <xf numFmtId="9" fontId="9" fillId="0" borderId="0" xfId="46" applyFont="1" applyAlignment="1">
      <alignment vertical="center" wrapText="1"/>
    </xf>
    <xf numFmtId="9" fontId="9" fillId="14" borderId="0" xfId="46" applyFont="1" applyFill="1" applyAlignment="1">
      <alignment horizontal="center" vertical="center" wrapText="1"/>
    </xf>
    <xf numFmtId="9" fontId="9" fillId="0" borderId="9" xfId="46" applyFont="1" applyBorder="1" applyAlignment="1">
      <alignment horizontal="center" vertical="center" wrapText="1"/>
    </xf>
    <xf numFmtId="9" fontId="9" fillId="82" borderId="9" xfId="46" applyFont="1" applyFill="1" applyBorder="1" applyAlignment="1">
      <alignment horizontal="center" vertical="center" wrapText="1"/>
    </xf>
    <xf numFmtId="0" fontId="70" fillId="30" borderId="9" xfId="45" applyNumberFormat="1" applyFont="1" applyFill="1" applyBorder="1" applyAlignment="1">
      <alignment horizontal="center" vertical="center"/>
    </xf>
    <xf numFmtId="14" fontId="0" fillId="0" borderId="10" xfId="0" applyNumberFormat="1" applyBorder="1"/>
    <xf numFmtId="0" fontId="47" fillId="79" borderId="9" xfId="3" applyFont="1" applyFill="1" applyBorder="1" applyAlignment="1">
      <alignment horizontal="center" vertical="center" wrapText="1"/>
    </xf>
    <xf numFmtId="0" fontId="0" fillId="24" borderId="9" xfId="0" applyFill="1" applyBorder="1" applyAlignment="1">
      <alignment horizontal="center" vertical="center" wrapText="1"/>
    </xf>
    <xf numFmtId="17" fontId="6" fillId="0" borderId="0" xfId="0" applyNumberFormat="1" applyFont="1"/>
    <xf numFmtId="168" fontId="0" fillId="0" borderId="9" xfId="0" applyNumberFormat="1" applyBorder="1" applyAlignment="1">
      <alignment horizontal="center"/>
    </xf>
    <xf numFmtId="168" fontId="0" fillId="71" borderId="9" xfId="0" applyNumberFormat="1" applyFill="1" applyBorder="1"/>
    <xf numFmtId="168" fontId="0" fillId="0" borderId="9" xfId="0" applyNumberFormat="1" applyBorder="1"/>
    <xf numFmtId="165" fontId="1" fillId="2" borderId="31" xfId="0" applyNumberFormat="1" applyFont="1" applyFill="1" applyBorder="1" applyAlignment="1" applyProtection="1">
      <alignment horizontal="center" vertical="center" wrapText="1"/>
      <protection locked="0"/>
    </xf>
    <xf numFmtId="1" fontId="1" fillId="68" borderId="35" xfId="0" applyNumberFormat="1" applyFont="1" applyFill="1" applyBorder="1" applyAlignment="1" applyProtection="1">
      <alignment horizontal="center" vertical="center" wrapText="1"/>
    </xf>
    <xf numFmtId="1" fontId="1" fillId="68" borderId="12" xfId="0" applyNumberFormat="1" applyFont="1" applyFill="1" applyBorder="1" applyAlignment="1" applyProtection="1">
      <alignment horizontal="center" vertical="center" wrapText="1"/>
    </xf>
    <xf numFmtId="1" fontId="1" fillId="68" borderId="9" xfId="0" applyNumberFormat="1" applyFont="1" applyFill="1" applyBorder="1" applyAlignment="1" applyProtection="1">
      <alignment horizontal="center" vertical="center" wrapText="1"/>
    </xf>
    <xf numFmtId="1" fontId="1" fillId="0" borderId="9" xfId="0" applyNumberFormat="1" applyFont="1" applyFill="1" applyBorder="1" applyAlignment="1" applyProtection="1">
      <alignment horizontal="center" vertical="center" wrapText="1"/>
    </xf>
    <xf numFmtId="1" fontId="2" fillId="0" borderId="0" xfId="0" applyNumberFormat="1" applyFont="1" applyAlignment="1" applyProtection="1">
      <alignment horizontal="center" vertical="center" textRotation="45" wrapText="1"/>
      <protection locked="0"/>
    </xf>
    <xf numFmtId="0" fontId="6" fillId="0" borderId="0" xfId="0" applyFont="1" applyAlignment="1">
      <alignment vertical="center" textRotation="38" wrapText="1"/>
    </xf>
    <xf numFmtId="49" fontId="1" fillId="9" borderId="7" xfId="0" applyNumberFormat="1" applyFont="1" applyFill="1" applyBorder="1" applyAlignment="1" applyProtection="1">
      <alignment horizontal="center" vertical="center" textRotation="36" wrapText="1"/>
      <protection locked="0"/>
    </xf>
    <xf numFmtId="49" fontId="1" fillId="9" borderId="1" xfId="0" applyNumberFormat="1" applyFont="1" applyFill="1" applyBorder="1" applyAlignment="1" applyProtection="1">
      <alignment horizontal="center" vertical="center" textRotation="36" wrapText="1"/>
      <protection locked="0"/>
    </xf>
    <xf numFmtId="0" fontId="1" fillId="9" borderId="8" xfId="0" applyFont="1" applyFill="1" applyBorder="1" applyAlignment="1" applyProtection="1">
      <alignment horizontal="center" vertical="center" textRotation="36" wrapText="1"/>
      <protection locked="0"/>
    </xf>
    <xf numFmtId="0" fontId="1" fillId="12" borderId="7" xfId="0" applyFont="1" applyFill="1" applyBorder="1" applyAlignment="1" applyProtection="1">
      <alignment horizontal="center" vertical="center" textRotation="36" wrapText="1"/>
      <protection locked="0"/>
    </xf>
    <xf numFmtId="0" fontId="1" fillId="12" borderId="15" xfId="0" applyFont="1" applyFill="1" applyBorder="1" applyAlignment="1" applyProtection="1">
      <alignment horizontal="center" vertical="center" textRotation="36" wrapText="1"/>
      <protection locked="0"/>
    </xf>
    <xf numFmtId="0" fontId="1" fillId="12" borderId="1" xfId="0" applyFont="1" applyFill="1" applyBorder="1" applyAlignment="1" applyProtection="1">
      <alignment horizontal="center" vertical="center" textRotation="36" wrapText="1"/>
      <protection locked="0"/>
    </xf>
    <xf numFmtId="0" fontId="1" fillId="12" borderId="8" xfId="0" applyFont="1" applyFill="1" applyBorder="1" applyAlignment="1" applyProtection="1">
      <alignment horizontal="center" vertical="center" textRotation="36" wrapText="1"/>
      <protection locked="0"/>
    </xf>
    <xf numFmtId="165" fontId="1" fillId="8" borderId="16" xfId="0" applyNumberFormat="1" applyFont="1" applyFill="1" applyBorder="1" applyAlignment="1" applyProtection="1">
      <alignment horizontal="center" vertical="center" textRotation="36" wrapText="1"/>
      <protection locked="0"/>
    </xf>
    <xf numFmtId="0" fontId="1" fillId="8" borderId="1" xfId="0" applyFont="1" applyFill="1" applyBorder="1" applyAlignment="1" applyProtection="1">
      <alignment horizontal="center" vertical="center" textRotation="36" wrapText="1"/>
      <protection locked="0"/>
    </xf>
    <xf numFmtId="165" fontId="1" fillId="8" borderId="1" xfId="0" applyNumberFormat="1" applyFont="1" applyFill="1" applyBorder="1" applyAlignment="1" applyProtection="1">
      <alignment horizontal="center" vertical="center" textRotation="36" wrapText="1"/>
      <protection locked="0"/>
    </xf>
    <xf numFmtId="0" fontId="1" fillId="8" borderId="8" xfId="0" applyFont="1" applyFill="1" applyBorder="1" applyAlignment="1" applyProtection="1">
      <alignment horizontal="center" vertical="center" textRotation="36" wrapText="1"/>
      <protection locked="0"/>
    </xf>
    <xf numFmtId="0" fontId="1" fillId="8" borderId="60" xfId="0" applyFont="1" applyFill="1" applyBorder="1" applyAlignment="1" applyProtection="1">
      <alignment horizontal="center" vertical="center" textRotation="36" wrapText="1"/>
      <protection locked="0"/>
    </xf>
    <xf numFmtId="0" fontId="1" fillId="7" borderId="16" xfId="0" applyFont="1" applyFill="1" applyBorder="1" applyAlignment="1" applyProtection="1">
      <alignment horizontal="center" vertical="center" textRotation="36" wrapText="1"/>
      <protection locked="0"/>
    </xf>
    <xf numFmtId="0" fontId="1" fillId="7" borderId="1" xfId="0" applyFont="1" applyFill="1" applyBorder="1" applyAlignment="1" applyProtection="1">
      <alignment horizontal="center" vertical="center" textRotation="36" wrapText="1"/>
      <protection locked="0"/>
    </xf>
    <xf numFmtId="0" fontId="1" fillId="7" borderId="8" xfId="0" applyFont="1" applyFill="1" applyBorder="1" applyAlignment="1" applyProtection="1">
      <alignment horizontal="center" vertical="center" textRotation="36" wrapText="1"/>
      <protection locked="0"/>
    </xf>
    <xf numFmtId="0" fontId="1" fillId="13" borderId="7" xfId="0" applyFont="1" applyFill="1" applyBorder="1" applyAlignment="1" applyProtection="1">
      <alignment horizontal="center" vertical="center" textRotation="36" wrapText="1"/>
      <protection locked="0"/>
    </xf>
    <xf numFmtId="0" fontId="1" fillId="13" borderId="1" xfId="0" applyFont="1" applyFill="1" applyBorder="1" applyAlignment="1" applyProtection="1">
      <alignment horizontal="center" vertical="center" textRotation="36" wrapText="1"/>
      <protection locked="0"/>
    </xf>
    <xf numFmtId="0" fontId="1" fillId="13" borderId="8" xfId="0" applyFont="1" applyFill="1" applyBorder="1" applyAlignment="1" applyProtection="1">
      <alignment horizontal="center" vertical="center" textRotation="36" wrapText="1"/>
      <protection locked="0"/>
    </xf>
    <xf numFmtId="0" fontId="1" fillId="75" borderId="7" xfId="0" applyFont="1" applyFill="1" applyBorder="1" applyAlignment="1" applyProtection="1">
      <alignment horizontal="center" vertical="center" textRotation="36" wrapText="1"/>
      <protection locked="0"/>
    </xf>
    <xf numFmtId="0" fontId="1" fillId="75" borderId="1" xfId="0" applyFont="1" applyFill="1" applyBorder="1" applyAlignment="1" applyProtection="1">
      <alignment horizontal="center" vertical="center" textRotation="36" wrapText="1"/>
      <protection locked="0"/>
    </xf>
    <xf numFmtId="14" fontId="1" fillId="75" borderId="1" xfId="0" applyNumberFormat="1" applyFont="1" applyFill="1" applyBorder="1" applyAlignment="1" applyProtection="1">
      <alignment horizontal="center" vertical="center" textRotation="36" wrapText="1"/>
      <protection locked="0"/>
    </xf>
    <xf numFmtId="14" fontId="1" fillId="75" borderId="0" xfId="0" applyNumberFormat="1" applyFont="1" applyFill="1" applyBorder="1" applyAlignment="1" applyProtection="1">
      <alignment horizontal="center" vertical="center" textRotation="36" wrapText="1"/>
      <protection locked="0"/>
    </xf>
    <xf numFmtId="14" fontId="74" fillId="75" borderId="10" xfId="0" applyNumberFormat="1" applyFont="1" applyFill="1" applyBorder="1" applyAlignment="1">
      <alignment horizontal="center" vertical="center" textRotation="36" wrapText="1"/>
    </xf>
    <xf numFmtId="0" fontId="1" fillId="75" borderId="8" xfId="0" applyFont="1" applyFill="1" applyBorder="1" applyAlignment="1" applyProtection="1">
      <alignment horizontal="center" vertical="center" textRotation="36" wrapText="1"/>
      <protection locked="0"/>
    </xf>
    <xf numFmtId="0" fontId="72" fillId="37" borderId="0" xfId="0" applyFont="1" applyFill="1" applyBorder="1" applyAlignment="1">
      <alignment horizontal="center"/>
    </xf>
    <xf numFmtId="0" fontId="66" fillId="37" borderId="35" xfId="0" applyFont="1" applyFill="1" applyBorder="1" applyAlignment="1">
      <alignment horizontal="center" vertical="center" wrapText="1"/>
    </xf>
    <xf numFmtId="0" fontId="66" fillId="37" borderId="12" xfId="0" applyFont="1" applyFill="1" applyBorder="1" applyAlignment="1">
      <alignment horizontal="center" vertical="center" wrapText="1"/>
    </xf>
    <xf numFmtId="0" fontId="72" fillId="37" borderId="35" xfId="0" applyFont="1" applyFill="1" applyBorder="1" applyAlignment="1">
      <alignment horizontal="center"/>
    </xf>
    <xf numFmtId="0" fontId="24" fillId="2" borderId="30" xfId="2" applyFont="1" applyFill="1" applyBorder="1" applyAlignment="1">
      <alignment horizontal="center" vertical="center"/>
    </xf>
    <xf numFmtId="0" fontId="24" fillId="2" borderId="31" xfId="2" applyFont="1" applyFill="1" applyBorder="1" applyAlignment="1">
      <alignment horizontal="center" vertical="center"/>
    </xf>
    <xf numFmtId="0" fontId="24" fillId="2" borderId="32" xfId="2" applyFont="1" applyFill="1" applyBorder="1" applyAlignment="1">
      <alignment horizontal="center" vertical="center"/>
    </xf>
    <xf numFmtId="0" fontId="2" fillId="26" borderId="9" xfId="2" applyFont="1" applyFill="1" applyBorder="1" applyAlignment="1">
      <alignment horizontal="center" vertical="center"/>
    </xf>
    <xf numFmtId="0" fontId="46" fillId="0" borderId="0" xfId="2" applyFont="1" applyAlignment="1">
      <alignment horizontal="center" vertical="center"/>
    </xf>
    <xf numFmtId="0" fontId="7" fillId="14" borderId="0" xfId="1" applyFont="1" applyFill="1" applyAlignment="1" applyProtection="1">
      <alignment horizontal="center" vertical="center"/>
    </xf>
    <xf numFmtId="0" fontId="4" fillId="28" borderId="9" xfId="2" applyFont="1" applyFill="1" applyBorder="1" applyAlignment="1">
      <alignment horizontal="center" vertical="center"/>
    </xf>
    <xf numFmtId="0" fontId="4" fillId="28" borderId="5" xfId="2" applyFont="1" applyFill="1" applyBorder="1" applyAlignment="1">
      <alignment horizontal="center" vertical="center"/>
    </xf>
    <xf numFmtId="0" fontId="23" fillId="24" borderId="5" xfId="2" applyFont="1" applyFill="1" applyBorder="1" applyAlignment="1">
      <alignment horizontal="center" vertical="center" wrapText="1"/>
    </xf>
    <xf numFmtId="0" fontId="23" fillId="24" borderId="14" xfId="2" applyFont="1" applyFill="1" applyBorder="1" applyAlignment="1">
      <alignment horizontal="center" vertical="center" wrapText="1"/>
    </xf>
    <xf numFmtId="0" fontId="23" fillId="24" borderId="5" xfId="2" applyFont="1" applyFill="1" applyBorder="1" applyAlignment="1">
      <alignment horizontal="center" vertical="center"/>
    </xf>
    <xf numFmtId="0" fontId="23" fillId="24" borderId="14" xfId="2" applyFont="1" applyFill="1" applyBorder="1" applyAlignment="1">
      <alignment horizontal="center" vertical="center"/>
    </xf>
    <xf numFmtId="0" fontId="23" fillId="24" borderId="9" xfId="2" applyFont="1" applyFill="1" applyBorder="1" applyAlignment="1">
      <alignment horizontal="center" vertical="center"/>
    </xf>
    <xf numFmtId="0" fontId="23" fillId="24" borderId="17" xfId="2" applyFont="1" applyFill="1" applyBorder="1" applyAlignment="1">
      <alignment horizontal="center" vertical="center"/>
    </xf>
    <xf numFmtId="0" fontId="23" fillId="24" borderId="4" xfId="2" applyFont="1" applyFill="1" applyBorder="1" applyAlignment="1">
      <alignment horizontal="center" vertical="center"/>
    </xf>
    <xf numFmtId="0" fontId="23" fillId="24" borderId="12" xfId="2" applyFont="1" applyFill="1" applyBorder="1" applyAlignment="1">
      <alignment horizontal="center" vertical="center"/>
    </xf>
    <xf numFmtId="0" fontId="1" fillId="0" borderId="0" xfId="2" applyFont="1" applyBorder="1" applyAlignment="1">
      <alignment horizontal="left" vertical="center"/>
    </xf>
    <xf numFmtId="0" fontId="1" fillId="0" borderId="27" xfId="2" applyFont="1" applyBorder="1" applyAlignment="1">
      <alignment horizontal="left" vertical="center"/>
    </xf>
    <xf numFmtId="0" fontId="23" fillId="33" borderId="5" xfId="2" applyFont="1" applyFill="1" applyBorder="1" applyAlignment="1">
      <alignment horizontal="center" vertical="center"/>
    </xf>
    <xf numFmtId="0" fontId="23" fillId="33" borderId="14" xfId="2" applyFont="1" applyFill="1" applyBorder="1" applyAlignment="1">
      <alignment horizontal="center" vertical="center"/>
    </xf>
    <xf numFmtId="0" fontId="23" fillId="33" borderId="13" xfId="2" applyFont="1" applyFill="1" applyBorder="1" applyAlignment="1">
      <alignment horizontal="center" vertical="center"/>
    </xf>
    <xf numFmtId="0" fontId="23" fillId="24" borderId="2" xfId="2" applyFont="1" applyFill="1" applyBorder="1" applyAlignment="1">
      <alignment horizontal="center" vertical="center"/>
    </xf>
    <xf numFmtId="0" fontId="23" fillId="24" borderId="3" xfId="2" applyFont="1" applyFill="1" applyBorder="1" applyAlignment="1">
      <alignment horizontal="center" vertical="center"/>
    </xf>
    <xf numFmtId="49" fontId="1" fillId="5" borderId="30" xfId="0" applyNumberFormat="1" applyFont="1" applyFill="1" applyBorder="1" applyAlignment="1" applyProtection="1">
      <alignment horizontal="center" vertical="center" wrapText="1"/>
      <protection locked="0"/>
    </xf>
    <xf numFmtId="49" fontId="1" fillId="5" borderId="31" xfId="0" applyNumberFormat="1" applyFont="1" applyFill="1" applyBorder="1" applyAlignment="1" applyProtection="1">
      <alignment horizontal="center" vertical="center" wrapText="1"/>
      <protection locked="0"/>
    </xf>
    <xf numFmtId="49" fontId="1" fillId="5" borderId="32" xfId="0" applyNumberFormat="1" applyFont="1" applyFill="1" applyBorder="1" applyAlignment="1" applyProtection="1">
      <alignment horizontal="center" vertical="center" wrapText="1"/>
      <protection locked="0"/>
    </xf>
    <xf numFmtId="0" fontId="7" fillId="14" borderId="0" xfId="1" applyFont="1" applyFill="1" applyAlignment="1" applyProtection="1">
      <alignment horizontal="center" vertical="center" wrapText="1"/>
    </xf>
    <xf numFmtId="0" fontId="1" fillId="2" borderId="30" xfId="0" applyFont="1" applyFill="1" applyBorder="1" applyAlignment="1" applyProtection="1">
      <alignment horizontal="center" vertical="center" wrapText="1"/>
      <protection locked="0"/>
    </xf>
    <xf numFmtId="0" fontId="0" fillId="0" borderId="31" xfId="0" applyBorder="1"/>
    <xf numFmtId="0" fontId="0" fillId="0" borderId="32" xfId="0" applyBorder="1"/>
    <xf numFmtId="0" fontId="1" fillId="18" borderId="30" xfId="0" applyFont="1" applyFill="1" applyBorder="1" applyAlignment="1" applyProtection="1">
      <alignment horizontal="center" vertical="center" wrapText="1"/>
      <protection locked="0"/>
    </xf>
    <xf numFmtId="0" fontId="1" fillId="18" borderId="31" xfId="0" applyFont="1" applyFill="1" applyBorder="1" applyAlignment="1" applyProtection="1">
      <alignment horizontal="center" vertical="center" wrapText="1"/>
      <protection locked="0"/>
    </xf>
    <xf numFmtId="0" fontId="1" fillId="18" borderId="32" xfId="0" applyFont="1" applyFill="1" applyBorder="1" applyAlignment="1" applyProtection="1">
      <alignment horizontal="center" vertical="center" wrapText="1"/>
      <protection locked="0"/>
    </xf>
    <xf numFmtId="165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165" fontId="1" fillId="2" borderId="31" xfId="0" applyNumberFormat="1" applyFont="1" applyFill="1" applyBorder="1" applyAlignment="1" applyProtection="1">
      <alignment horizontal="center" vertical="center" wrapText="1"/>
      <protection locked="0"/>
    </xf>
    <xf numFmtId="165" fontId="1" fillId="2" borderId="32" xfId="0" applyNumberFormat="1" applyFont="1" applyFill="1" applyBorder="1" applyAlignment="1" applyProtection="1">
      <alignment horizontal="center" vertical="center" wrapText="1"/>
      <protection locked="0"/>
    </xf>
    <xf numFmtId="0" fontId="1" fillId="19" borderId="30" xfId="0" applyFont="1" applyFill="1" applyBorder="1" applyAlignment="1" applyProtection="1">
      <alignment horizontal="center" vertical="center" wrapText="1"/>
      <protection locked="0"/>
    </xf>
    <xf numFmtId="0" fontId="1" fillId="19" borderId="31" xfId="0" applyFont="1" applyFill="1" applyBorder="1" applyAlignment="1" applyProtection="1">
      <alignment horizontal="center" vertical="center" wrapText="1"/>
      <protection locked="0"/>
    </xf>
    <xf numFmtId="0" fontId="1" fillId="19" borderId="32" xfId="0" applyFont="1" applyFill="1" applyBorder="1" applyAlignment="1" applyProtection="1">
      <alignment horizontal="center" vertical="center" wrapText="1"/>
      <protection locked="0"/>
    </xf>
    <xf numFmtId="0" fontId="1" fillId="10" borderId="30" xfId="0" applyFont="1" applyFill="1" applyBorder="1" applyAlignment="1" applyProtection="1">
      <alignment horizontal="center" vertical="center" wrapText="1"/>
      <protection locked="0"/>
    </xf>
    <xf numFmtId="0" fontId="1" fillId="10" borderId="31" xfId="0" applyFont="1" applyFill="1" applyBorder="1" applyAlignment="1" applyProtection="1">
      <alignment horizontal="center" vertical="center" wrapText="1"/>
      <protection locked="0"/>
    </xf>
    <xf numFmtId="0" fontId="1" fillId="10" borderId="32" xfId="0" applyFont="1" applyFill="1" applyBorder="1" applyAlignment="1" applyProtection="1">
      <alignment horizontal="center" vertical="center" wrapText="1"/>
      <protection locked="0"/>
    </xf>
    <xf numFmtId="0" fontId="75" fillId="23" borderId="0" xfId="0" applyFont="1" applyFill="1" applyAlignment="1">
      <alignment horizontal="center" vertical="center"/>
    </xf>
    <xf numFmtId="0" fontId="1" fillId="2" borderId="55" xfId="0" applyFont="1" applyFill="1" applyBorder="1" applyAlignment="1">
      <alignment horizontal="center" vertical="center"/>
    </xf>
    <xf numFmtId="0" fontId="1" fillId="2" borderId="56" xfId="0" applyFont="1" applyFill="1" applyBorder="1" applyAlignment="1">
      <alignment horizontal="center" vertical="center"/>
    </xf>
    <xf numFmtId="0" fontId="7" fillId="14" borderId="0" xfId="3" applyFont="1" applyFill="1" applyAlignment="1">
      <alignment horizontal="left" vertical="center" wrapText="1"/>
    </xf>
    <xf numFmtId="0" fontId="12" fillId="14" borderId="0" xfId="3" applyFont="1" applyFill="1" applyAlignment="1">
      <alignment horizontal="left" vertical="center" wrapText="1"/>
    </xf>
    <xf numFmtId="166" fontId="9" fillId="0" borderId="5" xfId="3" applyNumberFormat="1" applyBorder="1" applyAlignment="1">
      <alignment horizontal="center" vertical="center" wrapText="1"/>
    </xf>
    <xf numFmtId="166" fontId="9" fillId="0" borderId="14" xfId="3" applyNumberFormat="1" applyBorder="1" applyAlignment="1">
      <alignment horizontal="center" vertical="center" wrapText="1"/>
    </xf>
    <xf numFmtId="0" fontId="11" fillId="17" borderId="0" xfId="3" applyFont="1" applyFill="1" applyAlignment="1">
      <alignment horizontal="left" vertical="center" wrapText="1"/>
    </xf>
    <xf numFmtId="0" fontId="62" fillId="79" borderId="5" xfId="5" applyFont="1" applyFill="1" applyBorder="1" applyAlignment="1">
      <alignment horizontal="center" vertical="center" wrapText="1"/>
    </xf>
    <xf numFmtId="0" fontId="62" fillId="79" borderId="13" xfId="5" applyFont="1" applyFill="1" applyBorder="1" applyAlignment="1">
      <alignment horizontal="center" vertical="center" wrapText="1"/>
    </xf>
    <xf numFmtId="0" fontId="62" fillId="79" borderId="14" xfId="5" applyFont="1" applyFill="1" applyBorder="1" applyAlignment="1">
      <alignment horizontal="center" vertical="center" wrapText="1"/>
    </xf>
    <xf numFmtId="49" fontId="49" fillId="79" borderId="5" xfId="5" applyNumberFormat="1" applyFont="1" applyFill="1" applyBorder="1" applyAlignment="1">
      <alignment horizontal="center" vertical="center" wrapText="1"/>
    </xf>
    <xf numFmtId="49" fontId="49" fillId="79" borderId="13" xfId="5" applyNumberFormat="1" applyFont="1" applyFill="1" applyBorder="1" applyAlignment="1">
      <alignment horizontal="center" vertical="center" wrapText="1"/>
    </xf>
    <xf numFmtId="49" fontId="49" fillId="79" borderId="14" xfId="5" applyNumberFormat="1" applyFont="1" applyFill="1" applyBorder="1" applyAlignment="1">
      <alignment horizontal="center" vertical="center" wrapText="1"/>
    </xf>
    <xf numFmtId="49" fontId="62" fillId="79" borderId="5" xfId="5" applyNumberFormat="1" applyFont="1" applyFill="1" applyBorder="1" applyAlignment="1">
      <alignment horizontal="center" vertical="center" wrapText="1"/>
    </xf>
    <xf numFmtId="49" fontId="62" fillId="79" borderId="13" xfId="5" applyNumberFormat="1" applyFont="1" applyFill="1" applyBorder="1" applyAlignment="1">
      <alignment horizontal="center" vertical="center" wrapText="1"/>
    </xf>
    <xf numFmtId="49" fontId="62" fillId="79" borderId="14" xfId="5" applyNumberFormat="1" applyFont="1" applyFill="1" applyBorder="1" applyAlignment="1">
      <alignment horizontal="center" vertical="center" wrapText="1"/>
    </xf>
    <xf numFmtId="0" fontId="2" fillId="79" borderId="5" xfId="3" applyFont="1" applyFill="1" applyBorder="1" applyAlignment="1">
      <alignment horizontal="center" vertical="center" wrapText="1"/>
    </xf>
    <xf numFmtId="0" fontId="2" fillId="79" borderId="13" xfId="3" applyFont="1" applyFill="1" applyBorder="1" applyAlignment="1">
      <alignment horizontal="center" vertical="center" wrapText="1"/>
    </xf>
    <xf numFmtId="0" fontId="0" fillId="0" borderId="13" xfId="0" applyBorder="1" applyAlignment="1">
      <alignment vertical="center" wrapText="1"/>
    </xf>
    <xf numFmtId="0" fontId="0" fillId="0" borderId="14" xfId="0" applyBorder="1" applyAlignment="1">
      <alignment vertical="center" wrapText="1"/>
    </xf>
    <xf numFmtId="0" fontId="2" fillId="79" borderId="5" xfId="3" applyFont="1" applyFill="1" applyBorder="1" applyAlignment="1">
      <alignment vertical="center" wrapText="1"/>
    </xf>
    <xf numFmtId="0" fontId="87" fillId="79" borderId="5" xfId="3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9" fillId="79" borderId="13" xfId="3" applyFill="1" applyBorder="1" applyAlignment="1">
      <alignment horizontal="center" vertical="center" wrapText="1"/>
    </xf>
    <xf numFmtId="0" fontId="9" fillId="36" borderId="5" xfId="3" applyFill="1" applyBorder="1" applyAlignment="1">
      <alignment horizontal="center" vertical="center" wrapText="1"/>
    </xf>
    <xf numFmtId="0" fontId="9" fillId="36" borderId="13" xfId="3" applyFill="1" applyBorder="1" applyAlignment="1">
      <alignment horizontal="center" vertical="center" wrapText="1"/>
    </xf>
    <xf numFmtId="0" fontId="9" fillId="36" borderId="14" xfId="3" applyFill="1" applyBorder="1" applyAlignment="1">
      <alignment horizontal="center" vertical="center" wrapText="1"/>
    </xf>
    <xf numFmtId="49" fontId="2" fillId="36" borderId="5" xfId="3" applyNumberFormat="1" applyFont="1" applyFill="1" applyBorder="1" applyAlignment="1">
      <alignment horizontal="center" vertical="center" wrapText="1"/>
    </xf>
    <xf numFmtId="49" fontId="2" fillId="36" borderId="13" xfId="3" applyNumberFormat="1" applyFont="1" applyFill="1" applyBorder="1" applyAlignment="1">
      <alignment horizontal="center" vertical="center" wrapText="1"/>
    </xf>
    <xf numFmtId="166" fontId="9" fillId="0" borderId="9" xfId="3" applyNumberFormat="1" applyBorder="1" applyAlignment="1">
      <alignment horizontal="center" vertical="center" wrapText="1"/>
    </xf>
    <xf numFmtId="0" fontId="51" fillId="14" borderId="0" xfId="3" applyFont="1" applyFill="1" applyAlignment="1">
      <alignment horizontal="center" vertical="center" wrapText="1"/>
    </xf>
    <xf numFmtId="0" fontId="11" fillId="28" borderId="0" xfId="3" applyFont="1" applyFill="1" applyAlignment="1">
      <alignment horizontal="left" vertical="center" wrapText="1"/>
    </xf>
    <xf numFmtId="0" fontId="3" fillId="0" borderId="24" xfId="3" applyFont="1" applyFill="1" applyBorder="1" applyAlignment="1">
      <alignment horizontal="center" vertical="center" wrapText="1"/>
    </xf>
    <xf numFmtId="0" fontId="3" fillId="0" borderId="23" xfId="3" applyFont="1" applyFill="1" applyBorder="1" applyAlignment="1">
      <alignment horizontal="center" vertical="center" wrapText="1"/>
    </xf>
    <xf numFmtId="0" fontId="6" fillId="24" borderId="35" xfId="0" applyFont="1" applyFill="1" applyBorder="1" applyAlignment="1">
      <alignment horizontal="center" vertical="center" wrapText="1"/>
    </xf>
    <xf numFmtId="0" fontId="1" fillId="0" borderId="33" xfId="0" applyFont="1" applyBorder="1" applyAlignment="1">
      <alignment horizontal="center" vertical="center" wrapText="1"/>
    </xf>
    <xf numFmtId="0" fontId="1" fillId="0" borderId="34" xfId="0" applyFont="1" applyBorder="1" applyAlignment="1">
      <alignment horizontal="center" vertical="center" wrapText="1"/>
    </xf>
    <xf numFmtId="0" fontId="1" fillId="0" borderId="59" xfId="0" applyFont="1" applyBorder="1" applyAlignment="1">
      <alignment horizontal="center" vertical="center" wrapText="1"/>
    </xf>
    <xf numFmtId="0" fontId="1" fillId="0" borderId="27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7" borderId="5" xfId="0" applyFont="1" applyFill="1" applyBorder="1" applyAlignment="1">
      <alignment horizontal="center" vertical="center" wrapText="1"/>
    </xf>
    <xf numFmtId="0" fontId="1" fillId="7" borderId="14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</cellXfs>
  <cellStyles count="47">
    <cellStyle name="20 % - Accent1" xfId="24" builtinId="30" customBuiltin="1"/>
    <cellStyle name="20 % - Accent2" xfId="27" builtinId="34" customBuiltin="1"/>
    <cellStyle name="20 % - Accent3" xfId="30" builtinId="38" customBuiltin="1"/>
    <cellStyle name="20 % - Accent4" xfId="34" builtinId="42" customBuiltin="1"/>
    <cellStyle name="20 % - Accent5" xfId="38" builtinId="46" customBuiltin="1"/>
    <cellStyle name="20 % - Accent6" xfId="42" builtinId="50" customBuiltin="1"/>
    <cellStyle name="40 % - Accent1" xfId="25" builtinId="31" customBuiltin="1"/>
    <cellStyle name="40 % - Accent2" xfId="28" builtinId="35" customBuiltin="1"/>
    <cellStyle name="40 % - Accent3" xfId="31" builtinId="39" customBuiltin="1"/>
    <cellStyle name="40 % - Accent4" xfId="35" builtinId="43" customBuiltin="1"/>
    <cellStyle name="40 % - Accent5" xfId="39" builtinId="47" customBuiltin="1"/>
    <cellStyle name="40 % - Accent6" xfId="43" builtinId="51" customBuiltin="1"/>
    <cellStyle name="60 % - Accent1" xfId="26" builtinId="32" customBuiltin="1"/>
    <cellStyle name="60 % - Accent2" xfId="29" builtinId="36" customBuiltin="1"/>
    <cellStyle name="60 % - Accent3" xfId="32" builtinId="40" customBuiltin="1"/>
    <cellStyle name="60 % - Accent4" xfId="36" builtinId="44" customBuiltin="1"/>
    <cellStyle name="60 % - Accent5" xfId="40" builtinId="48" customBuiltin="1"/>
    <cellStyle name="60 % - Accent6" xfId="44" builtinId="52" customBuiltin="1"/>
    <cellStyle name="Accent1" xfId="23" builtinId="29" customBuiltin="1"/>
    <cellStyle name="Accent2" xfId="4" builtinId="33" customBuiltin="1"/>
    <cellStyle name="Accent3" xfId="5" builtinId="37" customBuiltin="1"/>
    <cellStyle name="Accent4" xfId="33" builtinId="41" customBuiltin="1"/>
    <cellStyle name="Accent5" xfId="37" builtinId="45" customBuiltin="1"/>
    <cellStyle name="Accent6" xfId="41" builtinId="49" customBuiltin="1"/>
    <cellStyle name="Avertissement" xfId="19" builtinId="11" customBuiltin="1"/>
    <cellStyle name="Calcul" xfId="16" builtinId="22" customBuiltin="1"/>
    <cellStyle name="Cellule liée" xfId="17" builtinId="24" customBuiltin="1"/>
    <cellStyle name="Entrée" xfId="14" builtinId="20" customBuiltin="1"/>
    <cellStyle name="Insatisfaisant" xfId="12" builtinId="27" customBuiltin="1"/>
    <cellStyle name="Lien hypertexte" xfId="1" builtinId="8"/>
    <cellStyle name="Milliers" xfId="45" builtinId="3"/>
    <cellStyle name="Neutre" xfId="13" builtinId="28" customBuiltin="1"/>
    <cellStyle name="Normal" xfId="0" builtinId="0"/>
    <cellStyle name="Normal 2" xfId="2" xr:uid="{00000000-0005-0000-0000-000022000000}"/>
    <cellStyle name="Normal_Tableau de suivi PAS" xfId="3" xr:uid="{00000000-0005-0000-0000-000023000000}"/>
    <cellStyle name="Note" xfId="20" builtinId="10" customBuiltin="1"/>
    <cellStyle name="Pourcentage" xfId="46" builtinId="5"/>
    <cellStyle name="Satisfaisant" xfId="11" builtinId="26" customBuiltin="1"/>
    <cellStyle name="Sortie" xfId="15" builtinId="21" customBuiltin="1"/>
    <cellStyle name="Texte explicatif" xfId="21" builtinId="53" customBuiltin="1"/>
    <cellStyle name="Titre" xfId="6" builtinId="15" customBuiltin="1"/>
    <cellStyle name="Titre 1" xfId="7" builtinId="16" customBuiltin="1"/>
    <cellStyle name="Titre 2" xfId="8" builtinId="17" customBuiltin="1"/>
    <cellStyle name="Titre 3" xfId="9" builtinId="18" customBuiltin="1"/>
    <cellStyle name="Titre 4" xfId="10" builtinId="19" customBuiltin="1"/>
    <cellStyle name="Total" xfId="22" builtinId="25" customBuiltin="1"/>
    <cellStyle name="Vérification" xfId="18" builtinId="23" customBuiltin="1"/>
  </cellStyles>
  <dxfs count="203">
    <dxf>
      <fill>
        <patternFill>
          <bgColor rgb="FFFF99FF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rgb="FF00B050"/>
        </patternFill>
      </fill>
    </dxf>
    <dxf>
      <font>
        <b/>
        <i val="0"/>
        <condense val="0"/>
        <extend val="0"/>
      </font>
      <fill>
        <patternFill>
          <bgColor theme="0" tint="-0.24994659260841701"/>
        </patternFill>
      </fill>
    </dxf>
    <dxf>
      <fill>
        <patternFill>
          <bgColor rgb="FF00B0F0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rgb="FF00B050"/>
        </patternFill>
      </fill>
    </dxf>
    <dxf>
      <font>
        <b/>
        <i val="0"/>
        <condense val="0"/>
        <extend val="0"/>
      </font>
      <fill>
        <patternFill>
          <bgColor theme="0" tint="-0.24994659260841701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ill>
        <patternFill>
          <bgColor indexed="46"/>
        </patternFill>
      </fill>
    </dxf>
    <dxf>
      <fill>
        <patternFill>
          <bgColor indexed="41"/>
        </patternFill>
      </fill>
    </dxf>
    <dxf>
      <fill>
        <patternFill>
          <bgColor indexed="43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rgb="FF00B050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4.9989318521683403E-2"/>
        </patternFill>
      </fill>
    </dxf>
    <dxf>
      <font>
        <color theme="1"/>
      </font>
      <fill>
        <patternFill>
          <bgColor theme="0"/>
        </patternFill>
      </fill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condense val="0"/>
        <extend val="0"/>
        <color indexed="23"/>
      </font>
      <fill>
        <patternFill>
          <bgColor indexed="23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theme="3" tint="0.3999450666829432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</dxfs>
  <tableStyles count="0" defaultTableStyle="TableStyleMedium9" defaultPivotStyle="PivotStyleLight16"/>
  <colors>
    <mruColors>
      <color rgb="FF7CBF33"/>
      <color rgb="FFFFFF99"/>
      <color rgb="FFFF99FF"/>
      <color rgb="FF969696"/>
      <color rgb="FFFFCC00"/>
      <color rgb="FFFF66CC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177800</xdr:colOff>
      <xdr:row>7</xdr:row>
      <xdr:rowOff>952500</xdr:rowOff>
    </xdr:from>
    <xdr:to>
      <xdr:col>23</xdr:col>
      <xdr:colOff>1295400</xdr:colOff>
      <xdr:row>8</xdr:row>
      <xdr:rowOff>1143000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DD60D8D-D53F-4A5F-9FB6-5B164B616579}"/>
            </a:ext>
          </a:extLst>
        </xdr:cNvPr>
        <xdr:cNvSpPr txBox="1"/>
      </xdr:nvSpPr>
      <xdr:spPr>
        <a:xfrm>
          <a:off x="10020300" y="5384800"/>
          <a:ext cx="9220200" cy="1435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400"/>
            <a:t>En gros, dans Liste AT, je voudrais à terme transformer la colonne Nb de jours d'arrêt au cours de mois en Nb de jours au-delà du mois considéré et y mettre cette formule tout en gardant l'argument SI(L7="avec arrêt") et qu'il soit dépendant de Y2 comme ça chaque mois, la valeur bougera.</a:t>
          </a:r>
          <a:br>
            <a:rPr lang="fr-BE" sz="1400"/>
          </a:br>
          <a:r>
            <a:rPr lang="fr-BE" sz="1400"/>
            <a:t>J'ai essayé </a:t>
          </a:r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=SI(N7&gt;='Stats AT BDD'!Y2;"N7-FINMOIS('Stats AT BDD'!$Y$2)";0) </a:t>
          </a:r>
          <a:endParaRPr lang="fr-BE" sz="1400"/>
        </a:p>
        <a:p>
          <a:r>
            <a:rPr lang="fr-BE" sz="1400"/>
            <a:t>mais la synthaxe semble fausse, en tout cas, quelque chose le chagrine au niveau de FINMOIS('Stats AT BDD'!$Y$2).</a:t>
          </a:r>
          <a:br>
            <a:rPr lang="fr-BE"/>
          </a:b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2" Type="http://schemas.openxmlformats.org/officeDocument/2006/relationships/hyperlink" Target="mailto:Ic@re" TargetMode="External"/><Relationship Id="rId1" Type="http://schemas.openxmlformats.org/officeDocument/2006/relationships/hyperlink" Target="mailto:Ic@re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>
    <tabColor rgb="FF00B0F0"/>
  </sheetPr>
  <dimension ref="A1:Y87"/>
  <sheetViews>
    <sheetView view="pageLayout" topLeftCell="A4" zoomScale="90" zoomScaleNormal="100" zoomScalePageLayoutView="90" workbookViewId="0">
      <selection activeCell="B16" sqref="B16"/>
    </sheetView>
  </sheetViews>
  <sheetFormatPr baseColWidth="10" defaultRowHeight="15"/>
  <cols>
    <col min="1" max="1" width="40" style="225" customWidth="1"/>
    <col min="2" max="3" width="9.85546875" style="225" customWidth="1"/>
    <col min="4" max="4" width="9.5703125" style="225" customWidth="1"/>
    <col min="5" max="5" width="11" style="225" customWidth="1"/>
    <col min="6" max="6" width="8.7109375" style="225" customWidth="1"/>
    <col min="7" max="7" width="9.7109375" style="225" customWidth="1"/>
    <col min="8" max="8" width="27.42578125" style="225" customWidth="1"/>
    <col min="9" max="9" width="13.28515625" style="225" customWidth="1"/>
    <col min="10" max="10" width="10.85546875" style="225" customWidth="1"/>
    <col min="11" max="11" width="10.42578125" style="225" customWidth="1"/>
    <col min="12" max="12" width="12.140625" style="225" customWidth="1"/>
    <col min="13" max="13" width="12.42578125" style="225" customWidth="1"/>
    <col min="14" max="14" width="11.42578125" style="225"/>
    <col min="15" max="15" width="29.5703125" style="225" customWidth="1"/>
    <col min="16" max="16" width="22.85546875" style="225" customWidth="1"/>
    <col min="17" max="17" width="20.140625" style="225" customWidth="1"/>
    <col min="18" max="18" width="16.85546875" style="225" customWidth="1"/>
    <col min="19" max="19" width="26.85546875" style="225" customWidth="1"/>
    <col min="20" max="20" width="11.42578125" style="225"/>
    <col min="21" max="21" width="11.140625" style="225" customWidth="1"/>
    <col min="22" max="22" width="14" style="225" customWidth="1"/>
    <col min="23" max="23" width="12.42578125" style="225" customWidth="1"/>
    <col min="24" max="16384" width="11.42578125" style="225"/>
  </cols>
  <sheetData>
    <row r="1" spans="1:25" ht="27" customHeight="1">
      <c r="A1" s="226"/>
      <c r="B1" s="226"/>
      <c r="C1" s="226"/>
      <c r="D1" s="226"/>
      <c r="E1" s="226"/>
      <c r="F1" s="226"/>
      <c r="G1" s="348">
        <f ca="1">TODAY()</f>
        <v>43866</v>
      </c>
    </row>
    <row r="2" spans="1:25" ht="27">
      <c r="A2" s="227" t="s">
        <v>552</v>
      </c>
      <c r="B2" s="228"/>
      <c r="C2" s="228"/>
      <c r="D2" s="228"/>
      <c r="E2" s="228"/>
      <c r="F2" s="228"/>
      <c r="G2" s="228"/>
      <c r="H2" s="239" t="s">
        <v>799</v>
      </c>
      <c r="I2" s="228"/>
      <c r="J2" s="228"/>
      <c r="K2" s="228"/>
      <c r="L2" s="228"/>
      <c r="M2" s="228"/>
      <c r="O2" s="243" t="s">
        <v>802</v>
      </c>
      <c r="P2" s="228"/>
      <c r="Q2" s="228"/>
      <c r="R2" s="228"/>
      <c r="S2" s="243" t="s">
        <v>805</v>
      </c>
      <c r="T2" s="228"/>
      <c r="U2" s="228"/>
      <c r="V2" s="228"/>
    </row>
    <row r="3" spans="1:25">
      <c r="A3" s="226"/>
      <c r="B3" s="226"/>
      <c r="C3" s="226"/>
      <c r="D3" s="226"/>
      <c r="E3" s="226"/>
      <c r="F3" s="226"/>
      <c r="G3" s="226"/>
    </row>
    <row r="4" spans="1:25">
      <c r="A4" s="226"/>
      <c r="B4" s="226"/>
      <c r="C4" s="226"/>
      <c r="D4" s="226"/>
      <c r="E4" s="226"/>
      <c r="F4" s="226"/>
      <c r="G4" s="226"/>
    </row>
    <row r="5" spans="1:25" ht="15" customHeight="1">
      <c r="A5" s="530" t="s">
        <v>777</v>
      </c>
      <c r="B5" s="530"/>
      <c r="C5" s="530"/>
      <c r="D5" s="530"/>
      <c r="E5" s="530"/>
      <c r="F5" s="530"/>
      <c r="G5" s="530"/>
      <c r="H5" s="531" t="s">
        <v>777</v>
      </c>
      <c r="I5" s="530"/>
      <c r="J5" s="530"/>
      <c r="K5" s="530"/>
      <c r="L5" s="530"/>
      <c r="M5" s="530"/>
      <c r="N5" s="530"/>
    </row>
    <row r="6" spans="1:25">
      <c r="A6" s="229" t="s">
        <v>798</v>
      </c>
      <c r="B6" s="230" t="s">
        <v>876</v>
      </c>
      <c r="C6" s="349" t="s">
        <v>838</v>
      </c>
      <c r="D6" s="350" t="s">
        <v>846</v>
      </c>
      <c r="E6" s="231" t="s">
        <v>1000</v>
      </c>
      <c r="F6" s="345" t="s">
        <v>999</v>
      </c>
      <c r="G6" s="298" t="s">
        <v>264</v>
      </c>
      <c r="H6" s="229" t="s">
        <v>262</v>
      </c>
      <c r="I6" s="230" t="s">
        <v>876</v>
      </c>
      <c r="J6" s="349" t="s">
        <v>838</v>
      </c>
      <c r="K6" s="350" t="s">
        <v>846</v>
      </c>
      <c r="L6" s="231" t="s">
        <v>1000</v>
      </c>
      <c r="M6" s="344" t="s">
        <v>999</v>
      </c>
      <c r="N6" s="298" t="s">
        <v>264</v>
      </c>
    </row>
    <row r="7" spans="1:25" ht="14.25" customHeight="1">
      <c r="A7" s="233" t="s">
        <v>968</v>
      </c>
      <c r="B7" s="234">
        <f>'Stats AT BDD'!F2+'Stats AT BDD'!F3+'Stats AT BDD'!F4+'Stats AT BDD'!F5+'Stats AT BDD'!F6</f>
        <v>0</v>
      </c>
      <c r="C7" s="234">
        <f>'Stats AT BDD'!F5</f>
        <v>0</v>
      </c>
      <c r="D7" s="234">
        <f>'Stats AT BDD'!F6</f>
        <v>0</v>
      </c>
      <c r="E7" s="234">
        <f>'Stats AT BDD'!F2</f>
        <v>0</v>
      </c>
      <c r="F7" s="234">
        <f>'Stats AT BDD'!F3</f>
        <v>0</v>
      </c>
      <c r="G7" s="234">
        <f>'Stats AT BDD'!F4</f>
        <v>0</v>
      </c>
      <c r="H7" s="307" t="s">
        <v>823</v>
      </c>
      <c r="I7" s="234">
        <f>SUM(COUNTIFS('Suivi des DPx'!$A$11:$A$109,{"TER OUEST";"TER EST";"SIEGE";"TRAIN";"EMI"},'Suivi des DPx'!E$11:E$109,"OUI"))</f>
        <v>19</v>
      </c>
      <c r="J7" s="234">
        <f>SUM(COUNTIFS('Suivi des DPx'!$A$11:$A$109,"TRAIN",'Suivi des DPx'!$E$11:$E$109,"OUI"))</f>
        <v>6</v>
      </c>
      <c r="K7" s="234">
        <f>SUM(COUNTIFS('Suivi des DPx'!$A$11:$A$109,"EMI",'Suivi des DPx'!$E$11:$E$109,"OUI"))</f>
        <v>1</v>
      </c>
      <c r="L7" s="234">
        <f>SUM(COUNTIFS('Suivi des DPx'!$A$11:$A$109,"TER OUEST",'Suivi des DPx'!$E$11:$E$109,"OUI"))</f>
        <v>3</v>
      </c>
      <c r="M7" s="234">
        <f>SUM(COUNTIFS('Suivi des DPx'!$A$11:$A$109,"TER EST",'Suivi des DPx'!$E$11:$E$109,"OUI"))</f>
        <v>5</v>
      </c>
      <c r="N7" s="234">
        <f>SUM(COUNTIFS('Suivi des DPx'!$A$11:$A$109,"SIEGE",'Suivi des DPx'!$E$11:$E$109,"OUI"))</f>
        <v>4</v>
      </c>
    </row>
    <row r="8" spans="1:25" ht="14.25" customHeight="1">
      <c r="A8" s="309" t="s">
        <v>831</v>
      </c>
      <c r="B8" s="237">
        <f>B7-B10-B12</f>
        <v>0</v>
      </c>
      <c r="C8" s="237">
        <f t="shared" ref="C8:G8" si="0">C7-C10</f>
        <v>0</v>
      </c>
      <c r="D8" s="237">
        <f t="shared" si="0"/>
        <v>0</v>
      </c>
      <c r="E8" s="237">
        <f t="shared" si="0"/>
        <v>0</v>
      </c>
      <c r="F8" s="237">
        <f t="shared" si="0"/>
        <v>0</v>
      </c>
      <c r="G8" s="237">
        <f t="shared" si="0"/>
        <v>0</v>
      </c>
      <c r="H8" s="305" t="s">
        <v>776</v>
      </c>
      <c r="I8" s="303">
        <f>I7/$I$37</f>
        <v>0.46341463414634149</v>
      </c>
      <c r="J8" s="303">
        <f>J7/$J$37</f>
        <v>0.46153846153846156</v>
      </c>
      <c r="K8" s="303">
        <f>K7/$K$37</f>
        <v>0.33333333333333331</v>
      </c>
      <c r="L8" s="303">
        <f>L7/$L$37</f>
        <v>0.5</v>
      </c>
      <c r="M8" s="303">
        <f>M7/$M$37</f>
        <v>0.625</v>
      </c>
      <c r="N8" s="303">
        <f>N7/$N$37</f>
        <v>0.36363636363636365</v>
      </c>
      <c r="O8" s="529" t="s">
        <v>819</v>
      </c>
      <c r="P8" s="529"/>
      <c r="Q8" s="529"/>
      <c r="S8" s="532" t="s">
        <v>806</v>
      </c>
      <c r="T8" s="532"/>
      <c r="U8" s="532"/>
      <c r="V8" s="532"/>
      <c r="W8" s="532"/>
      <c r="X8" s="532"/>
      <c r="Y8" s="532"/>
    </row>
    <row r="9" spans="1:25" ht="14.25" customHeight="1">
      <c r="A9" s="309" t="s">
        <v>959</v>
      </c>
      <c r="B9" s="237">
        <f>'Stats AT BDD'!V2+'Stats AT BDD'!V3+'Stats AT BDD'!V4+'Stats AT BDD'!V5+'Stats AT BDD'!V6</f>
        <v>0</v>
      </c>
      <c r="C9" s="237">
        <f>'Stats AT BDD'!V5</f>
        <v>0</v>
      </c>
      <c r="D9" s="237">
        <f>'Stats AT BDD'!V6</f>
        <v>0</v>
      </c>
      <c r="E9" s="237">
        <f>'Stats AT BDD'!V2</f>
        <v>0</v>
      </c>
      <c r="F9" s="237">
        <f>'Stats AT BDD'!V3</f>
        <v>0</v>
      </c>
      <c r="G9" s="237">
        <f>'Stats AT BDD'!V4</f>
        <v>0</v>
      </c>
      <c r="H9" s="308" t="s">
        <v>589</v>
      </c>
      <c r="I9" s="237">
        <f>SUM(COUNTIFS('Suivi des DPx'!$A$11:$A$109,{"TER OUEST";"TER EST";"SIEGE";"TRAIN";"EMI"},'Suivi des DPx'!G$11:G$109,"OUI"))</f>
        <v>12</v>
      </c>
      <c r="J9" s="237">
        <f>SUM(COUNTIFS('Suivi des DPx'!$A$11:$A$109,"TRAIN",'Suivi des DPx'!$G$11:$G$109,"OUI"))</f>
        <v>2</v>
      </c>
      <c r="K9" s="237">
        <f>SUM(COUNTIFS('Suivi des DPx'!$A$11:$A$109,"EMI",'Suivi des DPx'!$G$11:$G$109,"OUI"))</f>
        <v>0</v>
      </c>
      <c r="L9" s="237">
        <f>SUM(COUNTIFS('Suivi des DPx'!$A$11:$A$109,"TER OUEST",'Suivi des DPx'!$G$11:$G$109,"OUI"))</f>
        <v>4</v>
      </c>
      <c r="M9" s="237">
        <f>SUM(COUNTIFS('Suivi des DPx'!$A$11:$A$109,"TER EST",'Suivi des DPx'!$G$11:$G$109,"OUI"))</f>
        <v>4</v>
      </c>
      <c r="N9" s="237">
        <f>SUM(COUNTIFS('Suivi des DPx'!$A$11:$A$109,"SIEGE",'Suivi des DPx'!$G$11:$G$109,"OUI"))</f>
        <v>2</v>
      </c>
      <c r="O9" s="240" t="s">
        <v>804</v>
      </c>
      <c r="P9" s="241" t="s">
        <v>803</v>
      </c>
      <c r="Q9" s="242" t="s">
        <v>776</v>
      </c>
      <c r="S9" s="240" t="s">
        <v>804</v>
      </c>
      <c r="T9" s="230" t="s">
        <v>876</v>
      </c>
      <c r="U9" s="349" t="s">
        <v>838</v>
      </c>
      <c r="V9" s="350" t="s">
        <v>846</v>
      </c>
      <c r="W9" s="231" t="s">
        <v>1000</v>
      </c>
      <c r="X9" s="344" t="s">
        <v>999</v>
      </c>
      <c r="Y9" s="298" t="s">
        <v>264</v>
      </c>
    </row>
    <row r="10" spans="1:25" ht="14.25" customHeight="1">
      <c r="A10" s="233" t="s">
        <v>801</v>
      </c>
      <c r="B10" s="234">
        <f>'Stats AT BDD'!R2+'Stats AT BDD'!R3+'Stats AT BDD'!R4+'Stats AT BDD'!R5+'Stats AT BDD'!R6</f>
        <v>0</v>
      </c>
      <c r="C10" s="234">
        <f>'Stats AT BDD'!R5</f>
        <v>0</v>
      </c>
      <c r="D10" s="234">
        <f>'Stats AT BDD'!R6</f>
        <v>0</v>
      </c>
      <c r="E10" s="234">
        <f>'Stats AT BDD'!R2</f>
        <v>0</v>
      </c>
      <c r="F10" s="234">
        <f>'Stats AT BDD'!R3</f>
        <v>0</v>
      </c>
      <c r="G10" s="234">
        <f>'Stats AT BDD'!R4</f>
        <v>0</v>
      </c>
      <c r="H10" s="306" t="s">
        <v>776</v>
      </c>
      <c r="I10" s="304">
        <f>I9/$I$37</f>
        <v>0.29268292682926828</v>
      </c>
      <c r="J10" s="304">
        <f>J9/$J$37</f>
        <v>0.15384615384615385</v>
      </c>
      <c r="K10" s="304">
        <f>K9/$K$37</f>
        <v>0</v>
      </c>
      <c r="L10" s="304">
        <f>L9/$L$37</f>
        <v>0.66666666666666663</v>
      </c>
      <c r="M10" s="304">
        <f>M9/$M$37</f>
        <v>0.5</v>
      </c>
      <c r="N10" s="304">
        <f>N9/$N$37</f>
        <v>0.18181818181818182</v>
      </c>
      <c r="O10" s="233" t="s">
        <v>280</v>
      </c>
      <c r="P10" s="234">
        <f>COUNTIF('Suivi du PAS 2020'!$P$5:$P$26,"TERMINEE")</f>
        <v>3</v>
      </c>
      <c r="Q10" s="301">
        <f>P10/SUM($P$10:$P$14)</f>
        <v>0.2</v>
      </c>
      <c r="S10" s="233" t="s">
        <v>807</v>
      </c>
      <c r="T10" s="234">
        <f>SUM(U10:Y10)</f>
        <v>0</v>
      </c>
      <c r="U10" s="235">
        <f>SUM(COUNTIFS('Programmation et suivi VP&amp;Icare'!$B$2:$B$92,"TRAIN",'Programmation et suivi VP&amp;Icare'!$F$2:$F$92,"&gt;1"))</f>
        <v>0</v>
      </c>
      <c r="V10" s="235">
        <f>SUM(COUNTIFS('Programmation et suivi VP&amp;Icare'!$B$2:$B$92,"EMI",'Programmation et suivi VP&amp;Icare'!$F$2:$F$92,"&gt;1"))</f>
        <v>0</v>
      </c>
      <c r="W10" s="235">
        <f>SUM(COUNTIFS('Programmation et suivi VP&amp;Icare'!$B$2:$B$92,"TER OUEST",'Programmation et suivi VP&amp;Icare'!$F$2:$F$92,"&gt;1"))</f>
        <v>0</v>
      </c>
      <c r="X10" s="235">
        <f>SUM(COUNTIFS('Programmation et suivi VP&amp;Icare'!$B$2:$B$92,"TER EST",'Programmation et suivi VP&amp;Icare'!$F$2:$F$92,"&gt;1"))</f>
        <v>0</v>
      </c>
      <c r="Y10" s="235">
        <f>SUM(COUNTIFS('Programmation et suivi VP&amp;Icare'!$B$2:$B$92,"SIEGE",'Programmation et suivi VP&amp;Icare'!$F$2:$F$92,"&gt;1"))</f>
        <v>0</v>
      </c>
    </row>
    <row r="11" spans="1:25" ht="14.25" customHeight="1">
      <c r="A11" s="309" t="s">
        <v>832</v>
      </c>
      <c r="B11" s="237">
        <f>'Stats AT BDD'!U2+'Stats AT BDD'!U3+'Stats AT BDD'!U4+'Stats AT BDD'!U5+'Stats AT BDD'!U6</f>
        <v>0</v>
      </c>
      <c r="C11" s="237">
        <f>'Stats AT BDD'!U5</f>
        <v>0</v>
      </c>
      <c r="D11" s="237">
        <f>'Stats AT BDD'!U6</f>
        <v>0</v>
      </c>
      <c r="E11" s="237">
        <f>'Stats AT BDD'!U2</f>
        <v>0</v>
      </c>
      <c r="F11" s="237">
        <f>'Stats AT BDD'!U3</f>
        <v>0</v>
      </c>
      <c r="G11" s="237">
        <f>'Stats AT BDD'!U4</f>
        <v>0</v>
      </c>
      <c r="H11" s="307" t="s">
        <v>258</v>
      </c>
      <c r="I11" s="234">
        <f>SUM(COUNTIFS('Suivi des DPx'!$A$11:$A$109,{"TER OUEST";"TER EST";"SIEGE";"TRAIN";"EMI"},'Suivi des DPx'!I$11:I$109,"OUI"))</f>
        <v>13</v>
      </c>
      <c r="J11" s="234">
        <f>SUM(COUNTIFS('Suivi des DPx'!$A$11:$A$109,"TRAIN",'Suivi des DPx'!$I$11:$I$109,"OUI"))</f>
        <v>5</v>
      </c>
      <c r="K11" s="234">
        <f>SUM(COUNTIFS('Suivi des DPx'!$A$11:$A$109,"EMI",'Suivi des DPx'!$I$11:$I$109,"OUI"))</f>
        <v>0</v>
      </c>
      <c r="L11" s="234">
        <f>SUM(COUNTIFS('Suivi des DPx'!$A$11:$A$109,"TER OUEST",'Suivi des DPx'!$I$11:$I$109,"OUI"))</f>
        <v>3</v>
      </c>
      <c r="M11" s="234">
        <f>SUM(COUNTIFS('Suivi des DPx'!$A$11:$A$109,"TER EST",'Suivi des DPx'!$I$11:$I$109,"OUI"))</f>
        <v>5</v>
      </c>
      <c r="N11" s="234">
        <f>SUM(COUNTIFS('Suivi des DPx'!$A$11:$A$109,"SIEGE",'Suivi des DPx'!$I$11:$I$109,"OUI"))</f>
        <v>0</v>
      </c>
      <c r="O11" s="236" t="s">
        <v>1082</v>
      </c>
      <c r="P11" s="490">
        <f>COUNTIF('Suivi du PAS 2020'!$P$5:$P$26,"80%")</f>
        <v>4</v>
      </c>
      <c r="Q11" s="302">
        <f>P11/SUM($P$10:$P$14)</f>
        <v>0.26666666666666666</v>
      </c>
      <c r="S11" s="236" t="s">
        <v>808</v>
      </c>
      <c r="T11" s="237">
        <f>COUNTA('Programmation et suivi VP&amp;Icare'!G2:G107)</f>
        <v>0</v>
      </c>
      <c r="U11" s="238">
        <f>SUM(COUNTIFS('Programmation et suivi VP&amp;Icare'!$B$2:$B$92,"TRAIN",'Programmation et suivi VP&amp;Icare'!$G$2:$G$92,"&gt;1"))</f>
        <v>0</v>
      </c>
      <c r="V11" s="238">
        <f>SUM(COUNTIFS('Programmation et suivi VP&amp;Icare'!$B$2:$B$92,"EMI",'Programmation et suivi VP&amp;Icare'!$G$2:$G$92,"&gt;1"))</f>
        <v>0</v>
      </c>
      <c r="W11" s="238">
        <f>SUM(COUNTIFS('Programmation et suivi VP&amp;Icare'!$B$2:$B$92,"TER OUEST",'Programmation et suivi VP&amp;Icare'!$G$2:$G$92,"&gt;1"))</f>
        <v>0</v>
      </c>
      <c r="X11" s="238">
        <f>SUM(COUNTIFS('Programmation et suivi VP&amp;Icare'!$B$2:$B$92,"TER EST",'Programmation et suivi VP&amp;Icare'!$G$2:$G$92,"&gt;1"))</f>
        <v>0</v>
      </c>
      <c r="Y11" s="238">
        <f>SUM(COUNTIFS('Programmation et suivi VP&amp;Icare'!$B$2:$B$92,"SIEGE",'Programmation et suivi VP&amp;Icare'!$G$2:$G$92,"&gt;1"))</f>
        <v>0</v>
      </c>
    </row>
    <row r="12" spans="1:25" ht="14.25" customHeight="1">
      <c r="A12" s="309" t="s">
        <v>967</v>
      </c>
      <c r="B12" s="237">
        <f>'Stats AT BDD'!Q2+'Stats AT BDD'!Q3+'Stats AT BDD'!Q4+'Stats AT BDD'!Q5+'Stats AT BDD'!Q6</f>
        <v>0</v>
      </c>
      <c r="C12" s="237">
        <f>'Stats AT BDD'!Q5</f>
        <v>0</v>
      </c>
      <c r="D12" s="237">
        <f>'Stats AT BDD'!Q6</f>
        <v>0</v>
      </c>
      <c r="E12" s="237">
        <f>'Stats AT BDD'!Q2</f>
        <v>0</v>
      </c>
      <c r="F12" s="237">
        <f>'Stats AT BDD'!Q3</f>
        <v>0</v>
      </c>
      <c r="G12" s="237">
        <f>'Stats AT BDD'!Q4</f>
        <v>0</v>
      </c>
      <c r="H12" s="305" t="s">
        <v>776</v>
      </c>
      <c r="I12" s="303">
        <f>I11/$I$37</f>
        <v>0.31707317073170732</v>
      </c>
      <c r="J12" s="303">
        <f>J11/$J$37</f>
        <v>0.38461538461538464</v>
      </c>
      <c r="K12" s="303">
        <f>K11/$K$37</f>
        <v>0</v>
      </c>
      <c r="L12" s="303">
        <f>L11/$L$37</f>
        <v>0.5</v>
      </c>
      <c r="M12" s="303">
        <f>M11/$M$37</f>
        <v>0.625</v>
      </c>
      <c r="N12" s="303">
        <f>N11/$N$37</f>
        <v>0</v>
      </c>
      <c r="O12" s="236" t="s">
        <v>1081</v>
      </c>
      <c r="P12" s="490">
        <f>COUNTIF('Suivi du PAS 2020'!$P$5:$P$26,"50%")</f>
        <v>1</v>
      </c>
      <c r="Q12" s="302">
        <f t="shared" ref="Q12:Q13" si="1">P12/SUM($P$10:$P$14)</f>
        <v>6.6666666666666666E-2</v>
      </c>
      <c r="S12" s="233" t="s">
        <v>776</v>
      </c>
      <c r="T12" s="303" t="e">
        <f>T11/T10</f>
        <v>#DIV/0!</v>
      </c>
      <c r="U12" s="303" t="e">
        <f>U11/U10</f>
        <v>#DIV/0!</v>
      </c>
      <c r="V12" s="303" t="e">
        <f>V11/V10</f>
        <v>#DIV/0!</v>
      </c>
      <c r="W12" s="303" t="e">
        <f t="shared" ref="W12:Y12" si="2">W11/W10</f>
        <v>#DIV/0!</v>
      </c>
      <c r="X12" s="303" t="e">
        <f t="shared" si="2"/>
        <v>#DIV/0!</v>
      </c>
      <c r="Y12" s="303" t="e">
        <f t="shared" si="2"/>
        <v>#DIV/0!</v>
      </c>
    </row>
    <row r="13" spans="1:25" ht="14.25" customHeight="1">
      <c r="H13" s="308" t="s">
        <v>279</v>
      </c>
      <c r="I13" s="237">
        <f>SUM(COUNTIFS('Suivi des DPx'!$A$11:$A$109,{"TER OUEST";"TER EST";"SIEGE";"TRAIN";"EMI"},'Suivi des DPx'!K$11:K$109,"OUI"))</f>
        <v>12</v>
      </c>
      <c r="J13" s="237">
        <f>SUM(COUNTIFS('Suivi des DPx'!$A$11:$A$109,"TRAIN",'Suivi des DPx'!$K$11:$K$109,"OUI"))</f>
        <v>4</v>
      </c>
      <c r="K13" s="237">
        <f>SUM(COUNTIFS('Suivi des DPx'!$A$11:$A$109,"EMI",'Suivi des DPx'!$K$11:$K$109,"OUI"))</f>
        <v>0</v>
      </c>
      <c r="L13" s="237">
        <f>SUM(COUNTIFS('Suivi des DPx'!$A$11:$A$109,"TER OUEST",'Suivi des DPx'!$K$11:$K$109,"OUI"))</f>
        <v>4</v>
      </c>
      <c r="M13" s="237">
        <f>SUM(COUNTIFS('Suivi des DPx'!$A$11:$A$109,"TER EST",'Suivi des DPx'!$K$11:$K$109,"OUI"))</f>
        <v>3</v>
      </c>
      <c r="N13" s="237">
        <f>SUM(COUNTIFS('Suivi des DPx'!$A$11:$A$109,"SIEGE",'Suivi des DPx'!$K$11:$K$109,"OUI"))</f>
        <v>1</v>
      </c>
      <c r="O13" s="236" t="s">
        <v>1080</v>
      </c>
      <c r="P13" s="490">
        <f>COUNTIF('Suivi du PAS 2020'!$P$5:$P$26,"20%")</f>
        <v>4</v>
      </c>
      <c r="Q13" s="302">
        <f t="shared" si="1"/>
        <v>0.26666666666666666</v>
      </c>
    </row>
    <row r="14" spans="1:25" ht="14.25" customHeight="1">
      <c r="A14" s="233" t="s">
        <v>795</v>
      </c>
      <c r="B14" s="234">
        <f>'Stats AT BDD'!G2+'Stats AT BDD'!G3+'Stats AT BDD'!G4+'Stats AT BDD'!G5+'Stats AT BDD'!G6</f>
        <v>0</v>
      </c>
      <c r="C14" s="234">
        <f>'Stats AT BDD'!G5</f>
        <v>0</v>
      </c>
      <c r="D14" s="234">
        <f>'Stats AT BDD'!G6</f>
        <v>0</v>
      </c>
      <c r="E14" s="234">
        <f>'Stats AT BDD'!G2</f>
        <v>0</v>
      </c>
      <c r="F14" s="234">
        <f>'Stats AT BDD'!G3</f>
        <v>0</v>
      </c>
      <c r="G14" s="234">
        <f>'Stats AT BDD'!G4</f>
        <v>0</v>
      </c>
      <c r="H14" s="306" t="s">
        <v>776</v>
      </c>
      <c r="I14" s="304">
        <f>I13/$I$37</f>
        <v>0.29268292682926828</v>
      </c>
      <c r="J14" s="304">
        <f>J13/$J$37</f>
        <v>0.30769230769230771</v>
      </c>
      <c r="K14" s="304">
        <f>K13/$K$37</f>
        <v>0</v>
      </c>
      <c r="L14" s="304">
        <f>L13/$L$37</f>
        <v>0.66666666666666663</v>
      </c>
      <c r="M14" s="304">
        <f>M13/$M$37</f>
        <v>0.375</v>
      </c>
      <c r="N14" s="304">
        <f>N13/$N$37</f>
        <v>9.0909090909090912E-2</v>
      </c>
      <c r="O14" s="233" t="s">
        <v>282</v>
      </c>
      <c r="P14" s="234">
        <f>COUNTIF('Suivi du PAS 2020'!$P$5:$P$26,"NON COMMENCEE")</f>
        <v>3</v>
      </c>
      <c r="Q14" s="301">
        <f>P14/SUM($P$10:$P$14)</f>
        <v>0.2</v>
      </c>
    </row>
    <row r="15" spans="1:25" ht="14.25" customHeight="1">
      <c r="A15" s="309" t="s">
        <v>796</v>
      </c>
      <c r="B15" s="237">
        <f ca="1">MIN('Stats AT BDD'!D2,'Stats AT BDD'!D3,'Stats AT BDD'!D4,'Stats AT BDD'!D5,'Stats AT BDD'!D6)</f>
        <v>400</v>
      </c>
      <c r="C15" s="237">
        <f ca="1">'Stats AT BDD'!D5</f>
        <v>400</v>
      </c>
      <c r="D15" s="237">
        <f ca="1">'Stats AT BDD'!D6</f>
        <v>400</v>
      </c>
      <c r="E15" s="237">
        <f ca="1">'Stats AT BDD'!D2</f>
        <v>400</v>
      </c>
      <c r="F15" s="237">
        <f ca="1">'Stats AT BDD'!D3</f>
        <v>400</v>
      </c>
      <c r="G15" s="237">
        <f ca="1">'Stats AT BDD'!D4</f>
        <v>400</v>
      </c>
      <c r="H15" s="307" t="s">
        <v>275</v>
      </c>
      <c r="I15" s="234">
        <f>SUM(COUNTIFS('Suivi des DPx'!$A$11:$A$109,{"TER OUEST";"TER  EST";"SIEGE";"TRAIN";"EMI"},'Suivi des DPx'!M$11:M$109,"OUI"))</f>
        <v>28</v>
      </c>
      <c r="J15" s="234">
        <f>SUM(COUNTIFS('Suivi des DPx'!$A$11:$A$109,"TRAIN",'Suivi des DPx'!$M$11:$M$109,"OUI"))</f>
        <v>12</v>
      </c>
      <c r="K15" s="234">
        <f>SUM(COUNTIFS('Suivi des DPx'!$A$11:$A$109,"EMI",'Suivi des DPx'!$M$11:$M$109,"OUI"))</f>
        <v>2</v>
      </c>
      <c r="L15" s="234">
        <f>SUM(COUNTIFS('Suivi des DPx'!$A$11:$A$109,"TER OUEST",'Suivi des DPx'!$M$11:$M$109,"OUI"))</f>
        <v>5</v>
      </c>
      <c r="M15" s="234">
        <f>SUM(COUNTIFS('Suivi des DPx'!$A$11:$A$109,"TER EST",'Suivi des DPx'!$M$11:$M$109,"OUI"))</f>
        <v>6</v>
      </c>
      <c r="N15" s="234">
        <f>SUM(COUNTIFS('Suivi des DPx'!$A$11:$A$109,"SIEGE",'Suivi des DPx'!$M$11:$M$109,"OUI"))</f>
        <v>9</v>
      </c>
      <c r="S15" s="529" t="s">
        <v>809</v>
      </c>
      <c r="T15" s="529"/>
      <c r="U15" s="529"/>
      <c r="V15" s="529"/>
    </row>
    <row r="16" spans="1:25" ht="14.25" customHeight="1">
      <c r="A16" s="233" t="s">
        <v>877</v>
      </c>
      <c r="B16" s="300" t="e">
        <f ca="1">'Stats AT BDD'!M54</f>
        <v>#N/A</v>
      </c>
      <c r="C16" s="300" t="e">
        <f ca="1">'Stats AT BDD'!M5</f>
        <v>#N/A</v>
      </c>
      <c r="D16" s="300" t="e">
        <f ca="1">'Stats AT BDD'!M6</f>
        <v>#N/A</v>
      </c>
      <c r="E16" s="300" t="e">
        <f ca="1">'Stats AT BDD'!M2</f>
        <v>#N/A</v>
      </c>
      <c r="F16" s="300" t="e">
        <f ca="1">'Stats AT BDD'!M3</f>
        <v>#N/A</v>
      </c>
      <c r="G16" s="300" t="e">
        <f ca="1">'Stats AT BDD'!M4</f>
        <v>#N/A</v>
      </c>
      <c r="H16" s="305" t="s">
        <v>776</v>
      </c>
      <c r="I16" s="303">
        <f>I15/$I$37</f>
        <v>0.68292682926829273</v>
      </c>
      <c r="J16" s="303">
        <f>J15/$J$37</f>
        <v>0.92307692307692313</v>
      </c>
      <c r="K16" s="303">
        <f>K15/$K$37</f>
        <v>0.66666666666666663</v>
      </c>
      <c r="L16" s="303">
        <f>L15/$L$37</f>
        <v>0.83333333333333337</v>
      </c>
      <c r="M16" s="303">
        <f>M15/$M$37</f>
        <v>0.75</v>
      </c>
      <c r="N16" s="303">
        <f>N15/$N$37</f>
        <v>0.81818181818181823</v>
      </c>
      <c r="S16" s="240" t="s">
        <v>726</v>
      </c>
      <c r="T16" s="230" t="s">
        <v>876</v>
      </c>
      <c r="U16" s="349" t="s">
        <v>838</v>
      </c>
      <c r="V16" s="350" t="s">
        <v>846</v>
      </c>
      <c r="W16" s="231" t="s">
        <v>1000</v>
      </c>
      <c r="X16" s="344" t="s">
        <v>999</v>
      </c>
      <c r="Y16" s="298" t="s">
        <v>264</v>
      </c>
    </row>
    <row r="17" spans="1:25" ht="14.25" customHeight="1">
      <c r="A17" s="309" t="s">
        <v>878</v>
      </c>
      <c r="B17" s="299" t="e">
        <f ca="1">'Stats AT BDD'!J54</f>
        <v>#N/A</v>
      </c>
      <c r="C17" s="299" t="e">
        <f ca="1">'Stats AT BDD'!J5</f>
        <v>#N/A</v>
      </c>
      <c r="D17" s="299" t="e">
        <f ca="1">'Stats AT BDD'!J6</f>
        <v>#N/A</v>
      </c>
      <c r="E17" s="299" t="e">
        <f ca="1">'Stats AT BDD'!J2</f>
        <v>#N/A</v>
      </c>
      <c r="F17" s="299" t="e">
        <f ca="1">'Stats AT BDD'!J3</f>
        <v>#N/A</v>
      </c>
      <c r="G17" s="299" t="e">
        <f ca="1">'Stats AT BDD'!J4</f>
        <v>#N/A</v>
      </c>
      <c r="H17" s="308" t="s">
        <v>254</v>
      </c>
      <c r="I17" s="237">
        <f>SUM(COUNTIFS('Suivi des DPx'!$A$11:$A$109,{"TER OUEST";"TER EST";"SIEGE";"TRAIN";"EMI"},'Suivi des DPx'!O$11:O$109,"OUI"))</f>
        <v>11</v>
      </c>
      <c r="J17" s="237">
        <f>SUM(COUNTIFS('Suivi des DPx'!$A$11:$A$109,"TRAIN",'Suivi des DPx'!$O$11:$O$109,"OUI"))</f>
        <v>1</v>
      </c>
      <c r="K17" s="237">
        <f>SUM(COUNTIFS('Suivi des DPx'!$A$11:$A$109,"EMI",'Suivi des DPx'!$O$11:$O$109,"OUI"))</f>
        <v>1</v>
      </c>
      <c r="L17" s="237">
        <f>SUM(COUNTIFS('Suivi des DPx'!$A$11:$A$109,"TER OUEST",'Suivi des DPx'!$O$11:$O$109,"OUI"))</f>
        <v>4</v>
      </c>
      <c r="M17" s="237">
        <f>SUM(COUNTIFS('Suivi des DPx'!$A$11:$A$109,"TER EST",'Suivi des DPx'!$O$11:$O$109,"OUI"))</f>
        <v>3</v>
      </c>
      <c r="N17" s="237">
        <f>SUM(COUNTIFS('Suivi des DPx'!$A$11:$A$109,"SIEGE",'Suivi des DPx'!$O$11:$O$109,"OUI"))</f>
        <v>2</v>
      </c>
      <c r="S17" s="233" t="s">
        <v>810</v>
      </c>
      <c r="T17" s="234">
        <f>SUM(COUNTIFS('Programmation et suivi VP&amp;Icare'!$L$2:$L$107,"Filière 27",'Programmation et suivi VP&amp;Icare'!$H$2:$H$107,"&gt;1"))</f>
        <v>0</v>
      </c>
      <c r="U17" s="235">
        <f>SUM(COUNTIFS('Programmation et suivi VP&amp;Icare'!$L$2:$L$92,"Filière 27",'Programmation et suivi VP&amp;Icare'!$H$2:$H$92,"&gt;1",'Programmation et suivi VP&amp;Icare'!$B$2:$B$92,"TRAIN"))</f>
        <v>0</v>
      </c>
      <c r="V17" s="235">
        <f>SUM(COUNTIFS('Programmation et suivi VP&amp;Icare'!$L$2:$L$92,"Filière 27",'Programmation et suivi VP&amp;Icare'!$H$2:$H$92,"&gt;1",'Programmation et suivi VP&amp;Icare'!$B$2:$B$92,"EMI"))</f>
        <v>0</v>
      </c>
      <c r="W17" s="235">
        <f>SUM(COUNTIFS('Programmation et suivi VP&amp;Icare'!$L$2:$L$92,"Filière 27",'Programmation et suivi VP&amp;Icare'!$H$2:$H$92,"&gt;1",'Programmation et suivi VP&amp;Icare'!$B$2:$B$92,"TER OUEST"))</f>
        <v>0</v>
      </c>
      <c r="X17" s="235">
        <f>SUM(COUNTIFS('Programmation et suivi VP&amp;Icare'!$L$2:$L$92,"Filière 27",'Programmation et suivi VP&amp;Icare'!$H$2:$H$92,"&gt;1",'Programmation et suivi VP&amp;Icare'!$B$2:$B$92,"TER EST"))</f>
        <v>0</v>
      </c>
      <c r="Y17" s="235">
        <f>SUM(COUNTIFS('Programmation et suivi VP&amp;Icare'!$L$2:$L$92,"Filière 27",'Programmation et suivi VP&amp;Icare'!$H$2:$H$92,"&gt;1",'Programmation et suivi VP&amp;Icare'!$B$2:$B$92,"SIEGE"))</f>
        <v>0</v>
      </c>
    </row>
    <row r="18" spans="1:25" ht="14.25" customHeight="1">
      <c r="A18" s="233" t="s">
        <v>883</v>
      </c>
      <c r="B18" s="234">
        <f>'Stats AT BDD'!S2+'Stats AT BDD'!S3+'Stats AT BDD'!S4+'Stats AT BDD'!S5+'Stats AT BDD'!S6</f>
        <v>0</v>
      </c>
      <c r="C18" s="234">
        <f>'Stats AT BDD'!S5</f>
        <v>0</v>
      </c>
      <c r="D18" s="234">
        <f>'Stats AT BDD'!S6</f>
        <v>0</v>
      </c>
      <c r="E18" s="234">
        <f>'Stats AT BDD'!S2</f>
        <v>0</v>
      </c>
      <c r="F18" s="234">
        <f>'Stats AT BDD'!S3</f>
        <v>0</v>
      </c>
      <c r="G18" s="234">
        <f>'Stats AT BDD'!S4</f>
        <v>0</v>
      </c>
      <c r="H18" s="306" t="s">
        <v>776</v>
      </c>
      <c r="I18" s="304">
        <f>I17/$I$37</f>
        <v>0.26829268292682928</v>
      </c>
      <c r="J18" s="304">
        <f>J17/$J$37</f>
        <v>7.6923076923076927E-2</v>
      </c>
      <c r="K18" s="304">
        <f>K17/$K$37</f>
        <v>0.33333333333333331</v>
      </c>
      <c r="L18" s="304">
        <f>L17/$L$37</f>
        <v>0.66666666666666663</v>
      </c>
      <c r="M18" s="304">
        <f>M17/$M$37</f>
        <v>0.375</v>
      </c>
      <c r="N18" s="304">
        <f>N17/$N$37</f>
        <v>0.18181818181818182</v>
      </c>
      <c r="O18" s="529" t="s">
        <v>814</v>
      </c>
      <c r="P18" s="529"/>
      <c r="Q18" s="529"/>
      <c r="S18" s="236" t="s">
        <v>811</v>
      </c>
      <c r="T18" s="237">
        <f>SUM(COUNTIFS('Programmation et suivi VP&amp;Icare'!$L$2:$L$107,"Filière 27",'Programmation et suivi VP&amp;Icare'!$I$2:$I$107,"&gt;1"))</f>
        <v>0</v>
      </c>
      <c r="U18" s="238">
        <f>SUM(COUNTIFS('Programmation et suivi VP&amp;Icare'!$L$2:$L$92,"Filière 27",'Programmation et suivi VP&amp;Icare'!$I$2:$I$92,"&gt;1",'Programmation et suivi VP&amp;Icare'!$B$2:$B$92,"TRAIN"))</f>
        <v>0</v>
      </c>
      <c r="V18" s="238">
        <f>SUM(COUNTIFS('Programmation et suivi VP&amp;Icare'!$L$2:$L$92,"Filière 27",'Programmation et suivi VP&amp;Icare'!$I$2:$I$92,"&gt;1",'Programmation et suivi VP&amp;Icare'!$B$2:$B$92,"EMI"))</f>
        <v>0</v>
      </c>
      <c r="W18" s="238">
        <f>SUM(COUNTIFS('Programmation et suivi VP&amp;Icare'!$L$2:$L$92,"Filière 27",'Programmation et suivi VP&amp;Icare'!$I$2:$I$92,"&gt;1",'Programmation et suivi VP&amp;Icare'!$B$2:$B$92,"TER OUEST"))</f>
        <v>0</v>
      </c>
      <c r="X18" s="238">
        <f>SUM(COUNTIFS('Programmation et suivi VP&amp;Icare'!$L$2:$L$92,"Filière 27",'Programmation et suivi VP&amp;Icare'!$I$2:$I$92,"&gt;1",'Programmation et suivi VP&amp;Icare'!$B$2:$B$92,"TER EST"))</f>
        <v>0</v>
      </c>
      <c r="Y18" s="238">
        <f>SUM(COUNTIFS('Programmation et suivi VP&amp;Icare'!$L$2:$L$92,"Filière 27",'Programmation et suivi VP&amp;Icare'!$I$2:$I$92,"&gt;1",'Programmation et suivi VP&amp;Icare'!$B$2:$B$92,"SIEGE"))</f>
        <v>0</v>
      </c>
    </row>
    <row r="19" spans="1:25" ht="14.25" customHeight="1">
      <c r="A19" s="233" t="s">
        <v>961</v>
      </c>
      <c r="B19" s="234">
        <f>'Stats AT BDD'!T2+'Stats AT BDD'!T3+'Stats AT BDD'!T4+'Stats AT BDD'!T5+'Stats AT BDD'!T6</f>
        <v>0</v>
      </c>
      <c r="C19" s="234">
        <f>'Stats AT BDD'!T5</f>
        <v>0</v>
      </c>
      <c r="D19" s="234">
        <f>'Stats AT BDD'!T6</f>
        <v>0</v>
      </c>
      <c r="E19" s="234">
        <f>'Stats AT BDD'!T2</f>
        <v>0</v>
      </c>
      <c r="F19" s="234">
        <f>'Stats AT BDD'!T3</f>
        <v>0</v>
      </c>
      <c r="G19" s="234">
        <f>'Stats AT BDD'!T4</f>
        <v>0</v>
      </c>
      <c r="H19" s="307" t="s">
        <v>253</v>
      </c>
      <c r="I19" s="234">
        <f>SUM(COUNTIFS('Suivi des DPx'!$A$11:$A$109,{"TER OUEST";"TER EST";"SIEGE";"TRAIN";"EMI"},'Suivi des DPx'!Q$11:Q$109,"OUI"))</f>
        <v>17</v>
      </c>
      <c r="J19" s="234">
        <f>SUM(COUNTIFS('Suivi des DPx'!$A$11:$A$109,"TRAIN",'Suivi des DPx'!$Q$11:$Q$109,"OUI"))</f>
        <v>1</v>
      </c>
      <c r="K19" s="234">
        <f>SUM(COUNTIFS('Suivi des DPx'!$A$11:$A$109,"EMI",'Suivi des DPx'!$Q$11:$Q$109,"OUI"))</f>
        <v>1</v>
      </c>
      <c r="L19" s="234">
        <f>SUM(COUNTIFS('Suivi des DPx'!$A$11:$A$109,"TER OUEST",'Suivi des DPx'!$Q$11:$Q$109,"OUI"))</f>
        <v>5</v>
      </c>
      <c r="M19" s="234">
        <f>SUM(COUNTIFS('Suivi des DPx'!$A$11:$A$109,"TER EST",'Suivi des DPx'!$Q$11:$Q$109,"OUI"))</f>
        <v>5</v>
      </c>
      <c r="N19" s="234">
        <f>SUM(COUNTIFS('Suivi des DPx'!$A$11:$A$109,"SIEGE",'Suivi des DPx'!$Q$11:$Q$109,"OUI"))</f>
        <v>5</v>
      </c>
      <c r="O19" s="240" t="s">
        <v>815</v>
      </c>
      <c r="P19" s="241" t="s">
        <v>803</v>
      </c>
      <c r="Q19" s="242" t="s">
        <v>776</v>
      </c>
      <c r="S19" s="233" t="s">
        <v>776</v>
      </c>
      <c r="T19" s="303" t="e">
        <f>T18/T17</f>
        <v>#DIV/0!</v>
      </c>
      <c r="U19" s="303" t="e">
        <f t="shared" ref="U19:V19" si="3">U18/U17</f>
        <v>#DIV/0!</v>
      </c>
      <c r="V19" s="303" t="e">
        <f t="shared" si="3"/>
        <v>#DIV/0!</v>
      </c>
      <c r="W19" s="303" t="e">
        <f t="shared" ref="W19:Y19" si="4">W18/W17</f>
        <v>#DIV/0!</v>
      </c>
      <c r="X19" s="303" t="e">
        <f t="shared" si="4"/>
        <v>#DIV/0!</v>
      </c>
      <c r="Y19" s="303" t="e">
        <f t="shared" si="4"/>
        <v>#DIV/0!</v>
      </c>
    </row>
    <row r="20" spans="1:25" ht="14.25" customHeight="1">
      <c r="A20" s="233" t="s">
        <v>949</v>
      </c>
      <c r="B20" s="234">
        <f>COUNTIF('Liste AT'!$AD$7:$AD$165,"=oui")</f>
        <v>0</v>
      </c>
      <c r="C20" s="234">
        <f>COUNTIFS('Liste AT'!$F$7:$F$165,$C$22,'Liste AT'!$AD$7:$AD$165,"=oui")</f>
        <v>0</v>
      </c>
      <c r="D20" s="234">
        <f>COUNTIFS('Liste AT'!$F$7:$F$165,$D$22,'Liste AT'!$AD$7:$AD$165,"=oui")</f>
        <v>0</v>
      </c>
      <c r="E20" s="234">
        <f>COUNTIFS('Liste AT'!$F$7:$F$165,$E$22,'Liste AT'!$AD$7:$AD$165,"=oui")</f>
        <v>0</v>
      </c>
      <c r="F20" s="234">
        <f>COUNTIFS('Liste AT'!$F$7:$F$165,$F$22,'Liste AT'!$AD$7:$AD$165,"=oui")</f>
        <v>0</v>
      </c>
      <c r="G20" s="234">
        <f>COUNTIFS('Liste AT'!$F$7:$F$165,$G$22,'Liste AT'!$AD$7:$AD$165,"=oui")</f>
        <v>0</v>
      </c>
      <c r="H20" s="305" t="s">
        <v>776</v>
      </c>
      <c r="I20" s="303">
        <f>I19/$I$37</f>
        <v>0.41463414634146339</v>
      </c>
      <c r="J20" s="303">
        <f>J19/$J$37</f>
        <v>7.6923076923076927E-2</v>
      </c>
      <c r="K20" s="303">
        <f>K19/$K$37</f>
        <v>0.33333333333333331</v>
      </c>
      <c r="L20" s="303">
        <f>L19/$L$37</f>
        <v>0.83333333333333337</v>
      </c>
      <c r="M20" s="303">
        <f>M19/$M$37</f>
        <v>0.625</v>
      </c>
      <c r="N20" s="303">
        <f>N19/$N$37</f>
        <v>0.45454545454545453</v>
      </c>
      <c r="O20" s="233" t="s">
        <v>280</v>
      </c>
      <c r="P20" s="234">
        <f>COUNTIF('Suivi du PAS 2020'!$P$9:$P$15,"TERMINEE")</f>
        <v>1</v>
      </c>
      <c r="Q20" s="301">
        <f>P20/SUM($P$20:$P$22)</f>
        <v>0.14285714285714285</v>
      </c>
      <c r="S20" s="236" t="s">
        <v>827</v>
      </c>
      <c r="T20" s="237">
        <f>SUM(COUNTIFS('Programmation et suivi VP&amp;Icare'!$L$2:$L$107,"Filière 26",'Programmation et suivi VP&amp;Icare'!$I$2:$I$107,"&gt;1"))</f>
        <v>0</v>
      </c>
      <c r="U20" s="238">
        <f>SUM(COUNTIFS('Programmation et suivi VP&amp;Icare'!$L$2:$L$92,"Filière 26",'Programmation et suivi VP&amp;Icare'!$I$2:$I$92,"&gt;1",'Programmation et suivi VP&amp;Icare'!$B$2:$B$92,"TRAIN"))</f>
        <v>0</v>
      </c>
      <c r="V20" s="238">
        <f>SUM(COUNTIFS('Programmation et suivi VP&amp;Icare'!$L$2:$L$92,"Filière 26",'Programmation et suivi VP&amp;Icare'!$I$2:$I$92,"&gt;1",'Programmation et suivi VP&amp;Icare'!$B$2:$B$92,"EMI"))</f>
        <v>0</v>
      </c>
      <c r="W20" s="238">
        <f>SUM(COUNTIFS('Programmation et suivi VP&amp;Icare'!$L$2:$L$92,"Filière 26",'Programmation et suivi VP&amp;Icare'!$I$2:$I$92,"&gt;1",'Programmation et suivi VP&amp;Icare'!$B$2:$B$92,"TER MIXTE"))</f>
        <v>0</v>
      </c>
      <c r="X20" s="238">
        <f>SUM(COUNTIFS('Programmation et suivi VP&amp;Icare'!$L$2:$L$92,"Filière 26",'Programmation et suivi VP&amp;Icare'!$I$2:$I$92,"&gt;1",'Programmation et suivi VP&amp;Icare'!$B$2:$B$92,"TER ESCALE EST"))</f>
        <v>0</v>
      </c>
      <c r="Y20" s="238">
        <f>SUM(COUNTIFS('Programmation et suivi VP&amp;Icare'!$L$2:$L$92,"Filière 26",'Programmation et suivi VP&amp;Icare'!$I$2:$I$92,"&gt;1",'Programmation et suivi VP&amp;Icare'!$B$2:$B$92,"SIEGE"))</f>
        <v>0</v>
      </c>
    </row>
    <row r="21" spans="1:25" ht="14.25" customHeight="1">
      <c r="H21" s="308" t="s">
        <v>566</v>
      </c>
      <c r="I21" s="237">
        <f>SUM(COUNTIFS('Suivi des DPx'!$A$11:$A$109,{"TER OUEST";"TER EST";"SIEGE";"TRAIN";"EMI"},'Suivi des DPx'!U$11:U$109,"OUI"))</f>
        <v>15</v>
      </c>
      <c r="J21" s="237">
        <f>SUM(COUNTIFS('Suivi des DPx'!$A$11:$A$109,"TRAIN",'Suivi des DPx'!$U$11:$U$109,"OUI"))</f>
        <v>2</v>
      </c>
      <c r="K21" s="237">
        <f>SUM(COUNTIFS('Suivi des DPx'!$A$11:$A$109,"EMI",'Suivi des DPx'!$U$11:$U$109,"OUI"))</f>
        <v>0</v>
      </c>
      <c r="L21" s="237">
        <f>SUM(COUNTIFS('Suivi des DPx'!$A$11:$A$109,"TER OUEST",'Suivi des DPx'!$U$11:$U$109,"OUI"))</f>
        <v>4</v>
      </c>
      <c r="M21" s="237">
        <f>SUM(COUNTIFS('Suivi des DPx'!$A$11:$A$109,"TER EST",'Suivi des DPx'!$U$11:$U$109,"OUI"))</f>
        <v>5</v>
      </c>
      <c r="N21" s="237">
        <f>SUM(COUNTIFS('Suivi des DPx'!$A$11:$A$109,"SIEGE",'Suivi des DPx'!$U$11:$U$109,"OUI"))</f>
        <v>4</v>
      </c>
      <c r="O21" s="236" t="s">
        <v>281</v>
      </c>
      <c r="P21" s="237">
        <f>SUM(COUNTIF('Suivi du PAS 2020'!$P$9:$P$15,"20%"),COUNTIF('Suivi du PAS 2020'!$P$9:$P$15,"50%"),COUNTIF('Suivi du PAS 2020'!$P$9:$P$15,"80%"))</f>
        <v>5</v>
      </c>
      <c r="Q21" s="302">
        <f>P21/SUM($P$20:$P$22)</f>
        <v>0.7142857142857143</v>
      </c>
      <c r="S21" s="240" t="s">
        <v>812</v>
      </c>
      <c r="T21" s="230" t="s">
        <v>876</v>
      </c>
      <c r="U21" s="349" t="s">
        <v>838</v>
      </c>
      <c r="V21" s="350" t="s">
        <v>846</v>
      </c>
      <c r="W21" s="231" t="s">
        <v>1000</v>
      </c>
      <c r="X21" s="344" t="s">
        <v>999</v>
      </c>
      <c r="Y21" s="298" t="s">
        <v>264</v>
      </c>
    </row>
    <row r="22" spans="1:25" ht="14.25" customHeight="1">
      <c r="A22" s="229" t="s">
        <v>797</v>
      </c>
      <c r="B22" s="230" t="s">
        <v>876</v>
      </c>
      <c r="C22" s="349" t="s">
        <v>838</v>
      </c>
      <c r="D22" s="350" t="s">
        <v>846</v>
      </c>
      <c r="E22" s="231" t="s">
        <v>1000</v>
      </c>
      <c r="F22" s="232" t="s">
        <v>999</v>
      </c>
      <c r="G22" s="298" t="s">
        <v>264</v>
      </c>
      <c r="H22" s="306" t="s">
        <v>776</v>
      </c>
      <c r="I22" s="304">
        <f>I21/$I$37</f>
        <v>0.36585365853658536</v>
      </c>
      <c r="J22" s="304">
        <f>J21/$J$37</f>
        <v>0.15384615384615385</v>
      </c>
      <c r="K22" s="304">
        <f>K21/$K$37</f>
        <v>0</v>
      </c>
      <c r="L22" s="304">
        <f>L21/$L$37</f>
        <v>0.66666666666666663</v>
      </c>
      <c r="M22" s="304">
        <f>M21/$M$37</f>
        <v>0.625</v>
      </c>
      <c r="N22" s="304">
        <f>N21/$N$37</f>
        <v>0.36363636363636365</v>
      </c>
      <c r="O22" s="233" t="s">
        <v>282</v>
      </c>
      <c r="P22" s="234">
        <f>COUNTIF('Suivi du PAS 2020'!$P$9:$P$15,"NON COMMENCEE")</f>
        <v>1</v>
      </c>
      <c r="Q22" s="301">
        <f>P22/SUM($P$20:$P$22)</f>
        <v>0.14285714285714285</v>
      </c>
      <c r="S22" s="233" t="s">
        <v>810</v>
      </c>
      <c r="T22" s="234">
        <f>SUM(COUNTIFS('Programmation et suivi VP&amp;Icare'!$L$2:$L$107,"Filière 27",'Programmation et suivi VP&amp;Icare'!$H$2:$H$107,"&gt;1"))</f>
        <v>0</v>
      </c>
      <c r="U22" s="235">
        <f>SUM(COUNTIFS('Programmation et suivi VP&amp;Icare'!$L$2:$L$92,"Filière 27",'Programmation et suivi VP&amp;Icare'!$H$2:$H$92,"&gt;1",'Programmation et suivi VP&amp;Icare'!$B$2:$B$92,"TRAIN"))</f>
        <v>0</v>
      </c>
      <c r="V22" s="235">
        <f>SUM(COUNTIFS('Programmation et suivi VP&amp;Icare'!$L$2:$L$92,"Filière 27",'Programmation et suivi VP&amp;Icare'!$H$2:$H$92,"&gt;1",'Programmation et suivi VP&amp;Icare'!$B$2:$B$92,"EMI"))</f>
        <v>0</v>
      </c>
      <c r="W22" s="235">
        <f>SUM(COUNTIFS('Programmation et suivi VP&amp;Icare'!$L$2:$L$92,"Filière 27",'Programmation et suivi VP&amp;Icare'!$H$2:$H$92,"&gt;1",'Programmation et suivi VP&amp;Icare'!$B$2:$B$92,"TER OUEST"))</f>
        <v>0</v>
      </c>
      <c r="X22" s="235">
        <f>SUM(COUNTIFS('Programmation et suivi VP&amp;Icare'!$L$2:$L$92,"Filière 27",'Programmation et suivi VP&amp;Icare'!$H$2:$H$92,"&gt;1",'Programmation et suivi VP&amp;Icare'!$B$2:$B$92,"TER EST"))</f>
        <v>0</v>
      </c>
      <c r="Y22" s="235">
        <f>SUM(COUNTIFS('Programmation et suivi VP&amp;Icare'!$L$2:$L$92,"Filière 27",'Programmation et suivi VP&amp;Icare'!$H$2:$H$92,"&gt;1",'Programmation et suivi VP&amp;Icare'!$B$2:$B$92,"SIEGE"))</f>
        <v>0</v>
      </c>
    </row>
    <row r="23" spans="1:25" ht="14.25" customHeight="1">
      <c r="A23" s="346" t="s">
        <v>48</v>
      </c>
      <c r="B23" s="352">
        <f>COUNTIF('Liste AT'!$Q$7:$Q$165,A23)</f>
        <v>0</v>
      </c>
      <c r="C23" s="352">
        <f>COUNTIFS('Liste AT'!$F$7:$F$165,$C$22,'Liste AT'!$Q$7:$Q$165,$A23)</f>
        <v>0</v>
      </c>
      <c r="D23" s="352">
        <f>COUNTIFS('Liste AT'!$F$7:$F$165,$D$22,'Liste AT'!$Q$7:$Q$165,$A23)</f>
        <v>0</v>
      </c>
      <c r="E23" s="352">
        <f>COUNTIFS('Liste AT'!$F$7:$F$165,$E$22,'Liste AT'!$Q$7:$Q$165,$A23)</f>
        <v>0</v>
      </c>
      <c r="F23" s="352">
        <f>COUNTIFS('Liste AT'!$F$7:$F$165,$F$22,'Liste AT'!$Q$7:$Q$165,$A23)</f>
        <v>0</v>
      </c>
      <c r="G23" s="352">
        <f>COUNTIFS('Liste AT'!$F$7:$F$165,$G$22,'Liste AT'!$Q$7:$Q$165,$A23)</f>
        <v>0</v>
      </c>
      <c r="H23" s="307" t="s">
        <v>567</v>
      </c>
      <c r="I23" s="234">
        <f>SUM(COUNTIFS('Suivi des DPx'!$A$11:$A$109,{"TER OUEST";"TER EST";"SIEGE";"TRAIN";"EMI"},'Suivi des DPx'!W$11:W$109,"OUI"))</f>
        <v>20</v>
      </c>
      <c r="J23" s="234">
        <f>SUM(COUNTIFS('Suivi des DPx'!$A$11:$A$109,"TRAIN",'Suivi des DPx'!$W$11:$W$109,"OUI"))</f>
        <v>5</v>
      </c>
      <c r="K23" s="234">
        <f>SUM(COUNTIFS('Suivi des DPx'!$A$11:$A$109,"EMI",'Suivi des DPx'!$W$11:$W$109,"OUI"))</f>
        <v>1</v>
      </c>
      <c r="L23" s="234">
        <f>SUM(COUNTIFS('Suivi des DPx'!$A$11:$A$109,"TER OUEST",'Suivi des DPx'!$W$11:$W$109,"OUI"))</f>
        <v>4</v>
      </c>
      <c r="M23" s="234">
        <f>SUM(COUNTIFS('Suivi des DPx'!$A$11:$A$109,"TER EST",'Suivi des DPx'!$W$11:$W$109,"OUI"))</f>
        <v>5</v>
      </c>
      <c r="N23" s="234">
        <f>SUM(COUNTIFS('Suivi des DPx'!$A$11:$A$109,"SIEGE",'Suivi des DPx'!$W$11:$W$109,"OUI"))</f>
        <v>5</v>
      </c>
      <c r="O23" s="240" t="s">
        <v>816</v>
      </c>
      <c r="P23" s="241" t="s">
        <v>803</v>
      </c>
      <c r="Q23" s="242" t="s">
        <v>776</v>
      </c>
      <c r="S23" s="236" t="s">
        <v>811</v>
      </c>
      <c r="T23" s="237">
        <f>SUM(COUNTIFS('Programmation et suivi VP&amp;Icare'!$L$2:$L$107,"Filière 27",'Programmation et suivi VP&amp;Icare'!$J$2:$J$107,"&gt;1"))</f>
        <v>0</v>
      </c>
      <c r="U23" s="238">
        <f>SUM(COUNTIFS('Programmation et suivi VP&amp;Icare'!$L$2:$L$92,"Filière 27",'Programmation et suivi VP&amp;Icare'!$J$2:$J$92,"&gt;1",'Programmation et suivi VP&amp;Icare'!$B$2:$B$92,"TRAIN"))</f>
        <v>0</v>
      </c>
      <c r="V23" s="238">
        <f>SUM(COUNTIFS('Programmation et suivi VP&amp;Icare'!$L$2:$L$92,"Filière 27",'Programmation et suivi VP&amp;Icare'!$J$2:$J$92,"&gt;1",'Programmation et suivi VP&amp;Icare'!$B$2:$B$92,"EMI"))</f>
        <v>0</v>
      </c>
      <c r="W23" s="238">
        <f>SUM(COUNTIFS('Programmation et suivi VP&amp;Icare'!$L$2:$L$92,"Filière 27",'Programmation et suivi VP&amp;Icare'!$J$2:$J$92,"&gt;1",'Programmation et suivi VP&amp;Icare'!$B$2:$B$92,"TER OUEST"))</f>
        <v>0</v>
      </c>
      <c r="X23" s="238">
        <f>SUM(COUNTIFS('Programmation et suivi VP&amp;Icare'!$L$2:$L$92,"Filière 27",'Programmation et suivi VP&amp;Icare'!$J$2:$J$92,"&gt;1",'Programmation et suivi VP&amp;Icare'!$B$2:$B$92,"TER EST"))</f>
        <v>0</v>
      </c>
      <c r="Y23" s="238">
        <f>SUM(COUNTIFS('Programmation et suivi VP&amp;Icare'!$L$2:$L$92,"Filière 27",'Programmation et suivi VP&amp;Icare'!$J$2:$J$92,"&gt;1",'Programmation et suivi VP&amp;Icare'!$B$2:$B$92,"SIEGE"))</f>
        <v>0</v>
      </c>
    </row>
    <row r="24" spans="1:25" ht="14.25" customHeight="1">
      <c r="A24" s="347" t="s">
        <v>58</v>
      </c>
      <c r="B24" s="352">
        <f>COUNTIF('Liste AT'!$Q$7:$Q$165,A24)</f>
        <v>0</v>
      </c>
      <c r="C24" s="352">
        <f>COUNTIFS('Liste AT'!$F$7:$F$165,$C$22,'Liste AT'!$Q$7:$Q$165,$A24)</f>
        <v>0</v>
      </c>
      <c r="D24" s="352">
        <f>COUNTIFS('Liste AT'!$F$7:$F$165,$D$22,'Liste AT'!$Q$7:$Q$165,$A24)</f>
        <v>0</v>
      </c>
      <c r="E24" s="352">
        <f>COUNTIFS('Liste AT'!$F$7:$F$165,$E$22,'Liste AT'!$Q$7:$Q$165,$A24)</f>
        <v>0</v>
      </c>
      <c r="F24" s="352">
        <f>COUNTIFS('Liste AT'!$F$7:$F$165,$F$22,'Liste AT'!$Q$7:$Q$165,$A24)</f>
        <v>0</v>
      </c>
      <c r="G24" s="352">
        <f>COUNTIFS('Liste AT'!$F$7:$F$165,$G$22,'Liste AT'!$Q$7:$Q$165,$A24)</f>
        <v>0</v>
      </c>
      <c r="H24" s="305" t="s">
        <v>776</v>
      </c>
      <c r="I24" s="303">
        <f>I23/$I$37</f>
        <v>0.48780487804878048</v>
      </c>
      <c r="J24" s="303">
        <f>J23/$J$37</f>
        <v>0.38461538461538464</v>
      </c>
      <c r="K24" s="303">
        <f>K23/$K$37</f>
        <v>0.33333333333333331</v>
      </c>
      <c r="L24" s="303">
        <f>L23/$L$37</f>
        <v>0.66666666666666663</v>
      </c>
      <c r="M24" s="303">
        <f>M23/$M$37</f>
        <v>0.625</v>
      </c>
      <c r="N24" s="303">
        <f>N23/$N$37</f>
        <v>0.45454545454545453</v>
      </c>
      <c r="O24" s="233" t="s">
        <v>280</v>
      </c>
      <c r="P24" s="234">
        <f>COUNTIF('Suivi du PAS 2020'!$P$18:$P$20,"TERMINEE")</f>
        <v>1</v>
      </c>
      <c r="Q24" s="301">
        <f>P24/SUM($P$24:$P$26)</f>
        <v>0.33333333333333331</v>
      </c>
      <c r="S24" s="233" t="s">
        <v>776</v>
      </c>
      <c r="T24" s="303" t="e">
        <f>T23/T22</f>
        <v>#DIV/0!</v>
      </c>
      <c r="U24" s="303" t="e">
        <f t="shared" ref="U24:V24" si="5">U23/U22</f>
        <v>#DIV/0!</v>
      </c>
      <c r="V24" s="303" t="e">
        <f t="shared" si="5"/>
        <v>#DIV/0!</v>
      </c>
      <c r="W24" s="303" t="e">
        <f t="shared" ref="W24:Y24" si="6">W23/W22</f>
        <v>#DIV/0!</v>
      </c>
      <c r="X24" s="303" t="e">
        <f t="shared" si="6"/>
        <v>#DIV/0!</v>
      </c>
      <c r="Y24" s="303" t="e">
        <f t="shared" si="6"/>
        <v>#DIV/0!</v>
      </c>
    </row>
    <row r="25" spans="1:25" ht="14.25" customHeight="1">
      <c r="A25" s="346" t="s">
        <v>68</v>
      </c>
      <c r="B25" s="352">
        <f>COUNTIF('Liste AT'!$Q$7:$Q$165,A25)</f>
        <v>0</v>
      </c>
      <c r="C25" s="352">
        <f>COUNTIFS('Liste AT'!$F$7:$F$165,$C$22,'Liste AT'!$Q$7:$Q$165,$A25)</f>
        <v>0</v>
      </c>
      <c r="D25" s="352">
        <f>COUNTIFS('Liste AT'!$F$7:$F$165,$D$22,'Liste AT'!$Q$7:$Q$165,$A25)</f>
        <v>0</v>
      </c>
      <c r="E25" s="352">
        <f>COUNTIFS('Liste AT'!$F$7:$F$165,$E$22,'Liste AT'!$Q$7:$Q$165,$A25)</f>
        <v>0</v>
      </c>
      <c r="F25" s="352">
        <f>COUNTIFS('Liste AT'!$F$7:$F$165,$F$22,'Liste AT'!$Q$7:$Q$165,$A25)</f>
        <v>0</v>
      </c>
      <c r="G25" s="352">
        <f>COUNTIFS('Liste AT'!$F$7:$F$165,$G$22,'Liste AT'!$Q$7:$Q$165,$A25)</f>
        <v>0</v>
      </c>
      <c r="H25" s="308" t="s">
        <v>588</v>
      </c>
      <c r="I25" s="237">
        <f>SUM(COUNTIFS('Suivi des DPx'!$A$11:$A$109,{"TER OUEST";"TER EST";"SIEGE";"TRAIN";"EMI"},'Suivi des DPx'!Y$11:Y$109,"OUI"))</f>
        <v>4</v>
      </c>
      <c r="J25" s="237">
        <f>SUM(COUNTIFS('Suivi des DPx'!$A$11:$A$109,"TRAIN",'Suivi des DPx'!$Y$11:$Y$109,"OUI"))</f>
        <v>1</v>
      </c>
      <c r="K25" s="237">
        <f>SUM(COUNTIFS('Suivi des DPx'!$A$11:$A$109,"EMI",'Suivi des DPx'!$Y$11:$Y$109,"OUI"))</f>
        <v>0</v>
      </c>
      <c r="L25" s="237">
        <f>SUM(COUNTIFS('Suivi des DPx'!$A$11:$A$109,"TER OUEST",'Suivi des DPx'!$Y$11:$Y$109,"OUI"))</f>
        <v>1</v>
      </c>
      <c r="M25" s="237">
        <f>SUM(COUNTIFS('Suivi des DPx'!$A$11:$A$109,"TER EST",'Suivi des DPx'!$Y$11:$Y$109,"OUI"))</f>
        <v>1</v>
      </c>
      <c r="N25" s="237">
        <f>SUM(COUNTIFS('Suivi des DPx'!$A$11:$A$109,"SIEGE",'Suivi des DPx'!$Y$11:$Y$109,"OUI"))</f>
        <v>1</v>
      </c>
      <c r="O25" s="236" t="s">
        <v>281</v>
      </c>
      <c r="P25" s="237">
        <f>SUM(COUNTIF('Suivi du PAS 2020'!$P$18:$P$20,"20%"),COUNTIF('Suivi du PAS 2020'!$P$18:$P$20,"50%"),COUNTIF('Suivi du PAS 2020'!$P$18:$P$20,"80%"))</f>
        <v>2</v>
      </c>
      <c r="Q25" s="302">
        <f>P25/SUM($P$24:$P$26)</f>
        <v>0.66666666666666663</v>
      </c>
      <c r="S25" s="240" t="s">
        <v>813</v>
      </c>
      <c r="T25" s="230" t="s">
        <v>876</v>
      </c>
      <c r="U25" s="349" t="s">
        <v>838</v>
      </c>
      <c r="V25" s="350" t="s">
        <v>846</v>
      </c>
      <c r="W25" s="231" t="s">
        <v>1000</v>
      </c>
      <c r="X25" s="344" t="s">
        <v>999</v>
      </c>
      <c r="Y25" s="298" t="s">
        <v>264</v>
      </c>
    </row>
    <row r="26" spans="1:25" ht="14.25" customHeight="1">
      <c r="A26" s="347" t="s">
        <v>78</v>
      </c>
      <c r="B26" s="352">
        <f>COUNTIF('Liste AT'!$Q$7:$Q$165,A26)</f>
        <v>0</v>
      </c>
      <c r="C26" s="352">
        <f>COUNTIFS('Liste AT'!$F$7:$F$165,$C$22,'Liste AT'!$Q$7:$Q$165,$A26)</f>
        <v>0</v>
      </c>
      <c r="D26" s="352">
        <f>COUNTIFS('Liste AT'!$F$7:$F$165,$D$22,'Liste AT'!$Q$7:$Q$165,$A26)</f>
        <v>0</v>
      </c>
      <c r="E26" s="352">
        <f>COUNTIFS('Liste AT'!$F$7:$F$165,$E$22,'Liste AT'!$Q$7:$Q$165,$A26)</f>
        <v>0</v>
      </c>
      <c r="F26" s="352">
        <f>COUNTIFS('Liste AT'!$F$7:$F$165,$F$22,'Liste AT'!$Q$7:$Q$165,$A26)</f>
        <v>0</v>
      </c>
      <c r="G26" s="352">
        <f>COUNTIFS('Liste AT'!$F$7:$F$165,$G$22,'Liste AT'!$Q$7:$Q$165,$A26)</f>
        <v>0</v>
      </c>
      <c r="H26" s="306" t="s">
        <v>776</v>
      </c>
      <c r="I26" s="304">
        <f>I25/$I$37</f>
        <v>9.7560975609756101E-2</v>
      </c>
      <c r="J26" s="304">
        <f>J25/$J$37</f>
        <v>7.6923076923076927E-2</v>
      </c>
      <c r="K26" s="304">
        <f>K25/$K$37</f>
        <v>0</v>
      </c>
      <c r="L26" s="304">
        <f>L25/$L$37</f>
        <v>0.16666666666666666</v>
      </c>
      <c r="M26" s="304">
        <f>M25/$M$37</f>
        <v>0.125</v>
      </c>
      <c r="N26" s="304">
        <f>N25/$N$37</f>
        <v>9.0909090909090912E-2</v>
      </c>
      <c r="O26" s="233" t="s">
        <v>282</v>
      </c>
      <c r="P26" s="234">
        <f>COUNTIF('Suivi du PAS 2020'!$P$18:$P$20,"NON COMMENCEE")</f>
        <v>0</v>
      </c>
      <c r="Q26" s="301">
        <f>P26/SUM($P$24:$P$26)</f>
        <v>0</v>
      </c>
      <c r="S26" s="233" t="s">
        <v>810</v>
      </c>
      <c r="T26" s="234">
        <f>SUM(COUNTIFS('Programmation et suivi VP&amp;Icare'!$L$2:$L$107,"Filière 27",'Programmation et suivi VP&amp;Icare'!$M$2:$M$107,"&gt;1"))</f>
        <v>0</v>
      </c>
      <c r="U26" s="235">
        <f>SUM(COUNTIFS('Programmation et suivi VP&amp;Icare'!$L$2:$L$92,"Filière 27",'Programmation et suivi VP&amp;Icare'!$M$2:$M$92,"&gt;1",'Programmation et suivi VP&amp;Icare'!$B$2:$B$92,"TRAIN"))</f>
        <v>0</v>
      </c>
      <c r="V26" s="235">
        <f>SUM(COUNTIFS('Programmation et suivi VP&amp;Icare'!$L$2:$L$92,"Filière 27",'Programmation et suivi VP&amp;Icare'!$M$2:$M$92,"&gt;1",'Programmation et suivi VP&amp;Icare'!$B$2:$B$92,"EMI"))</f>
        <v>0</v>
      </c>
      <c r="W26" s="235">
        <f>SUM(COUNTIFS('Programmation et suivi VP&amp;Icare'!$L$2:$L$92,"Filière 27",'Programmation et suivi VP&amp;Icare'!$M$2:$M$92,"&gt;1",'Programmation et suivi VP&amp;Icare'!$B$2:$B$92,"TER OUEST"))</f>
        <v>0</v>
      </c>
      <c r="X26" s="235">
        <f>SUM(COUNTIFS('Programmation et suivi VP&amp;Icare'!$L$2:$L$92,"Filière 27",'Programmation et suivi VP&amp;Icare'!$M$2:$M$92,"&gt;1",'Programmation et suivi VP&amp;Icare'!$B$2:$B$92,"TER EST"))</f>
        <v>0</v>
      </c>
      <c r="Y26" s="235">
        <f>SUM(COUNTIFS('Programmation et suivi VP&amp;Icare'!$L$2:$L$92,"Filière 27",'Programmation et suivi VP&amp;Icare'!$M$2:$M$92,"&gt;1",'Programmation et suivi VP&amp;Icare'!$B$2:$B$92,"SIEGE"))</f>
        <v>0</v>
      </c>
    </row>
    <row r="27" spans="1:25" ht="14.25" customHeight="1">
      <c r="A27" s="346" t="s">
        <v>71</v>
      </c>
      <c r="B27" s="352">
        <f>COUNTIF('Liste AT'!$Q$7:$Q$165,A27)</f>
        <v>0</v>
      </c>
      <c r="C27" s="352">
        <f>COUNTIFS('Liste AT'!$F$7:$F$165,$C$22,'Liste AT'!$Q$7:$Q$165,$A27)</f>
        <v>0</v>
      </c>
      <c r="D27" s="352">
        <f>COUNTIFS('Liste AT'!$F$7:$F$165,$D$22,'Liste AT'!$Q$7:$Q$165,$A27)</f>
        <v>0</v>
      </c>
      <c r="E27" s="352">
        <f>COUNTIFS('Liste AT'!$F$7:$F$165,$E$22,'Liste AT'!$Q$7:$Q$165,$A27)</f>
        <v>0</v>
      </c>
      <c r="F27" s="352">
        <f>COUNTIFS('Liste AT'!$F$7:$F$165,$F$22,'Liste AT'!$Q$7:$Q$165,$A27)</f>
        <v>0</v>
      </c>
      <c r="G27" s="352">
        <f>COUNTIFS('Liste AT'!$F$7:$F$165,$G$22,'Liste AT'!$Q$7:$Q$165,$A27)</f>
        <v>0</v>
      </c>
      <c r="O27" s="240" t="s">
        <v>817</v>
      </c>
      <c r="P27" s="241" t="s">
        <v>803</v>
      </c>
      <c r="Q27" s="242" t="s">
        <v>776</v>
      </c>
      <c r="S27" s="236" t="s">
        <v>811</v>
      </c>
      <c r="T27" s="237">
        <f>SUM(COUNTIFS('Programmation et suivi VP&amp;Icare'!$L$2:$L$107,"Filière 27",'Programmation et suivi VP&amp;Icare'!$N$2:$N$107,"&gt;1"))</f>
        <v>0</v>
      </c>
      <c r="U27" s="238">
        <f>SUM(COUNTIFS('Programmation et suivi VP&amp;Icare'!$L$2:$L$92,"Filière 27",'Programmation et suivi VP&amp;Icare'!$N$2:$N$92,"&gt;1",'Programmation et suivi VP&amp;Icare'!$B$2:$B$92,"TRAIN"))</f>
        <v>0</v>
      </c>
      <c r="V27" s="238">
        <f>SUM(COUNTIFS('Programmation et suivi VP&amp;Icare'!$L$2:$L$92,"Filière 27",'Programmation et suivi VP&amp;Icare'!$N$2:$N$92,"&gt;1",'Programmation et suivi VP&amp;Icare'!$B$2:$B$92,"EMI"))</f>
        <v>0</v>
      </c>
      <c r="W27" s="238">
        <f>SUM(COUNTIFS('Programmation et suivi VP&amp;Icare'!$L$2:$L$92,"Filière 27",'Programmation et suivi VP&amp;Icare'!$N$2:$N$92,"&gt;1",'Programmation et suivi VP&amp;Icare'!$B$2:$B$92,"TER OUEST"))</f>
        <v>0</v>
      </c>
      <c r="X27" s="238">
        <f>SUM(COUNTIFS('Programmation et suivi VP&amp;Icare'!$L$2:$L$92,"Filière 27",'Programmation et suivi VP&amp;Icare'!$N$2:$N$92,"&gt;1",'Programmation et suivi VP&amp;Icare'!$B$2:$B$92,"TER EST"))</f>
        <v>0</v>
      </c>
      <c r="Y27" s="238">
        <f>SUM(COUNTIFS('Programmation et suivi VP&amp;Icare'!$L$2:$L$92,"Filière 27",'Programmation et suivi VP&amp;Icare'!$N$2:$N$92,"&gt;1",'Programmation et suivi VP&amp;Icare'!$B$2:$B$92,"SIEGE"))</f>
        <v>0</v>
      </c>
    </row>
    <row r="28" spans="1:25" ht="14.25" customHeight="1">
      <c r="A28" s="347" t="s">
        <v>80</v>
      </c>
      <c r="B28" s="352">
        <f>COUNTIF('Liste AT'!$Q$7:$Q$165,A28)</f>
        <v>0</v>
      </c>
      <c r="C28" s="352">
        <f>COUNTIFS('Liste AT'!$F$7:$F$165,$C$22,'Liste AT'!$Q$7:$Q$165,$A28)</f>
        <v>0</v>
      </c>
      <c r="D28" s="352">
        <f>COUNTIFS('Liste AT'!$F$7:$F$165,$D$22,'Liste AT'!$Q$7:$Q$165,$A28)</f>
        <v>0</v>
      </c>
      <c r="E28" s="352">
        <f>COUNTIFS('Liste AT'!$F$7:$F$165,$E$22,'Liste AT'!$Q$7:$Q$165,$A28)</f>
        <v>0</v>
      </c>
      <c r="F28" s="352">
        <f>COUNTIFS('Liste AT'!$F$7:$F$165,$F$22,'Liste AT'!$Q$7:$Q$165,$A28)</f>
        <v>0</v>
      </c>
      <c r="G28" s="352">
        <f>COUNTIFS('Liste AT'!$F$7:$F$165,$G$22,'Liste AT'!$Q$7:$Q$165,$A28)</f>
        <v>0</v>
      </c>
      <c r="O28" s="233" t="s">
        <v>280</v>
      </c>
      <c r="P28" s="234">
        <f>COUNTIF('Suivi du PAS 2020'!$P$5:$P$6,"TERMINEE")</f>
        <v>1</v>
      </c>
      <c r="Q28" s="301">
        <f>P28/SUM($P$28:$P$30)</f>
        <v>0.5</v>
      </c>
      <c r="S28" s="233" t="s">
        <v>776</v>
      </c>
      <c r="T28" s="234" t="e">
        <f>T27/T26</f>
        <v>#DIV/0!</v>
      </c>
      <c r="U28" s="234" t="e">
        <f t="shared" ref="U28:V28" si="7">U27/U26</f>
        <v>#DIV/0!</v>
      </c>
      <c r="V28" s="234" t="e">
        <f t="shared" si="7"/>
        <v>#DIV/0!</v>
      </c>
      <c r="W28" s="234" t="e">
        <f t="shared" ref="W28:Y28" si="8">W27/W26</f>
        <v>#DIV/0!</v>
      </c>
      <c r="X28" s="234" t="e">
        <f t="shared" si="8"/>
        <v>#DIV/0!</v>
      </c>
      <c r="Y28" s="234" t="e">
        <f t="shared" si="8"/>
        <v>#DIV/0!</v>
      </c>
    </row>
    <row r="29" spans="1:25" ht="14.25" customHeight="1">
      <c r="A29" s="346" t="s">
        <v>84</v>
      </c>
      <c r="B29" s="352">
        <f>COUNTIF('Liste AT'!$Q$7:$Q$165,A29)</f>
        <v>0</v>
      </c>
      <c r="C29" s="352">
        <f>COUNTIFS('Liste AT'!$F$7:$F$165,$C$22,'Liste AT'!$Q$7:$Q$165,$A29)</f>
        <v>0</v>
      </c>
      <c r="D29" s="352">
        <f>COUNTIFS('Liste AT'!$F$7:$F$165,$D$22,'Liste AT'!$Q$7:$Q$165,$A29)</f>
        <v>0</v>
      </c>
      <c r="E29" s="352">
        <f>COUNTIFS('Liste AT'!$F$7:$F$165,$E$22,'Liste AT'!$Q$7:$Q$165,$A29)</f>
        <v>0</v>
      </c>
      <c r="F29" s="352">
        <f>COUNTIFS('Liste AT'!$F$7:$F$165,$F$22,'Liste AT'!$Q$7:$Q$165,$A29)</f>
        <v>0</v>
      </c>
      <c r="G29" s="352">
        <f>COUNTIFS('Liste AT'!$F$7:$F$165,$G$22,'Liste AT'!$Q$7:$Q$165,$A29)</f>
        <v>0</v>
      </c>
      <c r="O29" s="236" t="s">
        <v>281</v>
      </c>
      <c r="P29" s="237">
        <f>SUM(COUNTIF('Suivi du PAS 2020'!$P$5:$P$6,"20%"),COUNTIF('Suivi du PAS 2020'!$P$5:$P$6,"50%"),COUNTIF('Suivi du PAS 2020'!$P$5:$P$6,"80%"))</f>
        <v>0</v>
      </c>
      <c r="Q29" s="302">
        <f>P29/SUM($P$28:$P$30)</f>
        <v>0</v>
      </c>
    </row>
    <row r="30" spans="1:25" ht="14.25" customHeight="1">
      <c r="A30" s="347" t="s">
        <v>104</v>
      </c>
      <c r="B30" s="352">
        <f>COUNTIF('Liste AT'!$Q$7:$Q$165,A30)</f>
        <v>0</v>
      </c>
      <c r="C30" s="352">
        <f>COUNTIFS('Liste AT'!$F$7:$F$165,$C$22,'Liste AT'!$Q$7:$Q$165,$A30)</f>
        <v>0</v>
      </c>
      <c r="D30" s="352">
        <f>COUNTIFS('Liste AT'!$F$7:$F$165,$D$22,'Liste AT'!$Q$7:$Q$165,$A30)</f>
        <v>0</v>
      </c>
      <c r="E30" s="352">
        <f>COUNTIFS('Liste AT'!$F$7:$F$165,$E$22,'Liste AT'!$Q$7:$Q$165,$A30)</f>
        <v>0</v>
      </c>
      <c r="F30" s="352">
        <f>COUNTIFS('Liste AT'!$F$7:$F$165,$F$22,'Liste AT'!$Q$7:$Q$165,$A30)</f>
        <v>0</v>
      </c>
      <c r="G30" s="352">
        <f>COUNTIFS('Liste AT'!$F$7:$F$165,$G$22,'Liste AT'!$Q$7:$Q$165,$A30)</f>
        <v>0</v>
      </c>
      <c r="O30" s="233" t="s">
        <v>282</v>
      </c>
      <c r="P30" s="234">
        <f>COUNTIF('Suivi du PAS 2020'!$P$5:$P$6,"NON COMMENCEE")</f>
        <v>1</v>
      </c>
      <c r="Q30" s="301">
        <f>P30/SUM($P$28:$P$30)</f>
        <v>0.5</v>
      </c>
    </row>
    <row r="31" spans="1:25" ht="18.75" customHeight="1">
      <c r="A31" s="346" t="s">
        <v>312</v>
      </c>
      <c r="B31" s="352">
        <f>COUNTIF('Liste AT'!$Q$7:$Q$165,A31)</f>
        <v>0</v>
      </c>
      <c r="C31" s="352">
        <f>COUNTIFS('Liste AT'!$F$7:$F$165,$C$22,'Liste AT'!$Q$7:$Q$165,$A31)</f>
        <v>0</v>
      </c>
      <c r="D31" s="352">
        <f>COUNTIFS('Liste AT'!$F$7:$F$165,$D$22,'Liste AT'!$Q$7:$Q$165,$A31)</f>
        <v>0</v>
      </c>
      <c r="E31" s="352">
        <f>COUNTIFS('Liste AT'!$F$7:$F$165,$E$22,'Liste AT'!$Q$7:$Q$165,$A31)</f>
        <v>0</v>
      </c>
      <c r="F31" s="352">
        <f>COUNTIFS('Liste AT'!$F$7:$F$165,$F$22,'Liste AT'!$Q$7:$Q$165,$A31)</f>
        <v>0</v>
      </c>
      <c r="G31" s="352">
        <f>COUNTIFS('Liste AT'!$F$7:$F$165,$G$22,'Liste AT'!$Q$7:$Q$165,$A31)</f>
        <v>0</v>
      </c>
      <c r="O31" s="240" t="s">
        <v>818</v>
      </c>
      <c r="P31" s="241" t="s">
        <v>803</v>
      </c>
      <c r="Q31" s="242" t="s">
        <v>776</v>
      </c>
    </row>
    <row r="32" spans="1:25" ht="14.25" customHeight="1">
      <c r="A32" s="347" t="s">
        <v>105</v>
      </c>
      <c r="B32" s="352">
        <f>COUNTIF('Liste AT'!$Q$7:$Q$165,A32)</f>
        <v>0</v>
      </c>
      <c r="C32" s="352">
        <f>COUNTIFS('Liste AT'!$F$7:$F$165,$C$22,'Liste AT'!$Q$7:$Q$165,$A32)</f>
        <v>0</v>
      </c>
      <c r="D32" s="352">
        <f>COUNTIFS('Liste AT'!$F$7:$F$165,$D$22,'Liste AT'!$Q$7:$Q$165,$A32)</f>
        <v>0</v>
      </c>
      <c r="E32" s="352">
        <f>COUNTIFS('Liste AT'!$F$7:$F$165,$E$22,'Liste AT'!$Q$7:$Q$165,$A32)</f>
        <v>0</v>
      </c>
      <c r="F32" s="352">
        <f>COUNTIFS('Liste AT'!$F$7:$F$165,$F$22,'Liste AT'!$Q$7:$Q$165,$A32)</f>
        <v>0</v>
      </c>
      <c r="G32" s="352">
        <f>COUNTIFS('Liste AT'!$F$7:$F$165,$G$22,'Liste AT'!$Q$7:$Q$165,$A32)</f>
        <v>0</v>
      </c>
      <c r="O32" s="233" t="s">
        <v>280</v>
      </c>
      <c r="P32" s="234">
        <f>COUNTIF('Suivi du PAS 2020'!$P$23:$P$25,"TERMINEE")</f>
        <v>0</v>
      </c>
      <c r="Q32" s="301">
        <f>P32/SUM($P$32:$P$34)</f>
        <v>0</v>
      </c>
    </row>
    <row r="33" spans="1:17" ht="14.25" customHeight="1">
      <c r="A33" s="346" t="s">
        <v>352</v>
      </c>
      <c r="B33" s="352">
        <f>COUNTIF('Liste AT'!$Q$7:$Q$165,A33)</f>
        <v>0</v>
      </c>
      <c r="C33" s="352">
        <f>COUNTIFS('Liste AT'!$F$7:$F$165,$C$22,'Liste AT'!$Q$7:$Q$165,$A33)</f>
        <v>0</v>
      </c>
      <c r="D33" s="352">
        <f>COUNTIFS('Liste AT'!$F$7:$F$165,$D$22,'Liste AT'!$Q$7:$Q$165,$A33)</f>
        <v>0</v>
      </c>
      <c r="E33" s="352">
        <f>COUNTIFS('Liste AT'!$F$7:$F$165,$E$22,'Liste AT'!$Q$7:$Q$165,$A33)</f>
        <v>0</v>
      </c>
      <c r="F33" s="352">
        <f>COUNTIFS('Liste AT'!$F$7:$F$165,$F$22,'Liste AT'!$Q$7:$Q$165,$A33)</f>
        <v>0</v>
      </c>
      <c r="G33" s="352">
        <f>COUNTIFS('Liste AT'!$F$7:$F$165,$G$22,'Liste AT'!$Q$7:$Q$165,$A33)</f>
        <v>0</v>
      </c>
      <c r="O33" s="236" t="s">
        <v>281</v>
      </c>
      <c r="P33" s="237">
        <f>SUM(COUNTIF('Suivi du PAS 2020'!$P$23:$P$25,"20%"),COUNTIF('Suivi du PAS 2020'!$P$23:$P$25,"50%"),COUNTIF('Suivi du PAS 2020'!$P$23:$P$25,"80%"))</f>
        <v>2</v>
      </c>
      <c r="Q33" s="302">
        <f t="shared" ref="Q33:Q34" si="9">P33/SUM($P$32:$P$34)</f>
        <v>0.66666666666666663</v>
      </c>
    </row>
    <row r="34" spans="1:17" ht="14.25" customHeight="1">
      <c r="A34" s="347" t="s">
        <v>355</v>
      </c>
      <c r="B34" s="352">
        <f>COUNTIF('Liste AT'!$Q$7:$Q$165,A34)</f>
        <v>0</v>
      </c>
      <c r="C34" s="352">
        <f>COUNTIFS('Liste AT'!$F$7:$F$165,$C$22,'Liste AT'!$Q$7:$Q$165,$A34)</f>
        <v>0</v>
      </c>
      <c r="D34" s="352">
        <f>COUNTIFS('Liste AT'!$F$7:$F$165,$D$22,'Liste AT'!$Q$7:$Q$165,$A34)</f>
        <v>0</v>
      </c>
      <c r="E34" s="352">
        <f>COUNTIFS('Liste AT'!$F$7:$F$165,$E$22,'Liste AT'!$Q$7:$Q$165,$A34)</f>
        <v>0</v>
      </c>
      <c r="F34" s="352">
        <f>COUNTIFS('Liste AT'!$F$7:$F$165,$F$22,'Liste AT'!$Q$7:$Q$165,$A34)</f>
        <v>0</v>
      </c>
      <c r="G34" s="352">
        <f>COUNTIFS('Liste AT'!$F$7:$F$165,$G$22,'Liste AT'!$Q$7:$Q$165,$A34)</f>
        <v>0</v>
      </c>
      <c r="O34" s="233" t="s">
        <v>282</v>
      </c>
      <c r="P34" s="234">
        <f>COUNTIF('Suivi du PAS 2020'!$P$23:$P$25,"NON COMMENCEE")</f>
        <v>1</v>
      </c>
      <c r="Q34" s="301">
        <f t="shared" si="9"/>
        <v>0.33333333333333331</v>
      </c>
    </row>
    <row r="35" spans="1:17" ht="14.25" customHeight="1">
      <c r="A35" s="346" t="s">
        <v>107</v>
      </c>
      <c r="B35" s="352">
        <f>COUNTIF('Liste AT'!$Q$7:$Q$165,A35)</f>
        <v>0</v>
      </c>
      <c r="C35" s="352">
        <f>COUNTIFS('Liste AT'!$F$7:$F$165,$C$22,'Liste AT'!$Q$7:$Q$165,$A35)</f>
        <v>0</v>
      </c>
      <c r="D35" s="352">
        <f>COUNTIFS('Liste AT'!$F$7:$F$165,$D$22,'Liste AT'!$Q$7:$Q$165,$A35)</f>
        <v>0</v>
      </c>
      <c r="E35" s="352">
        <f>COUNTIFS('Liste AT'!$F$7:$F$165,$E$22,'Liste AT'!$Q$7:$Q$165,$A35)</f>
        <v>0</v>
      </c>
      <c r="F35" s="352">
        <f>COUNTIFS('Liste AT'!$F$7:$F$165,$F$22,'Liste AT'!$Q$7:$Q$165,$A35)</f>
        <v>0</v>
      </c>
      <c r="G35" s="352">
        <f>COUNTIFS('Liste AT'!$F$7:$F$165,$G$22,'Liste AT'!$Q$7:$Q$165,$A35)</f>
        <v>0</v>
      </c>
    </row>
    <row r="36" spans="1:17" ht="14.25" customHeight="1">
      <c r="A36" s="347" t="s">
        <v>106</v>
      </c>
      <c r="B36" s="352">
        <f>COUNTIF('Liste AT'!$Q$7:$Q$165,A36)</f>
        <v>0</v>
      </c>
      <c r="C36" s="352">
        <f>COUNTIFS('Liste AT'!$F$7:$F$165,$C$22,'Liste AT'!$Q$7:$Q$165,$A36)</f>
        <v>0</v>
      </c>
      <c r="D36" s="352">
        <f>COUNTIFS('Liste AT'!$F$7:$F$165,$D$22,'Liste AT'!$Q$7:$Q$165,$A36)</f>
        <v>0</v>
      </c>
      <c r="E36" s="352">
        <f>COUNTIFS('Liste AT'!$F$7:$F$165,$E$22,'Liste AT'!$Q$7:$Q$165,$A36)</f>
        <v>0</v>
      </c>
      <c r="F36" s="352">
        <f>COUNTIFS('Liste AT'!$F$7:$F$165,$F$22,'Liste AT'!$Q$7:$Q$165,$A36)</f>
        <v>0</v>
      </c>
      <c r="G36" s="352">
        <f>COUNTIFS('Liste AT'!$F$7:$F$165,$G$22,'Liste AT'!$Q$7:$Q$165,$A36)</f>
        <v>0</v>
      </c>
      <c r="H36" s="229" t="s">
        <v>825</v>
      </c>
      <c r="I36" s="230" t="s">
        <v>876</v>
      </c>
      <c r="J36" s="349" t="s">
        <v>838</v>
      </c>
      <c r="K36" s="350" t="s">
        <v>846</v>
      </c>
      <c r="L36" s="231" t="s">
        <v>1000</v>
      </c>
      <c r="M36" s="344" t="s">
        <v>999</v>
      </c>
      <c r="N36" s="298" t="s">
        <v>264</v>
      </c>
      <c r="O36" s="529" t="s">
        <v>820</v>
      </c>
      <c r="P36" s="529"/>
      <c r="Q36" s="529"/>
    </row>
    <row r="37" spans="1:17" ht="14.25" customHeight="1">
      <c r="A37" s="346" t="s">
        <v>35</v>
      </c>
      <c r="B37" s="352">
        <f>COUNTIF('Liste AT'!$Q$7:$Q$165,A37)</f>
        <v>0</v>
      </c>
      <c r="C37" s="352">
        <f>COUNTIFS('Liste AT'!$F$7:$F$165,$C$22,'Liste AT'!$Q$7:$Q$165,$A37)</f>
        <v>0</v>
      </c>
      <c r="D37" s="352">
        <f>COUNTIFS('Liste AT'!$F$7:$F$165,$D$22,'Liste AT'!$Q$7:$Q$165,$A37)</f>
        <v>0</v>
      </c>
      <c r="E37" s="352">
        <f>COUNTIFS('Liste AT'!$F$7:$F$165,$E$22,'Liste AT'!$Q$7:$Q$165,$A37)</f>
        <v>0</v>
      </c>
      <c r="F37" s="352">
        <f>COUNTIFS('Liste AT'!$F$7:$F$165,$F$22,'Liste AT'!$Q$7:$Q$165,$A37)</f>
        <v>0</v>
      </c>
      <c r="G37" s="352">
        <f>COUNTIFS('Liste AT'!$F$7:$F$165,$G$22,'Liste AT'!$Q$7:$Q$165,$A37)</f>
        <v>0</v>
      </c>
      <c r="H37" s="233" t="s">
        <v>826</v>
      </c>
      <c r="I37" s="234">
        <f>SUM(COUNTIF('Suivi des DPx'!$A$11:$A$109,{"TER OUEST";"TER EST";"TRAIN";"EMI";"SIEGE"}))</f>
        <v>41</v>
      </c>
      <c r="J37" s="234">
        <f>SUM(COUNTIF('Suivi des DPx'!$A$11:$A$109,"TRAIN"))</f>
        <v>13</v>
      </c>
      <c r="K37" s="234">
        <f>SUM(COUNTIF('Suivi des DPx'!$A$11:$A$109,"EMI"))</f>
        <v>3</v>
      </c>
      <c r="L37" s="234">
        <f>SUM(COUNTIF('Suivi des DPx'!$A$11:$A$109,"TER OUEST"))</f>
        <v>6</v>
      </c>
      <c r="M37" s="234">
        <f>SUM(COUNTIF('Suivi des DPx'!$A$11:$A$109,"TER EST"))</f>
        <v>8</v>
      </c>
      <c r="N37" s="234">
        <f>SUM(COUNTIF('Suivi des DPx'!$A$11:$A$109,"SIEGE"))</f>
        <v>11</v>
      </c>
      <c r="O37" s="240" t="s">
        <v>804</v>
      </c>
      <c r="P37" s="241" t="s">
        <v>803</v>
      </c>
      <c r="Q37" s="242" t="s">
        <v>776</v>
      </c>
    </row>
    <row r="38" spans="1:17" ht="14.25" customHeight="1">
      <c r="A38" s="347" t="s">
        <v>45</v>
      </c>
      <c r="B38" s="352">
        <f>COUNTIF('Liste AT'!$Q$7:$Q$165,A38)</f>
        <v>0</v>
      </c>
      <c r="C38" s="352">
        <f>COUNTIFS('Liste AT'!$F$7:$F$165,$C$22,'Liste AT'!$Q$7:$Q$165,$A38)</f>
        <v>0</v>
      </c>
      <c r="D38" s="352">
        <f>COUNTIFS('Liste AT'!$F$7:$F$165,$D$22,'Liste AT'!$Q$7:$Q$165,$A38)</f>
        <v>0</v>
      </c>
      <c r="E38" s="352">
        <f>COUNTIFS('Liste AT'!$F$7:$F$165,$E$22,'Liste AT'!$Q$7:$Q$165,$A38)</f>
        <v>0</v>
      </c>
      <c r="F38" s="352">
        <f>COUNTIFS('Liste AT'!$F$7:$F$165,$F$22,'Liste AT'!$Q$7:$Q$165,$A38)</f>
        <v>0</v>
      </c>
      <c r="G38" s="352">
        <f>COUNTIFS('Liste AT'!$F$7:$F$165,$G$22,'Liste AT'!$Q$7:$Q$165,$A38)</f>
        <v>0</v>
      </c>
      <c r="O38" s="233" t="s">
        <v>280</v>
      </c>
      <c r="P38" s="234">
        <f>COUNTIF('Plan Post Audit'!$P$6:$P$37,"TERMINEE")</f>
        <v>24</v>
      </c>
      <c r="Q38" s="301">
        <f>P38/SUM($P$38:$P$40)</f>
        <v>0.77419354838709675</v>
      </c>
    </row>
    <row r="39" spans="1:17" ht="14.25" customHeight="1">
      <c r="A39" s="346" t="s">
        <v>412</v>
      </c>
      <c r="B39" s="352">
        <f>COUNTIF('Liste AT'!$Q$7:$Q$165,A39)</f>
        <v>0</v>
      </c>
      <c r="C39" s="352">
        <f>COUNTIFS('Liste AT'!$F$7:$F$165,$C$22,'Liste AT'!$Q$7:$Q$165,$A39)</f>
        <v>0</v>
      </c>
      <c r="D39" s="352">
        <f>COUNTIFS('Liste AT'!$F$7:$F$165,$D$22,'Liste AT'!$Q$7:$Q$165,$A39)</f>
        <v>0</v>
      </c>
      <c r="E39" s="352">
        <f>COUNTIFS('Liste AT'!$F$7:$F$165,$E$22,'Liste AT'!$Q$7:$Q$165,$A39)</f>
        <v>0</v>
      </c>
      <c r="F39" s="352">
        <f>COUNTIFS('Liste AT'!$F$7:$F$165,$F$22,'Liste AT'!$Q$7:$Q$165,$A39)</f>
        <v>0</v>
      </c>
      <c r="G39" s="352">
        <f>COUNTIFS('Liste AT'!$F$7:$F$165,$G$22,'Liste AT'!$Q$7:$Q$165,$A39)</f>
        <v>0</v>
      </c>
      <c r="O39" s="236" t="s">
        <v>281</v>
      </c>
      <c r="P39" s="237">
        <f>COUNTIF('Plan Post Audit'!$P$6:$P$37,"EN COURS")</f>
        <v>5</v>
      </c>
      <c r="Q39" s="302">
        <f t="shared" ref="Q39:Q40" si="10">P39/SUM($P$38:$P$40)</f>
        <v>0.16129032258064516</v>
      </c>
    </row>
    <row r="40" spans="1:17" ht="14.25" customHeight="1">
      <c r="O40" s="233" t="s">
        <v>282</v>
      </c>
      <c r="P40" s="234">
        <f>COUNTIF('Plan Post Audit'!$P$6:$P$37,"NON COMMENCEE")</f>
        <v>2</v>
      </c>
      <c r="Q40" s="301">
        <f t="shared" si="10"/>
        <v>6.4516129032258063E-2</v>
      </c>
    </row>
    <row r="41" spans="1:17" ht="14.25" customHeight="1">
      <c r="A41" s="530" t="s">
        <v>800</v>
      </c>
      <c r="B41" s="530"/>
      <c r="C41" s="530"/>
      <c r="D41" s="530"/>
      <c r="E41" s="530"/>
      <c r="F41" s="530"/>
      <c r="G41" s="530"/>
    </row>
    <row r="42" spans="1:17" ht="14.25" customHeight="1">
      <c r="A42" s="229" t="s">
        <v>798</v>
      </c>
      <c r="B42" s="230" t="s">
        <v>876</v>
      </c>
      <c r="C42" s="349" t="s">
        <v>838</v>
      </c>
      <c r="D42" s="350" t="s">
        <v>846</v>
      </c>
      <c r="E42" s="231" t="s">
        <v>1000</v>
      </c>
      <c r="F42" s="232" t="s">
        <v>999</v>
      </c>
      <c r="G42" s="298" t="s">
        <v>53</v>
      </c>
    </row>
    <row r="43" spans="1:17" ht="14.25" customHeight="1">
      <c r="A43" s="233" t="s">
        <v>833</v>
      </c>
      <c r="B43" s="234">
        <f ca="1">SUM(C43:G43)</f>
        <v>0</v>
      </c>
      <c r="C43" s="234">
        <f ca="1">COUNTIFS('Liste AT'!$F$7:$F$165,C$42,'Liste AT'!$I$7:$I$165,CONCATENATE("&gt;=","01/",MONTH(TODAY()),"/",YEAR(TODAY())))</f>
        <v>0</v>
      </c>
      <c r="D43" s="234">
        <f ca="1">COUNTIFS('Liste AT'!$F$7:$F$165,D$42,'Liste AT'!$I$7:$I$165,CONCATENATE("&gt;=","01/",MONTH(TODAY()),"/",YEAR(TODAY())))</f>
        <v>0</v>
      </c>
      <c r="E43" s="235">
        <f ca="1">COUNTIFS('Liste AT'!$F$7:$F$165,E$42,'Liste AT'!$I$7:$I$165,CONCATENATE("&gt;=","01/",MONTH(TODAY()),"/",YEAR(TODAY())))</f>
        <v>0</v>
      </c>
      <c r="F43" s="235">
        <f ca="1">COUNTIFS('Liste AT'!$F$7:$F$165,F$42,'Liste AT'!$I$7:$I$165,CONCATENATE("&gt;=","01/",MONTH(TODAY()),"/",YEAR(TODAY())))</f>
        <v>0</v>
      </c>
      <c r="G43" s="235">
        <f ca="1">COUNTIFS('Liste AT'!$F$7:$F$165,G$42,'Liste AT'!$I$7:$I$165,CONCATENATE("&gt;=","01/",MONTH(TODAY()),"/",YEAR(TODAY())))</f>
        <v>0</v>
      </c>
    </row>
    <row r="44" spans="1:17" ht="14.25" customHeight="1">
      <c r="A44" s="236" t="s">
        <v>801</v>
      </c>
      <c r="B44" s="238">
        <f ca="1">COUNTIFS('Liste AT'!K7:K165,"trajet",'Liste AT'!$I$7:$I$165,CONCATENATE("&gt;=","01/",MONTH(TODAY()),"/",YEAR(TODAY())))</f>
        <v>0</v>
      </c>
      <c r="C44" s="238">
        <f ca="1">COUNTIFS('Liste AT'!$F$7:$F$165,C$42,'Liste AT'!$I$7:$I$165,CONCATENATE("&gt;=","01/",MONTH(TODAY()),"/",YEAR(TODAY())),'Liste AT'!$K$7:$K$165,"trajet")</f>
        <v>0</v>
      </c>
      <c r="D44" s="238">
        <f ca="1">COUNTIFS('Liste AT'!$F$7:$F$165,D$42,'Liste AT'!$I$7:$I$165,CONCATENATE("&gt;=","01/",MONTH(TODAY()),"/",YEAR(TODAY())),'Liste AT'!$K$7:$K$165,"trajet")</f>
        <v>0</v>
      </c>
      <c r="E44" s="238">
        <f ca="1">COUNTIFS('Liste AT'!$F$7:$F$165,E$42,'Liste AT'!$I$7:$I$165,CONCATENATE("&gt;=","01/",MONTH(TODAY()),"/",YEAR(TODAY())),'Liste AT'!$K$7:$K$165,"trajet")</f>
        <v>0</v>
      </c>
      <c r="F44" s="238">
        <f ca="1">COUNTIFS('Liste AT'!$F$7:$F$165,F$42,'Liste AT'!$I$7:$I$165,CONCATENATE("&gt;=","01/",MONTH(TODAY()),"/",YEAR(TODAY())),'Liste AT'!$K$7:$K$165,"trajet")</f>
        <v>0</v>
      </c>
      <c r="G44" s="238">
        <f ca="1">COUNTIFS('Liste AT'!$F$7:$F$165,G$42,'Liste AT'!$I$7:$I$165,CONCATENATE("&gt;=","01/",MONTH(TODAY()),"/",YEAR(TODAY())),'Liste AT'!$K$7:$K$165,"trajet")</f>
        <v>0</v>
      </c>
    </row>
    <row r="45" spans="1:17" ht="14.25" customHeight="1">
      <c r="A45" s="233" t="s">
        <v>794</v>
      </c>
      <c r="B45" s="235">
        <f ca="1">COUNTIFS('Liste AT'!L7:L165,"avec arrêt",'Liste AT'!$I$7:$I$165,CONCATENATE("&gt;=","01/",MONTH(TODAY()),"/",YEAR(TODAY())))</f>
        <v>0</v>
      </c>
      <c r="C45" s="235">
        <f ca="1">COUNTIFS('Liste AT'!$F$7:$F$165,C$42,'Liste AT'!$I$7:$I$165,CONCATENATE("&gt;=","01/",MONTH(TODAY()),"/",YEAR(TODAY())),'Liste AT'!$L$7:$L$165,"avec arrêt")</f>
        <v>0</v>
      </c>
      <c r="D45" s="235">
        <f ca="1">COUNTIFS('Liste AT'!$F$7:$F$165,D$42,'Liste AT'!$I$7:$I$165,CONCATENATE("&gt;=","01/",MONTH(TODAY()),"/",YEAR(TODAY())),'Liste AT'!$L$7:$L$165,"avec arrêt")</f>
        <v>0</v>
      </c>
      <c r="E45" s="235">
        <f ca="1">COUNTIFS('Liste AT'!$F$7:$F$165,E$42,'Liste AT'!$I$7:$I$165,CONCATENATE("&gt;=","01/",MONTH(TODAY()),"/",YEAR(TODAY())),'Liste AT'!$L$7:$L$165,"avec arrêt")</f>
        <v>0</v>
      </c>
      <c r="F45" s="235">
        <f ca="1">COUNTIFS('Liste AT'!$F$7:$F$165,F$42,'Liste AT'!$I$7:$I$165,CONCATENATE("&gt;=","01/",MONTH(TODAY()),"/",YEAR(TODAY())),'Liste AT'!$L$7:$L$165,"avec arrêt")</f>
        <v>0</v>
      </c>
      <c r="G45" s="235">
        <f ca="1">COUNTIFS('Liste AT'!$F$7:$F$165,G$42,'Liste AT'!$I$7:$I$165,CONCATENATE("&gt;=","01/",MONTH(TODAY()),"/",YEAR(TODAY())),'Liste AT'!$L$7:$L$165,"avec arrêt")</f>
        <v>0</v>
      </c>
    </row>
    <row r="46" spans="1:17" ht="14.25" customHeight="1">
      <c r="A46" s="236" t="s">
        <v>795</v>
      </c>
      <c r="B46" s="237">
        <f ca="1">SUMIFS('Liste AT'!$O$7:$O$165,'Liste AT'!$I$7:$I$165,CONCATENATE("&gt;=","01/",MONTH(TODAY()),"/",YEAR(TODAY())))</f>
        <v>0</v>
      </c>
      <c r="C46" s="237">
        <f ca="1">SUMIFS('Liste AT'!$O$7:$O$165,'Liste AT'!$I$7:$I$165,CONCATENATE("&gt;=","01/",MONTH(TODAY()),"/",YEAR(TODAY())),'Liste AT'!$F$7:$F$165,C42)</f>
        <v>0</v>
      </c>
      <c r="D46" s="237">
        <f ca="1">SUMIFS('Liste AT'!$O$7:$O$165,'Liste AT'!$I$7:$I$165,CONCATENATE("&gt;=","01/",MONTH(TODAY()),"/",YEAR(TODAY())),'Liste AT'!$F$7:$F$165,D42)</f>
        <v>0</v>
      </c>
      <c r="E46" s="237">
        <f ca="1">SUMIFS('Liste AT'!$O$7:$O$165,'Liste AT'!$I$7:$I$165,CONCATENATE("&gt;=","01/",MONTH(TODAY()),"/",YEAR(TODAY())),'Liste AT'!$F$7:$F$165,E42)</f>
        <v>0</v>
      </c>
      <c r="F46" s="237">
        <f ca="1">SUMIFS('Liste AT'!$O$7:$O$165,'Liste AT'!$I$7:$I$165,CONCATENATE("&gt;=","01/",MONTH(TODAY()),"/",YEAR(TODAY())),'Liste AT'!$F$7:$F$165,F42)</f>
        <v>0</v>
      </c>
      <c r="G46" s="237">
        <f ca="1">SUMIFS('Liste AT'!$O$7:$O$165,'Liste AT'!$I$7:$I$165,CONCATENATE("&gt;=","01/",MONTH(TODAY()),"/",YEAR(TODAY())),'Liste AT'!$F$7:$F$165,G42)</f>
        <v>0</v>
      </c>
    </row>
    <row r="47" spans="1:17" ht="14.25" customHeight="1"/>
    <row r="48" spans="1:17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</sheetData>
  <mergeCells count="8">
    <mergeCell ref="S15:V15"/>
    <mergeCell ref="O36:Q36"/>
    <mergeCell ref="A5:G5"/>
    <mergeCell ref="A41:G41"/>
    <mergeCell ref="O8:Q8"/>
    <mergeCell ref="O18:Q18"/>
    <mergeCell ref="H5:N5"/>
    <mergeCell ref="S8:Y8"/>
  </mergeCells>
  <pageMargins left="0.25" right="0.25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theme="4" tint="0.39997558519241921"/>
    <pageSetUpPr fitToPage="1"/>
  </sheetPr>
  <dimension ref="A1:AW118"/>
  <sheetViews>
    <sheetView showGridLines="0" topLeftCell="A4" zoomScale="80" zoomScaleNormal="80" workbookViewId="0">
      <pane xSplit="3" ySplit="3" topLeftCell="M7" activePane="bottomRight" state="frozen"/>
      <selection activeCell="A4" sqref="A4"/>
      <selection pane="topRight" activeCell="D4" sqref="D4"/>
      <selection pane="bottomLeft" activeCell="A7" sqref="A7"/>
      <selection pane="bottomRight" activeCell="A21" sqref="A21:XFD21"/>
    </sheetView>
  </sheetViews>
  <sheetFormatPr baseColWidth="10" defaultRowHeight="12.75"/>
  <cols>
    <col min="1" max="1" width="16.7109375" style="26" customWidth="1"/>
    <col min="2" max="2" width="20.28515625" style="24" customWidth="1"/>
    <col min="3" max="3" width="14.42578125" style="24" customWidth="1"/>
    <col min="4" max="4" width="46.140625" style="24" customWidth="1"/>
    <col min="5" max="5" width="10.7109375" style="26" customWidth="1"/>
    <col min="6" max="8" width="12.7109375" style="25" customWidth="1"/>
    <col min="9" max="9" width="10.7109375" style="26" customWidth="1"/>
    <col min="10" max="10" width="12.7109375" style="25" customWidth="1"/>
    <col min="11" max="11" width="10.7109375" style="26" customWidth="1"/>
    <col min="12" max="12" width="12.7109375" style="25" customWidth="1"/>
    <col min="13" max="13" width="10.7109375" style="25" customWidth="1"/>
    <col min="14" max="14" width="12.7109375" style="25" customWidth="1"/>
    <col min="15" max="15" width="10.7109375" style="25" customWidth="1"/>
    <col min="16" max="16" width="12.7109375" style="25" customWidth="1"/>
    <col min="17" max="17" width="10.7109375" style="25" customWidth="1"/>
    <col min="18" max="21" width="12.7109375" style="25" customWidth="1"/>
    <col min="22" max="22" width="14" style="25" customWidth="1"/>
    <col min="23" max="23" width="12.140625" style="25" customWidth="1"/>
    <col min="24" max="25" width="12.42578125" style="25" customWidth="1"/>
    <col min="26" max="28" width="11.28515625" style="25" customWidth="1"/>
    <col min="29" max="29" width="14.85546875" style="25" customWidth="1"/>
    <col min="30" max="30" width="10.7109375" style="26" customWidth="1"/>
    <col min="31" max="31" width="12.7109375" style="25" customWidth="1"/>
    <col min="32" max="32" width="17.85546875" style="25" customWidth="1"/>
    <col min="33" max="33" width="20.5703125" style="25" customWidth="1"/>
    <col min="34" max="34" width="10.7109375" style="26" customWidth="1"/>
    <col min="35" max="35" width="12.7109375" style="25" customWidth="1"/>
    <col min="36" max="36" width="10.7109375" style="26" customWidth="1"/>
    <col min="37" max="37" width="12.7109375" style="25" customWidth="1"/>
    <col min="38" max="38" width="15.7109375" style="26" customWidth="1"/>
    <col min="39" max="39" width="27.42578125" style="24" customWidth="1"/>
    <col min="40" max="40" width="11.42578125" style="24"/>
    <col min="41" max="41" width="19.28515625" style="24" customWidth="1"/>
    <col min="42" max="46" width="11.42578125" style="24"/>
    <col min="47" max="47" width="18.7109375" style="24" customWidth="1"/>
    <col min="48" max="16384" width="11.42578125" style="24"/>
  </cols>
  <sheetData>
    <row r="1" spans="1:42">
      <c r="AO1" s="38"/>
      <c r="AP1" s="47" t="s">
        <v>564</v>
      </c>
    </row>
    <row r="2" spans="1:42" ht="30">
      <c r="A2" s="537" t="s">
        <v>863</v>
      </c>
      <c r="B2" s="537"/>
      <c r="C2" s="537"/>
      <c r="AO2" s="38" t="s">
        <v>598</v>
      </c>
      <c r="AP2" s="47">
        <f>COUNTIF(A11:A109, "TER MIXTE")</f>
        <v>0</v>
      </c>
    </row>
    <row r="3" spans="1:42">
      <c r="AO3" s="38" t="s">
        <v>597</v>
      </c>
      <c r="AP3" s="47">
        <f>COUNTIF(A11:A109, "TER ESCALE EST")</f>
        <v>0</v>
      </c>
    </row>
    <row r="4" spans="1:42">
      <c r="A4" s="538" t="s">
        <v>299</v>
      </c>
      <c r="B4" s="538"/>
      <c r="C4" s="538"/>
      <c r="AO4" s="44" t="s">
        <v>838</v>
      </c>
      <c r="AP4" s="47">
        <v>11</v>
      </c>
    </row>
    <row r="5" spans="1:42" ht="24.75" customHeight="1">
      <c r="A5" s="538"/>
      <c r="B5" s="538"/>
      <c r="C5" s="538"/>
      <c r="E5" s="539" t="s">
        <v>262</v>
      </c>
      <c r="F5" s="539"/>
      <c r="G5" s="539"/>
      <c r="H5" s="539"/>
      <c r="I5" s="539"/>
      <c r="J5" s="539"/>
      <c r="K5" s="539"/>
      <c r="L5" s="539"/>
      <c r="M5" s="539"/>
      <c r="N5" s="539"/>
      <c r="O5" s="539"/>
      <c r="P5" s="539"/>
      <c r="Q5" s="539"/>
      <c r="R5" s="539"/>
      <c r="S5" s="540"/>
      <c r="T5" s="540"/>
      <c r="U5" s="540"/>
      <c r="V5" s="540"/>
      <c r="W5" s="540"/>
      <c r="X5" s="540"/>
      <c r="Y5" s="540"/>
      <c r="Z5" s="540"/>
      <c r="AA5" s="540"/>
      <c r="AB5" s="540"/>
      <c r="AC5" s="540"/>
      <c r="AD5" s="536" t="s">
        <v>1023</v>
      </c>
      <c r="AE5" s="536"/>
      <c r="AF5" s="536"/>
      <c r="AG5" s="536"/>
      <c r="AH5" s="536"/>
      <c r="AI5" s="536"/>
      <c r="AJ5" s="536"/>
      <c r="AK5" s="536"/>
      <c r="AL5" s="536"/>
      <c r="AM5" s="536"/>
      <c r="AO5" s="39" t="s">
        <v>264</v>
      </c>
      <c r="AP5" s="46">
        <f>COUNTIF(A11:A109, "SIEGE")</f>
        <v>11</v>
      </c>
    </row>
    <row r="6" spans="1:42" ht="31.5" customHeight="1">
      <c r="E6" s="541" t="s">
        <v>784</v>
      </c>
      <c r="F6" s="542"/>
      <c r="G6" s="543" t="s">
        <v>547</v>
      </c>
      <c r="H6" s="544"/>
      <c r="I6" s="543" t="s">
        <v>258</v>
      </c>
      <c r="J6" s="544"/>
      <c r="K6" s="545" t="s">
        <v>256</v>
      </c>
      <c r="L6" s="545"/>
      <c r="M6" s="545" t="s">
        <v>275</v>
      </c>
      <c r="N6" s="545"/>
      <c r="O6" s="543" t="s">
        <v>890</v>
      </c>
      <c r="P6" s="544"/>
      <c r="Q6" s="543" t="s">
        <v>253</v>
      </c>
      <c r="R6" s="544"/>
      <c r="S6" s="543" t="s">
        <v>760</v>
      </c>
      <c r="T6" s="544"/>
      <c r="U6" s="543" t="s">
        <v>566</v>
      </c>
      <c r="V6" s="544"/>
      <c r="W6" s="551" t="s">
        <v>567</v>
      </c>
      <c r="X6" s="553"/>
      <c r="Y6" s="551" t="s">
        <v>568</v>
      </c>
      <c r="Z6" s="552"/>
      <c r="AA6" s="551" t="s">
        <v>922</v>
      </c>
      <c r="AB6" s="552"/>
      <c r="AC6" s="76" t="s">
        <v>250</v>
      </c>
      <c r="AD6" s="546" t="s">
        <v>546</v>
      </c>
      <c r="AE6" s="547"/>
      <c r="AF6" s="548" t="s">
        <v>569</v>
      </c>
      <c r="AG6" s="547"/>
      <c r="AH6" s="548" t="s">
        <v>547</v>
      </c>
      <c r="AI6" s="547"/>
      <c r="AJ6" s="554" t="s">
        <v>548</v>
      </c>
      <c r="AK6" s="555"/>
      <c r="AL6" s="385" t="s">
        <v>552</v>
      </c>
      <c r="AM6" s="480" t="s">
        <v>1078</v>
      </c>
      <c r="AN6" s="194"/>
      <c r="AO6" s="77" t="s">
        <v>846</v>
      </c>
      <c r="AP6" s="47">
        <v>2</v>
      </c>
    </row>
    <row r="7" spans="1:42" ht="12.75" customHeight="1">
      <c r="A7" s="102" t="s">
        <v>18</v>
      </c>
      <c r="B7" s="103" t="s">
        <v>14</v>
      </c>
      <c r="C7" s="103" t="s">
        <v>15</v>
      </c>
      <c r="D7" s="103" t="s">
        <v>274</v>
      </c>
      <c r="E7" s="102" t="s">
        <v>251</v>
      </c>
      <c r="F7" s="104" t="s">
        <v>19</v>
      </c>
      <c r="G7" s="104" t="s">
        <v>251</v>
      </c>
      <c r="H7" s="104" t="s">
        <v>19</v>
      </c>
      <c r="I7" s="102" t="s">
        <v>251</v>
      </c>
      <c r="J7" s="105" t="s">
        <v>19</v>
      </c>
      <c r="K7" s="102" t="s">
        <v>251</v>
      </c>
      <c r="L7" s="105" t="s">
        <v>19</v>
      </c>
      <c r="M7" s="105" t="s">
        <v>251</v>
      </c>
      <c r="N7" s="105" t="s">
        <v>19</v>
      </c>
      <c r="O7" s="105" t="s">
        <v>251</v>
      </c>
      <c r="P7" s="105" t="s">
        <v>19</v>
      </c>
      <c r="Q7" s="105" t="s">
        <v>251</v>
      </c>
      <c r="R7" s="105" t="s">
        <v>19</v>
      </c>
      <c r="S7" s="105" t="s">
        <v>251</v>
      </c>
      <c r="T7" s="105" t="s">
        <v>19</v>
      </c>
      <c r="U7" s="105" t="s">
        <v>251</v>
      </c>
      <c r="V7" s="105" t="s">
        <v>19</v>
      </c>
      <c r="W7" s="106" t="s">
        <v>251</v>
      </c>
      <c r="X7" s="106" t="s">
        <v>19</v>
      </c>
      <c r="Y7" s="106" t="s">
        <v>251</v>
      </c>
      <c r="Z7" s="106" t="s">
        <v>19</v>
      </c>
      <c r="AA7" s="106" t="s">
        <v>251</v>
      </c>
      <c r="AB7" s="106" t="s">
        <v>19</v>
      </c>
      <c r="AC7" s="106" t="s">
        <v>273</v>
      </c>
      <c r="AD7" s="107" t="s">
        <v>251</v>
      </c>
      <c r="AE7" s="104" t="s">
        <v>19</v>
      </c>
      <c r="AF7" s="107" t="s">
        <v>251</v>
      </c>
      <c r="AG7" s="104" t="s">
        <v>785</v>
      </c>
      <c r="AH7" s="108" t="s">
        <v>251</v>
      </c>
      <c r="AI7" s="104" t="s">
        <v>19</v>
      </c>
      <c r="AJ7" s="108" t="s">
        <v>251</v>
      </c>
      <c r="AK7" s="109" t="s">
        <v>19</v>
      </c>
      <c r="AL7" s="110" t="s">
        <v>552</v>
      </c>
      <c r="AM7" s="110" t="s">
        <v>251</v>
      </c>
      <c r="AO7" s="384" t="s">
        <v>789</v>
      </c>
      <c r="AP7" s="47">
        <f xml:space="preserve"> SUM(AP2:AP6)</f>
        <v>24</v>
      </c>
    </row>
    <row r="8" spans="1:42" ht="16.5" customHeight="1">
      <c r="A8" s="38" t="s">
        <v>1000</v>
      </c>
      <c r="B8" s="163" t="s">
        <v>980</v>
      </c>
      <c r="C8" s="163" t="s">
        <v>981</v>
      </c>
      <c r="D8" s="162" t="s">
        <v>1029</v>
      </c>
      <c r="E8" s="44" t="s">
        <v>247</v>
      </c>
      <c r="F8" s="159"/>
      <c r="G8" s="44" t="s">
        <v>247</v>
      </c>
      <c r="H8" s="159"/>
      <c r="I8" s="44" t="s">
        <v>247</v>
      </c>
      <c r="J8" s="159"/>
      <c r="K8" s="44" t="s">
        <v>247</v>
      </c>
      <c r="L8" s="159"/>
      <c r="M8" s="45" t="s">
        <v>249</v>
      </c>
      <c r="N8" s="159">
        <v>43487</v>
      </c>
      <c r="O8" s="45" t="s">
        <v>247</v>
      </c>
      <c r="P8" s="159"/>
      <c r="Q8" s="45" t="s">
        <v>249</v>
      </c>
      <c r="R8" s="159">
        <v>39013</v>
      </c>
      <c r="S8" s="159"/>
      <c r="T8" s="159"/>
      <c r="U8" s="45" t="s">
        <v>247</v>
      </c>
      <c r="V8" s="79"/>
      <c r="W8" s="45" t="s">
        <v>247</v>
      </c>
      <c r="X8" s="159"/>
      <c r="Y8" s="45" t="s">
        <v>247</v>
      </c>
      <c r="Z8" s="79"/>
      <c r="AA8" s="45" t="s">
        <v>247</v>
      </c>
      <c r="AB8" s="79"/>
      <c r="AC8" s="317">
        <f>IF((COUNTIF(E8:AB8, "OUI")+COUNTIF(E8:AB8, "INSCRIT")+COUNTIF(E8:AB8, "NON"))&gt;0, COUNTIF(E8:AB8, "NON")/(COUNTIF(E8:AB8, "OUI")+COUNTIF(E8:AB8, "INSCRIT")+COUNTIF(E8:AB8, "NON")), 0)</f>
        <v>0.81818181818181823</v>
      </c>
      <c r="AD8" s="38"/>
      <c r="AE8" s="159"/>
      <c r="AF8" s="38"/>
      <c r="AG8" s="79"/>
      <c r="AH8" s="38"/>
      <c r="AI8" s="43"/>
      <c r="AJ8" s="38"/>
      <c r="AK8" s="43"/>
      <c r="AL8" s="318">
        <f>COUNTIF('Liste AT'!$E$7:$E$31, "Siège UO TER OUEST")</f>
        <v>0</v>
      </c>
      <c r="AM8" s="38"/>
    </row>
    <row r="9" spans="1:42" ht="16.5" customHeight="1">
      <c r="A9" s="38" t="s">
        <v>1000</v>
      </c>
      <c r="B9" s="162" t="s">
        <v>271</v>
      </c>
      <c r="C9" s="162" t="s">
        <v>270</v>
      </c>
      <c r="D9" s="162" t="s">
        <v>984</v>
      </c>
      <c r="E9" s="44" t="s">
        <v>249</v>
      </c>
      <c r="F9" s="159">
        <v>41059</v>
      </c>
      <c r="G9" s="44" t="s">
        <v>249</v>
      </c>
      <c r="H9" s="160">
        <v>41452</v>
      </c>
      <c r="I9" s="44" t="s">
        <v>247</v>
      </c>
      <c r="J9" s="159"/>
      <c r="K9" s="44" t="s">
        <v>247</v>
      </c>
      <c r="L9" s="159"/>
      <c r="M9" s="45" t="s">
        <v>247</v>
      </c>
      <c r="N9" s="159"/>
      <c r="O9" s="45" t="s">
        <v>247</v>
      </c>
      <c r="P9" s="159"/>
      <c r="Q9" s="45" t="s">
        <v>249</v>
      </c>
      <c r="R9" s="159">
        <v>2005</v>
      </c>
      <c r="S9" s="159" t="s">
        <v>249</v>
      </c>
      <c r="T9" s="159">
        <v>42549</v>
      </c>
      <c r="U9" s="45" t="s">
        <v>249</v>
      </c>
      <c r="V9" s="79">
        <v>42635</v>
      </c>
      <c r="W9" s="45" t="s">
        <v>249</v>
      </c>
      <c r="X9" s="159">
        <v>42053</v>
      </c>
      <c r="Y9" s="45" t="s">
        <v>249</v>
      </c>
      <c r="Z9" s="159">
        <v>39127</v>
      </c>
      <c r="AA9" s="45" t="s">
        <v>249</v>
      </c>
      <c r="AB9" s="159">
        <v>41613</v>
      </c>
      <c r="AC9" s="317">
        <f>IF((COUNTIF(E9:AB9, "OUI")+COUNTIF(E9:AB9, "INSCRIT")+COUNTIF(E9:AB9, "NON"))&gt;0, COUNTIF(E9:AB9, "NON")/(COUNTIF(E9:AB9, "OUI")+COUNTIF(E9:AB9, "INSCRIT")+COUNTIF(E9:AB9, "NON")), 0)</f>
        <v>0.33333333333333331</v>
      </c>
      <c r="AD9" s="38" t="s">
        <v>247</v>
      </c>
      <c r="AE9" s="161"/>
      <c r="AF9" s="38" t="s">
        <v>247</v>
      </c>
      <c r="AG9" s="79"/>
      <c r="AH9" s="38" t="s">
        <v>249</v>
      </c>
      <c r="AI9" s="43">
        <v>41381</v>
      </c>
      <c r="AJ9" s="38" t="s">
        <v>249</v>
      </c>
      <c r="AK9" s="43">
        <v>41459</v>
      </c>
      <c r="AL9" s="318"/>
      <c r="AM9" s="38" t="s">
        <v>249</v>
      </c>
    </row>
    <row r="10" spans="1:42" ht="16.5" customHeight="1">
      <c r="A10" s="38" t="s">
        <v>1000</v>
      </c>
      <c r="B10" s="163" t="s">
        <v>977</v>
      </c>
      <c r="C10" s="163" t="s">
        <v>978</v>
      </c>
      <c r="D10" s="162" t="s">
        <v>983</v>
      </c>
      <c r="E10" s="44" t="s">
        <v>247</v>
      </c>
      <c r="F10" s="159"/>
      <c r="G10" s="44" t="s">
        <v>247</v>
      </c>
      <c r="H10" s="159"/>
      <c r="I10" s="44" t="s">
        <v>247</v>
      </c>
      <c r="J10" s="159"/>
      <c r="K10" s="44" t="s">
        <v>247</v>
      </c>
      <c r="L10" s="159"/>
      <c r="M10" s="45" t="s">
        <v>249</v>
      </c>
      <c r="N10" s="159">
        <v>43280</v>
      </c>
      <c r="O10" s="45" t="s">
        <v>249</v>
      </c>
      <c r="P10" s="159">
        <v>43697</v>
      </c>
      <c r="Q10" s="45" t="s">
        <v>247</v>
      </c>
      <c r="R10" s="159"/>
      <c r="S10" s="159"/>
      <c r="T10" s="159"/>
      <c r="U10" s="45" t="s">
        <v>249</v>
      </c>
      <c r="V10" s="79">
        <v>42810</v>
      </c>
      <c r="W10" s="45" t="s">
        <v>249</v>
      </c>
      <c r="X10" s="159">
        <v>43384</v>
      </c>
      <c r="Y10" s="45" t="s">
        <v>247</v>
      </c>
      <c r="Z10" s="79"/>
      <c r="AA10" s="45" t="s">
        <v>249</v>
      </c>
      <c r="AB10" s="79">
        <v>42894</v>
      </c>
      <c r="AC10" s="317">
        <f>IF((COUNTIF(E10:AB10, "OUI")+COUNTIF(E10:AB10, "INSCRIT")+COUNTIF(E10:AB10, "NON"))&gt;0, COUNTIF(E10:AB10, "NON")/(COUNTIF(E10:AB10, "OUI")+COUNTIF(E10:AB10, "INSCRIT")+COUNTIF(E10:AB10, "NON")), 0)</f>
        <v>0.54545454545454541</v>
      </c>
      <c r="AD10" s="38"/>
      <c r="AE10" s="161"/>
      <c r="AF10" s="38"/>
      <c r="AG10" s="79"/>
      <c r="AH10" s="38"/>
      <c r="AI10" s="43"/>
      <c r="AJ10" s="38"/>
      <c r="AK10" s="316"/>
      <c r="AL10" s="318"/>
      <c r="AM10" s="38"/>
    </row>
    <row r="11" spans="1:42" ht="16.5" customHeight="1">
      <c r="A11" s="410" t="s">
        <v>1000</v>
      </c>
      <c r="B11" s="162" t="s">
        <v>272</v>
      </c>
      <c r="C11" s="162" t="s">
        <v>82</v>
      </c>
      <c r="D11" s="163" t="s">
        <v>987</v>
      </c>
      <c r="E11" s="44" t="s">
        <v>249</v>
      </c>
      <c r="F11" s="159">
        <v>41422</v>
      </c>
      <c r="G11" s="44" t="s">
        <v>249</v>
      </c>
      <c r="H11" s="159">
        <v>41422</v>
      </c>
      <c r="I11" s="44" t="s">
        <v>249</v>
      </c>
      <c r="J11" s="159">
        <v>41422</v>
      </c>
      <c r="K11" s="44" t="s">
        <v>249</v>
      </c>
      <c r="L11" s="159">
        <v>41241</v>
      </c>
      <c r="M11" s="45" t="s">
        <v>249</v>
      </c>
      <c r="N11" s="159">
        <v>43217</v>
      </c>
      <c r="O11" s="45" t="s">
        <v>249</v>
      </c>
      <c r="P11" s="159">
        <v>41591</v>
      </c>
      <c r="Q11" s="45" t="s">
        <v>249</v>
      </c>
      <c r="R11" s="159">
        <v>42823</v>
      </c>
      <c r="S11" s="159"/>
      <c r="T11" s="159"/>
      <c r="U11" s="45" t="s">
        <v>247</v>
      </c>
      <c r="V11" s="79"/>
      <c r="W11" s="45" t="s">
        <v>249</v>
      </c>
      <c r="X11" s="159">
        <v>43202</v>
      </c>
      <c r="Y11" s="45" t="s">
        <v>263</v>
      </c>
      <c r="Z11" s="79"/>
      <c r="AA11" s="45" t="s">
        <v>249</v>
      </c>
      <c r="AB11" s="79">
        <v>42902</v>
      </c>
      <c r="AC11" s="317">
        <f>IF((COUNTIF(E11:AB11, "OUI")+COUNTIF(E11:AB11, "INSCRIT")+COUNTIF(E11:AB11, "NON"))&gt;0, COUNTIF(E11:AB11, "NON")/(COUNTIF(E11:AB11, "OUI")+COUNTIF(E11:AB11, "INSCRIT")+COUNTIF(E11:AB11, "NON")), 0)</f>
        <v>0.1</v>
      </c>
      <c r="AD11" s="38" t="s">
        <v>249</v>
      </c>
      <c r="AE11" s="159">
        <v>43395</v>
      </c>
      <c r="AF11" s="38" t="s">
        <v>247</v>
      </c>
      <c r="AG11" s="79"/>
      <c r="AH11" s="38" t="s">
        <v>249</v>
      </c>
      <c r="AI11" s="43">
        <v>41584</v>
      </c>
      <c r="AJ11" s="38" t="s">
        <v>249</v>
      </c>
      <c r="AK11" s="43">
        <v>41491</v>
      </c>
      <c r="AL11" s="318">
        <f>COUNTIF('Liste AT'!$E$7:$E$31, "CPH Cannes la Bocca - Grasse")</f>
        <v>0</v>
      </c>
      <c r="AM11" s="38" t="s">
        <v>249</v>
      </c>
      <c r="AO11" s="384" t="s">
        <v>907</v>
      </c>
      <c r="AP11" s="47">
        <f xml:space="preserve"> SUM(AP2:AP3,AP4,AP6)</f>
        <v>13</v>
      </c>
    </row>
    <row r="12" spans="1:42" ht="16.5" customHeight="1">
      <c r="A12" s="410" t="s">
        <v>1000</v>
      </c>
      <c r="B12" s="162" t="s">
        <v>767</v>
      </c>
      <c r="C12" s="162" t="s">
        <v>267</v>
      </c>
      <c r="D12" s="162" t="s">
        <v>988</v>
      </c>
      <c r="E12" s="44" t="s">
        <v>249</v>
      </c>
      <c r="F12" s="159">
        <v>40626</v>
      </c>
      <c r="G12" s="44" t="s">
        <v>249</v>
      </c>
      <c r="H12" s="160">
        <v>40626</v>
      </c>
      <c r="I12" s="44" t="s">
        <v>249</v>
      </c>
      <c r="J12" s="159">
        <v>41310</v>
      </c>
      <c r="K12" s="44" t="s">
        <v>249</v>
      </c>
      <c r="L12" s="159">
        <v>41241</v>
      </c>
      <c r="M12" s="45" t="s">
        <v>249</v>
      </c>
      <c r="N12" s="159">
        <v>43370</v>
      </c>
      <c r="O12" s="45" t="s">
        <v>249</v>
      </c>
      <c r="P12" s="159">
        <v>41662</v>
      </c>
      <c r="Q12" s="45" t="s">
        <v>249</v>
      </c>
      <c r="R12" s="159">
        <v>39989</v>
      </c>
      <c r="S12" s="159" t="s">
        <v>249</v>
      </c>
      <c r="T12" s="159">
        <v>42502</v>
      </c>
      <c r="U12" s="45" t="s">
        <v>249</v>
      </c>
      <c r="V12" s="79">
        <v>42502</v>
      </c>
      <c r="W12" s="45" t="s">
        <v>247</v>
      </c>
      <c r="X12" s="159"/>
      <c r="Y12" s="45" t="s">
        <v>263</v>
      </c>
      <c r="Z12" s="79"/>
      <c r="AA12" s="45" t="s">
        <v>249</v>
      </c>
      <c r="AB12" s="79">
        <v>43188</v>
      </c>
      <c r="AC12" s="317">
        <f>IF((COUNTIF(E12:AB12, "OUI")+COUNTIF(E12:AB12, "INSCRIT")+COUNTIF(E12:AB12, "NON"))&gt;0, COUNTIF(E12:AB12, "NON")/(COUNTIF(E12:AB12, "OUI")+COUNTIF(E12:AB12, "INSCRIT")+COUNTIF(E12:AB12, "NON")), 0)</f>
        <v>9.0909090909090912E-2</v>
      </c>
      <c r="AD12" s="38" t="s">
        <v>247</v>
      </c>
      <c r="AE12" s="159"/>
      <c r="AF12" s="38" t="s">
        <v>247</v>
      </c>
      <c r="AG12" s="79"/>
      <c r="AH12" s="38" t="s">
        <v>247</v>
      </c>
      <c r="AI12" s="43"/>
      <c r="AJ12" s="38" t="s">
        <v>247</v>
      </c>
      <c r="AK12" s="43"/>
      <c r="AL12" s="318">
        <f>COUNTIF('Liste AT'!$E$7:$E$31, "Les Arcs-Fréjus Auto Train")</f>
        <v>0</v>
      </c>
      <c r="AM12" s="38" t="s">
        <v>249</v>
      </c>
    </row>
    <row r="13" spans="1:42" ht="16.5" customHeight="1">
      <c r="A13" s="410" t="s">
        <v>1000</v>
      </c>
      <c r="B13" s="162" t="s">
        <v>613</v>
      </c>
      <c r="C13" s="163" t="s">
        <v>553</v>
      </c>
      <c r="D13" s="162" t="s">
        <v>989</v>
      </c>
      <c r="E13" s="44" t="s">
        <v>249</v>
      </c>
      <c r="F13" s="159">
        <v>39380</v>
      </c>
      <c r="G13" s="44" t="s">
        <v>249</v>
      </c>
      <c r="H13" s="159">
        <v>39380</v>
      </c>
      <c r="I13" s="44" t="s">
        <v>247</v>
      </c>
      <c r="J13" s="161"/>
      <c r="K13" s="44" t="s">
        <v>247</v>
      </c>
      <c r="L13" s="159"/>
      <c r="M13" s="45" t="s">
        <v>249</v>
      </c>
      <c r="N13" s="159">
        <v>43487</v>
      </c>
      <c r="O13" s="45" t="s">
        <v>247</v>
      </c>
      <c r="P13" s="159"/>
      <c r="Q13" s="45" t="s">
        <v>249</v>
      </c>
      <c r="R13" s="159">
        <v>41074</v>
      </c>
      <c r="S13" s="159" t="s">
        <v>249</v>
      </c>
      <c r="T13" s="159">
        <v>42549</v>
      </c>
      <c r="U13" s="45" t="s">
        <v>249</v>
      </c>
      <c r="V13" s="79">
        <v>42817</v>
      </c>
      <c r="W13" s="45" t="s">
        <v>249</v>
      </c>
      <c r="X13" s="159">
        <v>42114</v>
      </c>
      <c r="Y13" s="45" t="s">
        <v>249</v>
      </c>
      <c r="Z13" s="159">
        <v>39246</v>
      </c>
      <c r="AA13" s="45" t="s">
        <v>249</v>
      </c>
      <c r="AB13" s="159">
        <v>43188</v>
      </c>
      <c r="AC13" s="317">
        <f t="shared" ref="AC13:AC51" si="0">IF((COUNTIF(E13:AB13, "OUI")+COUNTIF(E13:AB13, "INSCRIT")+COUNTIF(E13:AB13, "NON"))&gt;0, COUNTIF(E13:AB13, "NON")/(COUNTIF(E13:AB13, "OUI")+COUNTIF(E13:AB13, "INSCRIT")+COUNTIF(E13:AB13, "NON")), 0)</f>
        <v>0.25</v>
      </c>
      <c r="AD13" s="38" t="s">
        <v>247</v>
      </c>
      <c r="AE13" s="159"/>
      <c r="AF13" s="38" t="s">
        <v>247</v>
      </c>
      <c r="AG13" s="79"/>
      <c r="AH13" s="38" t="s">
        <v>249</v>
      </c>
      <c r="AI13" s="159">
        <v>42038</v>
      </c>
      <c r="AJ13" s="38" t="s">
        <v>249</v>
      </c>
      <c r="AK13" s="43">
        <v>41459</v>
      </c>
      <c r="AL13" s="318">
        <f>COUNTIF('Liste AT'!$E$7:$E$31, "Cannes Voyageurs")</f>
        <v>0</v>
      </c>
      <c r="AM13" s="38" t="s">
        <v>249</v>
      </c>
    </row>
    <row r="14" spans="1:42" ht="16.5" customHeight="1">
      <c r="A14" s="410" t="s">
        <v>1000</v>
      </c>
      <c r="B14" s="163"/>
      <c r="C14" s="163"/>
      <c r="D14" s="162" t="s">
        <v>990</v>
      </c>
      <c r="E14" s="44"/>
      <c r="F14" s="159"/>
      <c r="G14" s="44"/>
      <c r="H14" s="160"/>
      <c r="I14" s="44"/>
      <c r="J14" s="159"/>
      <c r="K14" s="44"/>
      <c r="L14" s="159"/>
      <c r="M14" s="45"/>
      <c r="N14" s="159"/>
      <c r="O14" s="45"/>
      <c r="P14" s="159"/>
      <c r="Q14" s="45"/>
      <c r="R14" s="159"/>
      <c r="S14" s="159"/>
      <c r="T14" s="159"/>
      <c r="U14" s="45"/>
      <c r="V14" s="79"/>
      <c r="W14" s="45"/>
      <c r="X14" s="159"/>
      <c r="Y14" s="45"/>
      <c r="Z14" s="79"/>
      <c r="AA14" s="45"/>
      <c r="AB14" s="79"/>
      <c r="AC14" s="317">
        <f t="shared" si="0"/>
        <v>0</v>
      </c>
      <c r="AD14" s="38" t="s">
        <v>247</v>
      </c>
      <c r="AE14" s="159">
        <v>43490</v>
      </c>
      <c r="AF14" s="38" t="s">
        <v>247</v>
      </c>
      <c r="AG14" s="79"/>
      <c r="AH14" s="38" t="s">
        <v>249</v>
      </c>
      <c r="AI14" s="43">
        <v>41542</v>
      </c>
      <c r="AJ14" s="38" t="s">
        <v>249</v>
      </c>
      <c r="AK14" s="43">
        <v>41505</v>
      </c>
      <c r="AL14" s="318">
        <f>COUNTIF('Liste AT'!$E$7:$E$31, "Antibes Golf Juan &amp; Juan les Pins")</f>
        <v>0</v>
      </c>
      <c r="AM14" s="38" t="s">
        <v>249</v>
      </c>
    </row>
    <row r="15" spans="1:42" ht="16.5" customHeight="1">
      <c r="A15" s="410" t="s">
        <v>1000</v>
      </c>
      <c r="B15" s="163" t="s">
        <v>2</v>
      </c>
      <c r="C15" s="163" t="s">
        <v>952</v>
      </c>
      <c r="D15" s="414" t="s">
        <v>991</v>
      </c>
      <c r="E15" s="44" t="s">
        <v>247</v>
      </c>
      <c r="F15" s="159"/>
      <c r="G15" s="44" t="s">
        <v>249</v>
      </c>
      <c r="H15" s="160">
        <v>39947</v>
      </c>
      <c r="I15" s="44" t="s">
        <v>247</v>
      </c>
      <c r="J15" s="159"/>
      <c r="K15" s="44" t="s">
        <v>249</v>
      </c>
      <c r="L15" s="159">
        <v>40072</v>
      </c>
      <c r="M15" s="45" t="s">
        <v>249</v>
      </c>
      <c r="N15" s="159">
        <v>43280</v>
      </c>
      <c r="O15" s="45" t="s">
        <v>249</v>
      </c>
      <c r="P15" s="159">
        <v>43264</v>
      </c>
      <c r="Q15" s="45" t="s">
        <v>249</v>
      </c>
      <c r="R15" s="159">
        <v>43571</v>
      </c>
      <c r="S15" s="159"/>
      <c r="T15" s="159"/>
      <c r="U15" s="45" t="s">
        <v>249</v>
      </c>
      <c r="V15" s="79">
        <v>42810</v>
      </c>
      <c r="W15" s="45" t="s">
        <v>249</v>
      </c>
      <c r="X15" s="159">
        <v>43384</v>
      </c>
      <c r="Y15" s="45" t="s">
        <v>247</v>
      </c>
      <c r="Z15" s="79"/>
      <c r="AA15" s="45" t="s">
        <v>247</v>
      </c>
      <c r="AB15" s="79"/>
      <c r="AC15" s="317">
        <f t="shared" si="0"/>
        <v>0.36363636363636365</v>
      </c>
      <c r="AD15" s="38" t="s">
        <v>247</v>
      </c>
      <c r="AE15" s="159"/>
      <c r="AF15" s="38"/>
      <c r="AG15" s="79"/>
      <c r="AH15" s="38"/>
      <c r="AI15" s="43"/>
      <c r="AJ15" s="38"/>
      <c r="AK15" s="43"/>
      <c r="AL15" s="318">
        <f>COUNTIF('Liste AT'!$E$7:$E$31, "Secteur Esterel / RSC Esterel")</f>
        <v>0</v>
      </c>
      <c r="AM15" s="38" t="s">
        <v>249</v>
      </c>
    </row>
    <row r="16" spans="1:42" ht="16.5" customHeight="1">
      <c r="A16" s="410" t="s">
        <v>1000</v>
      </c>
      <c r="B16" s="163" t="s">
        <v>7</v>
      </c>
      <c r="C16" s="163" t="s">
        <v>8</v>
      </c>
      <c r="D16" s="163" t="s">
        <v>992</v>
      </c>
      <c r="E16" s="44" t="s">
        <v>247</v>
      </c>
      <c r="F16" s="159"/>
      <c r="G16" s="44" t="s">
        <v>247</v>
      </c>
      <c r="H16" s="160"/>
      <c r="I16" s="44" t="s">
        <v>249</v>
      </c>
      <c r="J16" s="159">
        <v>42052</v>
      </c>
      <c r="K16" s="44" t="s">
        <v>249</v>
      </c>
      <c r="L16" s="159">
        <v>43010</v>
      </c>
      <c r="M16" s="45" t="s">
        <v>249</v>
      </c>
      <c r="N16" s="159">
        <v>43280</v>
      </c>
      <c r="O16" s="45" t="s">
        <v>249</v>
      </c>
      <c r="P16" s="159">
        <v>42053</v>
      </c>
      <c r="Q16" s="45" t="s">
        <v>249</v>
      </c>
      <c r="R16" s="159">
        <v>42054</v>
      </c>
      <c r="S16" s="159" t="s">
        <v>249</v>
      </c>
      <c r="T16" s="159">
        <v>41921</v>
      </c>
      <c r="U16" s="45" t="s">
        <v>249</v>
      </c>
      <c r="V16" s="79">
        <v>42817</v>
      </c>
      <c r="W16" s="45" t="s">
        <v>249</v>
      </c>
      <c r="X16" s="159">
        <v>43110</v>
      </c>
      <c r="Y16" s="45" t="s">
        <v>263</v>
      </c>
      <c r="Z16" s="79"/>
      <c r="AA16" s="45" t="s">
        <v>249</v>
      </c>
      <c r="AB16" s="79">
        <v>42902</v>
      </c>
      <c r="AC16" s="317">
        <f t="shared" si="0"/>
        <v>0.18181818181818182</v>
      </c>
      <c r="AD16" s="38" t="s">
        <v>249</v>
      </c>
      <c r="AE16" s="159"/>
      <c r="AF16" s="38" t="s">
        <v>249</v>
      </c>
      <c r="AG16" s="79"/>
      <c r="AH16" s="38" t="s">
        <v>249</v>
      </c>
      <c r="AI16" s="43">
        <v>41407</v>
      </c>
      <c r="AJ16" s="38" t="s">
        <v>249</v>
      </c>
      <c r="AK16" s="43">
        <v>41411</v>
      </c>
      <c r="AL16" s="318">
        <f>COUNTIF('Liste AT'!$E$7:$E$31, "Ligne Ouest/Agent de la relation Client Ouest")</f>
        <v>0</v>
      </c>
      <c r="AM16" s="38" t="s">
        <v>249</v>
      </c>
    </row>
    <row r="17" spans="1:39" ht="16.5" customHeight="1">
      <c r="A17" s="38" t="s">
        <v>999</v>
      </c>
      <c r="B17" s="163" t="s">
        <v>1</v>
      </c>
      <c r="C17" s="163" t="s">
        <v>268</v>
      </c>
      <c r="D17" s="162" t="s">
        <v>982</v>
      </c>
      <c r="E17" s="44" t="s">
        <v>249</v>
      </c>
      <c r="F17" s="159">
        <v>41605</v>
      </c>
      <c r="G17" s="44" t="s">
        <v>249</v>
      </c>
      <c r="H17" s="159">
        <v>41605</v>
      </c>
      <c r="I17" s="44" t="s">
        <v>249</v>
      </c>
      <c r="J17" s="159">
        <v>41604</v>
      </c>
      <c r="K17" s="44" t="s">
        <v>263</v>
      </c>
      <c r="L17" s="159"/>
      <c r="M17" s="45" t="s">
        <v>249</v>
      </c>
      <c r="N17" s="159">
        <v>43280</v>
      </c>
      <c r="O17" s="45" t="s">
        <v>263</v>
      </c>
      <c r="P17" s="159"/>
      <c r="Q17" s="45" t="s">
        <v>247</v>
      </c>
      <c r="R17" s="159"/>
      <c r="S17" s="159" t="s">
        <v>249</v>
      </c>
      <c r="T17" s="159">
        <v>41921</v>
      </c>
      <c r="U17" s="45" t="s">
        <v>249</v>
      </c>
      <c r="V17" s="79">
        <v>42716</v>
      </c>
      <c r="W17" s="45" t="s">
        <v>249</v>
      </c>
      <c r="X17" s="159">
        <v>42342</v>
      </c>
      <c r="Y17" s="45" t="s">
        <v>263</v>
      </c>
      <c r="Z17" s="79"/>
      <c r="AA17" s="45" t="s">
        <v>249</v>
      </c>
      <c r="AB17" s="79">
        <v>42894</v>
      </c>
      <c r="AC17" s="317">
        <f>IF((COUNTIF(E17:AB17, "OUI")+COUNTIF(E17:AB17, "INSCRIT")+COUNTIF(E17:AB17, "NON"))&gt;0, COUNTIF(E17:AB17, "NON")/(COUNTIF(E17:AB17, "OUI")+COUNTIF(E17:AB17, "INSCRIT")+COUNTIF(E17:AB17, "NON")), 0)</f>
        <v>0.1111111111111111</v>
      </c>
      <c r="AD17" s="38" t="s">
        <v>247</v>
      </c>
      <c r="AE17" s="161"/>
      <c r="AF17" s="38" t="s">
        <v>247</v>
      </c>
      <c r="AG17" s="79"/>
      <c r="AH17" s="38" t="s">
        <v>249</v>
      </c>
      <c r="AI17" s="43">
        <v>41464</v>
      </c>
      <c r="AJ17" s="38" t="s">
        <v>249</v>
      </c>
      <c r="AK17" s="316">
        <v>41505</v>
      </c>
      <c r="AL17" s="318">
        <f>COUNTIF('Liste AT'!$E$7:$E$31, "Siège UO TER EST")</f>
        <v>0</v>
      </c>
      <c r="AM17" s="38" t="s">
        <v>247</v>
      </c>
    </row>
    <row r="18" spans="1:39" ht="16.5" customHeight="1">
      <c r="A18" s="38" t="s">
        <v>999</v>
      </c>
      <c r="B18" s="162" t="s">
        <v>757</v>
      </c>
      <c r="C18" s="162" t="s">
        <v>758</v>
      </c>
      <c r="D18" s="162" t="s">
        <v>1030</v>
      </c>
      <c r="E18" s="44" t="s">
        <v>249</v>
      </c>
      <c r="F18" s="159">
        <v>40331</v>
      </c>
      <c r="G18" s="44" t="s">
        <v>247</v>
      </c>
      <c r="H18" s="159"/>
      <c r="I18" s="44" t="s">
        <v>247</v>
      </c>
      <c r="J18" s="161"/>
      <c r="K18" s="44" t="s">
        <v>247</v>
      </c>
      <c r="L18" s="159"/>
      <c r="M18" s="45" t="s">
        <v>249</v>
      </c>
      <c r="N18" s="159">
        <v>43473</v>
      </c>
      <c r="O18" s="45" t="s">
        <v>247</v>
      </c>
      <c r="P18" s="159"/>
      <c r="Q18" s="45" t="s">
        <v>249</v>
      </c>
      <c r="R18" s="159">
        <v>43251</v>
      </c>
      <c r="S18" s="159" t="s">
        <v>249</v>
      </c>
      <c r="T18" s="159">
        <v>42549</v>
      </c>
      <c r="U18" s="45" t="s">
        <v>249</v>
      </c>
      <c r="V18" s="79">
        <v>42817</v>
      </c>
      <c r="W18" s="45" t="s">
        <v>263</v>
      </c>
      <c r="X18" s="159"/>
      <c r="Y18" s="45" t="s">
        <v>263</v>
      </c>
      <c r="Z18" s="79"/>
      <c r="AA18" s="45" t="s">
        <v>249</v>
      </c>
      <c r="AB18" s="79">
        <v>42894</v>
      </c>
      <c r="AC18" s="317">
        <f>IF((COUNTIF(E18:AB18, "OUI")+COUNTIF(E18:AB18, "INSCRIT")+COUNTIF(E18:AB18, "NON"))&gt;0, COUNTIF(E18:AB18, "NON")/(COUNTIF(E18:AB18, "OUI")+COUNTIF(E18:AB18, "INSCRIT")+COUNTIF(E18:AB18, "NON")), 0)</f>
        <v>0.4</v>
      </c>
      <c r="AD18" s="38" t="s">
        <v>247</v>
      </c>
      <c r="AE18" s="161"/>
      <c r="AF18" s="38" t="s">
        <v>247</v>
      </c>
      <c r="AG18" s="79"/>
      <c r="AH18" s="38" t="s">
        <v>249</v>
      </c>
      <c r="AI18" s="316">
        <v>41491</v>
      </c>
      <c r="AJ18" s="38" t="s">
        <v>249</v>
      </c>
      <c r="AK18" s="316">
        <v>41505</v>
      </c>
      <c r="AL18" s="318"/>
      <c r="AM18" s="38" t="s">
        <v>249</v>
      </c>
    </row>
    <row r="19" spans="1:39" ht="16.5" customHeight="1">
      <c r="A19" s="411" t="s">
        <v>999</v>
      </c>
      <c r="B19" s="163" t="s">
        <v>1083</v>
      </c>
      <c r="C19" s="163" t="s">
        <v>1084</v>
      </c>
      <c r="D19" s="162" t="s">
        <v>1085</v>
      </c>
      <c r="E19" s="44" t="s">
        <v>247</v>
      </c>
      <c r="F19" s="159"/>
      <c r="G19" s="44" t="s">
        <v>247</v>
      </c>
      <c r="H19" s="159"/>
      <c r="I19" s="44" t="s">
        <v>247</v>
      </c>
      <c r="J19" s="159"/>
      <c r="K19" s="44" t="s">
        <v>247</v>
      </c>
      <c r="L19" s="159"/>
      <c r="M19" s="45" t="s">
        <v>249</v>
      </c>
      <c r="N19" s="159">
        <v>43473</v>
      </c>
      <c r="O19" s="45" t="s">
        <v>247</v>
      </c>
      <c r="P19" s="159"/>
      <c r="Q19" s="45" t="s">
        <v>247</v>
      </c>
      <c r="R19" s="159"/>
      <c r="S19" s="159"/>
      <c r="T19" s="159"/>
      <c r="U19" s="45" t="s">
        <v>247</v>
      </c>
      <c r="V19" s="79"/>
      <c r="W19" s="45" t="s">
        <v>247</v>
      </c>
      <c r="X19" s="159"/>
      <c r="Y19" s="45" t="s">
        <v>247</v>
      </c>
      <c r="Z19" s="79"/>
      <c r="AA19" s="45" t="s">
        <v>249</v>
      </c>
      <c r="AB19" s="79">
        <v>42887</v>
      </c>
      <c r="AC19" s="317"/>
      <c r="AD19" s="38"/>
      <c r="AE19" s="159"/>
      <c r="AF19" s="38"/>
      <c r="AG19" s="79"/>
      <c r="AH19" s="38"/>
      <c r="AI19" s="159"/>
      <c r="AJ19" s="38"/>
      <c r="AK19" s="43"/>
      <c r="AL19" s="318"/>
      <c r="AM19" s="38"/>
    </row>
    <row r="20" spans="1:39" ht="16.5" customHeight="1">
      <c r="A20" s="411" t="s">
        <v>999</v>
      </c>
      <c r="B20" s="163" t="s">
        <v>986</v>
      </c>
      <c r="C20" s="163" t="s">
        <v>981</v>
      </c>
      <c r="D20" s="162" t="s">
        <v>993</v>
      </c>
      <c r="E20" s="44" t="s">
        <v>247</v>
      </c>
      <c r="F20" s="159"/>
      <c r="G20" s="44" t="s">
        <v>247</v>
      </c>
      <c r="H20" s="159"/>
      <c r="I20" s="44" t="s">
        <v>247</v>
      </c>
      <c r="J20" s="159"/>
      <c r="K20" s="44" t="s">
        <v>249</v>
      </c>
      <c r="L20" s="159">
        <v>38986</v>
      </c>
      <c r="M20" s="45" t="s">
        <v>247</v>
      </c>
      <c r="N20" s="159"/>
      <c r="O20" s="45" t="s">
        <v>247</v>
      </c>
      <c r="P20" s="159"/>
      <c r="Q20" s="45" t="s">
        <v>247</v>
      </c>
      <c r="R20" s="159"/>
      <c r="S20" s="159"/>
      <c r="T20" s="159"/>
      <c r="U20" s="45" t="s">
        <v>247</v>
      </c>
      <c r="V20" s="79"/>
      <c r="W20" s="45" t="s">
        <v>247</v>
      </c>
      <c r="X20" s="159"/>
      <c r="Y20" s="45" t="s">
        <v>247</v>
      </c>
      <c r="Z20" s="79"/>
      <c r="AA20" s="45" t="s">
        <v>249</v>
      </c>
      <c r="AB20" s="79">
        <v>42902</v>
      </c>
      <c r="AC20" s="317">
        <f t="shared" si="0"/>
        <v>0.81818181818181823</v>
      </c>
      <c r="AD20" s="38" t="s">
        <v>247</v>
      </c>
      <c r="AE20" s="159"/>
      <c r="AF20" s="38"/>
      <c r="AG20" s="79"/>
      <c r="AH20" s="38"/>
      <c r="AI20" s="159"/>
      <c r="AJ20" s="38"/>
      <c r="AK20" s="43"/>
      <c r="AL20" s="318">
        <f>COUNTIF('Liste AT'!$E$7:$E$31, "Equipe mobile Ligne Est &amp; Merveilles/RSC Merveilles")</f>
        <v>0</v>
      </c>
      <c r="AM20" s="38" t="s">
        <v>247</v>
      </c>
    </row>
    <row r="21" spans="1:39" ht="16.5" customHeight="1">
      <c r="A21" s="411" t="s">
        <v>999</v>
      </c>
      <c r="B21" s="163" t="s">
        <v>915</v>
      </c>
      <c r="C21" s="163" t="s">
        <v>916</v>
      </c>
      <c r="D21" s="163" t="s">
        <v>994</v>
      </c>
      <c r="E21" s="44" t="s">
        <v>249</v>
      </c>
      <c r="F21" s="159">
        <v>39947</v>
      </c>
      <c r="G21" s="44" t="s">
        <v>249</v>
      </c>
      <c r="H21" s="160">
        <v>39177</v>
      </c>
      <c r="I21" s="44" t="s">
        <v>249</v>
      </c>
      <c r="J21" s="159">
        <v>39177</v>
      </c>
      <c r="K21" s="44" t="s">
        <v>249</v>
      </c>
      <c r="L21" s="159">
        <v>43010</v>
      </c>
      <c r="M21" s="45" t="s">
        <v>249</v>
      </c>
      <c r="N21" s="159">
        <v>43370</v>
      </c>
      <c r="O21" s="45" t="s">
        <v>247</v>
      </c>
      <c r="P21" s="159"/>
      <c r="Q21" s="45" t="s">
        <v>249</v>
      </c>
      <c r="R21" s="159">
        <v>43571</v>
      </c>
      <c r="S21" s="159" t="s">
        <v>249</v>
      </c>
      <c r="T21" s="159">
        <v>42810</v>
      </c>
      <c r="U21" s="45" t="s">
        <v>249</v>
      </c>
      <c r="V21" s="79">
        <v>42810</v>
      </c>
      <c r="W21" s="45" t="s">
        <v>249</v>
      </c>
      <c r="X21" s="159">
        <v>42053</v>
      </c>
      <c r="Y21" s="45" t="s">
        <v>263</v>
      </c>
      <c r="Z21" s="79"/>
      <c r="AA21" s="45" t="s">
        <v>249</v>
      </c>
      <c r="AB21" s="79">
        <v>43557</v>
      </c>
      <c r="AC21" s="317">
        <f t="shared" si="0"/>
        <v>9.0909090909090912E-2</v>
      </c>
      <c r="AD21" s="38" t="s">
        <v>249</v>
      </c>
      <c r="AE21" s="159">
        <v>43525</v>
      </c>
      <c r="AF21" s="38" t="s">
        <v>247</v>
      </c>
      <c r="AG21" s="79"/>
      <c r="AH21" s="38" t="s">
        <v>249</v>
      </c>
      <c r="AI21" s="43">
        <v>41617</v>
      </c>
      <c r="AJ21" s="38" t="s">
        <v>249</v>
      </c>
      <c r="AK21" s="43">
        <v>41480</v>
      </c>
      <c r="AL21" s="318">
        <f>COUNTIF('Liste AT'!$E$7:$E$31, "Agent de la relation client Est")</f>
        <v>0</v>
      </c>
      <c r="AM21" s="38" t="s">
        <v>249</v>
      </c>
    </row>
    <row r="22" spans="1:39" ht="16.5" customHeight="1">
      <c r="A22" s="411" t="s">
        <v>999</v>
      </c>
      <c r="B22" s="162" t="s">
        <v>856</v>
      </c>
      <c r="C22" s="162" t="s">
        <v>857</v>
      </c>
      <c r="D22" s="163" t="s">
        <v>995</v>
      </c>
      <c r="E22" s="44" t="s">
        <v>247</v>
      </c>
      <c r="F22" s="159"/>
      <c r="G22" s="44" t="s">
        <v>247</v>
      </c>
      <c r="H22" s="159"/>
      <c r="I22" s="44" t="s">
        <v>249</v>
      </c>
      <c r="J22" s="159">
        <v>41331</v>
      </c>
      <c r="K22" s="44" t="s">
        <v>249</v>
      </c>
      <c r="L22" s="159">
        <v>43010</v>
      </c>
      <c r="M22" s="45" t="s">
        <v>247</v>
      </c>
      <c r="N22" s="159"/>
      <c r="O22" s="45" t="s">
        <v>249</v>
      </c>
      <c r="P22" s="159">
        <v>41436</v>
      </c>
      <c r="Q22" s="45" t="s">
        <v>249</v>
      </c>
      <c r="R22" s="159">
        <v>40290</v>
      </c>
      <c r="S22" s="159" t="s">
        <v>249</v>
      </c>
      <c r="T22" s="159">
        <v>42549</v>
      </c>
      <c r="U22" s="45" t="s">
        <v>247</v>
      </c>
      <c r="V22" s="79"/>
      <c r="W22" s="45" t="s">
        <v>249</v>
      </c>
      <c r="X22" s="159">
        <v>40629</v>
      </c>
      <c r="Y22" s="45" t="s">
        <v>249</v>
      </c>
      <c r="Z22" s="79">
        <v>39133</v>
      </c>
      <c r="AA22" s="45" t="s">
        <v>247</v>
      </c>
      <c r="AB22" s="79"/>
      <c r="AC22" s="317">
        <f t="shared" si="0"/>
        <v>0.41666666666666669</v>
      </c>
      <c r="AD22" s="38" t="s">
        <v>549</v>
      </c>
      <c r="AE22" s="159"/>
      <c r="AF22" s="38" t="s">
        <v>247</v>
      </c>
      <c r="AG22" s="79"/>
      <c r="AH22" s="38" t="s">
        <v>249</v>
      </c>
      <c r="AI22" s="43">
        <v>41617</v>
      </c>
      <c r="AJ22" s="38" t="s">
        <v>249</v>
      </c>
      <c r="AK22" s="43">
        <v>41459</v>
      </c>
      <c r="AL22" s="318">
        <f>COUNTIF('Liste AT'!$E$7:$E$31, "Secteur Menton-Vintimille")</f>
        <v>0</v>
      </c>
      <c r="AM22" s="38" t="s">
        <v>247</v>
      </c>
    </row>
    <row r="23" spans="1:39" ht="16.5" customHeight="1">
      <c r="A23" s="411" t="s">
        <v>999</v>
      </c>
      <c r="B23" s="162" t="s">
        <v>269</v>
      </c>
      <c r="C23" s="162" t="s">
        <v>759</v>
      </c>
      <c r="D23" s="162" t="s">
        <v>996</v>
      </c>
      <c r="E23" s="44" t="s">
        <v>249</v>
      </c>
      <c r="F23" s="159">
        <v>40001</v>
      </c>
      <c r="G23" s="44" t="s">
        <v>249</v>
      </c>
      <c r="H23" s="160">
        <v>41452</v>
      </c>
      <c r="I23" s="44" t="s">
        <v>249</v>
      </c>
      <c r="J23" s="159">
        <v>41310</v>
      </c>
      <c r="K23" s="44" t="s">
        <v>247</v>
      </c>
      <c r="L23" s="159"/>
      <c r="M23" s="45" t="s">
        <v>249</v>
      </c>
      <c r="N23" s="159">
        <v>43480</v>
      </c>
      <c r="O23" s="45" t="s">
        <v>249</v>
      </c>
      <c r="P23" s="159">
        <v>40241</v>
      </c>
      <c r="Q23" s="45" t="s">
        <v>249</v>
      </c>
      <c r="R23" s="159">
        <v>41024</v>
      </c>
      <c r="S23" s="159" t="s">
        <v>249</v>
      </c>
      <c r="T23" s="159">
        <v>42801</v>
      </c>
      <c r="U23" s="45" t="s">
        <v>249</v>
      </c>
      <c r="V23" s="79">
        <v>42824</v>
      </c>
      <c r="W23" s="45" t="s">
        <v>249</v>
      </c>
      <c r="X23" s="159">
        <v>40885</v>
      </c>
      <c r="Y23" s="45" t="s">
        <v>263</v>
      </c>
      <c r="Z23" s="79"/>
      <c r="AA23" s="45" t="s">
        <v>247</v>
      </c>
      <c r="AB23" s="79"/>
      <c r="AC23" s="317">
        <f t="shared" si="0"/>
        <v>0.18181818181818182</v>
      </c>
      <c r="AD23" s="38" t="s">
        <v>249</v>
      </c>
      <c r="AE23" s="159"/>
      <c r="AF23" s="38" t="s">
        <v>247</v>
      </c>
      <c r="AG23" s="79"/>
      <c r="AH23" s="38" t="s">
        <v>249</v>
      </c>
      <c r="AI23" s="43">
        <v>41381</v>
      </c>
      <c r="AJ23" s="38" t="s">
        <v>249</v>
      </c>
      <c r="AK23" s="43"/>
      <c r="AL23" s="318">
        <f>COUNTIF('Liste AT'!$E$7:$E$31, "COE Nice")</f>
        <v>0</v>
      </c>
      <c r="AM23" s="38" t="s">
        <v>249</v>
      </c>
    </row>
    <row r="24" spans="1:39" ht="16.5" customHeight="1">
      <c r="A24" s="411" t="s">
        <v>999</v>
      </c>
      <c r="B24" s="163" t="s">
        <v>545</v>
      </c>
      <c r="C24" s="163" t="s">
        <v>762</v>
      </c>
      <c r="D24" s="163" t="s">
        <v>997</v>
      </c>
      <c r="E24" s="44" t="s">
        <v>249</v>
      </c>
      <c r="F24" s="159">
        <v>41451</v>
      </c>
      <c r="G24" s="44" t="s">
        <v>249</v>
      </c>
      <c r="H24" s="159">
        <v>41452</v>
      </c>
      <c r="I24" s="44" t="s">
        <v>249</v>
      </c>
      <c r="J24" s="159">
        <v>41451</v>
      </c>
      <c r="K24" s="44" t="s">
        <v>247</v>
      </c>
      <c r="L24" s="159"/>
      <c r="M24" s="45" t="s">
        <v>249</v>
      </c>
      <c r="N24" s="159">
        <v>43280</v>
      </c>
      <c r="O24" s="45" t="s">
        <v>249</v>
      </c>
      <c r="P24" s="159">
        <v>41584</v>
      </c>
      <c r="Q24" s="45" t="s">
        <v>249</v>
      </c>
      <c r="R24" s="159">
        <v>41444</v>
      </c>
      <c r="S24" s="159" t="s">
        <v>249</v>
      </c>
      <c r="T24" s="159">
        <v>42801</v>
      </c>
      <c r="U24" s="45" t="s">
        <v>249</v>
      </c>
      <c r="V24" s="79">
        <v>42824</v>
      </c>
      <c r="W24" s="45" t="s">
        <v>249</v>
      </c>
      <c r="X24" s="159">
        <v>41712</v>
      </c>
      <c r="Y24" s="45" t="s">
        <v>263</v>
      </c>
      <c r="Z24" s="79"/>
      <c r="AA24" s="45" t="s">
        <v>249</v>
      </c>
      <c r="AB24" s="79">
        <v>42909</v>
      </c>
      <c r="AC24" s="317">
        <f t="shared" si="0"/>
        <v>9.0909090909090912E-2</v>
      </c>
      <c r="AD24" s="38" t="s">
        <v>249</v>
      </c>
      <c r="AE24" s="159">
        <v>43595</v>
      </c>
      <c r="AF24" s="38" t="s">
        <v>247</v>
      </c>
      <c r="AG24" s="79"/>
      <c r="AH24" s="38" t="s">
        <v>247</v>
      </c>
      <c r="AI24" s="43"/>
      <c r="AJ24" s="38" t="s">
        <v>247</v>
      </c>
      <c r="AK24" s="43"/>
      <c r="AL24" s="318">
        <f>COUNTIF('Liste AT'!$E$7:$E$31, "Service en gare Nice Ville")</f>
        <v>0</v>
      </c>
      <c r="AM24" s="38" t="s">
        <v>249</v>
      </c>
    </row>
    <row r="25" spans="1:39" ht="16.5" customHeight="1">
      <c r="A25" s="38" t="s">
        <v>264</v>
      </c>
      <c r="B25" s="163" t="s">
        <v>614</v>
      </c>
      <c r="C25" s="163" t="s">
        <v>82</v>
      </c>
      <c r="D25" s="162" t="s">
        <v>834</v>
      </c>
      <c r="E25" s="44" t="s">
        <v>247</v>
      </c>
      <c r="F25" s="159"/>
      <c r="G25" s="44" t="s">
        <v>247</v>
      </c>
      <c r="H25" s="159"/>
      <c r="I25" s="44" t="s">
        <v>263</v>
      </c>
      <c r="J25" s="159"/>
      <c r="K25" s="44" t="s">
        <v>263</v>
      </c>
      <c r="L25" s="159"/>
      <c r="M25" s="45" t="s">
        <v>249</v>
      </c>
      <c r="N25" s="159">
        <v>43280</v>
      </c>
      <c r="O25" s="45" t="s">
        <v>263</v>
      </c>
      <c r="P25" s="159"/>
      <c r="Q25" s="45" t="s">
        <v>263</v>
      </c>
      <c r="R25" s="159"/>
      <c r="S25" s="159"/>
      <c r="T25" s="159"/>
      <c r="U25" s="45" t="s">
        <v>247</v>
      </c>
      <c r="V25" s="79"/>
      <c r="W25" s="45" t="s">
        <v>263</v>
      </c>
      <c r="X25" s="159"/>
      <c r="Y25" s="45" t="s">
        <v>263</v>
      </c>
      <c r="Z25" s="79"/>
      <c r="AA25" s="45" t="s">
        <v>247</v>
      </c>
      <c r="AB25" s="79"/>
      <c r="AC25" s="317">
        <f t="shared" si="0"/>
        <v>0.8</v>
      </c>
      <c r="AD25" s="38" t="s">
        <v>247</v>
      </c>
      <c r="AE25" s="159"/>
      <c r="AF25" s="38" t="s">
        <v>247</v>
      </c>
      <c r="AG25" s="79"/>
      <c r="AH25" s="38" t="s">
        <v>249</v>
      </c>
      <c r="AI25" s="43">
        <v>41465</v>
      </c>
      <c r="AJ25" s="38" t="s">
        <v>249</v>
      </c>
      <c r="AK25" s="43">
        <v>41505</v>
      </c>
      <c r="AL25" s="318">
        <f>COUNTIF('Liste AT'!$E$7:$E$31, "Direction ETABLISSEMENT")</f>
        <v>0</v>
      </c>
      <c r="AM25" s="38" t="s">
        <v>249</v>
      </c>
    </row>
    <row r="26" spans="1:39" ht="16.5" customHeight="1">
      <c r="A26" s="38" t="s">
        <v>264</v>
      </c>
      <c r="B26" s="163" t="s">
        <v>265</v>
      </c>
      <c r="C26" s="163" t="s">
        <v>81</v>
      </c>
      <c r="D26" s="162" t="s">
        <v>860</v>
      </c>
      <c r="E26" s="44" t="s">
        <v>249</v>
      </c>
      <c r="F26" s="159">
        <v>40731</v>
      </c>
      <c r="G26" s="44" t="s">
        <v>247</v>
      </c>
      <c r="H26" s="159"/>
      <c r="I26" s="44" t="s">
        <v>247</v>
      </c>
      <c r="J26" s="161"/>
      <c r="K26" s="44" t="s">
        <v>263</v>
      </c>
      <c r="L26" s="159"/>
      <c r="M26" s="45" t="s">
        <v>249</v>
      </c>
      <c r="N26" s="159">
        <v>43280</v>
      </c>
      <c r="O26" s="45" t="s">
        <v>263</v>
      </c>
      <c r="P26" s="159"/>
      <c r="Q26" s="45" t="s">
        <v>247</v>
      </c>
      <c r="R26" s="159"/>
      <c r="S26" s="159"/>
      <c r="T26" s="159"/>
      <c r="U26" s="45" t="s">
        <v>247</v>
      </c>
      <c r="V26" s="79"/>
      <c r="W26" s="45" t="s">
        <v>263</v>
      </c>
      <c r="X26" s="159"/>
      <c r="Y26" s="45" t="s">
        <v>263</v>
      </c>
      <c r="Z26" s="79"/>
      <c r="AA26" s="45" t="s">
        <v>247</v>
      </c>
      <c r="AB26" s="79"/>
      <c r="AC26" s="317">
        <f>IF((COUNTIF(E26:AB26, "OUI")+COUNTIF(E26:AB26, "INSCRIT")+COUNTIF(E26:AB26, "NON"))&gt;0, COUNTIF(E26:AB26, "NON")/(COUNTIF(E26:AB26, "OUI")+COUNTIF(E26:AB26, "INSCRIT")+COUNTIF(E26:AB26, "NON")), 0)</f>
        <v>0.7142857142857143</v>
      </c>
      <c r="AD26" s="38" t="s">
        <v>247</v>
      </c>
      <c r="AE26" s="161"/>
      <c r="AF26" s="38" t="s">
        <v>247</v>
      </c>
      <c r="AG26" s="79"/>
      <c r="AH26" s="38" t="s">
        <v>249</v>
      </c>
      <c r="AI26" s="316">
        <v>41449</v>
      </c>
      <c r="AJ26" s="38" t="s">
        <v>249</v>
      </c>
      <c r="AK26" s="316">
        <v>41505</v>
      </c>
      <c r="AL26" s="318"/>
      <c r="AM26" s="38" t="s">
        <v>249</v>
      </c>
    </row>
    <row r="27" spans="1:39" ht="16.5" customHeight="1">
      <c r="A27" s="38" t="s">
        <v>264</v>
      </c>
      <c r="B27" s="162" t="s">
        <v>859</v>
      </c>
      <c r="C27" s="162" t="s">
        <v>858</v>
      </c>
      <c r="D27" s="163" t="s">
        <v>792</v>
      </c>
      <c r="E27" s="44" t="s">
        <v>249</v>
      </c>
      <c r="F27" s="159">
        <v>41592</v>
      </c>
      <c r="G27" s="44"/>
      <c r="H27" s="159"/>
      <c r="I27" s="44" t="s">
        <v>247</v>
      </c>
      <c r="J27" s="159"/>
      <c r="K27" s="44" t="s">
        <v>247</v>
      </c>
      <c r="L27" s="159"/>
      <c r="M27" s="45" t="s">
        <v>249</v>
      </c>
      <c r="N27" s="159">
        <v>43370</v>
      </c>
      <c r="O27" s="45" t="s">
        <v>249</v>
      </c>
      <c r="P27" s="159">
        <v>39786</v>
      </c>
      <c r="Q27" s="45" t="s">
        <v>247</v>
      </c>
      <c r="R27" s="159"/>
      <c r="S27" s="159" t="s">
        <v>249</v>
      </c>
      <c r="T27" s="159">
        <v>42656</v>
      </c>
      <c r="U27" s="45" t="s">
        <v>249</v>
      </c>
      <c r="V27" s="79">
        <v>42667</v>
      </c>
      <c r="W27" s="45" t="s">
        <v>247</v>
      </c>
      <c r="X27" s="159"/>
      <c r="Y27" s="45" t="s">
        <v>247</v>
      </c>
      <c r="Z27" s="79"/>
      <c r="AA27" s="45" t="s">
        <v>249</v>
      </c>
      <c r="AB27" s="79">
        <v>43391</v>
      </c>
      <c r="AC27" s="317">
        <f t="shared" si="0"/>
        <v>0.45454545454545453</v>
      </c>
      <c r="AD27" s="38"/>
      <c r="AE27" s="159"/>
      <c r="AF27" s="38" t="s">
        <v>247</v>
      </c>
      <c r="AG27" s="79"/>
      <c r="AH27" s="38"/>
      <c r="AI27" s="43"/>
      <c r="AJ27" s="38"/>
      <c r="AK27" s="43"/>
      <c r="AL27" s="318">
        <f>COUNTIF('Liste AT'!$E$7:$E$31, "Pôle QP")</f>
        <v>0</v>
      </c>
      <c r="AM27" s="38" t="s">
        <v>249</v>
      </c>
    </row>
    <row r="28" spans="1:39" ht="16.5" customHeight="1">
      <c r="A28" s="38" t="s">
        <v>264</v>
      </c>
      <c r="B28" s="162" t="s">
        <v>790</v>
      </c>
      <c r="C28" s="162" t="s">
        <v>791</v>
      </c>
      <c r="D28" s="162" t="s">
        <v>151</v>
      </c>
      <c r="E28" s="44" t="s">
        <v>247</v>
      </c>
      <c r="F28" s="159"/>
      <c r="G28" s="44" t="s">
        <v>247</v>
      </c>
      <c r="H28" s="159"/>
      <c r="I28" s="44" t="s">
        <v>247</v>
      </c>
      <c r="J28" s="159"/>
      <c r="K28" s="44" t="s">
        <v>263</v>
      </c>
      <c r="L28" s="159"/>
      <c r="M28" s="45" t="s">
        <v>247</v>
      </c>
      <c r="N28" s="159"/>
      <c r="O28" s="45" t="s">
        <v>263</v>
      </c>
      <c r="P28" s="159"/>
      <c r="Q28" s="45" t="s">
        <v>263</v>
      </c>
      <c r="R28" s="159"/>
      <c r="S28" s="159"/>
      <c r="T28" s="159"/>
      <c r="U28" s="45" t="s">
        <v>247</v>
      </c>
      <c r="V28" s="79"/>
      <c r="W28" s="45" t="s">
        <v>263</v>
      </c>
      <c r="X28" s="159"/>
      <c r="Y28" s="45" t="s">
        <v>263</v>
      </c>
      <c r="Z28" s="79"/>
      <c r="AA28" s="45" t="s">
        <v>247</v>
      </c>
      <c r="AB28" s="79"/>
      <c r="AC28" s="317">
        <f t="shared" si="0"/>
        <v>1</v>
      </c>
      <c r="AD28" s="38" t="s">
        <v>247</v>
      </c>
      <c r="AE28" s="159"/>
      <c r="AF28" s="38" t="s">
        <v>247</v>
      </c>
      <c r="AG28" s="79"/>
      <c r="AH28" s="38" t="s">
        <v>249</v>
      </c>
      <c r="AI28" s="43">
        <v>41474</v>
      </c>
      <c r="AJ28" s="38" t="s">
        <v>249</v>
      </c>
      <c r="AK28" s="43">
        <v>41505</v>
      </c>
      <c r="AL28" s="318">
        <f>COUNTIF('Liste AT'!$E$7:$E$31, "Pôle RH")</f>
        <v>0</v>
      </c>
      <c r="AM28" s="38" t="s">
        <v>247</v>
      </c>
    </row>
    <row r="29" spans="1:39" ht="16.5" customHeight="1">
      <c r="A29" s="38" t="s">
        <v>264</v>
      </c>
      <c r="B29" s="162" t="s">
        <v>861</v>
      </c>
      <c r="C29" s="162" t="s">
        <v>862</v>
      </c>
      <c r="D29" s="163" t="s">
        <v>837</v>
      </c>
      <c r="E29" s="44" t="s">
        <v>247</v>
      </c>
      <c r="F29" s="159"/>
      <c r="G29" s="44" t="s">
        <v>247</v>
      </c>
      <c r="H29" s="159"/>
      <c r="I29" s="44" t="s">
        <v>247</v>
      </c>
      <c r="J29" s="159"/>
      <c r="K29" s="44" t="s">
        <v>247</v>
      </c>
      <c r="L29" s="159"/>
      <c r="M29" s="45" t="s">
        <v>249</v>
      </c>
      <c r="N29" s="159">
        <v>43370</v>
      </c>
      <c r="O29" s="45" t="s">
        <v>247</v>
      </c>
      <c r="P29" s="159"/>
      <c r="Q29" s="45" t="s">
        <v>249</v>
      </c>
      <c r="R29" s="159">
        <v>42171</v>
      </c>
      <c r="S29" s="159" t="s">
        <v>249</v>
      </c>
      <c r="T29" s="159">
        <v>42635</v>
      </c>
      <c r="U29" s="45" t="s">
        <v>249</v>
      </c>
      <c r="V29" s="79">
        <v>42653</v>
      </c>
      <c r="W29" s="45" t="s">
        <v>247</v>
      </c>
      <c r="X29" s="159"/>
      <c r="Y29" s="45" t="s">
        <v>247</v>
      </c>
      <c r="Z29" s="79"/>
      <c r="AA29" s="45" t="s">
        <v>249</v>
      </c>
      <c r="AB29" s="79">
        <v>43118</v>
      </c>
      <c r="AC29" s="317">
        <f>IF((COUNTIF(E29:AB29, "OUI")+COUNTIF(E29:AB29, "INSCRIT")+COUNTIF(E29:AB29, "NON"))&gt;0, COUNTIF(E29:AB29, "NON")/(COUNTIF(E29:AB29, "OUI")+COUNTIF(E29:AB29, "INSCRIT")+COUNTIF(E29:AB29, "NON")), 0)</f>
        <v>0.58333333333333337</v>
      </c>
      <c r="AD29" s="38"/>
      <c r="AE29" s="161"/>
      <c r="AF29" s="38"/>
      <c r="AG29" s="79"/>
      <c r="AH29" s="38"/>
      <c r="AI29" s="316"/>
      <c r="AJ29" s="38"/>
      <c r="AK29" s="316"/>
      <c r="AL29" s="318">
        <f>COUNTIF('Liste AT'!$E$7:$E$31, "Pôle S")</f>
        <v>0</v>
      </c>
      <c r="AM29" s="38" t="s">
        <v>249</v>
      </c>
    </row>
    <row r="30" spans="1:39" ht="16.5" customHeight="1">
      <c r="A30" s="38" t="s">
        <v>264</v>
      </c>
      <c r="B30" s="162" t="s">
        <v>266</v>
      </c>
      <c r="C30" s="162" t="s">
        <v>77</v>
      </c>
      <c r="D30" s="162" t="s">
        <v>153</v>
      </c>
      <c r="E30" s="44" t="s">
        <v>247</v>
      </c>
      <c r="F30" s="159"/>
      <c r="G30" s="44" t="s">
        <v>247</v>
      </c>
      <c r="H30" s="159"/>
      <c r="I30" s="44" t="s">
        <v>247</v>
      </c>
      <c r="J30" s="161"/>
      <c r="K30" s="44" t="s">
        <v>247</v>
      </c>
      <c r="L30" s="159"/>
      <c r="M30" s="45" t="s">
        <v>249</v>
      </c>
      <c r="N30" s="159">
        <v>43363</v>
      </c>
      <c r="O30" s="45" t="s">
        <v>263</v>
      </c>
      <c r="P30" s="159"/>
      <c r="Q30" s="45" t="s">
        <v>263</v>
      </c>
      <c r="R30" s="159"/>
      <c r="S30" s="159" t="s">
        <v>249</v>
      </c>
      <c r="T30" s="159">
        <v>41921</v>
      </c>
      <c r="U30" s="45" t="s">
        <v>249</v>
      </c>
      <c r="V30" s="79">
        <v>42817</v>
      </c>
      <c r="W30" s="45" t="s">
        <v>249</v>
      </c>
      <c r="X30" s="159">
        <v>43123</v>
      </c>
      <c r="Y30" s="45" t="s">
        <v>263</v>
      </c>
      <c r="Z30" s="79"/>
      <c r="AA30" s="45" t="s">
        <v>249</v>
      </c>
      <c r="AB30" s="79">
        <v>42909</v>
      </c>
      <c r="AC30" s="317">
        <f t="shared" si="0"/>
        <v>0.44444444444444442</v>
      </c>
      <c r="AD30" s="38" t="s">
        <v>247</v>
      </c>
      <c r="AE30" s="161"/>
      <c r="AF30" s="38" t="s">
        <v>247</v>
      </c>
      <c r="AG30" s="79"/>
      <c r="AH30" s="38" t="s">
        <v>249</v>
      </c>
      <c r="AI30" s="316">
        <v>41491</v>
      </c>
      <c r="AJ30" s="38" t="s">
        <v>249</v>
      </c>
      <c r="AK30" s="316">
        <v>41505</v>
      </c>
      <c r="AL30" s="318"/>
      <c r="AM30" s="38" t="s">
        <v>249</v>
      </c>
    </row>
    <row r="31" spans="1:39" ht="16.5" customHeight="1">
      <c r="A31" s="38" t="s">
        <v>264</v>
      </c>
      <c r="B31" s="163" t="s">
        <v>768</v>
      </c>
      <c r="C31" s="163" t="s">
        <v>769</v>
      </c>
      <c r="D31" s="163" t="s">
        <v>1091</v>
      </c>
      <c r="E31" s="44" t="s">
        <v>249</v>
      </c>
      <c r="F31" s="159">
        <v>42793</v>
      </c>
      <c r="G31" s="44" t="s">
        <v>249</v>
      </c>
      <c r="H31" s="159">
        <v>42793</v>
      </c>
      <c r="I31" s="44" t="s">
        <v>247</v>
      </c>
      <c r="J31" s="159"/>
      <c r="K31" s="44" t="s">
        <v>247</v>
      </c>
      <c r="L31" s="159"/>
      <c r="M31" s="45" t="s">
        <v>249</v>
      </c>
      <c r="N31" s="159">
        <v>43280</v>
      </c>
      <c r="O31" s="45" t="s">
        <v>247</v>
      </c>
      <c r="P31" s="159"/>
      <c r="Q31" s="45" t="s">
        <v>249</v>
      </c>
      <c r="R31" s="159">
        <v>42823</v>
      </c>
      <c r="S31" s="159"/>
      <c r="T31" s="159"/>
      <c r="U31" s="45" t="s">
        <v>249</v>
      </c>
      <c r="V31" s="79">
        <v>42824</v>
      </c>
      <c r="W31" s="45" t="s">
        <v>249</v>
      </c>
      <c r="X31" s="159">
        <v>43137</v>
      </c>
      <c r="Y31" s="45" t="s">
        <v>249</v>
      </c>
      <c r="Z31" s="79">
        <v>39112</v>
      </c>
      <c r="AA31" s="45" t="s">
        <v>249</v>
      </c>
      <c r="AB31" s="79">
        <v>42909</v>
      </c>
      <c r="AC31" s="317">
        <f t="shared" si="0"/>
        <v>0.27272727272727271</v>
      </c>
      <c r="AD31" s="38" t="s">
        <v>247</v>
      </c>
      <c r="AE31" s="161"/>
      <c r="AF31" s="38" t="s">
        <v>247</v>
      </c>
      <c r="AG31" s="79"/>
      <c r="AH31" s="38" t="s">
        <v>249</v>
      </c>
      <c r="AI31" s="316">
        <v>41491</v>
      </c>
      <c r="AJ31" s="38" t="s">
        <v>249</v>
      </c>
      <c r="AK31" s="316">
        <v>41505</v>
      </c>
      <c r="AL31" s="318"/>
      <c r="AM31" s="38" t="s">
        <v>249</v>
      </c>
    </row>
    <row r="32" spans="1:39" ht="16.5" customHeight="1">
      <c r="A32" s="38" t="s">
        <v>264</v>
      </c>
      <c r="B32" s="162" t="s">
        <v>835</v>
      </c>
      <c r="C32" s="162" t="s">
        <v>836</v>
      </c>
      <c r="D32" s="162" t="s">
        <v>1091</v>
      </c>
      <c r="E32" s="44" t="s">
        <v>249</v>
      </c>
      <c r="F32" s="159">
        <v>43132</v>
      </c>
      <c r="G32" s="44" t="s">
        <v>249</v>
      </c>
      <c r="H32" s="159">
        <v>43132</v>
      </c>
      <c r="I32" s="44" t="s">
        <v>247</v>
      </c>
      <c r="J32" s="161"/>
      <c r="K32" s="44" t="s">
        <v>247</v>
      </c>
      <c r="L32" s="159"/>
      <c r="M32" s="45" t="s">
        <v>249</v>
      </c>
      <c r="N32" s="159">
        <v>43217</v>
      </c>
      <c r="O32" s="45" t="s">
        <v>249</v>
      </c>
      <c r="P32" s="159">
        <v>43370</v>
      </c>
      <c r="Q32" s="45" t="s">
        <v>249</v>
      </c>
      <c r="R32" s="159">
        <v>43256</v>
      </c>
      <c r="S32" s="159"/>
      <c r="T32" s="159"/>
      <c r="U32" s="45" t="s">
        <v>247</v>
      </c>
      <c r="V32" s="79"/>
      <c r="W32" s="45" t="s">
        <v>249</v>
      </c>
      <c r="X32" s="159">
        <v>42066</v>
      </c>
      <c r="Y32" s="45" t="s">
        <v>247</v>
      </c>
      <c r="Z32" s="79"/>
      <c r="AA32" s="45" t="s">
        <v>249</v>
      </c>
      <c r="AB32" s="79">
        <v>43146</v>
      </c>
      <c r="AC32" s="317">
        <f t="shared" si="0"/>
        <v>0.36363636363636365</v>
      </c>
      <c r="AD32" s="38"/>
      <c r="AE32" s="161"/>
      <c r="AF32" s="38" t="s">
        <v>247</v>
      </c>
      <c r="AG32" s="79"/>
      <c r="AH32" s="38"/>
      <c r="AI32" s="316"/>
      <c r="AJ32" s="38"/>
      <c r="AK32" s="316"/>
      <c r="AL32" s="318"/>
      <c r="AM32" s="38" t="s">
        <v>249</v>
      </c>
    </row>
    <row r="33" spans="1:39" ht="16.5" customHeight="1">
      <c r="A33" s="38" t="s">
        <v>264</v>
      </c>
      <c r="B33" s="162" t="s">
        <v>969</v>
      </c>
      <c r="C33" s="162" t="s">
        <v>970</v>
      </c>
      <c r="D33" s="162" t="s">
        <v>1092</v>
      </c>
      <c r="E33" s="44" t="s">
        <v>247</v>
      </c>
      <c r="F33" s="159"/>
      <c r="G33" s="44" t="s">
        <v>247</v>
      </c>
      <c r="H33" s="159"/>
      <c r="I33" s="44" t="s">
        <v>247</v>
      </c>
      <c r="J33" s="161"/>
      <c r="K33" s="44" t="s">
        <v>249</v>
      </c>
      <c r="L33" s="159">
        <v>38986</v>
      </c>
      <c r="M33" s="45" t="s">
        <v>249</v>
      </c>
      <c r="N33" s="159">
        <v>43363</v>
      </c>
      <c r="O33" s="45" t="s">
        <v>247</v>
      </c>
      <c r="P33" s="159"/>
      <c r="Q33" s="45" t="s">
        <v>249</v>
      </c>
      <c r="R33" s="159">
        <v>40290</v>
      </c>
      <c r="S33" s="159"/>
      <c r="T33" s="159"/>
      <c r="U33" s="45" t="s">
        <v>247</v>
      </c>
      <c r="V33" s="79"/>
      <c r="W33" s="45" t="s">
        <v>249</v>
      </c>
      <c r="X33" s="159">
        <v>43074</v>
      </c>
      <c r="Y33" s="45" t="s">
        <v>247</v>
      </c>
      <c r="Z33" s="79"/>
      <c r="AA33" s="45" t="s">
        <v>249</v>
      </c>
      <c r="AB33" s="79">
        <v>43391</v>
      </c>
      <c r="AC33" s="317">
        <f t="shared" si="0"/>
        <v>0.54545454545454541</v>
      </c>
      <c r="AD33" s="38"/>
      <c r="AE33" s="161"/>
      <c r="AF33" s="38"/>
      <c r="AG33" s="79"/>
      <c r="AH33" s="38"/>
      <c r="AI33" s="316"/>
      <c r="AJ33" s="38"/>
      <c r="AK33" s="316"/>
      <c r="AL33" s="318"/>
      <c r="AM33" s="38"/>
    </row>
    <row r="34" spans="1:39" ht="16.5" customHeight="1">
      <c r="A34" s="38" t="s">
        <v>264</v>
      </c>
      <c r="B34" s="163" t="s">
        <v>1087</v>
      </c>
      <c r="C34" s="163" t="s">
        <v>1088</v>
      </c>
      <c r="D34" s="162" t="s">
        <v>1090</v>
      </c>
      <c r="E34" s="44" t="s">
        <v>247</v>
      </c>
      <c r="F34" s="159"/>
      <c r="G34" s="44" t="s">
        <v>247</v>
      </c>
      <c r="H34" s="159"/>
      <c r="I34" s="44" t="s">
        <v>247</v>
      </c>
      <c r="J34" s="159"/>
      <c r="K34" s="44" t="s">
        <v>247</v>
      </c>
      <c r="L34" s="159"/>
      <c r="M34" s="45" t="s">
        <v>249</v>
      </c>
      <c r="N34" s="159">
        <v>43280</v>
      </c>
      <c r="O34" s="45" t="s">
        <v>247</v>
      </c>
      <c r="P34" s="159"/>
      <c r="Q34" s="45" t="s">
        <v>249</v>
      </c>
      <c r="R34" s="159">
        <v>43697</v>
      </c>
      <c r="S34" s="159"/>
      <c r="T34" s="159"/>
      <c r="U34" s="45" t="s">
        <v>247</v>
      </c>
      <c r="V34" s="79"/>
      <c r="W34" s="45" t="s">
        <v>249</v>
      </c>
      <c r="X34" s="159">
        <v>43384</v>
      </c>
      <c r="Y34" s="45" t="s">
        <v>247</v>
      </c>
      <c r="Z34" s="79"/>
      <c r="AA34" s="45" t="s">
        <v>249</v>
      </c>
      <c r="AB34" s="79">
        <v>42894</v>
      </c>
      <c r="AC34" s="317">
        <f t="shared" si="0"/>
        <v>0.63636363636363635</v>
      </c>
      <c r="AD34" s="38"/>
      <c r="AE34" s="161"/>
      <c r="AF34" s="38"/>
      <c r="AG34" s="79"/>
      <c r="AH34" s="38"/>
      <c r="AI34" s="43"/>
      <c r="AJ34" s="38"/>
      <c r="AK34" s="316"/>
      <c r="AL34" s="318"/>
      <c r="AM34" s="38"/>
    </row>
    <row r="35" spans="1:39" ht="16.5" customHeight="1">
      <c r="A35" s="38" t="s">
        <v>264</v>
      </c>
      <c r="B35" s="163" t="s">
        <v>1024</v>
      </c>
      <c r="C35" s="163" t="s">
        <v>898</v>
      </c>
      <c r="D35" s="162" t="s">
        <v>1036</v>
      </c>
      <c r="E35" s="44" t="s">
        <v>247</v>
      </c>
      <c r="F35" s="159"/>
      <c r="G35" s="44" t="s">
        <v>247</v>
      </c>
      <c r="H35" s="159"/>
      <c r="I35" s="44" t="s">
        <v>247</v>
      </c>
      <c r="J35" s="161"/>
      <c r="K35" s="44" t="s">
        <v>247</v>
      </c>
      <c r="L35" s="159"/>
      <c r="M35" s="45" t="s">
        <v>247</v>
      </c>
      <c r="N35" s="159"/>
      <c r="O35" s="45" t="s">
        <v>247</v>
      </c>
      <c r="P35" s="159"/>
      <c r="Q35" s="45" t="s">
        <v>247</v>
      </c>
      <c r="R35" s="159"/>
      <c r="S35" s="159"/>
      <c r="T35" s="159"/>
      <c r="U35" s="45" t="s">
        <v>247</v>
      </c>
      <c r="V35" s="79"/>
      <c r="W35" s="45" t="s">
        <v>247</v>
      </c>
      <c r="X35" s="159"/>
      <c r="Y35" s="45" t="s">
        <v>247</v>
      </c>
      <c r="Z35" s="79"/>
      <c r="AA35" s="45" t="s">
        <v>249</v>
      </c>
      <c r="AB35" s="79" t="s">
        <v>1037</v>
      </c>
      <c r="AC35" s="317">
        <f t="shared" si="0"/>
        <v>0.90909090909090906</v>
      </c>
      <c r="AD35" s="38"/>
      <c r="AE35" s="161"/>
      <c r="AF35" s="38"/>
      <c r="AG35" s="79"/>
      <c r="AH35" s="38"/>
      <c r="AI35" s="316"/>
      <c r="AJ35" s="38"/>
      <c r="AK35" s="316"/>
      <c r="AL35" s="318"/>
      <c r="AM35" s="38"/>
    </row>
    <row r="36" spans="1:39" ht="16.5" customHeight="1">
      <c r="A36" s="38" t="s">
        <v>838</v>
      </c>
      <c r="B36" s="162" t="s">
        <v>1089</v>
      </c>
      <c r="C36" s="162" t="s">
        <v>998</v>
      </c>
      <c r="D36" s="163" t="s">
        <v>1009</v>
      </c>
      <c r="E36" s="44" t="s">
        <v>247</v>
      </c>
      <c r="F36" s="159"/>
      <c r="G36" s="44" t="s">
        <v>247</v>
      </c>
      <c r="H36" s="159"/>
      <c r="I36" s="44" t="s">
        <v>247</v>
      </c>
      <c r="J36" s="159"/>
      <c r="K36" s="44" t="s">
        <v>247</v>
      </c>
      <c r="L36" s="159"/>
      <c r="M36" s="45" t="s">
        <v>249</v>
      </c>
      <c r="N36" s="159">
        <v>42172</v>
      </c>
      <c r="O36" s="45" t="s">
        <v>247</v>
      </c>
      <c r="P36" s="159"/>
      <c r="Q36" s="45" t="s">
        <v>249</v>
      </c>
      <c r="R36" s="159">
        <v>39120</v>
      </c>
      <c r="S36" s="159"/>
      <c r="T36" s="159"/>
      <c r="U36" s="45" t="s">
        <v>247</v>
      </c>
      <c r="V36" s="79"/>
      <c r="W36" s="45" t="s">
        <v>249</v>
      </c>
      <c r="X36" s="159">
        <v>41723</v>
      </c>
      <c r="Y36" s="45" t="s">
        <v>249</v>
      </c>
      <c r="Z36" s="79">
        <v>39154</v>
      </c>
      <c r="AA36" s="45" t="s">
        <v>247</v>
      </c>
      <c r="AB36" s="79"/>
      <c r="AC36" s="317">
        <f t="shared" si="0"/>
        <v>0.63636363636363635</v>
      </c>
      <c r="AD36" s="38"/>
      <c r="AE36" s="161"/>
      <c r="AF36" s="38"/>
      <c r="AG36" s="79"/>
      <c r="AH36" s="38"/>
      <c r="AI36" s="316"/>
      <c r="AJ36" s="38"/>
      <c r="AK36" s="316"/>
      <c r="AL36" s="318">
        <f>COUNTIF('Liste AT'!$E$7:$E$31, "Siège UO TER TRAINS")</f>
        <v>0</v>
      </c>
      <c r="AM36" s="38"/>
    </row>
    <row r="37" spans="1:39" ht="16.5" customHeight="1">
      <c r="A37" s="412" t="s">
        <v>838</v>
      </c>
      <c r="B37" s="162" t="s">
        <v>971</v>
      </c>
      <c r="C37" s="162" t="s">
        <v>972</v>
      </c>
      <c r="D37" s="163" t="s">
        <v>973</v>
      </c>
      <c r="E37" s="44" t="s">
        <v>249</v>
      </c>
      <c r="F37" s="159">
        <v>39582</v>
      </c>
      <c r="G37" s="44" t="s">
        <v>249</v>
      </c>
      <c r="H37" s="159">
        <v>39582</v>
      </c>
      <c r="I37" s="44" t="s">
        <v>247</v>
      </c>
      <c r="J37" s="159"/>
      <c r="K37" s="44" t="s">
        <v>247</v>
      </c>
      <c r="L37" s="159"/>
      <c r="M37" s="45" t="s">
        <v>247</v>
      </c>
      <c r="N37" s="159"/>
      <c r="O37" s="45" t="s">
        <v>249</v>
      </c>
      <c r="P37" s="159">
        <v>41893</v>
      </c>
      <c r="Q37" s="45" t="s">
        <v>247</v>
      </c>
      <c r="R37" s="159"/>
      <c r="S37" s="159"/>
      <c r="T37" s="159"/>
      <c r="U37" s="45" t="s">
        <v>247</v>
      </c>
      <c r="V37" s="79"/>
      <c r="W37" s="45" t="s">
        <v>247</v>
      </c>
      <c r="X37" s="159"/>
      <c r="Y37" s="45" t="s">
        <v>247</v>
      </c>
      <c r="Z37" s="79"/>
      <c r="AA37" s="45" t="s">
        <v>247</v>
      </c>
      <c r="AB37" s="79"/>
      <c r="AC37" s="317">
        <f t="shared" si="0"/>
        <v>0.72727272727272729</v>
      </c>
      <c r="AD37" s="38"/>
      <c r="AE37" s="161"/>
      <c r="AF37" s="38"/>
      <c r="AG37" s="79"/>
      <c r="AH37" s="38"/>
      <c r="AI37" s="316"/>
      <c r="AJ37" s="38"/>
      <c r="AK37" s="316"/>
      <c r="AL37" s="318"/>
      <c r="AM37" s="38"/>
    </row>
    <row r="38" spans="1:39" ht="16.5" customHeight="1">
      <c r="A38" s="412" t="s">
        <v>838</v>
      </c>
      <c r="B38" s="162" t="s">
        <v>974</v>
      </c>
      <c r="C38" s="162" t="s">
        <v>975</v>
      </c>
      <c r="D38" s="163" t="s">
        <v>976</v>
      </c>
      <c r="E38" s="44" t="s">
        <v>249</v>
      </c>
      <c r="F38" s="159">
        <v>39742</v>
      </c>
      <c r="G38" s="44" t="s">
        <v>249</v>
      </c>
      <c r="H38" s="159">
        <v>39742</v>
      </c>
      <c r="I38" s="44" t="s">
        <v>249</v>
      </c>
      <c r="J38" s="159">
        <v>39709</v>
      </c>
      <c r="K38" s="44" t="s">
        <v>249</v>
      </c>
      <c r="L38" s="159">
        <v>39120</v>
      </c>
      <c r="M38" s="45" t="s">
        <v>249</v>
      </c>
      <c r="N38" s="159">
        <v>43487</v>
      </c>
      <c r="O38" s="45" t="s">
        <v>247</v>
      </c>
      <c r="P38" s="159"/>
      <c r="Q38" s="45" t="s">
        <v>247</v>
      </c>
      <c r="R38" s="159"/>
      <c r="S38" s="159"/>
      <c r="T38" s="159"/>
      <c r="U38" s="45" t="s">
        <v>247</v>
      </c>
      <c r="V38" s="79"/>
      <c r="W38" s="45" t="s">
        <v>247</v>
      </c>
      <c r="X38" s="159"/>
      <c r="Y38" s="45" t="s">
        <v>247</v>
      </c>
      <c r="Z38" s="79"/>
      <c r="AA38" s="45" t="s">
        <v>247</v>
      </c>
      <c r="AB38" s="79"/>
      <c r="AC38" s="317">
        <f t="shared" si="0"/>
        <v>0.54545454545454541</v>
      </c>
      <c r="AD38" s="38"/>
      <c r="AE38" s="161"/>
      <c r="AF38" s="38"/>
      <c r="AG38" s="79"/>
      <c r="AH38" s="38"/>
      <c r="AI38" s="316"/>
      <c r="AJ38" s="38"/>
      <c r="AK38" s="316"/>
      <c r="AL38" s="318"/>
      <c r="AM38" s="38"/>
    </row>
    <row r="39" spans="1:39" ht="16.5" customHeight="1">
      <c r="A39" s="38" t="s">
        <v>838</v>
      </c>
      <c r="B39" s="163" t="s">
        <v>1025</v>
      </c>
      <c r="C39" s="163" t="s">
        <v>1027</v>
      </c>
      <c r="D39" s="162" t="s">
        <v>1028</v>
      </c>
      <c r="E39" s="44" t="s">
        <v>247</v>
      </c>
      <c r="F39" s="159"/>
      <c r="G39" s="44" t="s">
        <v>247</v>
      </c>
      <c r="H39" s="159"/>
      <c r="I39" s="44" t="s">
        <v>247</v>
      </c>
      <c r="J39" s="161"/>
      <c r="K39" s="44" t="s">
        <v>247</v>
      </c>
      <c r="L39" s="159"/>
      <c r="M39" s="45" t="s">
        <v>249</v>
      </c>
      <c r="N39" s="159">
        <v>43370</v>
      </c>
      <c r="O39" s="45" t="s">
        <v>247</v>
      </c>
      <c r="P39" s="159"/>
      <c r="Q39" s="45" t="s">
        <v>247</v>
      </c>
      <c r="R39" s="159"/>
      <c r="S39" s="159"/>
      <c r="T39" s="159"/>
      <c r="U39" s="45" t="s">
        <v>247</v>
      </c>
      <c r="V39" s="79"/>
      <c r="W39" s="45" t="s">
        <v>247</v>
      </c>
      <c r="X39" s="159"/>
      <c r="Y39" s="45" t="s">
        <v>247</v>
      </c>
      <c r="Z39" s="79"/>
      <c r="AA39" s="45" t="s">
        <v>247</v>
      </c>
      <c r="AB39" s="79"/>
      <c r="AC39" s="317">
        <f>IF((COUNTIF(E39:AB39, "OUI")+COUNTIF(E39:AB39, "INSCRIT")+COUNTIF(E39:AB39, "NON"))&gt;0, COUNTIF(E39:AB39, "NON")/(COUNTIF(E39:AB39, "OUI")+COUNTIF(E39:AB39, "INSCRIT")+COUNTIF(E39:AB39, "NON")), 0)</f>
        <v>0.90909090909090906</v>
      </c>
      <c r="AD39" s="38"/>
      <c r="AE39" s="161"/>
      <c r="AF39" s="38"/>
      <c r="AG39" s="79"/>
      <c r="AH39" s="38"/>
      <c r="AI39" s="316"/>
      <c r="AJ39" s="38"/>
      <c r="AK39" s="316"/>
      <c r="AL39" s="318"/>
      <c r="AM39" s="38"/>
    </row>
    <row r="40" spans="1:39" ht="16.5" customHeight="1">
      <c r="A40" s="38" t="s">
        <v>838</v>
      </c>
      <c r="B40" s="163" t="s">
        <v>1026</v>
      </c>
      <c r="C40" s="163" t="s">
        <v>759</v>
      </c>
      <c r="D40" s="162" t="s">
        <v>1031</v>
      </c>
      <c r="E40" s="44" t="s">
        <v>247</v>
      </c>
      <c r="F40" s="159"/>
      <c r="G40" s="44" t="s">
        <v>247</v>
      </c>
      <c r="H40" s="159"/>
      <c r="I40" s="44" t="s">
        <v>247</v>
      </c>
      <c r="J40" s="161"/>
      <c r="K40" s="44" t="s">
        <v>247</v>
      </c>
      <c r="L40" s="159"/>
      <c r="M40" s="45" t="s">
        <v>249</v>
      </c>
      <c r="N40" s="159">
        <v>43370</v>
      </c>
      <c r="O40" s="45" t="s">
        <v>247</v>
      </c>
      <c r="P40" s="159"/>
      <c r="Q40" s="45" t="s">
        <v>247</v>
      </c>
      <c r="R40" s="159"/>
      <c r="S40" s="159"/>
      <c r="T40" s="159"/>
      <c r="U40" s="45" t="s">
        <v>247</v>
      </c>
      <c r="V40" s="79"/>
      <c r="W40" s="45" t="s">
        <v>249</v>
      </c>
      <c r="X40" s="159">
        <v>41226</v>
      </c>
      <c r="Y40" s="45" t="s">
        <v>247</v>
      </c>
      <c r="Z40" s="79"/>
      <c r="AA40" s="45" t="s">
        <v>247</v>
      </c>
      <c r="AB40" s="79"/>
      <c r="AC40" s="317">
        <f>IF((COUNTIF(E40:AB40, "OUI")+COUNTIF(E40:AB40, "INSCRIT")+COUNTIF(E40:AB40, "NON"))&gt;0, COUNTIF(E40:AB40, "NON")/(COUNTIF(E40:AB40, "OUI")+COUNTIF(E40:AB40, "INSCRIT")+COUNTIF(E40:AB40, "NON")), 0)</f>
        <v>0.81818181818181823</v>
      </c>
      <c r="AD40" s="38"/>
      <c r="AE40" s="161"/>
      <c r="AF40" s="38"/>
      <c r="AG40" s="79"/>
      <c r="AH40" s="38"/>
      <c r="AI40" s="316"/>
      <c r="AJ40" s="38"/>
      <c r="AK40" s="316"/>
      <c r="AL40" s="318"/>
      <c r="AM40" s="38"/>
    </row>
    <row r="41" spans="1:39" ht="16.5" customHeight="1">
      <c r="A41" s="413" t="s">
        <v>838</v>
      </c>
      <c r="B41" s="162" t="s">
        <v>864</v>
      </c>
      <c r="C41" s="163" t="s">
        <v>899</v>
      </c>
      <c r="D41" s="361" t="s">
        <v>839</v>
      </c>
      <c r="E41" s="44" t="s">
        <v>247</v>
      </c>
      <c r="F41" s="159"/>
      <c r="G41" s="44" t="s">
        <v>247</v>
      </c>
      <c r="H41" s="159"/>
      <c r="I41" s="44" t="s">
        <v>249</v>
      </c>
      <c r="J41" s="159">
        <v>39884</v>
      </c>
      <c r="K41" s="44" t="s">
        <v>247</v>
      </c>
      <c r="L41" s="159"/>
      <c r="M41" s="45" t="s">
        <v>249</v>
      </c>
      <c r="N41" s="159">
        <v>43473</v>
      </c>
      <c r="O41" s="45" t="s">
        <v>247</v>
      </c>
      <c r="P41" s="159"/>
      <c r="Q41" s="45" t="s">
        <v>247</v>
      </c>
      <c r="R41" s="159"/>
      <c r="S41" s="159"/>
      <c r="T41" s="159"/>
      <c r="U41" s="45" t="s">
        <v>247</v>
      </c>
      <c r="V41" s="79"/>
      <c r="W41" s="45" t="s">
        <v>249</v>
      </c>
      <c r="X41" s="159">
        <v>42870</v>
      </c>
      <c r="Y41" s="45" t="s">
        <v>247</v>
      </c>
      <c r="Z41" s="79"/>
      <c r="AA41" s="45" t="s">
        <v>247</v>
      </c>
      <c r="AB41" s="79"/>
      <c r="AC41" s="317">
        <f t="shared" si="0"/>
        <v>0.72727272727272729</v>
      </c>
      <c r="AD41" s="38" t="s">
        <v>549</v>
      </c>
      <c r="AE41" s="161"/>
      <c r="AF41" s="38"/>
      <c r="AG41" s="79"/>
      <c r="AH41" s="38"/>
      <c r="AI41" s="43"/>
      <c r="AJ41" s="38"/>
      <c r="AK41" s="43"/>
      <c r="AL41" s="318">
        <f>COUNTIF('Liste AT'!$E$7:$E$31, "TER Bommarito")</f>
        <v>0</v>
      </c>
      <c r="AM41" s="38" t="s">
        <v>249</v>
      </c>
    </row>
    <row r="42" spans="1:39" ht="16.5" customHeight="1">
      <c r="A42" s="413" t="s">
        <v>838</v>
      </c>
      <c r="B42" s="162" t="s">
        <v>865</v>
      </c>
      <c r="C42" s="163" t="s">
        <v>900</v>
      </c>
      <c r="D42" s="361" t="s">
        <v>840</v>
      </c>
      <c r="E42" s="44" t="s">
        <v>249</v>
      </c>
      <c r="F42" s="159">
        <v>39561</v>
      </c>
      <c r="G42" s="44" t="s">
        <v>247</v>
      </c>
      <c r="H42" s="159"/>
      <c r="I42" s="44" t="s">
        <v>247</v>
      </c>
      <c r="J42" s="159"/>
      <c r="K42" s="44" t="s">
        <v>247</v>
      </c>
      <c r="L42" s="159"/>
      <c r="M42" s="45" t="s">
        <v>249</v>
      </c>
      <c r="N42" s="159">
        <v>43217</v>
      </c>
      <c r="O42" s="45" t="s">
        <v>247</v>
      </c>
      <c r="P42" s="159"/>
      <c r="Q42" s="45" t="s">
        <v>247</v>
      </c>
      <c r="R42" s="159"/>
      <c r="S42" s="159" t="s">
        <v>249</v>
      </c>
      <c r="T42" s="159">
        <v>42761</v>
      </c>
      <c r="U42" s="45" t="s">
        <v>249</v>
      </c>
      <c r="V42" s="79">
        <v>42767</v>
      </c>
      <c r="W42" s="45" t="s">
        <v>247</v>
      </c>
      <c r="X42" s="159"/>
      <c r="Y42" s="45" t="s">
        <v>247</v>
      </c>
      <c r="Z42" s="79"/>
      <c r="AA42" s="45" t="s">
        <v>247</v>
      </c>
      <c r="AB42" s="79"/>
      <c r="AC42" s="317">
        <f t="shared" si="0"/>
        <v>0.66666666666666663</v>
      </c>
      <c r="AD42" s="38"/>
      <c r="AE42" s="161"/>
      <c r="AF42" s="38"/>
      <c r="AG42" s="79"/>
      <c r="AH42" s="38"/>
      <c r="AI42" s="43"/>
      <c r="AJ42" s="38"/>
      <c r="AK42" s="43"/>
      <c r="AL42" s="318">
        <f>COUNTIF('Liste AT'!$E$7:$E$31, "TER Dallo")</f>
        <v>0</v>
      </c>
      <c r="AM42" s="38" t="s">
        <v>249</v>
      </c>
    </row>
    <row r="43" spans="1:39" ht="16.5" customHeight="1">
      <c r="A43" s="413" t="s">
        <v>838</v>
      </c>
      <c r="B43" s="162" t="s">
        <v>866</v>
      </c>
      <c r="C43" s="163" t="s">
        <v>901</v>
      </c>
      <c r="D43" s="361" t="s">
        <v>841</v>
      </c>
      <c r="E43" s="44" t="s">
        <v>249</v>
      </c>
      <c r="F43" s="159">
        <v>40730</v>
      </c>
      <c r="G43" s="44" t="s">
        <v>247</v>
      </c>
      <c r="H43" s="159"/>
      <c r="I43" s="44" t="s">
        <v>247</v>
      </c>
      <c r="J43" s="159"/>
      <c r="K43" s="44" t="s">
        <v>249</v>
      </c>
      <c r="L43" s="159">
        <v>43010</v>
      </c>
      <c r="M43" s="45" t="s">
        <v>249</v>
      </c>
      <c r="N43" s="159">
        <v>43370</v>
      </c>
      <c r="O43" s="45" t="s">
        <v>247</v>
      </c>
      <c r="P43" s="159"/>
      <c r="Q43" s="45" t="s">
        <v>247</v>
      </c>
      <c r="R43" s="159"/>
      <c r="S43" s="159" t="s">
        <v>249</v>
      </c>
      <c r="T43" s="159">
        <v>42761</v>
      </c>
      <c r="U43" s="45" t="s">
        <v>249</v>
      </c>
      <c r="V43" s="79">
        <v>42767</v>
      </c>
      <c r="W43" s="45" t="s">
        <v>247</v>
      </c>
      <c r="X43" s="159"/>
      <c r="Y43" s="45" t="s">
        <v>247</v>
      </c>
      <c r="Z43" s="79"/>
      <c r="AA43" s="45" t="s">
        <v>247</v>
      </c>
      <c r="AB43" s="79"/>
      <c r="AC43" s="317">
        <f t="shared" si="0"/>
        <v>0.58333333333333337</v>
      </c>
      <c r="AD43" s="38" t="s">
        <v>249</v>
      </c>
      <c r="AE43" s="161">
        <v>43391</v>
      </c>
      <c r="AF43" s="38"/>
      <c r="AG43" s="79"/>
      <c r="AH43" s="38"/>
      <c r="AI43" s="43"/>
      <c r="AJ43" s="38"/>
      <c r="AK43" s="43"/>
      <c r="AL43" s="318">
        <f>COUNTIF('Liste AT'!$E$7:$E$31, "TER Viteau")</f>
        <v>0</v>
      </c>
      <c r="AM43" s="38" t="s">
        <v>249</v>
      </c>
    </row>
    <row r="44" spans="1:39" ht="16.5" customHeight="1">
      <c r="A44" s="413" t="s">
        <v>838</v>
      </c>
      <c r="B44" s="162" t="s">
        <v>902</v>
      </c>
      <c r="C44" s="163" t="s">
        <v>948</v>
      </c>
      <c r="D44" s="361" t="s">
        <v>903</v>
      </c>
      <c r="E44" s="44" t="s">
        <v>247</v>
      </c>
      <c r="F44" s="159"/>
      <c r="G44" s="44" t="s">
        <v>247</v>
      </c>
      <c r="H44" s="159"/>
      <c r="I44" s="44" t="s">
        <v>247</v>
      </c>
      <c r="J44" s="159"/>
      <c r="K44" s="44" t="s">
        <v>247</v>
      </c>
      <c r="L44" s="159"/>
      <c r="M44" s="45" t="s">
        <v>249</v>
      </c>
      <c r="N44" s="159">
        <v>43473</v>
      </c>
      <c r="O44" s="45" t="s">
        <v>247</v>
      </c>
      <c r="P44" s="159"/>
      <c r="Q44" s="45" t="s">
        <v>247</v>
      </c>
      <c r="R44" s="159"/>
      <c r="S44" s="159"/>
      <c r="T44" s="159"/>
      <c r="U44" s="45" t="s">
        <v>247</v>
      </c>
      <c r="V44" s="79"/>
      <c r="W44" s="45" t="s">
        <v>249</v>
      </c>
      <c r="X44" s="159">
        <v>40865</v>
      </c>
      <c r="Y44" s="45" t="s">
        <v>247</v>
      </c>
      <c r="Z44" s="79"/>
      <c r="AA44" s="45" t="s">
        <v>249</v>
      </c>
      <c r="AB44" s="79">
        <v>42902</v>
      </c>
      <c r="AC44" s="317">
        <f t="shared" si="0"/>
        <v>0.72727272727272729</v>
      </c>
      <c r="AD44" s="38"/>
      <c r="AE44" s="161"/>
      <c r="AF44" s="38"/>
      <c r="AG44" s="79"/>
      <c r="AH44" s="38"/>
      <c r="AI44" s="43"/>
      <c r="AJ44" s="38"/>
      <c r="AK44" s="43"/>
      <c r="AL44" s="318">
        <f>COUNTIF('Liste AT'!$E$7:$E$31, "TER Garcia")</f>
        <v>0</v>
      </c>
      <c r="AM44" s="38" t="s">
        <v>249</v>
      </c>
    </row>
    <row r="45" spans="1:39" ht="16.5" customHeight="1">
      <c r="A45" s="413" t="s">
        <v>838</v>
      </c>
      <c r="B45" s="162" t="s">
        <v>867</v>
      </c>
      <c r="C45" s="163" t="s">
        <v>904</v>
      </c>
      <c r="D45" s="361" t="s">
        <v>842</v>
      </c>
      <c r="E45" s="44" t="s">
        <v>247</v>
      </c>
      <c r="F45" s="159"/>
      <c r="G45" s="44" t="s">
        <v>247</v>
      </c>
      <c r="H45" s="159"/>
      <c r="I45" s="44" t="s">
        <v>249</v>
      </c>
      <c r="J45" s="159">
        <v>43139</v>
      </c>
      <c r="K45" s="44" t="s">
        <v>247</v>
      </c>
      <c r="L45" s="159"/>
      <c r="M45" s="45" t="s">
        <v>249</v>
      </c>
      <c r="N45" s="159">
        <v>43473</v>
      </c>
      <c r="O45" s="45" t="s">
        <v>247</v>
      </c>
      <c r="P45" s="159"/>
      <c r="Q45" s="45" t="s">
        <v>247</v>
      </c>
      <c r="R45" s="159"/>
      <c r="S45" s="159"/>
      <c r="T45" s="159"/>
      <c r="U45" s="45" t="s">
        <v>247</v>
      </c>
      <c r="V45" s="79"/>
      <c r="W45" s="45" t="s">
        <v>249</v>
      </c>
      <c r="X45" s="159">
        <v>42870</v>
      </c>
      <c r="Y45" s="45" t="s">
        <v>247</v>
      </c>
      <c r="Z45" s="79"/>
      <c r="AA45" s="45" t="s">
        <v>247</v>
      </c>
      <c r="AB45" s="79"/>
      <c r="AC45" s="317">
        <f t="shared" si="0"/>
        <v>0.72727272727272729</v>
      </c>
      <c r="AD45" s="38" t="s">
        <v>249</v>
      </c>
      <c r="AE45" s="161">
        <v>43391</v>
      </c>
      <c r="AF45" s="38"/>
      <c r="AG45" s="79"/>
      <c r="AH45" s="38"/>
      <c r="AI45" s="43"/>
      <c r="AJ45" s="38"/>
      <c r="AK45" s="43"/>
      <c r="AL45" s="318">
        <f>COUNTIF('Liste AT'!$E$7:$E$31, "TER Porcher")</f>
        <v>0</v>
      </c>
      <c r="AM45" s="38" t="s">
        <v>249</v>
      </c>
    </row>
    <row r="46" spans="1:39" ht="16.5" customHeight="1">
      <c r="A46" s="413" t="s">
        <v>838</v>
      </c>
      <c r="B46" s="162" t="s">
        <v>868</v>
      </c>
      <c r="C46" s="163" t="s">
        <v>898</v>
      </c>
      <c r="D46" s="361" t="s">
        <v>843</v>
      </c>
      <c r="E46" s="44" t="s">
        <v>249</v>
      </c>
      <c r="F46" s="159">
        <v>39560</v>
      </c>
      <c r="G46" s="44" t="s">
        <v>247</v>
      </c>
      <c r="H46" s="159"/>
      <c r="I46" s="44" t="s">
        <v>249</v>
      </c>
      <c r="J46" s="159">
        <v>39793</v>
      </c>
      <c r="K46" s="44" t="s">
        <v>247</v>
      </c>
      <c r="L46" s="159"/>
      <c r="M46" s="45" t="s">
        <v>249</v>
      </c>
      <c r="N46" s="159">
        <v>43370</v>
      </c>
      <c r="O46" s="45" t="s">
        <v>247</v>
      </c>
      <c r="P46" s="159"/>
      <c r="Q46" s="45" t="s">
        <v>247</v>
      </c>
      <c r="R46" s="159"/>
      <c r="S46" s="159"/>
      <c r="T46" s="159"/>
      <c r="U46" s="45" t="s">
        <v>247</v>
      </c>
      <c r="V46" s="79"/>
      <c r="W46" s="45" t="s">
        <v>247</v>
      </c>
      <c r="X46" s="159"/>
      <c r="Y46" s="45" t="s">
        <v>247</v>
      </c>
      <c r="Z46" s="79"/>
      <c r="AA46" s="45" t="s">
        <v>249</v>
      </c>
      <c r="AB46" s="79">
        <v>42909</v>
      </c>
      <c r="AC46" s="317">
        <f t="shared" si="0"/>
        <v>0.63636363636363635</v>
      </c>
      <c r="AD46" s="38"/>
      <c r="AE46" s="161"/>
      <c r="AF46" s="38"/>
      <c r="AG46" s="79"/>
      <c r="AH46" s="38"/>
      <c r="AI46" s="43"/>
      <c r="AJ46" s="38"/>
      <c r="AK46" s="43"/>
      <c r="AL46" s="318">
        <f>COUNTIF('Liste AT'!$E$7:$E$31, "TER Giovagnoli")</f>
        <v>0</v>
      </c>
      <c r="AM46" s="38" t="s">
        <v>249</v>
      </c>
    </row>
    <row r="47" spans="1:39" ht="16.5" customHeight="1">
      <c r="A47" s="413" t="s">
        <v>838</v>
      </c>
      <c r="B47" s="163" t="s">
        <v>869</v>
      </c>
      <c r="C47" s="163" t="s">
        <v>905</v>
      </c>
      <c r="D47" s="361" t="s">
        <v>844</v>
      </c>
      <c r="E47" s="44" t="s">
        <v>247</v>
      </c>
      <c r="F47" s="159"/>
      <c r="G47" s="44" t="s">
        <v>247</v>
      </c>
      <c r="H47" s="159"/>
      <c r="I47" s="44" t="s">
        <v>249</v>
      </c>
      <c r="J47" s="159">
        <v>43139</v>
      </c>
      <c r="K47" s="44" t="s">
        <v>249</v>
      </c>
      <c r="L47" s="159">
        <v>43010</v>
      </c>
      <c r="M47" s="45" t="s">
        <v>249</v>
      </c>
      <c r="N47" s="159">
        <v>43370</v>
      </c>
      <c r="O47" s="45" t="s">
        <v>247</v>
      </c>
      <c r="P47" s="159"/>
      <c r="Q47" s="45" t="s">
        <v>247</v>
      </c>
      <c r="R47" s="159"/>
      <c r="S47" s="159"/>
      <c r="T47" s="159"/>
      <c r="U47" s="45" t="s">
        <v>247</v>
      </c>
      <c r="V47" s="79"/>
      <c r="W47" s="45" t="s">
        <v>247</v>
      </c>
      <c r="X47" s="159"/>
      <c r="Y47" s="45" t="s">
        <v>247</v>
      </c>
      <c r="Z47" s="79"/>
      <c r="AA47" s="45" t="s">
        <v>247</v>
      </c>
      <c r="AB47" s="79"/>
      <c r="AC47" s="317">
        <f t="shared" si="0"/>
        <v>0.72727272727272729</v>
      </c>
      <c r="AD47" s="38" t="s">
        <v>249</v>
      </c>
      <c r="AE47" s="161">
        <v>43391</v>
      </c>
      <c r="AF47" s="38"/>
      <c r="AG47" s="79"/>
      <c r="AH47" s="38"/>
      <c r="AI47" s="43"/>
      <c r="AJ47" s="38"/>
      <c r="AK47" s="43"/>
      <c r="AL47" s="318">
        <f>COUNTIF('Liste AT'!$E$7:$E$31, "TER Auguste")</f>
        <v>0</v>
      </c>
      <c r="AM47" s="38" t="s">
        <v>249</v>
      </c>
    </row>
    <row r="48" spans="1:39" ht="16.5" customHeight="1">
      <c r="A48" s="413" t="s">
        <v>838</v>
      </c>
      <c r="B48" s="163" t="s">
        <v>870</v>
      </c>
      <c r="C48" s="163" t="s">
        <v>906</v>
      </c>
      <c r="D48" s="361" t="s">
        <v>845</v>
      </c>
      <c r="E48" s="44" t="s">
        <v>249</v>
      </c>
      <c r="F48" s="159">
        <v>39526</v>
      </c>
      <c r="G48" s="44" t="s">
        <v>247</v>
      </c>
      <c r="H48" s="159"/>
      <c r="I48" s="44" t="s">
        <v>247</v>
      </c>
      <c r="J48" s="159"/>
      <c r="K48" s="44" t="s">
        <v>249</v>
      </c>
      <c r="L48" s="159">
        <v>43010</v>
      </c>
      <c r="M48" s="45" t="s">
        <v>249</v>
      </c>
      <c r="N48" s="159">
        <v>43280</v>
      </c>
      <c r="O48" s="45" t="s">
        <v>247</v>
      </c>
      <c r="P48" s="159"/>
      <c r="Q48" s="45" t="s">
        <v>247</v>
      </c>
      <c r="R48" s="159"/>
      <c r="S48" s="159"/>
      <c r="T48" s="159"/>
      <c r="U48" s="45" t="s">
        <v>247</v>
      </c>
      <c r="V48" s="79"/>
      <c r="W48" s="45" t="s">
        <v>247</v>
      </c>
      <c r="X48" s="159"/>
      <c r="Y48" s="45" t="s">
        <v>247</v>
      </c>
      <c r="Z48" s="79"/>
      <c r="AA48" s="45" t="s">
        <v>247</v>
      </c>
      <c r="AB48" s="79"/>
      <c r="AC48" s="317">
        <f t="shared" si="0"/>
        <v>0.72727272727272729</v>
      </c>
      <c r="AD48" s="38" t="s">
        <v>249</v>
      </c>
      <c r="AE48" s="161">
        <v>43391</v>
      </c>
      <c r="AF48" s="38"/>
      <c r="AG48" s="79"/>
      <c r="AH48" s="38"/>
      <c r="AI48" s="43"/>
      <c r="AJ48" s="38"/>
      <c r="AK48" s="43"/>
      <c r="AL48" s="318">
        <f>COUNTIF('Liste AT'!$E$7:$E$31, "LAF Dalle 1")</f>
        <v>0</v>
      </c>
      <c r="AM48" s="38" t="s">
        <v>249</v>
      </c>
    </row>
    <row r="49" spans="1:42" ht="16.5" customHeight="1">
      <c r="A49" s="362" t="s">
        <v>846</v>
      </c>
      <c r="B49" s="364" t="s">
        <v>914</v>
      </c>
      <c r="C49" s="364" t="s">
        <v>962</v>
      </c>
      <c r="D49" s="365" t="s">
        <v>963</v>
      </c>
      <c r="E49" s="362" t="s">
        <v>247</v>
      </c>
      <c r="F49" s="366"/>
      <c r="G49" s="362" t="s">
        <v>247</v>
      </c>
      <c r="H49" s="366"/>
      <c r="I49" s="362" t="s">
        <v>247</v>
      </c>
      <c r="J49" s="366"/>
      <c r="K49" s="362" t="s">
        <v>247</v>
      </c>
      <c r="L49" s="366"/>
      <c r="M49" s="367" t="s">
        <v>249</v>
      </c>
      <c r="N49" s="366">
        <v>43487</v>
      </c>
      <c r="O49" s="367" t="s">
        <v>249</v>
      </c>
      <c r="P49" s="366">
        <v>39786</v>
      </c>
      <c r="Q49" s="367" t="s">
        <v>249</v>
      </c>
      <c r="R49" s="366">
        <v>40290</v>
      </c>
      <c r="S49" s="366"/>
      <c r="T49" s="366"/>
      <c r="U49" s="367" t="s">
        <v>247</v>
      </c>
      <c r="V49" s="368"/>
      <c r="W49" s="367" t="s">
        <v>247</v>
      </c>
      <c r="X49" s="366"/>
      <c r="Y49" s="367" t="s">
        <v>247</v>
      </c>
      <c r="Z49" s="368"/>
      <c r="AA49" s="45" t="s">
        <v>249</v>
      </c>
      <c r="AB49" s="368">
        <v>43391</v>
      </c>
      <c r="AC49" s="317">
        <f t="shared" si="0"/>
        <v>0.63636363636363635</v>
      </c>
      <c r="AD49" s="369"/>
      <c r="AE49" s="370"/>
      <c r="AF49" s="369"/>
      <c r="AG49" s="368"/>
      <c r="AH49" s="369"/>
      <c r="AI49" s="371"/>
      <c r="AJ49" s="369"/>
      <c r="AK49" s="371"/>
      <c r="AL49" s="318"/>
      <c r="AM49" s="369"/>
    </row>
    <row r="50" spans="1:42" ht="16.5" customHeight="1">
      <c r="A50" s="362" t="s">
        <v>846</v>
      </c>
      <c r="B50" s="363" t="s">
        <v>871</v>
      </c>
      <c r="C50" s="364" t="s">
        <v>891</v>
      </c>
      <c r="D50" s="365" t="s">
        <v>873</v>
      </c>
      <c r="E50" s="362" t="s">
        <v>247</v>
      </c>
      <c r="F50" s="366"/>
      <c r="G50" s="362" t="s">
        <v>247</v>
      </c>
      <c r="H50" s="366"/>
      <c r="I50" s="362" t="s">
        <v>247</v>
      </c>
      <c r="J50" s="366"/>
      <c r="K50" s="362" t="s">
        <v>247</v>
      </c>
      <c r="L50" s="366"/>
      <c r="M50" s="367" t="s">
        <v>247</v>
      </c>
      <c r="N50" s="366"/>
      <c r="O50" s="367" t="s">
        <v>247</v>
      </c>
      <c r="P50" s="366"/>
      <c r="Q50" s="367" t="s">
        <v>247</v>
      </c>
      <c r="R50" s="366"/>
      <c r="S50" s="366"/>
      <c r="T50" s="366"/>
      <c r="U50" s="367" t="s">
        <v>247</v>
      </c>
      <c r="V50" s="368"/>
      <c r="W50" s="367" t="s">
        <v>247</v>
      </c>
      <c r="X50" s="366"/>
      <c r="Y50" s="367" t="s">
        <v>247</v>
      </c>
      <c r="Z50" s="368"/>
      <c r="AA50" s="45" t="s">
        <v>247</v>
      </c>
      <c r="AB50" s="368"/>
      <c r="AC50" s="317">
        <f t="shared" si="0"/>
        <v>1</v>
      </c>
      <c r="AD50" s="369"/>
      <c r="AE50" s="370"/>
      <c r="AF50" s="369"/>
      <c r="AG50" s="368"/>
      <c r="AH50" s="369"/>
      <c r="AI50" s="371"/>
      <c r="AJ50" s="369"/>
      <c r="AK50" s="371"/>
      <c r="AL50" s="318">
        <f>COUNTIF('Liste AT'!$E$7:$E$31, "EMI Accompagnement")</f>
        <v>0</v>
      </c>
      <c r="AM50" s="369" t="s">
        <v>247</v>
      </c>
    </row>
    <row r="51" spans="1:42" s="47" customFormat="1" ht="16.5" customHeight="1">
      <c r="A51" s="44" t="s">
        <v>846</v>
      </c>
      <c r="B51" s="360" t="s">
        <v>872</v>
      </c>
      <c r="C51" s="163" t="s">
        <v>875</v>
      </c>
      <c r="D51" s="361" t="s">
        <v>874</v>
      </c>
      <c r="E51" s="44" t="s">
        <v>249</v>
      </c>
      <c r="F51" s="159">
        <v>40731</v>
      </c>
      <c r="G51" s="44" t="s">
        <v>247</v>
      </c>
      <c r="H51" s="159"/>
      <c r="I51" s="44" t="s">
        <v>247</v>
      </c>
      <c r="J51" s="159"/>
      <c r="K51" s="44" t="s">
        <v>247</v>
      </c>
      <c r="L51" s="159"/>
      <c r="M51" s="45" t="s">
        <v>249</v>
      </c>
      <c r="N51" s="159">
        <v>43217</v>
      </c>
      <c r="O51" s="45" t="s">
        <v>247</v>
      </c>
      <c r="P51" s="159"/>
      <c r="Q51" s="45" t="s">
        <v>247</v>
      </c>
      <c r="R51" s="159"/>
      <c r="S51" s="159"/>
      <c r="T51" s="159"/>
      <c r="U51" s="45" t="s">
        <v>247</v>
      </c>
      <c r="V51" s="79"/>
      <c r="W51" s="45" t="s">
        <v>249</v>
      </c>
      <c r="X51" s="159">
        <v>43489</v>
      </c>
      <c r="Y51" s="45" t="s">
        <v>247</v>
      </c>
      <c r="Z51" s="79"/>
      <c r="AA51" s="45" t="s">
        <v>249</v>
      </c>
      <c r="AB51" s="79">
        <v>43489</v>
      </c>
      <c r="AC51" s="317">
        <f t="shared" si="0"/>
        <v>0.63636363636363635</v>
      </c>
      <c r="AD51" s="38"/>
      <c r="AE51" s="161"/>
      <c r="AF51" s="38"/>
      <c r="AG51" s="79"/>
      <c r="AH51" s="38"/>
      <c r="AI51" s="43"/>
      <c r="AJ51" s="38"/>
      <c r="AK51" s="43"/>
      <c r="AL51" s="318">
        <f>COUNTIF('Liste AT'!$E$7:$E$31, "EMI ESCALE")</f>
        <v>0</v>
      </c>
      <c r="AM51" s="38" t="s">
        <v>247</v>
      </c>
    </row>
    <row r="52" spans="1:42" s="31" customFormat="1" ht="16.5" customHeight="1">
      <c r="A52" s="372"/>
      <c r="B52" s="373"/>
      <c r="C52" s="373"/>
      <c r="D52" s="374"/>
      <c r="E52" s="372"/>
      <c r="F52" s="33"/>
      <c r="G52" s="372"/>
      <c r="H52" s="33"/>
      <c r="I52" s="372"/>
      <c r="J52" s="33"/>
      <c r="K52" s="372"/>
      <c r="L52" s="33"/>
      <c r="M52" s="375"/>
      <c r="N52" s="33"/>
      <c r="O52" s="375"/>
      <c r="P52" s="33"/>
      <c r="Q52" s="375"/>
      <c r="R52" s="33"/>
      <c r="S52" s="33"/>
      <c r="T52" s="33"/>
      <c r="U52" s="375"/>
      <c r="V52" s="33"/>
      <c r="W52" s="375"/>
      <c r="X52" s="33"/>
      <c r="Y52" s="375"/>
      <c r="Z52" s="33"/>
      <c r="AA52" s="33"/>
      <c r="AB52" s="33"/>
      <c r="AC52" s="376"/>
      <c r="AD52" s="42"/>
      <c r="AE52" s="32"/>
      <c r="AF52" s="42"/>
      <c r="AG52" s="33"/>
      <c r="AH52" s="42"/>
      <c r="AI52" s="33"/>
      <c r="AJ52" s="42"/>
      <c r="AK52" s="33"/>
      <c r="AL52" s="377"/>
      <c r="AM52" s="42"/>
    </row>
    <row r="53" spans="1:42" s="31" customFormat="1" ht="16.5" customHeight="1">
      <c r="A53" s="372"/>
      <c r="C53" s="373"/>
      <c r="D53" s="374"/>
      <c r="E53" s="372"/>
      <c r="F53" s="33"/>
      <c r="G53" s="372"/>
      <c r="H53" s="33"/>
      <c r="I53" s="372"/>
      <c r="J53" s="33"/>
      <c r="K53" s="372"/>
      <c r="L53" s="33"/>
      <c r="M53" s="375"/>
      <c r="N53" s="33"/>
      <c r="O53" s="375"/>
      <c r="P53" s="33"/>
      <c r="Q53" s="375"/>
      <c r="R53" s="33"/>
      <c r="S53" s="33"/>
      <c r="T53" s="33"/>
      <c r="U53" s="375"/>
      <c r="V53" s="33"/>
      <c r="W53" s="375"/>
      <c r="X53" s="33"/>
      <c r="Y53" s="375"/>
      <c r="Z53" s="33"/>
      <c r="AA53" s="33"/>
      <c r="AB53" s="33"/>
      <c r="AC53" s="376"/>
      <c r="AD53" s="42"/>
      <c r="AE53" s="32"/>
      <c r="AF53" s="42"/>
      <c r="AG53" s="33"/>
      <c r="AH53" s="42"/>
      <c r="AI53" s="33"/>
      <c r="AJ53" s="42"/>
      <c r="AK53" s="33"/>
      <c r="AL53" s="377"/>
      <c r="AM53" s="42"/>
    </row>
    <row r="54" spans="1:42" s="31" customFormat="1" ht="19.5" customHeight="1">
      <c r="A54" s="42"/>
      <c r="D54" s="374"/>
      <c r="E54" s="42"/>
      <c r="F54" s="33"/>
      <c r="G54" s="33"/>
      <c r="H54" s="33"/>
      <c r="I54" s="32"/>
      <c r="J54" s="32"/>
      <c r="K54" s="42"/>
      <c r="L54" s="33"/>
      <c r="M54" s="33"/>
      <c r="N54" s="33"/>
      <c r="O54" s="33"/>
      <c r="P54" s="33" t="s">
        <v>908</v>
      </c>
      <c r="R54" s="32"/>
      <c r="S54" s="32"/>
      <c r="T54" s="32"/>
      <c r="U54" s="32"/>
      <c r="V54" s="32"/>
      <c r="W54" s="32"/>
      <c r="X54" s="32"/>
      <c r="Y54" s="32"/>
      <c r="Z54" s="32"/>
      <c r="AA54" s="32"/>
      <c r="AB54" s="32"/>
      <c r="AC54" s="32"/>
      <c r="AD54" s="383" t="s">
        <v>249</v>
      </c>
      <c r="AE54" s="64">
        <f>COUNTIF(AD$11:AD$46, "OUI")</f>
        <v>7</v>
      </c>
      <c r="AF54" s="378"/>
      <c r="AG54" s="378"/>
      <c r="AH54" s="383" t="s">
        <v>249</v>
      </c>
      <c r="AI54" s="64">
        <f>COUNTIF(AH$11:AH$46, "OUI")</f>
        <v>14</v>
      </c>
      <c r="AJ54" s="383" t="s">
        <v>249</v>
      </c>
      <c r="AK54" s="64">
        <f>COUNTIF(AJ$11:AJ$46, "OUI")</f>
        <v>14</v>
      </c>
      <c r="AL54" s="42"/>
    </row>
    <row r="55" spans="1:42" s="31" customFormat="1">
      <c r="A55" s="42"/>
      <c r="D55" s="374"/>
      <c r="E55" s="42"/>
      <c r="F55" s="33"/>
      <c r="G55" s="33"/>
      <c r="H55" s="33"/>
      <c r="I55" s="33"/>
      <c r="J55" s="379"/>
      <c r="K55" s="42"/>
      <c r="L55" s="33"/>
      <c r="M55" s="33"/>
      <c r="N55" s="33"/>
      <c r="O55" s="33"/>
      <c r="P55" s="33"/>
      <c r="R55" s="32"/>
      <c r="S55" s="32"/>
      <c r="T55" s="32"/>
      <c r="U55" s="32"/>
      <c r="V55" s="32"/>
      <c r="W55" s="32"/>
      <c r="X55" s="32"/>
      <c r="Y55" s="32"/>
      <c r="Z55" s="32"/>
      <c r="AA55" s="32"/>
      <c r="AB55" s="32"/>
      <c r="AC55" s="33"/>
      <c r="AD55" s="383" t="s">
        <v>549</v>
      </c>
      <c r="AE55" s="64">
        <f>COUNTIF(AD$11:AD$46, "PREVU")</f>
        <v>2</v>
      </c>
      <c r="AF55" s="378"/>
      <c r="AG55" s="378"/>
      <c r="AH55" s="383" t="s">
        <v>549</v>
      </c>
      <c r="AI55" s="64">
        <f>COUNTIF(AH$11:AH$46, "PREVU")</f>
        <v>0</v>
      </c>
      <c r="AJ55" s="383" t="s">
        <v>549</v>
      </c>
      <c r="AK55" s="64">
        <f>COUNTIF(AJ$11:AJ$46, "PREVU")</f>
        <v>0</v>
      </c>
      <c r="AL55" s="42"/>
    </row>
    <row r="56" spans="1:42" s="31" customFormat="1">
      <c r="A56" s="42"/>
      <c r="E56" s="42"/>
      <c r="F56" s="33"/>
      <c r="G56" s="33"/>
      <c r="H56" s="33"/>
      <c r="K56" s="42"/>
      <c r="L56" s="33"/>
      <c r="M56" s="33"/>
      <c r="N56" s="33"/>
      <c r="O56" s="33"/>
      <c r="P56" s="33"/>
      <c r="R56" s="32"/>
      <c r="S56" s="32"/>
      <c r="T56" s="32"/>
      <c r="U56" s="32"/>
      <c r="V56" s="32"/>
      <c r="W56" s="32"/>
      <c r="X56" s="32"/>
      <c r="Y56" s="32"/>
      <c r="Z56" s="32"/>
      <c r="AA56" s="32"/>
      <c r="AB56" s="32"/>
      <c r="AC56" s="33"/>
      <c r="AD56" s="383" t="s">
        <v>247</v>
      </c>
      <c r="AE56" s="64">
        <f>COUNTIF(AD$11:AD$46, "NON")</f>
        <v>12</v>
      </c>
      <c r="AF56" s="378"/>
      <c r="AG56" s="378"/>
      <c r="AH56" s="383" t="s">
        <v>247</v>
      </c>
      <c r="AI56" s="64">
        <f>COUNTIF(AH$11:AH$46, "NON")</f>
        <v>2</v>
      </c>
      <c r="AJ56" s="383" t="s">
        <v>247</v>
      </c>
      <c r="AK56" s="64">
        <f>COUNTIF(AJ$11:AJ$46, "NON")</f>
        <v>2</v>
      </c>
      <c r="AL56" s="42"/>
    </row>
    <row r="57" spans="1:42" s="31" customFormat="1">
      <c r="I57" s="41"/>
      <c r="J57" s="41"/>
      <c r="M57" s="33"/>
      <c r="N57" s="33"/>
      <c r="O57" s="33"/>
      <c r="P57" s="33"/>
      <c r="R57" s="32"/>
      <c r="S57" s="32"/>
      <c r="T57" s="32"/>
      <c r="U57" s="32"/>
      <c r="V57" s="32"/>
      <c r="W57" s="32"/>
      <c r="X57" s="32"/>
      <c r="Y57" s="32"/>
      <c r="Z57" s="32"/>
      <c r="AA57" s="32"/>
      <c r="AB57" s="32"/>
      <c r="AD57" s="42"/>
      <c r="AE57" s="33"/>
      <c r="AF57" s="33"/>
      <c r="AG57" s="33"/>
      <c r="AH57" s="42"/>
      <c r="AI57" s="33"/>
      <c r="AJ57" s="42"/>
      <c r="AK57" s="33"/>
      <c r="AL57" s="42"/>
    </row>
    <row r="58" spans="1:42" s="31" customFormat="1">
      <c r="A58" s="42"/>
      <c r="E58" s="42"/>
      <c r="F58" s="33"/>
      <c r="G58" s="33"/>
      <c r="H58" s="33"/>
      <c r="I58" s="33"/>
      <c r="J58" s="379"/>
      <c r="K58" s="42"/>
      <c r="L58" s="33"/>
      <c r="M58" s="33"/>
      <c r="N58" s="33"/>
      <c r="O58" s="33"/>
      <c r="P58" s="33"/>
      <c r="R58" s="32"/>
      <c r="S58" s="32"/>
      <c r="T58" s="32"/>
      <c r="U58" s="32"/>
      <c r="V58" s="32"/>
      <c r="W58" s="32"/>
      <c r="X58" s="32"/>
      <c r="Y58" s="32"/>
      <c r="Z58" s="32"/>
      <c r="AA58" s="32"/>
      <c r="AB58" s="32"/>
      <c r="AC58" s="33"/>
      <c r="AD58" s="372"/>
      <c r="AE58" s="378"/>
      <c r="AF58" s="378"/>
      <c r="AG58" s="378"/>
      <c r="AH58" s="372"/>
      <c r="AI58" s="378"/>
      <c r="AJ58" s="372"/>
      <c r="AK58" s="378"/>
      <c r="AL58" s="42"/>
    </row>
    <row r="59" spans="1:42" s="381" customFormat="1">
      <c r="A59" s="380"/>
      <c r="E59" s="380"/>
      <c r="F59" s="382"/>
      <c r="G59" s="382"/>
      <c r="H59" s="382"/>
      <c r="I59" s="31"/>
      <c r="J59" s="31"/>
      <c r="K59" s="380"/>
      <c r="L59" s="382"/>
      <c r="M59" s="382"/>
      <c r="N59" s="33"/>
      <c r="O59" s="33"/>
      <c r="P59" s="33"/>
      <c r="Q59" s="31"/>
      <c r="R59" s="32"/>
      <c r="S59" s="32"/>
      <c r="T59" s="32"/>
      <c r="U59" s="32"/>
      <c r="V59" s="32"/>
      <c r="W59" s="32"/>
      <c r="X59" s="32"/>
      <c r="Y59" s="32"/>
      <c r="Z59" s="32"/>
      <c r="AA59" s="32"/>
      <c r="AB59" s="32"/>
      <c r="AC59" s="382"/>
      <c r="AD59" s="372"/>
      <c r="AE59" s="378"/>
      <c r="AF59" s="378"/>
      <c r="AG59" s="378"/>
      <c r="AH59" s="372"/>
      <c r="AI59" s="378"/>
      <c r="AJ59" s="372"/>
      <c r="AK59" s="378"/>
      <c r="AL59" s="380"/>
    </row>
    <row r="60" spans="1:42" s="31" customFormat="1">
      <c r="I60" s="41"/>
      <c r="J60" s="41"/>
      <c r="M60" s="33"/>
      <c r="N60" s="33"/>
      <c r="O60" s="33"/>
      <c r="P60" s="33"/>
      <c r="R60" s="32"/>
      <c r="S60" s="32"/>
      <c r="T60" s="32"/>
      <c r="U60" s="32"/>
      <c r="V60" s="32"/>
      <c r="W60" s="32"/>
      <c r="X60" s="32"/>
      <c r="Y60" s="32"/>
      <c r="Z60" s="32"/>
      <c r="AA60" s="32"/>
      <c r="AB60" s="32"/>
      <c r="AD60" s="42"/>
      <c r="AE60" s="33"/>
      <c r="AF60" s="33"/>
      <c r="AG60" s="33"/>
      <c r="AH60" s="42"/>
      <c r="AI60" s="33"/>
      <c r="AJ60" s="42"/>
      <c r="AK60" s="33"/>
      <c r="AL60" s="42"/>
      <c r="AO60" s="24"/>
      <c r="AP60" s="24"/>
    </row>
    <row r="61" spans="1:42">
      <c r="I61" s="28"/>
      <c r="J61" s="195"/>
      <c r="N61" s="28"/>
      <c r="O61" s="28"/>
      <c r="P61" s="33"/>
      <c r="Q61" s="31"/>
      <c r="R61" s="32"/>
      <c r="S61" s="32"/>
      <c r="T61" s="32"/>
      <c r="U61" s="32"/>
      <c r="V61" s="32"/>
      <c r="W61" s="32"/>
      <c r="X61" s="32"/>
      <c r="Y61" s="32"/>
      <c r="Z61" s="32"/>
      <c r="AA61" s="32"/>
      <c r="AB61" s="32"/>
      <c r="AC61" s="32"/>
      <c r="AD61" s="29"/>
      <c r="AE61" s="28"/>
      <c r="AF61" s="28"/>
      <c r="AG61" s="28"/>
      <c r="AO61" s="31"/>
      <c r="AP61" s="31"/>
    </row>
    <row r="62" spans="1:42">
      <c r="I62" s="27"/>
      <c r="J62" s="27"/>
      <c r="N62" s="28"/>
      <c r="O62" s="28"/>
      <c r="P62" s="33"/>
      <c r="Q62" s="31"/>
      <c r="R62" s="32"/>
      <c r="S62" s="32"/>
      <c r="T62" s="32"/>
      <c r="U62" s="32"/>
      <c r="V62" s="32"/>
      <c r="W62" s="32"/>
      <c r="X62" s="32"/>
      <c r="Y62" s="32"/>
      <c r="Z62" s="32"/>
      <c r="AA62" s="32"/>
      <c r="AB62" s="32"/>
      <c r="AC62" s="32"/>
      <c r="AD62" s="549" t="s">
        <v>550</v>
      </c>
      <c r="AE62" s="550"/>
      <c r="AF62" s="78"/>
      <c r="AG62" s="78"/>
      <c r="AH62" s="61" t="s">
        <v>249</v>
      </c>
      <c r="AI62" s="35">
        <f>AE54+AI54+AK54</f>
        <v>35</v>
      </c>
    </row>
    <row r="63" spans="1:42" s="31" customFormat="1">
      <c r="A63" s="42"/>
      <c r="I63" s="41"/>
      <c r="J63" s="41"/>
      <c r="M63" s="33"/>
      <c r="N63" s="33"/>
      <c r="O63" s="33"/>
      <c r="P63" s="33"/>
      <c r="R63" s="32"/>
      <c r="S63" s="32"/>
      <c r="T63" s="32"/>
      <c r="U63" s="32"/>
      <c r="V63" s="32"/>
      <c r="W63" s="32"/>
      <c r="X63" s="32"/>
      <c r="Y63" s="32"/>
      <c r="Z63" s="32"/>
      <c r="AA63" s="32"/>
      <c r="AB63" s="32"/>
      <c r="AC63" s="32"/>
      <c r="AD63" s="42"/>
      <c r="AE63" s="33"/>
      <c r="AF63" s="33"/>
      <c r="AG63" s="33"/>
      <c r="AH63" s="62" t="s">
        <v>549</v>
      </c>
      <c r="AI63" s="64">
        <f>AE55+AI55+AK55</f>
        <v>2</v>
      </c>
      <c r="AJ63" s="42"/>
      <c r="AK63" s="33"/>
      <c r="AL63" s="42"/>
      <c r="AO63" s="24"/>
      <c r="AP63" s="24"/>
    </row>
    <row r="64" spans="1:42">
      <c r="I64" s="28"/>
      <c r="J64" s="195"/>
      <c r="N64" s="28"/>
      <c r="O64" s="28"/>
      <c r="P64" s="33"/>
      <c r="Q64" s="31"/>
      <c r="R64" s="32"/>
      <c r="S64" s="32"/>
      <c r="T64" s="32"/>
      <c r="U64" s="32"/>
      <c r="V64" s="32"/>
      <c r="W64" s="32"/>
      <c r="X64" s="32"/>
      <c r="Y64" s="32"/>
      <c r="Z64" s="32"/>
      <c r="AA64" s="32"/>
      <c r="AB64" s="32"/>
      <c r="AC64" s="32"/>
      <c r="AD64" s="29"/>
      <c r="AE64" s="28"/>
      <c r="AF64" s="28"/>
      <c r="AG64" s="28"/>
      <c r="AH64" s="63" t="s">
        <v>247</v>
      </c>
      <c r="AI64" s="35">
        <f>AE56+AI56+AK56</f>
        <v>16</v>
      </c>
      <c r="AO64" s="31"/>
      <c r="AP64" s="31"/>
    </row>
    <row r="65" spans="1:49">
      <c r="I65" s="27"/>
      <c r="J65" s="27"/>
      <c r="N65" s="28"/>
      <c r="O65" s="28"/>
      <c r="P65" s="33"/>
      <c r="Q65" s="31"/>
      <c r="R65" s="32"/>
      <c r="S65" s="32"/>
      <c r="T65" s="32"/>
      <c r="U65" s="32"/>
      <c r="V65" s="32"/>
      <c r="W65" s="32"/>
      <c r="X65" s="32"/>
      <c r="Y65" s="32"/>
      <c r="Z65" s="32"/>
      <c r="AA65" s="32"/>
      <c r="AB65" s="32"/>
      <c r="AC65" s="32"/>
      <c r="AD65" s="29"/>
      <c r="AE65" s="28"/>
      <c r="AF65" s="28"/>
      <c r="AG65" s="28"/>
    </row>
    <row r="66" spans="1:49" s="31" customFormat="1">
      <c r="A66" s="42"/>
      <c r="I66" s="41"/>
      <c r="J66" s="41"/>
      <c r="M66" s="33"/>
      <c r="N66" s="33"/>
      <c r="O66" s="33"/>
      <c r="P66" s="33"/>
      <c r="R66" s="32"/>
      <c r="S66" s="32"/>
      <c r="T66" s="32"/>
      <c r="U66" s="32"/>
      <c r="V66" s="32"/>
      <c r="W66" s="32"/>
      <c r="X66" s="32"/>
      <c r="Y66" s="32"/>
      <c r="Z66" s="32"/>
      <c r="AA66" s="32"/>
      <c r="AB66" s="32"/>
      <c r="AC66" s="32"/>
      <c r="AD66" s="42"/>
      <c r="AE66" s="33"/>
      <c r="AF66" s="33"/>
      <c r="AG66" s="33"/>
      <c r="AH66" s="42"/>
      <c r="AI66" s="33"/>
      <c r="AJ66" s="42"/>
      <c r="AK66" s="33"/>
      <c r="AL66" s="42"/>
      <c r="AO66" s="24"/>
      <c r="AP66" s="24"/>
    </row>
    <row r="67" spans="1:49">
      <c r="I67" s="42"/>
      <c r="J67" s="195"/>
      <c r="N67" s="28"/>
      <c r="O67" s="28"/>
      <c r="P67" s="33"/>
      <c r="Q67" s="31"/>
      <c r="R67" s="32"/>
      <c r="S67" s="32"/>
      <c r="T67" s="32"/>
      <c r="U67" s="32"/>
      <c r="V67" s="32"/>
      <c r="W67" s="32"/>
      <c r="X67" s="32"/>
      <c r="Y67" s="32"/>
      <c r="Z67" s="32"/>
      <c r="AA67" s="32"/>
      <c r="AB67" s="32"/>
      <c r="AC67" s="32"/>
      <c r="AD67" s="29"/>
      <c r="AE67" s="28"/>
      <c r="AF67" s="28"/>
      <c r="AG67" s="28"/>
      <c r="AO67" s="31"/>
      <c r="AP67" s="31"/>
    </row>
    <row r="68" spans="1:49">
      <c r="I68" s="27"/>
      <c r="J68" s="27"/>
      <c r="N68" s="28"/>
      <c r="O68" s="28"/>
      <c r="P68" s="33"/>
      <c r="Q68" s="31"/>
      <c r="R68" s="32"/>
      <c r="S68" s="32"/>
      <c r="T68" s="32"/>
      <c r="U68" s="32"/>
      <c r="V68" s="32"/>
      <c r="W68" s="32"/>
      <c r="X68" s="32"/>
      <c r="Y68" s="32"/>
      <c r="Z68" s="32"/>
      <c r="AA68" s="32"/>
      <c r="AB68" s="32"/>
      <c r="AC68" s="32"/>
      <c r="AD68" s="29"/>
      <c r="AE68" s="28"/>
      <c r="AF68" s="28"/>
      <c r="AG68" s="28"/>
    </row>
    <row r="69" spans="1:49">
      <c r="I69" s="27"/>
      <c r="J69" s="30"/>
      <c r="N69" s="28"/>
      <c r="O69" s="28"/>
      <c r="P69" s="33"/>
      <c r="Q69" s="31"/>
      <c r="R69" s="32"/>
      <c r="S69" s="32"/>
      <c r="T69" s="32"/>
      <c r="U69" s="32"/>
      <c r="V69" s="32"/>
      <c r="W69" s="32"/>
      <c r="X69" s="32"/>
      <c r="Y69" s="32"/>
      <c r="Z69" s="32"/>
      <c r="AA69" s="32"/>
      <c r="AB69" s="32"/>
      <c r="AC69" s="32"/>
      <c r="AD69" s="29"/>
      <c r="AE69" s="28"/>
      <c r="AF69" s="28"/>
      <c r="AG69" s="28"/>
    </row>
    <row r="70" spans="1:49">
      <c r="I70" s="42"/>
      <c r="J70" s="195"/>
      <c r="N70" s="28"/>
      <c r="O70" s="28"/>
      <c r="P70" s="33"/>
      <c r="Q70" s="31"/>
      <c r="R70" s="32"/>
      <c r="S70" s="32"/>
      <c r="T70" s="32"/>
      <c r="U70" s="32"/>
      <c r="V70" s="32"/>
      <c r="W70" s="32"/>
      <c r="X70" s="32"/>
      <c r="Y70" s="32"/>
      <c r="Z70" s="32"/>
      <c r="AA70" s="32"/>
      <c r="AB70" s="32"/>
      <c r="AC70" s="32"/>
      <c r="AD70" s="29"/>
      <c r="AE70" s="28"/>
      <c r="AF70" s="28"/>
      <c r="AG70" s="28"/>
    </row>
    <row r="71" spans="1:49">
      <c r="I71" s="27"/>
      <c r="J71" s="27"/>
      <c r="N71" s="28"/>
      <c r="O71" s="28"/>
      <c r="P71" s="33"/>
      <c r="Q71" s="31"/>
      <c r="R71" s="32"/>
      <c r="S71" s="32"/>
      <c r="T71" s="32"/>
      <c r="U71" s="32"/>
      <c r="V71" s="32"/>
      <c r="W71" s="32"/>
      <c r="X71" s="32"/>
      <c r="Y71" s="32"/>
      <c r="Z71" s="32"/>
      <c r="AA71" s="32"/>
      <c r="AB71" s="32"/>
      <c r="AC71" s="32"/>
      <c r="AD71" s="29"/>
      <c r="AE71" s="28"/>
      <c r="AF71" s="28"/>
      <c r="AG71" s="28"/>
    </row>
    <row r="72" spans="1:49">
      <c r="I72" s="27"/>
      <c r="J72" s="30"/>
      <c r="N72" s="28"/>
      <c r="O72" s="28"/>
      <c r="P72" s="33"/>
      <c r="Q72" s="31"/>
      <c r="R72" s="32"/>
      <c r="S72" s="32"/>
      <c r="T72" s="32"/>
      <c r="U72" s="32"/>
      <c r="V72" s="32"/>
      <c r="W72" s="32"/>
      <c r="X72" s="32"/>
      <c r="Y72" s="32"/>
      <c r="Z72" s="32"/>
      <c r="AA72" s="32"/>
      <c r="AB72" s="32"/>
      <c r="AC72" s="32"/>
      <c r="AD72" s="29"/>
      <c r="AE72" s="28"/>
      <c r="AF72" s="28"/>
      <c r="AG72" s="28"/>
      <c r="AH72" s="24"/>
      <c r="AI72" s="24"/>
      <c r="AJ72" s="24"/>
      <c r="AK72" s="24"/>
      <c r="AL72" s="24"/>
    </row>
    <row r="73" spans="1:49">
      <c r="I73" s="42"/>
      <c r="J73" s="195"/>
      <c r="N73" s="28"/>
      <c r="O73" s="28"/>
      <c r="P73" s="33"/>
      <c r="Q73" s="31"/>
      <c r="R73" s="32"/>
      <c r="S73" s="32"/>
      <c r="T73" s="32"/>
      <c r="U73" s="32"/>
      <c r="V73" s="32"/>
      <c r="W73" s="32"/>
      <c r="X73" s="32"/>
      <c r="Y73" s="32"/>
      <c r="Z73" s="32"/>
      <c r="AA73" s="32"/>
      <c r="AB73" s="32"/>
      <c r="AC73" s="32"/>
      <c r="AD73" s="29"/>
      <c r="AE73" s="28"/>
      <c r="AF73" s="28"/>
      <c r="AG73" s="28"/>
      <c r="AH73" s="24"/>
      <c r="AI73" s="24"/>
      <c r="AJ73" s="24"/>
      <c r="AK73" s="24"/>
      <c r="AL73" s="24"/>
    </row>
    <row r="74" spans="1:49">
      <c r="I74" s="27"/>
      <c r="J74" s="27"/>
      <c r="N74" s="28"/>
      <c r="O74" s="28"/>
      <c r="P74" s="33"/>
      <c r="Q74" s="31"/>
      <c r="R74" s="32"/>
      <c r="S74" s="32"/>
      <c r="T74" s="32"/>
      <c r="U74" s="32"/>
      <c r="V74" s="32"/>
      <c r="W74" s="32"/>
      <c r="X74" s="32"/>
      <c r="Y74" s="32"/>
      <c r="Z74" s="32"/>
      <c r="AA74" s="32"/>
      <c r="AB74" s="32"/>
      <c r="AC74" s="32"/>
      <c r="AD74" s="29"/>
      <c r="AE74" s="28"/>
      <c r="AF74" s="28"/>
      <c r="AG74" s="28"/>
      <c r="AH74" s="24"/>
      <c r="AI74" s="24"/>
      <c r="AJ74" s="24"/>
      <c r="AK74" s="24"/>
      <c r="AL74" s="24"/>
    </row>
    <row r="75" spans="1:49" ht="13.5" thickBot="1">
      <c r="I75" s="27"/>
      <c r="J75" s="30"/>
      <c r="N75" s="28"/>
      <c r="O75" s="28"/>
      <c r="P75" s="33"/>
      <c r="Q75" s="31"/>
      <c r="R75" s="32"/>
      <c r="S75" s="32"/>
      <c r="T75" s="32"/>
      <c r="U75" s="32"/>
      <c r="V75" s="32"/>
      <c r="W75" s="32"/>
      <c r="X75" s="32"/>
      <c r="Y75" s="32"/>
      <c r="Z75" s="32"/>
      <c r="AA75" s="32"/>
      <c r="AB75" s="32"/>
      <c r="AC75" s="32"/>
      <c r="AD75" s="29"/>
      <c r="AE75" s="28"/>
      <c r="AF75" s="28"/>
      <c r="AG75" s="28"/>
      <c r="AH75" s="24"/>
      <c r="AI75" s="24"/>
      <c r="AJ75" s="24"/>
      <c r="AK75" s="24"/>
      <c r="AL75" s="24"/>
    </row>
    <row r="76" spans="1:49" ht="15.75">
      <c r="I76" s="42"/>
      <c r="J76" s="195"/>
      <c r="N76" s="28"/>
      <c r="O76" s="28"/>
      <c r="P76" s="33"/>
      <c r="Q76" s="31"/>
      <c r="R76" s="32"/>
      <c r="S76" s="32"/>
      <c r="T76" s="32"/>
      <c r="U76" s="32"/>
      <c r="V76" s="32"/>
      <c r="W76" s="32"/>
      <c r="X76" s="32"/>
      <c r="Y76" s="32"/>
      <c r="Z76" s="32"/>
      <c r="AA76" s="32"/>
      <c r="AB76" s="32"/>
      <c r="AC76" s="32"/>
      <c r="AD76" s="29"/>
      <c r="AE76" s="28"/>
      <c r="AF76" s="28"/>
      <c r="AG76" s="28"/>
      <c r="AH76" s="24"/>
      <c r="AI76" s="24"/>
      <c r="AJ76" s="24"/>
      <c r="AK76" s="24"/>
      <c r="AL76" s="24"/>
      <c r="AQ76" s="533" t="s">
        <v>3</v>
      </c>
      <c r="AR76" s="534"/>
      <c r="AS76" s="534"/>
      <c r="AT76" s="534"/>
      <c r="AU76" s="534"/>
      <c r="AV76" s="534"/>
      <c r="AW76" s="535"/>
    </row>
    <row r="77" spans="1:49">
      <c r="I77" s="27"/>
      <c r="J77" s="27"/>
      <c r="N77" s="28"/>
      <c r="O77" s="28"/>
      <c r="P77" s="33"/>
      <c r="Q77" s="31"/>
      <c r="R77" s="32"/>
      <c r="S77" s="32"/>
      <c r="T77" s="32"/>
      <c r="U77" s="32"/>
      <c r="V77" s="32"/>
      <c r="W77" s="32"/>
      <c r="X77" s="32"/>
      <c r="Y77" s="32"/>
      <c r="Z77" s="32"/>
      <c r="AA77" s="32"/>
      <c r="AB77" s="32"/>
      <c r="AC77" s="32"/>
      <c r="AD77" s="29"/>
      <c r="AE77" s="28"/>
      <c r="AF77" s="28"/>
      <c r="AG77" s="28"/>
      <c r="AH77" s="24"/>
      <c r="AI77" s="24"/>
      <c r="AJ77" s="24"/>
      <c r="AK77" s="24"/>
      <c r="AL77" s="24"/>
      <c r="AQ77" s="198" t="s">
        <v>786</v>
      </c>
      <c r="AR77" s="66"/>
      <c r="AS77" s="36" t="s">
        <v>252</v>
      </c>
      <c r="AT77" s="38" t="s">
        <v>249</v>
      </c>
      <c r="AU77" s="44">
        <f>SUM(COUNTIFS(A11:A47,{"TER MIXTE";"TER ESCALE EST"},E11:E47,"OUI"))</f>
        <v>0</v>
      </c>
      <c r="AV77" s="38" t="s">
        <v>247</v>
      </c>
      <c r="AW77" s="199">
        <f>SUM(COUNTIFS(A11:A47,{"TER MIXTE";"TER ESCALE EST"},E11:E47,"NON"))</f>
        <v>0</v>
      </c>
    </row>
    <row r="78" spans="1:49">
      <c r="I78" s="27"/>
      <c r="J78" s="30"/>
      <c r="N78" s="28"/>
      <c r="O78" s="28"/>
      <c r="P78" s="33"/>
      <c r="Q78" s="31"/>
      <c r="R78" s="32"/>
      <c r="S78" s="32"/>
      <c r="T78" s="32"/>
      <c r="U78" s="32"/>
      <c r="V78" s="32"/>
      <c r="W78" s="32"/>
      <c r="X78" s="32"/>
      <c r="Y78" s="32"/>
      <c r="Z78" s="32"/>
      <c r="AA78" s="32"/>
      <c r="AB78" s="32"/>
      <c r="AC78" s="32"/>
      <c r="AD78" s="29"/>
      <c r="AE78" s="28"/>
      <c r="AF78" s="28"/>
      <c r="AG78" s="28"/>
      <c r="AH78" s="24"/>
      <c r="AI78" s="24"/>
      <c r="AJ78" s="24"/>
      <c r="AK78" s="24"/>
      <c r="AL78" s="24"/>
      <c r="AQ78" s="200"/>
      <c r="AR78" s="27"/>
      <c r="AS78" s="36" t="s">
        <v>787</v>
      </c>
      <c r="AT78" s="38" t="s">
        <v>249</v>
      </c>
      <c r="AU78" s="196">
        <f>AU77/$AP$11</f>
        <v>0</v>
      </c>
      <c r="AV78" s="38" t="s">
        <v>247</v>
      </c>
      <c r="AW78" s="201">
        <f>AW77/$AP$11</f>
        <v>0</v>
      </c>
    </row>
    <row r="79" spans="1:49">
      <c r="I79" s="42"/>
      <c r="J79" s="195"/>
      <c r="N79" s="28"/>
      <c r="O79" s="28"/>
      <c r="P79" s="33"/>
      <c r="Q79" s="31"/>
      <c r="R79" s="32"/>
      <c r="S79" s="32"/>
      <c r="T79" s="32"/>
      <c r="U79" s="32"/>
      <c r="V79" s="32"/>
      <c r="W79" s="32"/>
      <c r="X79" s="32"/>
      <c r="Y79" s="32"/>
      <c r="Z79" s="32"/>
      <c r="AA79" s="32"/>
      <c r="AB79" s="32"/>
      <c r="AC79" s="32"/>
      <c r="AD79" s="29"/>
      <c r="AE79" s="28"/>
      <c r="AF79" s="28"/>
      <c r="AG79" s="28"/>
      <c r="AH79" s="24"/>
      <c r="AI79" s="24"/>
      <c r="AJ79" s="24"/>
      <c r="AK79" s="24"/>
      <c r="AL79" s="24"/>
      <c r="AQ79" s="202"/>
      <c r="AR79" s="31"/>
      <c r="AS79" s="42"/>
      <c r="AT79" s="41"/>
      <c r="AU79" s="42"/>
      <c r="AV79" s="41"/>
      <c r="AW79" s="203"/>
    </row>
    <row r="80" spans="1:49">
      <c r="I80" s="27"/>
      <c r="J80" s="27"/>
      <c r="N80" s="28"/>
      <c r="O80" s="28"/>
      <c r="P80" s="33"/>
      <c r="Q80" s="31"/>
      <c r="R80" s="32"/>
      <c r="S80" s="32"/>
      <c r="T80" s="32"/>
      <c r="U80" s="32"/>
      <c r="V80" s="32"/>
      <c r="W80" s="32"/>
      <c r="X80" s="32"/>
      <c r="Y80" s="32"/>
      <c r="Z80" s="32"/>
      <c r="AA80" s="32"/>
      <c r="AB80" s="32"/>
      <c r="AC80" s="32"/>
      <c r="AD80" s="29"/>
      <c r="AE80" s="28"/>
      <c r="AF80" s="28"/>
      <c r="AG80" s="28"/>
      <c r="AH80" s="24"/>
      <c r="AI80" s="24"/>
      <c r="AJ80" s="24"/>
      <c r="AK80" s="24"/>
      <c r="AL80" s="24"/>
      <c r="AQ80" s="198" t="s">
        <v>4</v>
      </c>
      <c r="AR80" s="66"/>
      <c r="AS80" s="36" t="s">
        <v>252</v>
      </c>
      <c r="AT80" s="38" t="s">
        <v>249</v>
      </c>
      <c r="AU80" s="44">
        <f>SUM(COUNTIFS(A11:A47,{"TER MIXTE";"TER ESCALE EST"},G11:G47,"OUI"))</f>
        <v>0</v>
      </c>
      <c r="AV80" s="38" t="s">
        <v>247</v>
      </c>
      <c r="AW80" s="199">
        <f>SUM(COUNTIFS(A11:A47,{"TER MIXTE";"TER ESCALE EST"},G11:G47,"NON"))</f>
        <v>0</v>
      </c>
    </row>
    <row r="81" spans="1:49">
      <c r="I81" s="90"/>
      <c r="J81" s="90"/>
      <c r="N81" s="28"/>
      <c r="O81" s="28"/>
      <c r="P81" s="33"/>
      <c r="Q81" s="31"/>
      <c r="R81" s="32"/>
      <c r="S81" s="32"/>
      <c r="T81" s="32"/>
      <c r="U81" s="32"/>
      <c r="V81" s="32"/>
      <c r="W81" s="32"/>
      <c r="X81" s="32"/>
      <c r="Y81" s="32"/>
      <c r="Z81" s="32"/>
      <c r="AA81" s="32"/>
      <c r="AB81" s="32"/>
      <c r="AC81" s="32"/>
      <c r="AD81" s="29"/>
      <c r="AE81" s="28"/>
      <c r="AF81" s="28"/>
      <c r="AG81" s="28"/>
      <c r="AH81" s="24"/>
      <c r="AI81" s="24"/>
      <c r="AJ81" s="24"/>
      <c r="AK81" s="24"/>
      <c r="AL81" s="24"/>
      <c r="AQ81" s="200"/>
      <c r="AR81" s="27"/>
      <c r="AS81" s="36" t="s">
        <v>251</v>
      </c>
      <c r="AT81" s="38" t="s">
        <v>249</v>
      </c>
      <c r="AU81" s="196">
        <f>AU80/$AP$11</f>
        <v>0</v>
      </c>
      <c r="AV81" s="38" t="s">
        <v>247</v>
      </c>
      <c r="AW81" s="201">
        <f>AW80/$AP$11</f>
        <v>0</v>
      </c>
    </row>
    <row r="82" spans="1:49">
      <c r="I82" s="42"/>
      <c r="J82" s="195"/>
      <c r="M82" s="28"/>
      <c r="N82" s="28"/>
      <c r="O82" s="28"/>
      <c r="P82" s="33"/>
      <c r="Q82" s="31"/>
      <c r="R82" s="32"/>
      <c r="S82" s="32"/>
      <c r="T82" s="32"/>
      <c r="U82" s="32"/>
      <c r="V82" s="32"/>
      <c r="W82" s="32"/>
      <c r="X82" s="32"/>
      <c r="Y82" s="32"/>
      <c r="Z82" s="32"/>
      <c r="AA82" s="32"/>
      <c r="AB82" s="32"/>
      <c r="AC82" s="32"/>
      <c r="AD82" s="29"/>
      <c r="AE82" s="28"/>
      <c r="AF82" s="28"/>
      <c r="AG82" s="28"/>
      <c r="AH82" s="24"/>
      <c r="AI82" s="24"/>
      <c r="AJ82" s="24"/>
      <c r="AK82" s="24"/>
      <c r="AL82" s="24"/>
      <c r="AQ82" s="202"/>
      <c r="AR82" s="31"/>
      <c r="AS82" s="42"/>
      <c r="AT82" s="41"/>
      <c r="AU82" s="42"/>
      <c r="AV82" s="41"/>
      <c r="AW82" s="203"/>
    </row>
    <row r="83" spans="1:49">
      <c r="C83" s="27"/>
      <c r="D83" s="27"/>
      <c r="E83" s="29"/>
      <c r="F83" s="28"/>
      <c r="G83" s="28"/>
      <c r="H83" s="28"/>
      <c r="I83" s="27"/>
      <c r="J83" s="27"/>
      <c r="M83" s="28"/>
      <c r="N83" s="28"/>
      <c r="O83" s="28"/>
      <c r="P83" s="33"/>
      <c r="Q83" s="31"/>
      <c r="R83" s="32"/>
      <c r="S83" s="32"/>
      <c r="T83" s="32"/>
      <c r="U83" s="32"/>
      <c r="V83" s="32"/>
      <c r="W83" s="32"/>
      <c r="X83" s="32"/>
      <c r="Y83" s="32"/>
      <c r="Z83" s="32"/>
      <c r="AA83" s="32"/>
      <c r="AB83" s="32"/>
      <c r="AC83" s="32"/>
      <c r="AD83" s="29"/>
      <c r="AE83" s="28"/>
      <c r="AF83" s="28"/>
      <c r="AG83" s="28"/>
      <c r="AH83" s="24"/>
      <c r="AI83" s="24"/>
      <c r="AJ83" s="24"/>
      <c r="AK83" s="24"/>
      <c r="AL83" s="24"/>
      <c r="AQ83" s="204" t="s">
        <v>258</v>
      </c>
      <c r="AR83" s="40"/>
      <c r="AS83" s="36" t="s">
        <v>252</v>
      </c>
      <c r="AT83" s="38" t="s">
        <v>249</v>
      </c>
      <c r="AU83" s="37">
        <f>SUM(COUNTIFS(A11:A47,{"TER MIXTE";"TER ESCALE EST"},I11:I47,"OUI"))</f>
        <v>0</v>
      </c>
      <c r="AV83" s="38" t="s">
        <v>247</v>
      </c>
      <c r="AW83" s="199">
        <f>SUM(COUNTIFS(A11:A47,{"TER MIXTE";"TER ESCALE EST"},I11:I47,"NON"))</f>
        <v>0</v>
      </c>
    </row>
    <row r="84" spans="1:49">
      <c r="C84" s="27"/>
      <c r="D84" s="27"/>
      <c r="E84" s="29"/>
      <c r="F84" s="28"/>
      <c r="G84" s="28"/>
      <c r="H84" s="28"/>
      <c r="I84" s="27"/>
      <c r="J84" s="30"/>
      <c r="M84" s="28"/>
      <c r="N84" s="28"/>
      <c r="O84" s="28"/>
      <c r="P84" s="33"/>
      <c r="Q84" s="31"/>
      <c r="R84" s="32"/>
      <c r="S84" s="32"/>
      <c r="T84" s="32"/>
      <c r="U84" s="32"/>
      <c r="V84" s="32"/>
      <c r="W84" s="32"/>
      <c r="X84" s="32"/>
      <c r="Y84" s="32"/>
      <c r="Z84" s="32"/>
      <c r="AA84" s="32"/>
      <c r="AB84" s="32"/>
      <c r="AC84" s="32"/>
      <c r="AD84" s="29"/>
      <c r="AE84" s="28"/>
      <c r="AF84" s="28"/>
      <c r="AG84" s="28"/>
      <c r="AH84" s="24"/>
      <c r="AI84" s="24"/>
      <c r="AJ84" s="24"/>
      <c r="AK84" s="24"/>
      <c r="AL84" s="24"/>
      <c r="AQ84" s="200"/>
      <c r="AR84" s="27"/>
      <c r="AS84" s="36" t="s">
        <v>251</v>
      </c>
      <c r="AT84" s="38" t="s">
        <v>249</v>
      </c>
      <c r="AU84" s="196">
        <f>AU83/$AP$11</f>
        <v>0</v>
      </c>
      <c r="AV84" s="38" t="s">
        <v>247</v>
      </c>
      <c r="AW84" s="201">
        <f>AW83/$AP$11</f>
        <v>0</v>
      </c>
    </row>
    <row r="85" spans="1:49">
      <c r="C85" s="27"/>
      <c r="D85" s="27"/>
      <c r="E85" s="29"/>
      <c r="F85" s="28"/>
      <c r="G85" s="28"/>
      <c r="H85" s="28"/>
      <c r="I85" s="42"/>
      <c r="J85" s="195"/>
      <c r="M85" s="28"/>
      <c r="N85" s="197"/>
      <c r="O85" s="28"/>
      <c r="P85" s="33"/>
      <c r="Q85" s="31"/>
      <c r="R85" s="32"/>
      <c r="S85" s="32"/>
      <c r="T85" s="32"/>
      <c r="U85" s="32"/>
      <c r="V85" s="32"/>
      <c r="W85" s="32"/>
      <c r="X85" s="32"/>
      <c r="Y85" s="32"/>
      <c r="Z85" s="32"/>
      <c r="AA85" s="32"/>
      <c r="AB85" s="32"/>
      <c r="AC85" s="32"/>
      <c r="AD85" s="29"/>
      <c r="AE85" s="28"/>
      <c r="AF85" s="28"/>
      <c r="AG85" s="28"/>
      <c r="AH85" s="24"/>
      <c r="AI85" s="24"/>
      <c r="AJ85" s="24"/>
      <c r="AK85" s="24"/>
      <c r="AL85" s="24"/>
      <c r="AQ85" s="202"/>
      <c r="AR85" s="31"/>
      <c r="AS85" s="42"/>
      <c r="AT85" s="41"/>
      <c r="AU85" s="42"/>
      <c r="AV85" s="41"/>
      <c r="AW85" s="203"/>
    </row>
    <row r="86" spans="1:49">
      <c r="C86" s="27"/>
      <c r="D86" s="27"/>
      <c r="E86" s="29"/>
      <c r="F86" s="218"/>
      <c r="G86" s="34"/>
      <c r="H86" s="34"/>
      <c r="I86" s="34"/>
      <c r="J86" s="34"/>
      <c r="K86" s="34"/>
      <c r="M86" s="28"/>
      <c r="N86" s="28"/>
      <c r="O86" s="28"/>
      <c r="P86" s="33"/>
      <c r="Q86" s="31"/>
      <c r="R86" s="32"/>
      <c r="S86" s="32"/>
      <c r="T86" s="32"/>
      <c r="U86" s="32"/>
      <c r="V86" s="32"/>
      <c r="W86" s="32"/>
      <c r="X86" s="32"/>
      <c r="Y86" s="32"/>
      <c r="Z86" s="32"/>
      <c r="AA86" s="32"/>
      <c r="AB86" s="32"/>
      <c r="AC86" s="32"/>
      <c r="AD86" s="29"/>
      <c r="AE86" s="28"/>
      <c r="AF86" s="28"/>
      <c r="AG86" s="28"/>
      <c r="AH86" s="24"/>
      <c r="AI86" s="24"/>
      <c r="AJ86" s="24"/>
      <c r="AK86" s="24"/>
      <c r="AL86" s="24"/>
      <c r="AQ86" s="204" t="s">
        <v>256</v>
      </c>
      <c r="AR86" s="40"/>
      <c r="AS86" s="36" t="s">
        <v>252</v>
      </c>
      <c r="AT86" s="38" t="s">
        <v>249</v>
      </c>
      <c r="AU86" s="37">
        <f>SUM(COUNTIFS(A11:A47,{"TER MIXTE";"TER ESCALE EST"},K11:K47,"OUI"))</f>
        <v>0</v>
      </c>
      <c r="AV86" s="38" t="s">
        <v>247</v>
      </c>
      <c r="AW86" s="199">
        <f>SUM(COUNTIFS(A11:A47,{"TER MIXTE";"TER ESCALE EST"},K11:K47,"NON"))</f>
        <v>0</v>
      </c>
    </row>
    <row r="87" spans="1:49">
      <c r="A87" s="24"/>
      <c r="C87" s="27"/>
      <c r="D87" s="27"/>
      <c r="E87" s="27"/>
      <c r="F87" s="27"/>
      <c r="G87" s="27"/>
      <c r="H87" s="27"/>
      <c r="I87" s="27"/>
      <c r="J87" s="27"/>
      <c r="K87" s="24"/>
      <c r="L87" s="24"/>
      <c r="M87" s="27"/>
      <c r="N87" s="28"/>
      <c r="O87" s="28"/>
      <c r="P87" s="33"/>
      <c r="Q87" s="31"/>
      <c r="R87" s="32"/>
      <c r="S87" s="32"/>
      <c r="T87" s="32"/>
      <c r="U87" s="32"/>
      <c r="V87" s="32"/>
      <c r="W87" s="32"/>
      <c r="X87" s="32"/>
      <c r="Y87" s="32"/>
      <c r="Z87" s="32"/>
      <c r="AA87" s="32"/>
      <c r="AB87" s="32"/>
      <c r="AC87" s="32"/>
      <c r="AD87" s="29"/>
      <c r="AE87" s="28"/>
      <c r="AF87" s="28"/>
      <c r="AG87" s="28"/>
      <c r="AH87" s="24"/>
      <c r="AI87" s="24"/>
      <c r="AJ87" s="24"/>
      <c r="AK87" s="24"/>
      <c r="AL87" s="24"/>
      <c r="AQ87" s="200"/>
      <c r="AR87" s="27"/>
      <c r="AS87" s="36" t="s">
        <v>251</v>
      </c>
      <c r="AT87" s="38" t="s">
        <v>249</v>
      </c>
      <c r="AU87" s="196">
        <f>AU86/$AP$11</f>
        <v>0</v>
      </c>
      <c r="AV87" s="38" t="s">
        <v>247</v>
      </c>
      <c r="AW87" s="201">
        <f>AW86/$AP$11</f>
        <v>0</v>
      </c>
    </row>
    <row r="88" spans="1:49">
      <c r="A88" s="24"/>
      <c r="C88" s="27"/>
      <c r="D88" s="27"/>
      <c r="E88" s="27"/>
      <c r="F88" s="27"/>
      <c r="G88" s="27"/>
      <c r="H88" s="27"/>
      <c r="I88" s="27"/>
      <c r="J88" s="27"/>
      <c r="K88" s="24"/>
      <c r="L88" s="24"/>
      <c r="M88" s="27"/>
      <c r="N88" s="28"/>
      <c r="O88" s="28"/>
      <c r="P88" s="33"/>
      <c r="Q88" s="31"/>
      <c r="R88" s="32"/>
      <c r="S88" s="32"/>
      <c r="T88" s="32"/>
      <c r="U88" s="32"/>
      <c r="V88" s="32"/>
      <c r="W88" s="32"/>
      <c r="X88" s="32"/>
      <c r="Y88" s="32"/>
      <c r="Z88" s="32"/>
      <c r="AA88" s="32"/>
      <c r="AB88" s="32"/>
      <c r="AC88" s="32"/>
      <c r="AD88" s="29"/>
      <c r="AE88" s="28"/>
      <c r="AF88" s="28"/>
      <c r="AG88" s="28"/>
      <c r="AH88" s="24"/>
      <c r="AI88" s="24"/>
      <c r="AJ88" s="24"/>
      <c r="AK88" s="24"/>
      <c r="AL88" s="24"/>
      <c r="AQ88" s="202"/>
      <c r="AR88" s="31"/>
      <c r="AS88" s="42"/>
      <c r="AT88" s="41"/>
      <c r="AU88" s="42"/>
      <c r="AV88" s="41"/>
      <c r="AW88" s="203"/>
    </row>
    <row r="89" spans="1:49">
      <c r="A89" s="24"/>
      <c r="C89" s="27"/>
      <c r="D89" s="27"/>
      <c r="E89" s="27"/>
      <c r="F89" s="27"/>
      <c r="G89" s="27"/>
      <c r="H89" s="27"/>
      <c r="I89" s="27"/>
      <c r="J89" s="27"/>
      <c r="K89" s="24"/>
      <c r="L89" s="24"/>
      <c r="M89" s="27"/>
      <c r="N89" s="28"/>
      <c r="O89" s="28"/>
      <c r="P89" s="33"/>
      <c r="Q89" s="31"/>
      <c r="R89" s="32"/>
      <c r="S89" s="32"/>
      <c r="T89" s="32"/>
      <c r="U89" s="32"/>
      <c r="V89" s="32"/>
      <c r="W89" s="32"/>
      <c r="X89" s="32"/>
      <c r="Y89" s="32"/>
      <c r="Z89" s="32"/>
      <c r="AA89" s="32"/>
      <c r="AB89" s="32"/>
      <c r="AC89" s="32"/>
      <c r="AD89" s="29"/>
      <c r="AE89" s="28"/>
      <c r="AF89" s="28"/>
      <c r="AG89" s="28"/>
      <c r="AH89" s="24"/>
      <c r="AI89" s="24"/>
      <c r="AJ89" s="24"/>
      <c r="AK89" s="24"/>
      <c r="AL89" s="24"/>
      <c r="AQ89" s="204" t="s">
        <v>255</v>
      </c>
      <c r="AR89" s="40"/>
      <c r="AS89" s="36" t="s">
        <v>252</v>
      </c>
      <c r="AT89" s="38" t="s">
        <v>249</v>
      </c>
      <c r="AU89" s="37">
        <f>SUM(COUNTIFS(A11:A47,{"TER MIXTE";"TER ESCALE EST"},M11:M47,"OUI"))</f>
        <v>0</v>
      </c>
      <c r="AV89" s="38" t="s">
        <v>247</v>
      </c>
      <c r="AW89" s="199">
        <f>SUM(COUNTIFS(A11:A47,{"TER MIXTE";"TER ESCALE EST"},M11:M47,"NON"))</f>
        <v>0</v>
      </c>
    </row>
    <row r="90" spans="1:49">
      <c r="A90" s="24"/>
      <c r="C90" s="27"/>
      <c r="D90" s="27"/>
      <c r="E90" s="27"/>
      <c r="F90" s="27"/>
      <c r="G90" s="27"/>
      <c r="H90" s="27"/>
      <c r="I90" s="27"/>
      <c r="J90" s="27"/>
      <c r="K90" s="24"/>
      <c r="L90" s="24"/>
      <c r="M90" s="24"/>
      <c r="N90" s="28"/>
      <c r="O90" s="28"/>
      <c r="P90" s="28"/>
      <c r="Q90" s="28"/>
      <c r="R90" s="28"/>
      <c r="S90" s="28"/>
      <c r="T90" s="28"/>
      <c r="U90" s="28"/>
      <c r="V90" s="28"/>
      <c r="W90" s="28"/>
      <c r="X90" s="28"/>
      <c r="Y90" s="28"/>
      <c r="Z90" s="28"/>
      <c r="AA90" s="28"/>
      <c r="AB90" s="28"/>
      <c r="AC90" s="28"/>
      <c r="AD90" s="29"/>
      <c r="AE90" s="28"/>
      <c r="AF90" s="28"/>
      <c r="AG90" s="28"/>
      <c r="AH90" s="24"/>
      <c r="AI90" s="24"/>
      <c r="AJ90" s="24"/>
      <c r="AK90" s="24"/>
      <c r="AL90" s="24"/>
      <c r="AQ90" s="200"/>
      <c r="AR90" s="27"/>
      <c r="AS90" s="36" t="s">
        <v>251</v>
      </c>
      <c r="AT90" s="38" t="s">
        <v>249</v>
      </c>
      <c r="AU90" s="196">
        <f>AU89/$AP$11</f>
        <v>0</v>
      </c>
      <c r="AV90" s="38" t="s">
        <v>247</v>
      </c>
      <c r="AW90" s="201">
        <f>AW89/$AP$11</f>
        <v>0</v>
      </c>
    </row>
    <row r="91" spans="1:49">
      <c r="A91" s="24"/>
      <c r="C91" s="27"/>
      <c r="D91" s="27"/>
      <c r="E91" s="27"/>
      <c r="F91" s="27"/>
      <c r="G91" s="27"/>
      <c r="H91" s="27"/>
      <c r="I91" s="27"/>
      <c r="J91" s="27"/>
      <c r="K91" s="24"/>
      <c r="L91" s="24"/>
      <c r="M91" s="24"/>
      <c r="N91" s="28"/>
      <c r="O91" s="28"/>
      <c r="P91" s="28"/>
      <c r="Q91" s="28"/>
      <c r="R91" s="28"/>
      <c r="S91" s="28"/>
      <c r="T91" s="28"/>
      <c r="U91" s="28"/>
      <c r="V91" s="28"/>
      <c r="W91" s="28"/>
      <c r="X91" s="28"/>
      <c r="Y91" s="28"/>
      <c r="Z91" s="28"/>
      <c r="AA91" s="28"/>
      <c r="AB91" s="28"/>
      <c r="AC91" s="28"/>
      <c r="AD91" s="29"/>
      <c r="AE91" s="28"/>
      <c r="AF91" s="28"/>
      <c r="AG91" s="28"/>
      <c r="AH91" s="24"/>
      <c r="AI91" s="24"/>
      <c r="AJ91" s="24"/>
      <c r="AK91" s="24"/>
      <c r="AL91" s="24"/>
      <c r="AQ91" s="200"/>
      <c r="AR91" s="27"/>
      <c r="AS91" s="29"/>
      <c r="AT91" s="27"/>
      <c r="AU91" s="28"/>
      <c r="AV91" s="29"/>
      <c r="AW91" s="205"/>
    </row>
    <row r="92" spans="1:49">
      <c r="A92" s="24"/>
      <c r="C92" s="27"/>
      <c r="D92" s="27"/>
      <c r="E92" s="27"/>
      <c r="F92" s="27"/>
      <c r="G92" s="27"/>
      <c r="H92" s="27"/>
      <c r="I92" s="27"/>
      <c r="J92" s="27"/>
      <c r="K92" s="24"/>
      <c r="L92" s="24"/>
      <c r="M92" s="24"/>
      <c r="N92" s="28"/>
      <c r="O92" s="28"/>
      <c r="P92" s="28"/>
      <c r="Q92" s="28"/>
      <c r="R92" s="28"/>
      <c r="S92" s="28"/>
      <c r="T92" s="28"/>
      <c r="U92" s="28"/>
      <c r="V92" s="28"/>
      <c r="W92" s="28"/>
      <c r="X92" s="28"/>
      <c r="Y92" s="28"/>
      <c r="Z92" s="28"/>
      <c r="AA92" s="28"/>
      <c r="AB92" s="28"/>
      <c r="AC92" s="28"/>
      <c r="AD92" s="29"/>
      <c r="AE92" s="28"/>
      <c r="AF92" s="28"/>
      <c r="AG92" s="28"/>
      <c r="AH92" s="24"/>
      <c r="AI92" s="24"/>
      <c r="AJ92" s="24"/>
      <c r="AK92" s="24"/>
      <c r="AL92" s="24"/>
      <c r="AQ92" s="204" t="s">
        <v>254</v>
      </c>
      <c r="AR92" s="40"/>
      <c r="AS92" s="36" t="s">
        <v>252</v>
      </c>
      <c r="AT92" s="38" t="s">
        <v>249</v>
      </c>
      <c r="AU92" s="37">
        <f>SUM(COUNTIFS(A11:A47,{"TER MIXTE";"TER ESCALE EST"},O11:O47,"OUI"))</f>
        <v>0</v>
      </c>
      <c r="AV92" s="38" t="s">
        <v>247</v>
      </c>
      <c r="AW92" s="199">
        <f>SUM(COUNTIFS(A11:A47,{"TER MIXTE";"TER ESCALE EST"},O11:O47,"NON"))</f>
        <v>0</v>
      </c>
    </row>
    <row r="93" spans="1:49">
      <c r="A93" s="24"/>
      <c r="E93" s="24"/>
      <c r="F93" s="24"/>
      <c r="G93" s="24"/>
      <c r="H93" s="24"/>
      <c r="I93" s="24"/>
      <c r="J93" s="24"/>
      <c r="K93" s="24"/>
      <c r="L93" s="24"/>
      <c r="M93" s="24"/>
      <c r="N93" s="28"/>
      <c r="O93" s="28"/>
      <c r="P93" s="28"/>
      <c r="Q93" s="28"/>
      <c r="R93" s="28"/>
      <c r="S93" s="28"/>
      <c r="T93" s="28"/>
      <c r="U93" s="28"/>
      <c r="V93" s="28"/>
      <c r="W93" s="28"/>
      <c r="X93" s="28"/>
      <c r="Y93" s="28"/>
      <c r="Z93" s="28"/>
      <c r="AA93" s="28"/>
      <c r="AB93" s="28"/>
      <c r="AC93" s="28"/>
      <c r="AD93" s="29"/>
      <c r="AE93" s="28"/>
      <c r="AF93" s="28"/>
      <c r="AG93" s="28"/>
      <c r="AH93" s="24"/>
      <c r="AI93" s="24"/>
      <c r="AJ93" s="24"/>
      <c r="AK93" s="24"/>
      <c r="AL93" s="24"/>
      <c r="AQ93" s="200"/>
      <c r="AR93" s="27"/>
      <c r="AS93" s="36" t="s">
        <v>251</v>
      </c>
      <c r="AT93" s="38" t="s">
        <v>249</v>
      </c>
      <c r="AU93" s="196">
        <f>AU92/$AP$11</f>
        <v>0</v>
      </c>
      <c r="AV93" s="38" t="s">
        <v>247</v>
      </c>
      <c r="AW93" s="201">
        <f>AW92/$AP$11</f>
        <v>0</v>
      </c>
    </row>
    <row r="94" spans="1:49">
      <c r="A94" s="24"/>
      <c r="E94" s="24"/>
      <c r="F94" s="24"/>
      <c r="G94" s="24"/>
      <c r="H94" s="24"/>
      <c r="I94" s="24"/>
      <c r="J94" s="24"/>
      <c r="K94" s="24"/>
      <c r="L94" s="24"/>
      <c r="M94" s="24"/>
      <c r="N94" s="28"/>
      <c r="O94" s="28"/>
      <c r="P94" s="28"/>
      <c r="Q94" s="28"/>
      <c r="R94" s="28"/>
      <c r="S94" s="28"/>
      <c r="T94" s="28"/>
      <c r="U94" s="28"/>
      <c r="V94" s="28"/>
      <c r="W94" s="28"/>
      <c r="X94" s="28"/>
      <c r="Y94" s="28"/>
      <c r="Z94" s="28"/>
      <c r="AA94" s="28"/>
      <c r="AB94" s="28"/>
      <c r="AC94" s="28"/>
      <c r="AD94" s="29"/>
      <c r="AE94" s="28"/>
      <c r="AF94" s="28"/>
      <c r="AG94" s="28"/>
      <c r="AH94" s="24"/>
      <c r="AI94" s="24"/>
      <c r="AJ94" s="24"/>
      <c r="AK94" s="24"/>
      <c r="AL94" s="24"/>
      <c r="AQ94" s="200"/>
      <c r="AR94" s="27"/>
      <c r="AS94" s="29"/>
      <c r="AT94" s="27"/>
      <c r="AU94" s="28"/>
      <c r="AV94" s="29"/>
      <c r="AW94" s="205"/>
    </row>
    <row r="95" spans="1:49">
      <c r="A95" s="24"/>
      <c r="E95" s="24"/>
      <c r="F95" s="24"/>
      <c r="G95" s="24"/>
      <c r="H95" s="24"/>
      <c r="I95" s="24"/>
      <c r="J95" s="24"/>
      <c r="K95" s="24"/>
      <c r="L95" s="24"/>
      <c r="M95" s="24"/>
      <c r="N95" s="28"/>
      <c r="O95" s="28"/>
      <c r="P95" s="28"/>
      <c r="Q95" s="28"/>
      <c r="R95" s="28"/>
      <c r="S95" s="28"/>
      <c r="T95" s="28"/>
      <c r="U95" s="28"/>
      <c r="V95" s="28"/>
      <c r="W95" s="28"/>
      <c r="X95" s="28"/>
      <c r="Y95" s="28"/>
      <c r="Z95" s="28"/>
      <c r="AA95" s="28"/>
      <c r="AB95" s="28"/>
      <c r="AC95" s="28"/>
      <c r="AD95" s="29"/>
      <c r="AE95" s="28"/>
      <c r="AF95" s="28"/>
      <c r="AG95" s="28"/>
      <c r="AH95" s="24"/>
      <c r="AI95" s="24"/>
      <c r="AJ95" s="24"/>
      <c r="AK95" s="24"/>
      <c r="AL95" s="24"/>
      <c r="AQ95" s="211" t="s">
        <v>253</v>
      </c>
      <c r="AR95" s="212"/>
      <c r="AS95" s="36" t="s">
        <v>252</v>
      </c>
      <c r="AT95" s="38" t="s">
        <v>249</v>
      </c>
      <c r="AU95" s="37">
        <f>SUM(COUNTIFS(A11:A47,{"TER MIXTE";"TER ESCALE EST"},Q11:Q47,"OUI"))</f>
        <v>0</v>
      </c>
      <c r="AV95" s="38" t="s">
        <v>247</v>
      </c>
      <c r="AW95" s="199">
        <f>SUM(COUNTIFS(A11:A47,{"TER MIXTE";"TER ESCALE EST"},Q11:Q47,"NON"))</f>
        <v>0</v>
      </c>
    </row>
    <row r="96" spans="1:49">
      <c r="A96" s="24"/>
      <c r="E96" s="24"/>
      <c r="F96" s="24"/>
      <c r="G96" s="24"/>
      <c r="H96" s="24"/>
      <c r="I96" s="24"/>
      <c r="J96" s="24"/>
      <c r="K96" s="24"/>
      <c r="L96" s="24"/>
      <c r="M96" s="24"/>
      <c r="N96" s="28"/>
      <c r="O96" s="28"/>
      <c r="P96" s="28"/>
      <c r="Q96" s="28"/>
      <c r="R96" s="28"/>
      <c r="S96" s="28"/>
      <c r="T96" s="28"/>
      <c r="U96" s="28"/>
      <c r="V96" s="28"/>
      <c r="W96" s="28"/>
      <c r="X96" s="28"/>
      <c r="Y96" s="28"/>
      <c r="Z96" s="28"/>
      <c r="AA96" s="28"/>
      <c r="AB96" s="28"/>
      <c r="AC96" s="28"/>
      <c r="AD96" s="29"/>
      <c r="AE96" s="28"/>
      <c r="AF96" s="28"/>
      <c r="AG96" s="28"/>
      <c r="AH96" s="24"/>
      <c r="AI96" s="24"/>
      <c r="AJ96" s="24"/>
      <c r="AK96" s="24"/>
      <c r="AL96" s="24"/>
      <c r="AQ96" s="200"/>
      <c r="AR96" s="27"/>
      <c r="AS96" s="36" t="s">
        <v>251</v>
      </c>
      <c r="AT96" s="38" t="s">
        <v>249</v>
      </c>
      <c r="AU96" s="196">
        <f>AU95/$AP$11</f>
        <v>0</v>
      </c>
      <c r="AV96" s="38" t="s">
        <v>247</v>
      </c>
      <c r="AW96" s="201">
        <f>AW95/$AP$11</f>
        <v>0</v>
      </c>
    </row>
    <row r="97" spans="1:49">
      <c r="A97" s="24"/>
      <c r="E97" s="24"/>
      <c r="F97" s="24"/>
      <c r="G97" s="24"/>
      <c r="H97" s="24"/>
      <c r="I97" s="24"/>
      <c r="J97" s="24"/>
      <c r="K97" s="24"/>
      <c r="L97" s="24"/>
      <c r="M97" s="24"/>
      <c r="N97" s="28"/>
      <c r="O97" s="28"/>
      <c r="P97" s="28"/>
      <c r="Q97" s="28"/>
      <c r="R97" s="28"/>
      <c r="S97" s="28"/>
      <c r="T97" s="28"/>
      <c r="U97" s="28"/>
      <c r="V97" s="28"/>
      <c r="W97" s="28"/>
      <c r="X97" s="28"/>
      <c r="Y97" s="28"/>
      <c r="Z97" s="28"/>
      <c r="AA97" s="28"/>
      <c r="AB97" s="28"/>
      <c r="AC97" s="28"/>
      <c r="AD97" s="29"/>
      <c r="AE97" s="28"/>
      <c r="AF97" s="28"/>
      <c r="AG97" s="28"/>
      <c r="AH97" s="24"/>
      <c r="AI97" s="24"/>
      <c r="AJ97" s="24"/>
      <c r="AK97" s="24"/>
      <c r="AL97" s="24"/>
      <c r="AQ97" s="200"/>
      <c r="AR97" s="27"/>
      <c r="AS97" s="29"/>
      <c r="AT97" s="27"/>
      <c r="AU97" s="28"/>
      <c r="AV97" s="29"/>
      <c r="AW97" s="205"/>
    </row>
    <row r="98" spans="1:49">
      <c r="A98" s="24"/>
      <c r="E98" s="24"/>
      <c r="F98" s="24"/>
      <c r="G98" s="24"/>
      <c r="H98" s="24"/>
      <c r="I98" s="24"/>
      <c r="J98" s="24"/>
      <c r="K98" s="24"/>
      <c r="L98" s="24"/>
      <c r="M98" s="24"/>
      <c r="N98" s="28"/>
      <c r="O98" s="28"/>
      <c r="P98" s="28"/>
      <c r="Q98" s="28"/>
      <c r="R98" s="28"/>
      <c r="S98" s="28"/>
      <c r="T98" s="28"/>
      <c r="U98" s="28"/>
      <c r="V98" s="28"/>
      <c r="W98" s="28"/>
      <c r="X98" s="28"/>
      <c r="Y98" s="28"/>
      <c r="Z98" s="28"/>
      <c r="AA98" s="28"/>
      <c r="AB98" s="28"/>
      <c r="AC98" s="28"/>
      <c r="AD98" s="29"/>
      <c r="AE98" s="28"/>
      <c r="AF98" s="28"/>
      <c r="AG98" s="28"/>
      <c r="AH98" s="24"/>
      <c r="AI98" s="24"/>
      <c r="AJ98" s="24"/>
      <c r="AK98" s="24"/>
      <c r="AL98" s="24"/>
      <c r="AQ98" s="204" t="s">
        <v>566</v>
      </c>
      <c r="AR98" s="40"/>
      <c r="AS98" s="36" t="s">
        <v>252</v>
      </c>
      <c r="AT98" s="38" t="s">
        <v>249</v>
      </c>
      <c r="AU98" s="37">
        <f>SUM(COUNTIFS(A11:A47,{"TER MIXTE";"TER ESCALE EST"},U11:U47,"OUI"))</f>
        <v>0</v>
      </c>
      <c r="AV98" s="38" t="s">
        <v>247</v>
      </c>
      <c r="AW98" s="199">
        <f>SUM(COUNTIFS(A11:A47,{"TER MIXTE";"TER ESCALE EST"},U11:U47,"NON"))</f>
        <v>0</v>
      </c>
    </row>
    <row r="99" spans="1:49">
      <c r="A99" s="24"/>
      <c r="E99" s="24"/>
      <c r="F99" s="24"/>
      <c r="G99" s="24"/>
      <c r="H99" s="24"/>
      <c r="I99" s="24"/>
      <c r="J99" s="24"/>
      <c r="K99" s="24"/>
      <c r="L99" s="24"/>
      <c r="M99" s="24"/>
      <c r="N99" s="28"/>
      <c r="O99" s="28"/>
      <c r="P99" s="28"/>
      <c r="Q99" s="28"/>
      <c r="R99" s="28"/>
      <c r="S99" s="28"/>
      <c r="T99" s="28"/>
      <c r="U99" s="28"/>
      <c r="V99" s="28"/>
      <c r="W99" s="28"/>
      <c r="X99" s="28"/>
      <c r="Y99" s="28"/>
      <c r="Z99" s="28"/>
      <c r="AA99" s="28"/>
      <c r="AB99" s="28"/>
      <c r="AC99" s="28"/>
      <c r="AD99" s="29"/>
      <c r="AE99" s="28"/>
      <c r="AF99" s="28"/>
      <c r="AG99" s="28"/>
      <c r="AH99" s="24"/>
      <c r="AI99" s="24"/>
      <c r="AJ99" s="24"/>
      <c r="AK99" s="24"/>
      <c r="AL99" s="24"/>
      <c r="AQ99" s="200"/>
      <c r="AR99" s="27"/>
      <c r="AS99" s="36" t="s">
        <v>251</v>
      </c>
      <c r="AT99" s="38" t="s">
        <v>249</v>
      </c>
      <c r="AU99" s="196">
        <f>AU98/$AP$11</f>
        <v>0</v>
      </c>
      <c r="AV99" s="38" t="s">
        <v>247</v>
      </c>
      <c r="AW99" s="201">
        <f>AW98/$AP$11</f>
        <v>0</v>
      </c>
    </row>
    <row r="100" spans="1:49">
      <c r="A100" s="24"/>
      <c r="E100" s="24"/>
      <c r="F100" s="24"/>
      <c r="G100" s="24"/>
      <c r="H100" s="24"/>
      <c r="I100" s="24"/>
      <c r="J100" s="24"/>
      <c r="K100" s="24"/>
      <c r="L100" s="24"/>
      <c r="M100" s="24"/>
      <c r="N100" s="28"/>
      <c r="O100" s="28"/>
      <c r="P100" s="28"/>
      <c r="Q100" s="28"/>
      <c r="R100" s="28"/>
      <c r="S100" s="28"/>
      <c r="T100" s="28"/>
      <c r="U100" s="28"/>
      <c r="V100" s="28"/>
      <c r="W100" s="28"/>
      <c r="X100" s="28"/>
      <c r="Y100" s="28"/>
      <c r="Z100" s="28"/>
      <c r="AA100" s="28"/>
      <c r="AB100" s="28"/>
      <c r="AC100" s="28"/>
      <c r="AD100" s="29"/>
      <c r="AE100" s="28"/>
      <c r="AF100" s="28"/>
      <c r="AG100" s="28"/>
      <c r="AH100" s="24"/>
      <c r="AI100" s="24"/>
      <c r="AJ100" s="24"/>
      <c r="AK100" s="24"/>
      <c r="AL100" s="24"/>
      <c r="AQ100" s="200"/>
      <c r="AR100" s="27"/>
      <c r="AS100" s="313"/>
      <c r="AT100" s="29"/>
      <c r="AU100" s="314"/>
      <c r="AV100" s="29"/>
      <c r="AW100" s="315"/>
    </row>
    <row r="101" spans="1:49">
      <c r="A101" s="24"/>
      <c r="E101" s="24"/>
      <c r="F101" s="24"/>
      <c r="G101" s="24"/>
      <c r="H101" s="24"/>
      <c r="I101" s="24"/>
      <c r="J101" s="24"/>
      <c r="K101" s="24"/>
      <c r="L101" s="24"/>
      <c r="M101" s="24"/>
      <c r="N101" s="28"/>
      <c r="O101" s="28"/>
      <c r="P101" s="28"/>
      <c r="Q101" s="28"/>
      <c r="R101" s="28"/>
      <c r="S101" s="28"/>
      <c r="T101" s="28"/>
      <c r="U101" s="28"/>
      <c r="V101" s="28"/>
      <c r="W101" s="28"/>
      <c r="X101" s="28"/>
      <c r="Y101" s="28"/>
      <c r="Z101" s="28"/>
      <c r="AA101" s="28"/>
      <c r="AB101" s="28"/>
      <c r="AC101" s="28"/>
      <c r="AD101" s="29"/>
      <c r="AE101" s="28"/>
      <c r="AF101" s="28"/>
      <c r="AG101" s="28"/>
      <c r="AH101" s="24"/>
      <c r="AI101" s="24"/>
      <c r="AJ101" s="24"/>
      <c r="AK101" s="24"/>
      <c r="AL101" s="24"/>
      <c r="AQ101" s="200"/>
      <c r="AR101" s="27"/>
      <c r="AS101" s="29"/>
      <c r="AT101" s="27"/>
      <c r="AU101" s="28"/>
      <c r="AV101" s="29"/>
      <c r="AW101" s="205"/>
    </row>
    <row r="102" spans="1:49">
      <c r="A102" s="24"/>
      <c r="E102" s="24"/>
      <c r="F102" s="24"/>
      <c r="G102" s="24"/>
      <c r="H102" s="24"/>
      <c r="I102" s="24"/>
      <c r="J102" s="24"/>
      <c r="K102" s="24"/>
      <c r="L102" s="24"/>
      <c r="M102" s="24"/>
      <c r="N102" s="28"/>
      <c r="O102" s="28"/>
      <c r="P102" s="28"/>
      <c r="Q102" s="28"/>
      <c r="R102" s="28"/>
      <c r="S102" s="28"/>
      <c r="T102" s="28"/>
      <c r="U102" s="28"/>
      <c r="V102" s="28"/>
      <c r="W102" s="28"/>
      <c r="X102" s="28"/>
      <c r="Y102" s="28"/>
      <c r="Z102" s="28"/>
      <c r="AA102" s="28"/>
      <c r="AB102" s="28"/>
      <c r="AC102" s="28"/>
      <c r="AD102" s="29"/>
      <c r="AE102" s="28"/>
      <c r="AF102" s="28"/>
      <c r="AG102" s="28"/>
      <c r="AH102" s="24"/>
      <c r="AI102" s="24"/>
      <c r="AJ102" s="24"/>
      <c r="AK102" s="24"/>
      <c r="AL102" s="24"/>
      <c r="AQ102" s="200"/>
      <c r="AR102" s="27"/>
      <c r="AS102" s="29"/>
      <c r="AT102" s="27"/>
      <c r="AU102" s="28"/>
      <c r="AV102" s="29"/>
      <c r="AW102" s="205"/>
    </row>
    <row r="103" spans="1:49">
      <c r="A103" s="24"/>
      <c r="E103" s="24"/>
      <c r="F103" s="24"/>
      <c r="G103" s="24"/>
      <c r="H103" s="24"/>
      <c r="I103" s="24"/>
      <c r="J103" s="24"/>
      <c r="K103" s="24"/>
      <c r="L103" s="24"/>
      <c r="M103" s="24"/>
      <c r="N103" s="28"/>
      <c r="O103" s="28"/>
      <c r="P103" s="28"/>
      <c r="Q103" s="28"/>
      <c r="R103" s="28"/>
      <c r="S103" s="28"/>
      <c r="T103" s="28"/>
      <c r="U103" s="28"/>
      <c r="V103" s="28"/>
      <c r="W103" s="28"/>
      <c r="X103" s="28"/>
      <c r="Y103" s="28"/>
      <c r="Z103" s="28"/>
      <c r="AA103" s="28"/>
      <c r="AB103" s="28"/>
      <c r="AC103" s="28"/>
      <c r="AD103" s="29"/>
      <c r="AE103" s="28"/>
      <c r="AF103" s="28"/>
      <c r="AG103" s="28"/>
      <c r="AH103" s="24"/>
      <c r="AI103" s="24"/>
      <c r="AJ103" s="24"/>
      <c r="AK103" s="24"/>
      <c r="AL103" s="24"/>
      <c r="AQ103" s="204" t="s">
        <v>587</v>
      </c>
      <c r="AR103" s="40"/>
      <c r="AS103" s="36" t="s">
        <v>252</v>
      </c>
      <c r="AT103" s="38" t="s">
        <v>249</v>
      </c>
      <c r="AU103" s="37">
        <f>SUM(COUNTIFS(A11:A47,{"TER MIXTE";"TER ESCALE EST"},W11:W47,"OUI"))</f>
        <v>0</v>
      </c>
      <c r="AV103" s="38" t="s">
        <v>247</v>
      </c>
      <c r="AW103" s="199">
        <f>SUM(COUNTIFS(A11:A47,{"TER MIXTE";"TER ESCALE EST"},W11:W47,"NON"))</f>
        <v>0</v>
      </c>
    </row>
    <row r="104" spans="1:49">
      <c r="A104" s="24"/>
      <c r="E104" s="24"/>
      <c r="F104" s="24"/>
      <c r="G104" s="24"/>
      <c r="H104" s="24"/>
      <c r="I104" s="24"/>
      <c r="J104" s="24"/>
      <c r="K104" s="24"/>
      <c r="L104" s="24"/>
      <c r="M104" s="24"/>
      <c r="N104" s="28"/>
      <c r="O104" s="28"/>
      <c r="P104" s="28"/>
      <c r="Q104" s="28"/>
      <c r="R104" s="28"/>
      <c r="S104" s="28"/>
      <c r="T104" s="28"/>
      <c r="U104" s="28"/>
      <c r="V104" s="28"/>
      <c r="W104" s="28"/>
      <c r="X104" s="28"/>
      <c r="Y104" s="28"/>
      <c r="Z104" s="28"/>
      <c r="AA104" s="28"/>
      <c r="AB104" s="28"/>
      <c r="AC104" s="28"/>
      <c r="AD104" s="29"/>
      <c r="AE104" s="28"/>
      <c r="AF104" s="28"/>
      <c r="AG104" s="28"/>
      <c r="AH104" s="24"/>
      <c r="AI104" s="24"/>
      <c r="AJ104" s="24"/>
      <c r="AK104" s="24"/>
      <c r="AL104" s="24"/>
      <c r="AQ104" s="200"/>
      <c r="AR104" s="27"/>
      <c r="AS104" s="36" t="s">
        <v>251</v>
      </c>
      <c r="AT104" s="38" t="s">
        <v>249</v>
      </c>
      <c r="AU104" s="196">
        <f>AU103/$AP$11</f>
        <v>0</v>
      </c>
      <c r="AV104" s="38" t="s">
        <v>247</v>
      </c>
      <c r="AW104" s="201">
        <f>AW103/$AP$11</f>
        <v>0</v>
      </c>
    </row>
    <row r="105" spans="1:49">
      <c r="A105" s="24"/>
      <c r="E105" s="24"/>
      <c r="F105" s="24"/>
      <c r="G105" s="24"/>
      <c r="H105" s="24"/>
      <c r="I105" s="24"/>
      <c r="J105" s="24"/>
      <c r="K105" s="24"/>
      <c r="L105" s="24"/>
      <c r="M105" s="24"/>
      <c r="N105" s="28"/>
      <c r="O105" s="28"/>
      <c r="P105" s="28"/>
      <c r="Q105" s="28"/>
      <c r="R105" s="28"/>
      <c r="S105" s="28"/>
      <c r="T105" s="28"/>
      <c r="U105" s="28"/>
      <c r="V105" s="28"/>
      <c r="W105" s="28"/>
      <c r="X105" s="28"/>
      <c r="Y105" s="28"/>
      <c r="Z105" s="28"/>
      <c r="AA105" s="28"/>
      <c r="AB105" s="28"/>
      <c r="AC105" s="28"/>
      <c r="AD105" s="29"/>
      <c r="AE105" s="28"/>
      <c r="AF105" s="28"/>
      <c r="AG105" s="28"/>
      <c r="AH105" s="24"/>
      <c r="AI105" s="24"/>
      <c r="AJ105" s="24"/>
      <c r="AK105" s="24"/>
      <c r="AL105" s="24"/>
      <c r="AQ105" s="200"/>
      <c r="AR105" s="27"/>
      <c r="AS105" s="42"/>
      <c r="AT105" s="90"/>
      <c r="AU105" s="90"/>
      <c r="AV105" s="90"/>
      <c r="AW105" s="206"/>
    </row>
    <row r="106" spans="1:49">
      <c r="A106" s="24"/>
      <c r="E106" s="24"/>
      <c r="F106" s="24"/>
      <c r="G106" s="24"/>
      <c r="H106" s="24"/>
      <c r="I106" s="24"/>
      <c r="J106" s="24"/>
      <c r="K106" s="24"/>
      <c r="L106" s="24"/>
      <c r="M106" s="24"/>
      <c r="N106" s="28"/>
      <c r="O106" s="28"/>
      <c r="P106" s="28"/>
      <c r="Q106" s="28"/>
      <c r="R106" s="28"/>
      <c r="S106" s="28"/>
      <c r="T106" s="28"/>
      <c r="U106" s="28"/>
      <c r="V106" s="28"/>
      <c r="W106" s="28"/>
      <c r="X106" s="28"/>
      <c r="Y106" s="28"/>
      <c r="Z106" s="28"/>
      <c r="AA106" s="28"/>
      <c r="AB106" s="28"/>
      <c r="AC106" s="28"/>
      <c r="AD106" s="29"/>
      <c r="AE106" s="28"/>
      <c r="AF106" s="28"/>
      <c r="AG106" s="28"/>
      <c r="AH106" s="24"/>
      <c r="AI106" s="24"/>
      <c r="AJ106" s="24"/>
      <c r="AK106" s="24"/>
      <c r="AL106" s="24"/>
      <c r="AQ106" s="204" t="s">
        <v>588</v>
      </c>
      <c r="AR106" s="40"/>
      <c r="AS106" s="36" t="s">
        <v>252</v>
      </c>
      <c r="AT106" s="38" t="s">
        <v>249</v>
      </c>
      <c r="AU106" s="37">
        <f>SUM(COUNTIFS(A11:A47,{"TER MIXTE";"TER ESCALE EST"},Y11:Y47,"OUI"))</f>
        <v>0</v>
      </c>
      <c r="AV106" s="38" t="s">
        <v>247</v>
      </c>
      <c r="AW106" s="199">
        <f>SUM(COUNTIFS(A11:A47,{"TER MIXTE";"TER ESCALE EST"},Y11:Y47,"NON"))</f>
        <v>0</v>
      </c>
    </row>
    <row r="107" spans="1:49">
      <c r="A107" s="24"/>
      <c r="E107" s="24"/>
      <c r="F107" s="24"/>
      <c r="G107" s="24"/>
      <c r="H107" s="24"/>
      <c r="I107" s="24"/>
      <c r="J107" s="24"/>
      <c r="K107" s="24"/>
      <c r="L107" s="24"/>
      <c r="M107" s="24"/>
      <c r="N107" s="28"/>
      <c r="O107" s="28"/>
      <c r="P107" s="28"/>
      <c r="Q107" s="28"/>
      <c r="R107" s="28"/>
      <c r="S107" s="28"/>
      <c r="T107" s="28"/>
      <c r="U107" s="28"/>
      <c r="V107" s="28"/>
      <c r="W107" s="28"/>
      <c r="X107" s="28"/>
      <c r="Y107" s="28"/>
      <c r="Z107" s="28"/>
      <c r="AA107" s="28"/>
      <c r="AB107" s="28"/>
      <c r="AC107" s="28"/>
      <c r="AD107" s="29"/>
      <c r="AE107" s="28"/>
      <c r="AF107" s="28"/>
      <c r="AG107" s="28"/>
      <c r="AH107" s="24"/>
      <c r="AI107" s="24"/>
      <c r="AJ107" s="24"/>
      <c r="AK107" s="24"/>
      <c r="AL107" s="24"/>
      <c r="AQ107" s="200"/>
      <c r="AR107" s="27"/>
      <c r="AS107" s="36" t="s">
        <v>251</v>
      </c>
      <c r="AT107" s="38" t="s">
        <v>249</v>
      </c>
      <c r="AU107" s="196">
        <f>AU106/$AP$11</f>
        <v>0</v>
      </c>
      <c r="AV107" s="38" t="s">
        <v>247</v>
      </c>
      <c r="AW107" s="201">
        <f>AW106/$AP$11</f>
        <v>0</v>
      </c>
    </row>
    <row r="108" spans="1:49">
      <c r="A108" s="24"/>
      <c r="E108" s="24"/>
      <c r="F108" s="24"/>
      <c r="G108" s="24"/>
      <c r="H108" s="24"/>
      <c r="I108" s="24"/>
      <c r="J108" s="24"/>
      <c r="K108" s="24"/>
      <c r="L108" s="24"/>
      <c r="M108" s="24"/>
      <c r="N108" s="28"/>
      <c r="O108" s="28"/>
      <c r="P108" s="28"/>
      <c r="Q108" s="28"/>
      <c r="R108" s="28"/>
      <c r="S108" s="28"/>
      <c r="T108" s="28"/>
      <c r="U108" s="28"/>
      <c r="V108" s="28"/>
      <c r="W108" s="28"/>
      <c r="X108" s="28"/>
      <c r="Y108" s="28"/>
      <c r="Z108" s="28"/>
      <c r="AA108" s="28"/>
      <c r="AB108" s="28"/>
      <c r="AC108" s="28"/>
      <c r="AD108" s="29"/>
      <c r="AE108" s="28"/>
      <c r="AF108" s="28"/>
      <c r="AG108" s="28"/>
      <c r="AH108" s="24"/>
      <c r="AI108" s="24"/>
      <c r="AJ108" s="24"/>
      <c r="AK108" s="24"/>
      <c r="AL108" s="24"/>
      <c r="AQ108" s="200"/>
      <c r="AR108" s="27"/>
      <c r="AS108" s="29"/>
      <c r="AT108" s="27"/>
      <c r="AU108" s="28"/>
      <c r="AV108" s="29"/>
      <c r="AW108" s="205"/>
    </row>
    <row r="109" spans="1:49" ht="13.5" thickBot="1">
      <c r="A109" s="24"/>
      <c r="E109" s="24"/>
      <c r="F109" s="24"/>
      <c r="G109" s="24"/>
      <c r="H109" s="24"/>
      <c r="I109" s="24"/>
      <c r="J109" s="24"/>
      <c r="K109" s="24"/>
      <c r="L109" s="24"/>
      <c r="M109" s="24"/>
      <c r="N109" s="28"/>
      <c r="O109" s="28"/>
      <c r="P109" s="28"/>
      <c r="Q109" s="28"/>
      <c r="R109" s="28"/>
      <c r="S109" s="28"/>
      <c r="T109" s="28"/>
      <c r="U109" s="28"/>
      <c r="V109" s="28"/>
      <c r="W109" s="28"/>
      <c r="X109" s="28"/>
      <c r="Y109" s="28"/>
      <c r="Z109" s="28"/>
      <c r="AA109" s="28"/>
      <c r="AB109" s="28"/>
      <c r="AC109" s="28"/>
      <c r="AD109" s="29"/>
      <c r="AE109" s="28"/>
      <c r="AF109" s="28"/>
      <c r="AG109" s="28"/>
      <c r="AH109" s="24"/>
      <c r="AI109" s="24"/>
      <c r="AJ109" s="24"/>
      <c r="AK109" s="24"/>
      <c r="AL109" s="24"/>
      <c r="AQ109" s="207"/>
      <c r="AR109" s="208"/>
      <c r="AS109" s="213" t="s">
        <v>788</v>
      </c>
      <c r="AT109" s="214" t="s">
        <v>249</v>
      </c>
      <c r="AU109" s="215">
        <f>(AVERAGE(AU106,AU103,AU98,AU95,AU92,AU89,AU86,AU83,AU80,AU77))/AP11</f>
        <v>0</v>
      </c>
      <c r="AV109" s="216" t="s">
        <v>247</v>
      </c>
      <c r="AW109" s="217">
        <f>(AVERAGE(AW106,AW103,AW98,AW95,AW92,AW89,AW86,AW83,AW80,AW77))/AP11</f>
        <v>0</v>
      </c>
    </row>
    <row r="110" spans="1:49">
      <c r="A110" s="24"/>
      <c r="E110" s="24"/>
      <c r="F110" s="24"/>
      <c r="G110" s="24"/>
      <c r="H110" s="24"/>
      <c r="I110" s="24"/>
      <c r="J110" s="24"/>
      <c r="K110" s="24"/>
      <c r="L110" s="24"/>
      <c r="M110" s="24"/>
      <c r="N110" s="28"/>
      <c r="O110" s="28"/>
      <c r="P110" s="28"/>
      <c r="Q110" s="28"/>
      <c r="R110" s="28"/>
      <c r="S110" s="28"/>
      <c r="T110" s="28"/>
      <c r="U110" s="28"/>
      <c r="V110" s="28"/>
      <c r="W110" s="28"/>
      <c r="X110" s="28"/>
      <c r="Y110" s="28"/>
      <c r="Z110" s="28"/>
      <c r="AA110" s="28"/>
      <c r="AB110" s="28"/>
      <c r="AC110" s="28"/>
      <c r="AD110" s="29"/>
      <c r="AE110" s="28"/>
      <c r="AF110" s="28"/>
      <c r="AG110" s="28"/>
      <c r="AH110" s="24"/>
      <c r="AI110" s="24"/>
      <c r="AJ110" s="24"/>
      <c r="AK110" s="24"/>
      <c r="AL110" s="24"/>
    </row>
    <row r="111" spans="1:49">
      <c r="A111" s="24"/>
      <c r="E111" s="24"/>
      <c r="F111" s="24"/>
      <c r="G111" s="24"/>
      <c r="H111" s="24"/>
      <c r="I111" s="24"/>
      <c r="J111" s="24"/>
      <c r="K111" s="24"/>
      <c r="L111" s="24"/>
      <c r="M111" s="24"/>
      <c r="N111" s="28"/>
      <c r="O111" s="28"/>
      <c r="P111" s="28"/>
      <c r="Q111" s="28"/>
      <c r="R111" s="28"/>
      <c r="S111" s="28"/>
      <c r="T111" s="28"/>
      <c r="U111" s="28"/>
      <c r="V111" s="28"/>
      <c r="W111" s="28"/>
      <c r="X111" s="28"/>
      <c r="Y111" s="28"/>
      <c r="Z111" s="28"/>
      <c r="AA111" s="28"/>
      <c r="AB111" s="28"/>
      <c r="AC111" s="28"/>
      <c r="AD111" s="29"/>
      <c r="AE111" s="28"/>
      <c r="AF111" s="28"/>
      <c r="AG111" s="28"/>
      <c r="AH111" s="24"/>
      <c r="AI111" s="24"/>
      <c r="AJ111" s="24"/>
      <c r="AK111" s="24"/>
      <c r="AL111" s="24"/>
    </row>
    <row r="112" spans="1:49">
      <c r="A112" s="24"/>
      <c r="E112" s="24"/>
      <c r="F112" s="24"/>
      <c r="G112" s="24"/>
      <c r="H112" s="24"/>
      <c r="I112" s="24"/>
      <c r="J112" s="24"/>
      <c r="K112" s="24"/>
      <c r="L112" s="24"/>
      <c r="M112" s="24"/>
      <c r="N112" s="28"/>
      <c r="O112" s="28"/>
      <c r="P112" s="28"/>
      <c r="Q112" s="28"/>
      <c r="R112" s="28"/>
      <c r="S112" s="28"/>
      <c r="T112" s="28"/>
      <c r="U112" s="28"/>
      <c r="V112" s="28"/>
      <c r="W112" s="28"/>
      <c r="X112" s="28"/>
      <c r="Y112" s="28"/>
      <c r="Z112" s="28"/>
      <c r="AA112" s="28"/>
      <c r="AB112" s="28"/>
      <c r="AC112" s="28"/>
      <c r="AD112" s="29"/>
      <c r="AE112" s="28"/>
      <c r="AF112" s="28"/>
      <c r="AG112" s="28"/>
      <c r="AH112" s="24"/>
      <c r="AI112" s="24"/>
      <c r="AJ112" s="24"/>
      <c r="AK112" s="24"/>
      <c r="AL112" s="24"/>
    </row>
    <row r="113" spans="1:38">
      <c r="A113" s="24"/>
      <c r="E113" s="24"/>
      <c r="F113" s="24"/>
      <c r="G113" s="24"/>
      <c r="H113" s="24"/>
      <c r="I113" s="24"/>
      <c r="J113" s="24"/>
      <c r="K113" s="24"/>
      <c r="L113" s="24"/>
      <c r="M113" s="24"/>
      <c r="N113" s="28"/>
      <c r="O113" s="28"/>
      <c r="P113" s="28"/>
      <c r="Q113" s="28"/>
      <c r="R113" s="28"/>
      <c r="S113" s="28"/>
      <c r="T113" s="28"/>
      <c r="U113" s="28"/>
      <c r="V113" s="28"/>
      <c r="W113" s="28"/>
      <c r="X113" s="28"/>
      <c r="Y113" s="28"/>
      <c r="Z113" s="28"/>
      <c r="AA113" s="28"/>
      <c r="AB113" s="28"/>
      <c r="AC113" s="28"/>
      <c r="AD113" s="29"/>
      <c r="AE113" s="28"/>
      <c r="AF113" s="28"/>
      <c r="AG113" s="28"/>
      <c r="AH113" s="24"/>
      <c r="AI113" s="24"/>
      <c r="AJ113" s="24"/>
      <c r="AK113" s="24"/>
      <c r="AL113" s="24"/>
    </row>
    <row r="114" spans="1:38">
      <c r="A114" s="24"/>
      <c r="E114" s="24"/>
      <c r="F114" s="24"/>
      <c r="G114" s="24"/>
      <c r="H114" s="24"/>
      <c r="I114" s="24"/>
      <c r="J114" s="24"/>
      <c r="K114" s="24"/>
      <c r="L114" s="24"/>
      <c r="M114" s="24"/>
      <c r="N114" s="28"/>
      <c r="O114" s="28"/>
      <c r="P114" s="28"/>
      <c r="Q114" s="28"/>
      <c r="R114" s="28"/>
      <c r="S114" s="28"/>
      <c r="T114" s="28"/>
      <c r="U114" s="28"/>
      <c r="V114" s="28"/>
      <c r="W114" s="28"/>
      <c r="X114" s="28"/>
      <c r="Y114" s="28"/>
      <c r="Z114" s="28"/>
      <c r="AA114" s="28"/>
      <c r="AB114" s="28"/>
      <c r="AC114" s="28"/>
      <c r="AD114" s="29"/>
      <c r="AE114" s="28"/>
      <c r="AF114" s="28"/>
      <c r="AG114" s="28"/>
      <c r="AH114" s="24"/>
      <c r="AI114" s="24"/>
      <c r="AJ114" s="24"/>
      <c r="AK114" s="24"/>
      <c r="AL114" s="24"/>
    </row>
    <row r="115" spans="1:38">
      <c r="A115" s="24"/>
      <c r="E115" s="24"/>
      <c r="F115" s="24"/>
      <c r="G115" s="24"/>
      <c r="H115" s="24"/>
      <c r="I115" s="24"/>
      <c r="J115" s="24"/>
      <c r="K115" s="24"/>
      <c r="L115" s="24"/>
      <c r="M115" s="24"/>
      <c r="N115" s="28"/>
      <c r="O115" s="28"/>
      <c r="P115" s="28"/>
      <c r="Q115" s="28"/>
      <c r="R115" s="28"/>
      <c r="S115" s="28"/>
      <c r="T115" s="28"/>
      <c r="U115" s="28"/>
      <c r="V115" s="28"/>
      <c r="W115" s="28"/>
      <c r="X115" s="28"/>
      <c r="Y115" s="28"/>
      <c r="Z115" s="28"/>
      <c r="AA115" s="28"/>
      <c r="AB115" s="28"/>
      <c r="AC115" s="28"/>
      <c r="AD115" s="29"/>
      <c r="AE115" s="28"/>
      <c r="AF115" s="28"/>
      <c r="AG115" s="28"/>
      <c r="AH115" s="24"/>
      <c r="AI115" s="24"/>
      <c r="AJ115" s="24"/>
      <c r="AK115" s="24"/>
      <c r="AL115" s="24"/>
    </row>
    <row r="116" spans="1:38">
      <c r="A116" s="24"/>
      <c r="E116" s="24"/>
      <c r="F116" s="24"/>
      <c r="G116" s="24"/>
      <c r="H116" s="24"/>
      <c r="I116" s="24"/>
      <c r="J116" s="24"/>
      <c r="K116" s="24"/>
      <c r="L116" s="24"/>
      <c r="M116" s="24"/>
      <c r="N116" s="28"/>
      <c r="O116" s="28"/>
      <c r="P116" s="28"/>
      <c r="Q116" s="28"/>
      <c r="R116" s="28"/>
      <c r="S116" s="28"/>
      <c r="T116" s="28"/>
      <c r="U116" s="28"/>
      <c r="V116" s="28"/>
      <c r="W116" s="28"/>
      <c r="X116" s="28"/>
      <c r="Y116" s="28"/>
      <c r="Z116" s="28"/>
      <c r="AA116" s="28"/>
      <c r="AB116" s="28"/>
      <c r="AC116" s="28"/>
      <c r="AD116" s="29"/>
      <c r="AE116" s="28"/>
      <c r="AF116" s="28"/>
      <c r="AG116" s="28"/>
      <c r="AH116" s="24"/>
      <c r="AI116" s="24"/>
      <c r="AJ116" s="24"/>
      <c r="AK116" s="24"/>
      <c r="AL116" s="24"/>
    </row>
    <row r="117" spans="1:38">
      <c r="A117" s="24"/>
      <c r="E117" s="24"/>
      <c r="F117" s="24"/>
      <c r="G117" s="24"/>
      <c r="H117" s="24"/>
      <c r="I117" s="24"/>
      <c r="J117" s="24"/>
      <c r="K117" s="24"/>
      <c r="L117" s="24"/>
      <c r="M117" s="24"/>
      <c r="N117" s="28"/>
      <c r="O117" s="28"/>
      <c r="P117" s="28"/>
      <c r="Q117" s="28"/>
      <c r="R117" s="28"/>
      <c r="S117" s="28"/>
      <c r="T117" s="28"/>
      <c r="U117" s="28"/>
      <c r="V117" s="28"/>
      <c r="W117" s="28"/>
      <c r="X117" s="28"/>
      <c r="Y117" s="28"/>
      <c r="Z117" s="28"/>
      <c r="AA117" s="28"/>
      <c r="AB117" s="28"/>
      <c r="AC117" s="28"/>
      <c r="AD117" s="29"/>
      <c r="AE117" s="28"/>
      <c r="AF117" s="28"/>
      <c r="AG117" s="28"/>
      <c r="AH117" s="24"/>
      <c r="AI117" s="24"/>
      <c r="AJ117" s="24"/>
      <c r="AK117" s="24"/>
      <c r="AL117" s="24"/>
    </row>
    <row r="118" spans="1:38">
      <c r="AH118" s="24"/>
      <c r="AI118" s="24"/>
      <c r="AJ118" s="24"/>
      <c r="AK118" s="24"/>
      <c r="AL118" s="24"/>
    </row>
  </sheetData>
  <autoFilter ref="A7:AL51" xr:uid="{00000000-0009-0000-0000-000001000000}"/>
  <mergeCells count="22">
    <mergeCell ref="AD62:AE62"/>
    <mergeCell ref="U6:V6"/>
    <mergeCell ref="Y6:Z6"/>
    <mergeCell ref="W6:X6"/>
    <mergeCell ref="AJ6:AK6"/>
    <mergeCell ref="AA6:AB6"/>
    <mergeCell ref="AQ76:AW76"/>
    <mergeCell ref="AD5:AM5"/>
    <mergeCell ref="A2:C2"/>
    <mergeCell ref="A4:C5"/>
    <mergeCell ref="E5:AC5"/>
    <mergeCell ref="E6:F6"/>
    <mergeCell ref="G6:H6"/>
    <mergeCell ref="I6:J6"/>
    <mergeCell ref="K6:L6"/>
    <mergeCell ref="M6:N6"/>
    <mergeCell ref="O6:P6"/>
    <mergeCell ref="Q6:R6"/>
    <mergeCell ref="AD6:AE6"/>
    <mergeCell ref="AF6:AG6"/>
    <mergeCell ref="AH6:AI6"/>
    <mergeCell ref="S6:T6"/>
  </mergeCells>
  <phoneticPr fontId="8" type="noConversion"/>
  <conditionalFormatting sqref="W14:W15 Y19:Y20 U19:U20 W19:W20 Q19:Q20 K19:K20 O19:O20 I19:I20 G19:G20 M19:M20 E19:E20 K86:K65550 AV108:AV109 AV77:AV78 E86:E65550 AT108:AT109 E22 M22 G22 I22 O22 K22 Q22 W22 U22 Y22 E1:E8 M6:M8 G8 I6:I8 O8 K6:K8 Q8 U8:U15 Y8:Y15 W8:W12 G10:G15 E10:E15 M10:M15 I10:I15 O10:O15 K10:K15 Q10:Q15 U17 Y17 W17 G17 E17 M17 I17 O17 K17 Q17 AA8:AA20 U32:U53 U24:U30 Y32:Y53 Y24:Y30 W32:W53 W24:W30 G32:G53 G24:G30 E32:E53 E24:E30 M32:M53 M24:M30 I32:I53 I24:I30 O32:O53 O24:O30 K32:K54 K24:K30 Q32:Q53 Q24:Q30 AA22:AA51">
    <cfRule type="cellIs" dxfId="202" priority="255" stopIfTrue="1" operator="equal">
      <formula>"NON"</formula>
    </cfRule>
    <cfRule type="cellIs" dxfId="201" priority="256" stopIfTrue="1" operator="equal">
      <formula>"OUI"</formula>
    </cfRule>
    <cfRule type="cellIs" dxfId="200" priority="257" stopIfTrue="1" operator="equal">
      <formula>"INSCRIT"</formula>
    </cfRule>
  </conditionalFormatting>
  <conditionalFormatting sqref="AH19:AH20 AJ19:AJ20 AJ22 AH22 AJ10:AJ15 AH10:AH15 AJ8 AH8 AF19:AF20 AD19:AD20 AM19:AM20 AM8:AM17 AD8:AD17 AF8:AF17 AJ32:AJ53 AJ24:AJ30 AH32:AH53 AH24:AH30 AM32:AM53 AM23:AM30 AD32:AD53 AD22:AD30 AF32:AF53 AF22:AF30">
    <cfRule type="cellIs" dxfId="199" priority="243" stopIfTrue="1" operator="equal">
      <formula>"oui"</formula>
    </cfRule>
    <cfRule type="cellIs" dxfId="198" priority="244" stopIfTrue="1" operator="equal">
      <formula>"non"</formula>
    </cfRule>
    <cfRule type="cellIs" dxfId="197" priority="245" stopIfTrue="1" operator="equal">
      <formula>"prevu"</formula>
    </cfRule>
  </conditionalFormatting>
  <conditionalFormatting sqref="I61 I64 I67 I69:I70 I72:I73 I75 I1:I4 K1:K4 M1:M4 I58 M54:M65550 I54:I55 AT101:AT102 AV101:AV102 I78 I84:I65550 AV80:AV81 AV83:AV84 AV86:AV87 AV89:AV97 AT77:AT97">
    <cfRule type="cellIs" dxfId="196" priority="323" stopIfTrue="1" operator="equal">
      <formula>"NON"</formula>
    </cfRule>
    <cfRule type="cellIs" dxfId="195" priority="324" stopIfTrue="1" operator="equal">
      <formula>"OUI"</formula>
    </cfRule>
    <cfRule type="cellIs" dxfId="194" priority="325" stopIfTrue="1" operator="equal">
      <formula>"INSCRIT"</formula>
    </cfRule>
  </conditionalFormatting>
  <conditionalFormatting sqref="AC8:AC53">
    <cfRule type="cellIs" dxfId="193" priority="317" stopIfTrue="1" operator="greaterThan">
      <formula>0.75</formula>
    </cfRule>
    <cfRule type="cellIs" dxfId="192" priority="318" stopIfTrue="1" operator="between">
      <formula>0.5</formula>
      <formula>0.75</formula>
    </cfRule>
    <cfRule type="cellIs" dxfId="191" priority="319" stopIfTrue="1" operator="between">
      <formula>0.25</formula>
      <formula>0.5</formula>
    </cfRule>
  </conditionalFormatting>
  <conditionalFormatting sqref="AH17 AJ17">
    <cfRule type="cellIs" dxfId="190" priority="326" stopIfTrue="1" operator="equal">
      <formula>"oui"</formula>
    </cfRule>
    <cfRule type="cellIs" dxfId="189" priority="327" stopIfTrue="1" operator="equal">
      <formula>"non"</formula>
    </cfRule>
    <cfRule type="cellIs" dxfId="188" priority="328" stopIfTrue="1" operator="equal">
      <formula>"prevu"</formula>
    </cfRule>
  </conditionalFormatting>
  <conditionalFormatting sqref="AL22 AL19:AL20 AL9:AL15 AL17 AL32:AL53 AL24:AL30">
    <cfRule type="cellIs" dxfId="187" priority="329" stopIfTrue="1" operator="greaterThan">
      <formula>0</formula>
    </cfRule>
  </conditionalFormatting>
  <conditionalFormatting sqref="Q9 K9 O9 I9 G9 M9 E9">
    <cfRule type="cellIs" dxfId="186" priority="270" stopIfTrue="1" operator="equal">
      <formula>"NON"</formula>
    </cfRule>
    <cfRule type="cellIs" dxfId="185" priority="271" stopIfTrue="1" operator="equal">
      <formula>"OUI"</formula>
    </cfRule>
    <cfRule type="cellIs" dxfId="184" priority="272" stopIfTrue="1" operator="equal">
      <formula>"INSCRIT"</formula>
    </cfRule>
  </conditionalFormatting>
  <conditionalFormatting sqref="AH9 AJ9">
    <cfRule type="cellIs" dxfId="183" priority="273" stopIfTrue="1" operator="equal">
      <formula>"oui"</formula>
    </cfRule>
    <cfRule type="cellIs" dxfId="182" priority="274" stopIfTrue="1" operator="equal">
      <formula>"non"</formula>
    </cfRule>
    <cfRule type="cellIs" dxfId="181" priority="275" stopIfTrue="1" operator="equal">
      <formula>"prevu"</formula>
    </cfRule>
  </conditionalFormatting>
  <conditionalFormatting sqref="W13">
    <cfRule type="cellIs" dxfId="180" priority="252" stopIfTrue="1" operator="equal">
      <formula>"NON"</formula>
    </cfRule>
    <cfRule type="cellIs" dxfId="179" priority="253" stopIfTrue="1" operator="equal">
      <formula>"OUI"</formula>
    </cfRule>
    <cfRule type="cellIs" dxfId="178" priority="254" stopIfTrue="1" operator="equal">
      <formula>"INSCRIT"</formula>
    </cfRule>
  </conditionalFormatting>
  <conditionalFormatting sqref="I79 AT103:AT105 AV103:AV104">
    <cfRule type="cellIs" dxfId="177" priority="236" stopIfTrue="1" operator="equal">
      <formula>"NON"</formula>
    </cfRule>
    <cfRule type="cellIs" dxfId="176" priority="237" stopIfTrue="1" operator="equal">
      <formula>"OUI"</formula>
    </cfRule>
    <cfRule type="cellIs" dxfId="175" priority="238" stopIfTrue="1" operator="equal">
      <formula>"INSCRIT"</formula>
    </cfRule>
  </conditionalFormatting>
  <conditionalFormatting sqref="I76 AT98:AT100 AV98:AV100">
    <cfRule type="cellIs" dxfId="174" priority="239" stopIfTrue="1" operator="equal">
      <formula>"NON"</formula>
    </cfRule>
    <cfRule type="cellIs" dxfId="173" priority="240" stopIfTrue="1" operator="equal">
      <formula>"OUI"</formula>
    </cfRule>
    <cfRule type="cellIs" dxfId="172" priority="241" stopIfTrue="1" operator="equal">
      <formula>"INSCRIT"</formula>
    </cfRule>
  </conditionalFormatting>
  <conditionalFormatting sqref="I82 AT106:AT107 AV106:AV107">
    <cfRule type="cellIs" dxfId="171" priority="233" stopIfTrue="1" operator="equal">
      <formula>"NON"</formula>
    </cfRule>
    <cfRule type="cellIs" dxfId="170" priority="234" stopIfTrue="1" operator="equal">
      <formula>"OUI"</formula>
    </cfRule>
    <cfRule type="cellIs" dxfId="169" priority="235" stopIfTrue="1" operator="equal">
      <formula>"INSCRIT"</formula>
    </cfRule>
  </conditionalFormatting>
  <conditionalFormatting sqref="AH16 AJ16">
    <cfRule type="cellIs" dxfId="168" priority="156" stopIfTrue="1" operator="equal">
      <formula>"oui"</formula>
    </cfRule>
    <cfRule type="cellIs" dxfId="167" priority="157" stopIfTrue="1" operator="equal">
      <formula>"non"</formula>
    </cfRule>
    <cfRule type="cellIs" dxfId="166" priority="158" stopIfTrue="1" operator="equal">
      <formula>"prevu"</formula>
    </cfRule>
  </conditionalFormatting>
  <conditionalFormatting sqref="Y16 U16 W16 Q16 K16 O16 I16 G16 M16 E16">
    <cfRule type="cellIs" dxfId="165" priority="159" stopIfTrue="1" operator="equal">
      <formula>"NON"</formula>
    </cfRule>
    <cfRule type="cellIs" dxfId="164" priority="160" stopIfTrue="1" operator="equal">
      <formula>"OUI"</formula>
    </cfRule>
    <cfRule type="cellIs" dxfId="163" priority="161" stopIfTrue="1" operator="equal">
      <formula>"INSCRIT"</formula>
    </cfRule>
  </conditionalFormatting>
  <conditionalFormatting sqref="AL16">
    <cfRule type="cellIs" dxfId="162" priority="168" stopIfTrue="1" operator="greaterThan">
      <formula>0</formula>
    </cfRule>
  </conditionalFormatting>
  <conditionalFormatting sqref="AJ23 AH23">
    <cfRule type="cellIs" dxfId="161" priority="137" stopIfTrue="1" operator="equal">
      <formula>"oui"</formula>
    </cfRule>
    <cfRule type="cellIs" dxfId="160" priority="138" stopIfTrue="1" operator="equal">
      <formula>"non"</formula>
    </cfRule>
    <cfRule type="cellIs" dxfId="159" priority="139" stopIfTrue="1" operator="equal">
      <formula>"prevu"</formula>
    </cfRule>
  </conditionalFormatting>
  <conditionalFormatting sqref="U23 Y23">
    <cfRule type="cellIs" dxfId="158" priority="140" stopIfTrue="1" operator="equal">
      <formula>"NON"</formula>
    </cfRule>
    <cfRule type="cellIs" dxfId="157" priority="141" stopIfTrue="1" operator="equal">
      <formula>"OUI"</formula>
    </cfRule>
    <cfRule type="cellIs" dxfId="156" priority="142" stopIfTrue="1" operator="equal">
      <formula>"INSCRIT"</formula>
    </cfRule>
  </conditionalFormatting>
  <conditionalFormatting sqref="Q23 K23 O23 I23 G23 M23 E23">
    <cfRule type="cellIs" dxfId="155" priority="152" stopIfTrue="1" operator="equal">
      <formula>"NON"</formula>
    </cfRule>
    <cfRule type="cellIs" dxfId="154" priority="153" stopIfTrue="1" operator="equal">
      <formula>"OUI"</formula>
    </cfRule>
    <cfRule type="cellIs" dxfId="153" priority="154" stopIfTrue="1" operator="equal">
      <formula>"INSCRIT"</formula>
    </cfRule>
  </conditionalFormatting>
  <conditionalFormatting sqref="AL23">
    <cfRule type="cellIs" dxfId="152" priority="155" stopIfTrue="1" operator="greaterThan">
      <formula>0</formula>
    </cfRule>
  </conditionalFormatting>
  <conditionalFormatting sqref="W23">
    <cfRule type="cellIs" dxfId="151" priority="143" stopIfTrue="1" operator="equal">
      <formula>"NON"</formula>
    </cfRule>
    <cfRule type="cellIs" dxfId="150" priority="144" stopIfTrue="1" operator="equal">
      <formula>"OUI"</formula>
    </cfRule>
    <cfRule type="cellIs" dxfId="149" priority="145" stopIfTrue="1" operator="equal">
      <formula>"INSCRIT"</formula>
    </cfRule>
  </conditionalFormatting>
  <conditionalFormatting sqref="AM22">
    <cfRule type="cellIs" dxfId="148" priority="127" stopIfTrue="1" operator="equal">
      <formula>"oui"</formula>
    </cfRule>
    <cfRule type="cellIs" dxfId="147" priority="128" stopIfTrue="1" operator="equal">
      <formula>"non"</formula>
    </cfRule>
    <cfRule type="cellIs" dxfId="146" priority="129" stopIfTrue="1" operator="equal">
      <formula>"prevu"</formula>
    </cfRule>
  </conditionalFormatting>
  <conditionalFormatting sqref="U31 Y31 W31 Q31 K31 O31 I31 G31 M31 E31">
    <cfRule type="cellIs" dxfId="145" priority="92" stopIfTrue="1" operator="equal">
      <formula>"NON"</formula>
    </cfRule>
    <cfRule type="cellIs" dxfId="144" priority="93" stopIfTrue="1" operator="equal">
      <formula>"OUI"</formula>
    </cfRule>
    <cfRule type="cellIs" dxfId="143" priority="94" stopIfTrue="1" operator="equal">
      <formula>"INSCRIT"</formula>
    </cfRule>
  </conditionalFormatting>
  <conditionalFormatting sqref="AM31 AD31 AF31">
    <cfRule type="cellIs" dxfId="142" priority="89" stopIfTrue="1" operator="equal">
      <formula>"oui"</formula>
    </cfRule>
    <cfRule type="cellIs" dxfId="141" priority="90" stopIfTrue="1" operator="equal">
      <formula>"non"</formula>
    </cfRule>
    <cfRule type="cellIs" dxfId="140" priority="91" stopIfTrue="1" operator="equal">
      <formula>"prevu"</formula>
    </cfRule>
  </conditionalFormatting>
  <conditionalFormatting sqref="AL31">
    <cfRule type="cellIs" dxfId="139" priority="107" stopIfTrue="1" operator="greaterThan">
      <formula>0</formula>
    </cfRule>
  </conditionalFormatting>
  <conditionalFormatting sqref="AH31">
    <cfRule type="cellIs" dxfId="138" priority="98" stopIfTrue="1" operator="equal">
      <formula>"oui"</formula>
    </cfRule>
    <cfRule type="cellIs" dxfId="137" priority="99" stopIfTrue="1" operator="equal">
      <formula>"non"</formula>
    </cfRule>
    <cfRule type="cellIs" dxfId="136" priority="100" stopIfTrue="1" operator="equal">
      <formula>"prevu"</formula>
    </cfRule>
  </conditionalFormatting>
  <conditionalFormatting sqref="AJ31">
    <cfRule type="cellIs" dxfId="135" priority="95" stopIfTrue="1" operator="equal">
      <formula>"oui"</formula>
    </cfRule>
    <cfRule type="cellIs" dxfId="134" priority="96" stopIfTrue="1" operator="equal">
      <formula>"non"</formula>
    </cfRule>
    <cfRule type="cellIs" dxfId="133" priority="97" stopIfTrue="1" operator="equal">
      <formula>"prevu"</formula>
    </cfRule>
  </conditionalFormatting>
  <conditionalFormatting sqref="U18 Y18 W18 Q18 K18 O18 I18 G18 M18 E18">
    <cfRule type="cellIs" dxfId="132" priority="79" stopIfTrue="1" operator="equal">
      <formula>"NON"</formula>
    </cfRule>
    <cfRule type="cellIs" dxfId="131" priority="80" stopIfTrue="1" operator="equal">
      <formula>"OUI"</formula>
    </cfRule>
    <cfRule type="cellIs" dxfId="130" priority="81" stopIfTrue="1" operator="equal">
      <formula>"INSCRIT"</formula>
    </cfRule>
  </conditionalFormatting>
  <conditionalFormatting sqref="AM18 AD18 AF18 AH18 AJ18">
    <cfRule type="cellIs" dxfId="129" priority="76" stopIfTrue="1" operator="equal">
      <formula>"oui"</formula>
    </cfRule>
    <cfRule type="cellIs" dxfId="128" priority="77" stopIfTrue="1" operator="equal">
      <formula>"non"</formula>
    </cfRule>
    <cfRule type="cellIs" dxfId="127" priority="78" stopIfTrue="1" operator="equal">
      <formula>"prevu"</formula>
    </cfRule>
  </conditionalFormatting>
  <conditionalFormatting sqref="AL8 AL18">
    <cfRule type="cellIs" dxfId="126" priority="88" stopIfTrue="1" operator="greaterThan">
      <formula>0</formula>
    </cfRule>
  </conditionalFormatting>
  <conditionalFormatting sqref="A8:A67">
    <cfRule type="cellIs" dxfId="125" priority="1" operator="equal">
      <formula>"TER EST"</formula>
    </cfRule>
    <cfRule type="containsText" dxfId="124" priority="39" operator="containsText" text="EMI">
      <formula>NOT(ISERROR(SEARCH("EMI",A8)))</formula>
    </cfRule>
    <cfRule type="cellIs" dxfId="123" priority="47" stopIfTrue="1" operator="equal">
      <formula>"TER OUEST"</formula>
    </cfRule>
    <cfRule type="cellIs" dxfId="122" priority="48" stopIfTrue="1" operator="equal">
      <formula>"TRAIN"</formula>
    </cfRule>
    <cfRule type="cellIs" dxfId="121" priority="49" stopIfTrue="1" operator="equal">
      <formula>"SIEGE"</formula>
    </cfRule>
  </conditionalFormatting>
  <conditionalFormatting sqref="AJ21 AH21 AD21 AF21">
    <cfRule type="cellIs" dxfId="120" priority="12" stopIfTrue="1" operator="equal">
      <formula>"oui"</formula>
    </cfRule>
    <cfRule type="cellIs" dxfId="119" priority="13" stopIfTrue="1" operator="equal">
      <formula>"non"</formula>
    </cfRule>
    <cfRule type="cellIs" dxfId="118" priority="14" stopIfTrue="1" operator="equal">
      <formula>"prevu"</formula>
    </cfRule>
  </conditionalFormatting>
  <conditionalFormatting sqref="AL21">
    <cfRule type="cellIs" dxfId="117" priority="30" stopIfTrue="1" operator="greaterThan">
      <formula>0</formula>
    </cfRule>
  </conditionalFormatting>
  <conditionalFormatting sqref="AM21">
    <cfRule type="cellIs" dxfId="116" priority="9" stopIfTrue="1" operator="equal">
      <formula>"oui"</formula>
    </cfRule>
    <cfRule type="cellIs" dxfId="115" priority="10" stopIfTrue="1" operator="equal">
      <formula>"non"</formula>
    </cfRule>
    <cfRule type="cellIs" dxfId="114" priority="11" stopIfTrue="1" operator="equal">
      <formula>"prevu"</formula>
    </cfRule>
  </conditionalFormatting>
  <conditionalFormatting sqref="W21 U21 Y21 AA21 Q21 K21 O21 I21 G21 M21 E21">
    <cfRule type="cellIs" dxfId="113" priority="2" stopIfTrue="1" operator="equal">
      <formula>"NON"</formula>
    </cfRule>
    <cfRule type="cellIs" dxfId="112" priority="3" stopIfTrue="1" operator="equal">
      <formula>"OUI"</formula>
    </cfRule>
    <cfRule type="cellIs" dxfId="111" priority="4" stopIfTrue="1" operator="equal">
      <formula>"INSCRIT"</formula>
    </cfRule>
  </conditionalFormatting>
  <conditionalFormatting sqref="AO4:AO6">
    <cfRule type="containsText" dxfId="110" priority="34" operator="containsText" text="EMI">
      <formula>NOT(ISERROR(SEARCH("EMI",AO4)))</formula>
    </cfRule>
    <cfRule type="containsText" dxfId="109" priority="35" operator="containsText" text="TER EST">
      <formula>NOT(ISERROR(SEARCH("TER EST",AO4)))</formula>
    </cfRule>
    <cfRule type="cellIs" dxfId="108" priority="36" stopIfTrue="1" operator="equal">
      <formula>"TER OUEST"</formula>
    </cfRule>
    <cfRule type="cellIs" dxfId="107" priority="37" stopIfTrue="1" operator="equal">
      <formula>"TRAIN"</formula>
    </cfRule>
    <cfRule type="cellIs" dxfId="106" priority="38" stopIfTrue="1" operator="equal">
      <formula>"SIEGE"</formula>
    </cfRule>
  </conditionalFormatting>
  <dataValidations count="4">
    <dataValidation type="list" allowBlank="1" showInputMessage="1" showErrorMessage="1" sqref="AO2:AO4 A8:A10 A17:A35 A36:A40" xr:uid="{00000000-0002-0000-0100-000000000000}">
      <formula1>UO</formula1>
    </dataValidation>
    <dataValidation type="list" allowBlank="1" showInputMessage="1" showErrorMessage="1" sqref="A41:A53 A11:A16" xr:uid="{00000000-0002-0000-0100-000001000000}">
      <formula1>UO_ESV</formula1>
    </dataValidation>
    <dataValidation type="list" allowBlank="1" showInputMessage="1" showErrorMessage="1" sqref="AA8:AA35 AA36:AA51 K8:K35 K36:K53 Y8:Y35 Y36:Y53 U8:U35 U36:U53 Q8:Q35 Q36:Q53 E8:E35 E36:E53 O8:O35 O36:O53 G8:G35 G36:G53 W8:W35 W36:W53 M8:M35 M36:M53 I8:I35 I36:I53" xr:uid="{00000000-0002-0000-0100-000002000000}">
      <formula1>SuiviFormation</formula1>
    </dataValidation>
    <dataValidation type="list" allowBlank="1" showInputMessage="1" showErrorMessage="1" sqref="AJ8:AJ35 AJ36:AJ53 AH8:AH35 AH36:AH53 AD8:AD35 AD36:AD53 AF8:AF35 AF36:AF53 AM8:AM35 AM36:AM53" xr:uid="{00000000-0002-0000-0100-000003000000}">
      <formula1>ouinonprevu</formula1>
    </dataValidation>
  </dataValidations>
  <hyperlinks>
    <hyperlink ref="A4:C5" location="'Tableau de bord'!D34" tooltip="Retour au Tableau de Bord" display="RETOUR AU TABLEAU DE BORD" xr:uid="{00000000-0004-0000-0100-000000000000}"/>
  </hyperlinks>
  <printOptions horizontalCentered="1" verticalCentered="1"/>
  <pageMargins left="0.25" right="0.25" top="0.75" bottom="0.75" header="0.3" footer="0.3"/>
  <pageSetup paperSize="8" scale="62" orientation="landscape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>
    <tabColor rgb="FFC00000"/>
  </sheetPr>
  <dimension ref="A1:AR297"/>
  <sheetViews>
    <sheetView showGridLines="0" tabSelected="1" zoomScale="75" zoomScaleNormal="75" workbookViewId="0">
      <pane xSplit="4" ySplit="6" topLeftCell="K7" activePane="bottomRight" state="frozen"/>
      <selection pane="topRight" activeCell="E1" sqref="E1"/>
      <selection pane="bottomLeft" activeCell="A4" sqref="A4"/>
      <selection pane="bottomRight" activeCell="O8" sqref="O8"/>
    </sheetView>
  </sheetViews>
  <sheetFormatPr baseColWidth="10" defaultRowHeight="12.75"/>
  <cols>
    <col min="1" max="1" width="9" style="12" customWidth="1"/>
    <col min="2" max="2" width="14.85546875" style="12" customWidth="1"/>
    <col min="3" max="3" width="15.7109375" style="12" customWidth="1"/>
    <col min="4" max="4" width="8.7109375" style="12" customWidth="1"/>
    <col min="5" max="5" width="27.7109375" style="12" customWidth="1"/>
    <col min="6" max="6" width="10.28515625" style="12" customWidth="1"/>
    <col min="7" max="8" width="4.7109375" style="12" customWidth="1"/>
    <col min="9" max="9" width="11.5703125" style="12" customWidth="1"/>
    <col min="10" max="10" width="9.5703125" style="12" customWidth="1"/>
    <col min="11" max="11" width="8.7109375" style="12" customWidth="1"/>
    <col min="12" max="12" width="10.140625" style="12" customWidth="1"/>
    <col min="13" max="13" width="11.5703125" style="12" customWidth="1"/>
    <col min="14" max="14" width="12.85546875" style="12" customWidth="1"/>
    <col min="15" max="15" width="11.85546875" style="12" customWidth="1"/>
    <col min="16" max="16" width="6.28515625" style="257" customWidth="1"/>
    <col min="17" max="17" width="17" style="12" customWidth="1"/>
    <col min="18" max="18" width="23.5703125" style="12" customWidth="1"/>
    <col min="19" max="19" width="12.7109375" style="12" customWidth="1"/>
    <col min="20" max="20" width="15.7109375" style="12" customWidth="1"/>
    <col min="21" max="21" width="4.7109375" style="12" customWidth="1"/>
    <col min="22" max="22" width="11.42578125" style="12" customWidth="1"/>
    <col min="23" max="23" width="10.7109375" style="12" customWidth="1"/>
    <col min="24" max="24" width="56.7109375" style="12" customWidth="1"/>
    <col min="25" max="25" width="16.5703125" style="13" customWidth="1"/>
    <col min="26" max="26" width="12.42578125" style="13" customWidth="1"/>
    <col min="27" max="27" width="11.5703125" style="13" customWidth="1"/>
    <col min="28" max="28" width="5.7109375" style="13" customWidth="1"/>
    <col min="29" max="29" width="9.42578125" style="13" customWidth="1"/>
    <col min="30" max="30" width="7.28515625" style="13" customWidth="1"/>
    <col min="31" max="35" width="5.7109375" style="13" customWidth="1"/>
    <col min="36" max="36" width="13.85546875" style="451" customWidth="1"/>
    <col min="37" max="37" width="12.28515625" style="456" customWidth="1"/>
    <col min="38" max="38" width="5.7109375" style="451" customWidth="1"/>
    <col min="39" max="40" width="5.7109375" style="13" customWidth="1"/>
    <col min="41" max="41" width="8.140625" style="13" customWidth="1"/>
    <col min="42" max="42" width="8.7109375" style="13" customWidth="1"/>
    <col min="43" max="16384" width="11.42578125" style="12"/>
  </cols>
  <sheetData>
    <row r="1" spans="1:44" ht="4.5" customHeight="1"/>
    <row r="2" spans="1:44" ht="12.75" customHeight="1">
      <c r="B2" s="559" t="s">
        <v>299</v>
      </c>
      <c r="C2" s="559"/>
      <c r="D2" s="559"/>
    </row>
    <row r="3" spans="1:44">
      <c r="B3" s="559"/>
      <c r="C3" s="559"/>
      <c r="D3" s="559"/>
    </row>
    <row r="4" spans="1:44" ht="5.25" customHeight="1" thickBot="1"/>
    <row r="5" spans="1:44" ht="19.5" customHeight="1">
      <c r="A5" s="2"/>
      <c r="D5" s="556" t="s">
        <v>9</v>
      </c>
      <c r="E5" s="557"/>
      <c r="F5" s="558"/>
      <c r="G5" s="563" t="s">
        <v>10</v>
      </c>
      <c r="H5" s="564"/>
      <c r="I5" s="564"/>
      <c r="J5" s="565"/>
      <c r="K5" s="566" t="s">
        <v>11</v>
      </c>
      <c r="L5" s="567"/>
      <c r="M5" s="567"/>
      <c r="N5" s="567"/>
      <c r="O5" s="567"/>
      <c r="P5" s="567"/>
      <c r="Q5" s="568"/>
      <c r="R5" s="498"/>
      <c r="S5" s="569" t="s">
        <v>12</v>
      </c>
      <c r="T5" s="570"/>
      <c r="U5" s="570"/>
      <c r="V5" s="571"/>
      <c r="W5" s="572" t="s">
        <v>13</v>
      </c>
      <c r="X5" s="573"/>
      <c r="Y5" s="573"/>
      <c r="Z5" s="574"/>
      <c r="AA5" s="560" t="s">
        <v>88</v>
      </c>
      <c r="AB5" s="561"/>
      <c r="AC5" s="561"/>
      <c r="AD5" s="561"/>
      <c r="AE5" s="561"/>
      <c r="AF5" s="561"/>
      <c r="AG5" s="561"/>
      <c r="AH5" s="561"/>
      <c r="AI5" s="561"/>
      <c r="AJ5" s="561"/>
      <c r="AK5" s="561"/>
      <c r="AL5" s="561"/>
      <c r="AM5" s="561"/>
      <c r="AN5" s="561"/>
      <c r="AO5" s="561"/>
      <c r="AP5" s="561"/>
      <c r="AQ5" s="561"/>
      <c r="AR5" s="562"/>
    </row>
    <row r="6" spans="1:44" ht="127.5" customHeight="1" thickBot="1">
      <c r="A6" s="503"/>
      <c r="B6" s="505" t="s">
        <v>14</v>
      </c>
      <c r="C6" s="506" t="s">
        <v>15</v>
      </c>
      <c r="D6" s="507" t="s">
        <v>16</v>
      </c>
      <c r="E6" s="508" t="s">
        <v>274</v>
      </c>
      <c r="F6" s="509" t="s">
        <v>18</v>
      </c>
      <c r="G6" s="510" t="s">
        <v>87</v>
      </c>
      <c r="H6" s="511" t="s">
        <v>86</v>
      </c>
      <c r="I6" s="512" t="s">
        <v>19</v>
      </c>
      <c r="J6" s="512" t="s">
        <v>590</v>
      </c>
      <c r="K6" s="513" t="s">
        <v>20</v>
      </c>
      <c r="L6" s="513" t="s">
        <v>21</v>
      </c>
      <c r="M6" s="514" t="s">
        <v>591</v>
      </c>
      <c r="N6" s="514" t="s">
        <v>592</v>
      </c>
      <c r="O6" s="515" t="s">
        <v>596</v>
      </c>
      <c r="P6" s="516" t="s">
        <v>1399</v>
      </c>
      <c r="Q6" s="517" t="s">
        <v>22</v>
      </c>
      <c r="R6" s="518" t="s">
        <v>23</v>
      </c>
      <c r="S6" s="518" t="s">
        <v>24</v>
      </c>
      <c r="T6" s="519" t="s">
        <v>25</v>
      </c>
      <c r="U6" s="520" t="s">
        <v>892</v>
      </c>
      <c r="V6" s="521" t="s">
        <v>26</v>
      </c>
      <c r="W6" s="521" t="s">
        <v>27</v>
      </c>
      <c r="X6" s="522" t="s">
        <v>565</v>
      </c>
      <c r="Y6" s="523" t="s">
        <v>28</v>
      </c>
      <c r="Z6" s="524" t="s">
        <v>885</v>
      </c>
      <c r="AA6" s="524" t="s">
        <v>911</v>
      </c>
      <c r="AB6" s="524" t="s">
        <v>884</v>
      </c>
      <c r="AC6" s="524" t="s">
        <v>917</v>
      </c>
      <c r="AD6" s="524" t="s">
        <v>886</v>
      </c>
      <c r="AE6" s="524" t="s">
        <v>770</v>
      </c>
      <c r="AF6" s="524" t="s">
        <v>594</v>
      </c>
      <c r="AG6" s="524" t="s">
        <v>887</v>
      </c>
      <c r="AH6" s="524" t="s">
        <v>593</v>
      </c>
      <c r="AI6" s="524" t="s">
        <v>888</v>
      </c>
      <c r="AJ6" s="525" t="s">
        <v>1039</v>
      </c>
      <c r="AK6" s="526" t="s">
        <v>1040</v>
      </c>
      <c r="AL6" s="527" t="s">
        <v>1038</v>
      </c>
      <c r="AM6" s="524" t="s">
        <v>29</v>
      </c>
      <c r="AN6" s="524" t="s">
        <v>889</v>
      </c>
      <c r="AO6" s="524" t="s">
        <v>30</v>
      </c>
      <c r="AP6" s="528" t="s">
        <v>31</v>
      </c>
      <c r="AQ6" s="504"/>
      <c r="AR6" s="504"/>
    </row>
    <row r="7" spans="1:44" ht="165" customHeight="1">
      <c r="A7" s="188" t="s">
        <v>1106</v>
      </c>
      <c r="B7" s="246"/>
      <c r="C7" s="244"/>
      <c r="D7" s="4"/>
      <c r="E7" s="255"/>
      <c r="F7" s="247" t="str">
        <f>IF(E7="","",VLOOKUP(E7,'Listes déroulantes'!$A$2:$C$65,2,FALSE))</f>
        <v/>
      </c>
      <c r="G7" s="258"/>
      <c r="H7" s="259"/>
      <c r="I7" s="263"/>
      <c r="J7" s="100"/>
      <c r="K7" s="1"/>
      <c r="L7" s="5"/>
      <c r="M7" s="6"/>
      <c r="N7" s="6">
        <v>43895</v>
      </c>
      <c r="O7" s="500">
        <f>IF(N7&gt;='Stats AT BDD'!Y2,N7-EOMONTH('Stats AT BDD'!$Y$2,0),"")</f>
        <v>34</v>
      </c>
      <c r="P7" s="502" t="str">
        <f>IF(L7="avec arrêt",IF(OR(M7="",N7=""),"",IF(MONTH(M7)&lt;&gt;MONTH(N7),EOMONTH('Stats AT BDD'!Y2,0)-M7,N7-M7))+1,"")</f>
        <v/>
      </c>
      <c r="Q7" s="251"/>
      <c r="R7" s="252"/>
      <c r="S7" s="252"/>
      <c r="T7" s="253"/>
      <c r="U7" s="11"/>
      <c r="V7" s="5"/>
      <c r="W7" s="5"/>
      <c r="X7" s="253"/>
      <c r="Y7" s="260"/>
      <c r="Z7" s="264" t="str">
        <f t="shared" ref="Z7:Z34" si="0">IF(ISBLANK(I7),"",I7+2)</f>
        <v/>
      </c>
      <c r="AA7" s="6"/>
      <c r="AB7" s="265" t="str">
        <f t="shared" ref="AB7:AB17" ca="1" si="1">IF(ISBLANK(AA7),IF(Z7&lt;TODAY(),"non",""),IF(AA7&gt;Z7,"non","oui"))</f>
        <v/>
      </c>
      <c r="AC7" s="261"/>
      <c r="AD7" s="261"/>
      <c r="AE7" s="261"/>
      <c r="AF7" s="261"/>
      <c r="AG7" s="261"/>
      <c r="AH7" s="261"/>
      <c r="AI7" s="261"/>
      <c r="AJ7" s="458" t="str">
        <f t="shared" ref="AJ7:AJ35" si="2">IF(ISBLANK(I7),"",I7+30)</f>
        <v/>
      </c>
      <c r="AK7" s="454"/>
      <c r="AL7" s="457" t="str">
        <f t="shared" ref="AL7:AL35" ca="1" si="3">IF(ISBLANK(AK7),IF(AJ7&lt;TODAY(),"non",""),IF(AK7&gt;AJ7,"non","oui"))</f>
        <v/>
      </c>
      <c r="AM7" s="254"/>
      <c r="AN7" s="261"/>
      <c r="AO7" s="266"/>
      <c r="AP7" s="256" t="str">
        <f t="shared" ref="AP7:AP11" si="4">IFERROR(AO7/AM7,"")</f>
        <v/>
      </c>
    </row>
    <row r="8" spans="1:44" ht="97.5" customHeight="1">
      <c r="A8" s="188" t="s">
        <v>1107</v>
      </c>
      <c r="B8" s="246"/>
      <c r="C8" s="244"/>
      <c r="D8" s="4"/>
      <c r="E8" s="255"/>
      <c r="F8" s="247" t="str">
        <f>IF(E8="","",VLOOKUP(E8,'Listes déroulantes'!$A$2:$C$65,2,FALSE))</f>
        <v/>
      </c>
      <c r="G8" s="258"/>
      <c r="H8" s="259"/>
      <c r="I8" s="263"/>
      <c r="J8" s="100"/>
      <c r="K8" s="1"/>
      <c r="L8" s="5"/>
      <c r="M8" s="6"/>
      <c r="N8" s="6"/>
      <c r="O8" s="500" t="str">
        <f>IF(L8="avec arrêt",(N8-M8)+1,"")</f>
        <v/>
      </c>
      <c r="P8" s="501"/>
      <c r="Q8" s="7"/>
      <c r="R8" s="8"/>
      <c r="S8" s="8"/>
      <c r="T8" s="9"/>
      <c r="U8" s="11"/>
      <c r="V8" s="5"/>
      <c r="W8" s="5"/>
      <c r="X8" s="253"/>
      <c r="Y8" s="260"/>
      <c r="Z8" s="264" t="str">
        <f t="shared" si="0"/>
        <v/>
      </c>
      <c r="AA8" s="6"/>
      <c r="AB8" s="265" t="str">
        <f t="shared" ca="1" si="1"/>
        <v/>
      </c>
      <c r="AC8" s="261"/>
      <c r="AD8" s="261"/>
      <c r="AE8" s="261"/>
      <c r="AF8" s="261"/>
      <c r="AG8" s="261"/>
      <c r="AH8" s="261"/>
      <c r="AI8" s="261"/>
      <c r="AJ8" s="458" t="str">
        <f t="shared" si="2"/>
        <v/>
      </c>
      <c r="AK8" s="454"/>
      <c r="AL8" s="457" t="str">
        <f t="shared" ca="1" si="3"/>
        <v/>
      </c>
      <c r="AM8" s="254"/>
      <c r="AN8" s="261"/>
      <c r="AO8" s="266"/>
      <c r="AP8" s="256" t="str">
        <f t="shared" si="4"/>
        <v/>
      </c>
    </row>
    <row r="9" spans="1:44" ht="144.75" customHeight="1">
      <c r="A9" s="188" t="s">
        <v>1108</v>
      </c>
      <c r="B9" s="10"/>
      <c r="C9" s="3"/>
      <c r="D9" s="4"/>
      <c r="E9" s="255"/>
      <c r="F9" s="247" t="str">
        <f>IF(E9="","",VLOOKUP(E9,'Listes déroulantes'!$A$2:$C$65,2,FALSE))</f>
        <v/>
      </c>
      <c r="G9" s="258"/>
      <c r="H9" s="259"/>
      <c r="I9" s="263"/>
      <c r="J9" s="100"/>
      <c r="K9" s="1"/>
      <c r="L9" s="5"/>
      <c r="M9" s="6"/>
      <c r="N9" s="6"/>
      <c r="O9" s="500" t="str">
        <f>IF(L9="avec arrêt",(N9-M9)+1,"")</f>
        <v/>
      </c>
      <c r="P9" s="501"/>
      <c r="Q9" s="7"/>
      <c r="R9" s="8"/>
      <c r="S9" s="8"/>
      <c r="T9" s="9"/>
      <c r="U9" s="11"/>
      <c r="V9" s="5"/>
      <c r="W9" s="5"/>
      <c r="X9" s="253"/>
      <c r="Y9" s="260"/>
      <c r="Z9" s="264" t="str">
        <f t="shared" si="0"/>
        <v/>
      </c>
      <c r="AA9" s="6"/>
      <c r="AB9" s="265" t="str">
        <f t="shared" ca="1" si="1"/>
        <v/>
      </c>
      <c r="AC9" s="261"/>
      <c r="AD9" s="261"/>
      <c r="AE9" s="261"/>
      <c r="AF9" s="261"/>
      <c r="AG9" s="261"/>
      <c r="AH9" s="261"/>
      <c r="AI9" s="261"/>
      <c r="AJ9" s="458" t="str">
        <f t="shared" si="2"/>
        <v/>
      </c>
      <c r="AK9" s="454"/>
      <c r="AL9" s="457" t="str">
        <f t="shared" ca="1" si="3"/>
        <v/>
      </c>
      <c r="AM9" s="254"/>
      <c r="AN9" s="261"/>
      <c r="AO9" s="266"/>
      <c r="AP9" s="256" t="str">
        <f t="shared" si="4"/>
        <v/>
      </c>
    </row>
    <row r="10" spans="1:44" ht="67.5" customHeight="1">
      <c r="A10" s="188" t="s">
        <v>1109</v>
      </c>
      <c r="B10" s="10"/>
      <c r="C10" s="3"/>
      <c r="D10" s="4"/>
      <c r="E10" s="255"/>
      <c r="F10" s="247" t="str">
        <f>IF(E10="","",VLOOKUP(E10,'Listes déroulantes'!$A$2:$C$65,2,FALSE))</f>
        <v/>
      </c>
      <c r="G10" s="258"/>
      <c r="H10" s="259"/>
      <c r="I10" s="263"/>
      <c r="J10" s="100"/>
      <c r="K10" s="1"/>
      <c r="L10" s="5"/>
      <c r="M10" s="6"/>
      <c r="N10" s="6"/>
      <c r="O10" s="500" t="str">
        <f t="shared" ref="O10:O41" si="5">IF(L10="avec arrêt",(N10-M10)+1,"")</f>
        <v/>
      </c>
      <c r="P10" s="501"/>
      <c r="Q10" s="7"/>
      <c r="R10" s="8"/>
      <c r="S10" s="8"/>
      <c r="T10" s="9"/>
      <c r="U10" s="11"/>
      <c r="V10" s="5"/>
      <c r="W10" s="5"/>
      <c r="X10" s="253"/>
      <c r="Y10" s="260"/>
      <c r="Z10" s="264" t="str">
        <f t="shared" si="0"/>
        <v/>
      </c>
      <c r="AA10" s="6"/>
      <c r="AB10" s="265" t="str">
        <f t="shared" ca="1" si="1"/>
        <v/>
      </c>
      <c r="AC10" s="261"/>
      <c r="AD10" s="261"/>
      <c r="AE10" s="261"/>
      <c r="AF10" s="261"/>
      <c r="AG10" s="261"/>
      <c r="AH10" s="261"/>
      <c r="AI10" s="261"/>
      <c r="AJ10" s="458" t="str">
        <f t="shared" si="2"/>
        <v/>
      </c>
      <c r="AK10" s="454"/>
      <c r="AL10" s="457" t="str">
        <f t="shared" ca="1" si="3"/>
        <v/>
      </c>
      <c r="AM10" s="254"/>
      <c r="AN10" s="261"/>
      <c r="AO10" s="266"/>
      <c r="AP10" s="256" t="str">
        <f t="shared" si="4"/>
        <v/>
      </c>
    </row>
    <row r="11" spans="1:44" ht="67.5" customHeight="1">
      <c r="A11" s="188" t="s">
        <v>1110</v>
      </c>
      <c r="B11" s="10"/>
      <c r="C11" s="3"/>
      <c r="D11" s="4"/>
      <c r="E11" s="255"/>
      <c r="F11" s="247" t="str">
        <f>IF(E11="","",VLOOKUP(E11,'Listes déroulantes'!$A$2:$C$65,2,FALSE))</f>
        <v/>
      </c>
      <c r="G11" s="258"/>
      <c r="H11" s="259"/>
      <c r="I11" s="263"/>
      <c r="J11" s="100"/>
      <c r="K11" s="1"/>
      <c r="L11" s="5"/>
      <c r="M11" s="6"/>
      <c r="N11" s="6"/>
      <c r="O11" s="500" t="str">
        <f t="shared" si="5"/>
        <v/>
      </c>
      <c r="P11" s="501"/>
      <c r="Q11" s="7"/>
      <c r="R11" s="8"/>
      <c r="S11" s="8"/>
      <c r="T11" s="9"/>
      <c r="U11" s="11"/>
      <c r="V11" s="5"/>
      <c r="W11" s="5"/>
      <c r="X11" s="253"/>
      <c r="Y11" s="260"/>
      <c r="Z11" s="264" t="str">
        <f t="shared" si="0"/>
        <v/>
      </c>
      <c r="AA11" s="6"/>
      <c r="AB11" s="265" t="str">
        <f t="shared" ca="1" si="1"/>
        <v/>
      </c>
      <c r="AC11" s="261"/>
      <c r="AD11" s="261"/>
      <c r="AE11" s="261"/>
      <c r="AF11" s="261"/>
      <c r="AG11" s="261"/>
      <c r="AH11" s="261"/>
      <c r="AI11" s="261"/>
      <c r="AJ11" s="458" t="str">
        <f t="shared" si="2"/>
        <v/>
      </c>
      <c r="AK11" s="454"/>
      <c r="AL11" s="457" t="str">
        <f t="shared" ca="1" si="3"/>
        <v/>
      </c>
      <c r="AM11" s="254"/>
      <c r="AN11" s="261"/>
      <c r="AO11" s="266"/>
      <c r="AP11" s="256" t="str">
        <f t="shared" si="4"/>
        <v/>
      </c>
    </row>
    <row r="12" spans="1:44" ht="67.5" customHeight="1">
      <c r="A12" s="188" t="s">
        <v>1111</v>
      </c>
      <c r="B12" s="10"/>
      <c r="C12" s="3"/>
      <c r="D12" s="4"/>
      <c r="E12" s="255"/>
      <c r="F12" s="247" t="str">
        <f>IF(E12="","",VLOOKUP(E12,'Listes déroulantes'!$A$2:$C$65,2,FALSE))</f>
        <v/>
      </c>
      <c r="G12" s="258"/>
      <c r="H12" s="259"/>
      <c r="I12" s="263"/>
      <c r="J12" s="100"/>
      <c r="K12" s="1"/>
      <c r="L12" s="5"/>
      <c r="M12" s="6"/>
      <c r="N12" s="6"/>
      <c r="O12" s="500" t="str">
        <f t="shared" si="5"/>
        <v/>
      </c>
      <c r="P12" s="501"/>
      <c r="Q12" s="7"/>
      <c r="R12" s="8"/>
      <c r="S12" s="8"/>
      <c r="T12" s="9"/>
      <c r="U12" s="11"/>
      <c r="V12" s="5"/>
      <c r="W12" s="5"/>
      <c r="X12" s="405"/>
      <c r="Y12" s="60"/>
      <c r="Z12" s="264" t="str">
        <f t="shared" si="0"/>
        <v/>
      </c>
      <c r="AA12" s="6"/>
      <c r="AB12" s="265" t="str">
        <f t="shared" ca="1" si="1"/>
        <v/>
      </c>
      <c r="AC12" s="261"/>
      <c r="AD12" s="261"/>
      <c r="AE12" s="261"/>
      <c r="AF12" s="261"/>
      <c r="AG12" s="261"/>
      <c r="AH12" s="261"/>
      <c r="AI12" s="261"/>
      <c r="AJ12" s="458" t="str">
        <f t="shared" si="2"/>
        <v/>
      </c>
      <c r="AK12" s="454"/>
      <c r="AL12" s="457" t="str">
        <f t="shared" ca="1" si="3"/>
        <v/>
      </c>
      <c r="AM12" s="254"/>
      <c r="AN12" s="261"/>
      <c r="AO12" s="266"/>
      <c r="AP12" s="256"/>
    </row>
    <row r="13" spans="1:44" s="257" customFormat="1" ht="162.75" customHeight="1">
      <c r="A13" s="188" t="s">
        <v>1112</v>
      </c>
      <c r="B13" s="246"/>
      <c r="C13" s="244"/>
      <c r="D13" s="245"/>
      <c r="E13" s="255"/>
      <c r="F13" s="247" t="str">
        <f>IF(E13="","",VLOOKUP(E13,'Listes déroulantes'!$A$2:$C$65,2,FALSE))</f>
        <v/>
      </c>
      <c r="G13" s="258"/>
      <c r="H13" s="259"/>
      <c r="I13" s="263"/>
      <c r="J13" s="262"/>
      <c r="K13" s="248"/>
      <c r="L13" s="249"/>
      <c r="M13" s="250"/>
      <c r="N13" s="250"/>
      <c r="O13" s="500" t="str">
        <f t="shared" si="5"/>
        <v/>
      </c>
      <c r="P13" s="501"/>
      <c r="Q13" s="251"/>
      <c r="R13" s="252"/>
      <c r="S13" s="252"/>
      <c r="T13" s="253"/>
      <c r="U13" s="255"/>
      <c r="V13" s="249"/>
      <c r="W13" s="249"/>
      <c r="X13" s="359"/>
      <c r="Y13" s="260"/>
      <c r="Z13" s="264" t="str">
        <f t="shared" si="0"/>
        <v/>
      </c>
      <c r="AA13" s="250"/>
      <c r="AB13" s="265" t="str">
        <f t="shared" ca="1" si="1"/>
        <v/>
      </c>
      <c r="AC13" s="261"/>
      <c r="AD13" s="261"/>
      <c r="AE13" s="261"/>
      <c r="AF13" s="261"/>
      <c r="AG13" s="261"/>
      <c r="AH13" s="261"/>
      <c r="AI13" s="261"/>
      <c r="AJ13" s="458" t="str">
        <f t="shared" si="2"/>
        <v/>
      </c>
      <c r="AK13" s="454"/>
      <c r="AL13" s="457" t="str">
        <f t="shared" ca="1" si="3"/>
        <v/>
      </c>
      <c r="AM13" s="254"/>
      <c r="AN13" s="261"/>
      <c r="AO13" s="266"/>
      <c r="AP13" s="256" t="str">
        <f>IFERROR(AO13/AM13,"")</f>
        <v/>
      </c>
    </row>
    <row r="14" spans="1:44" ht="67.5" customHeight="1">
      <c r="A14" s="188" t="s">
        <v>1113</v>
      </c>
      <c r="B14" s="10"/>
      <c r="C14" s="3"/>
      <c r="D14" s="4"/>
      <c r="E14" s="255"/>
      <c r="F14" s="247" t="str">
        <f>IF(E14="","",VLOOKUP(E14,'Listes déroulantes'!$A$2:$C$65,2,FALSE))</f>
        <v/>
      </c>
      <c r="G14" s="258"/>
      <c r="H14" s="259"/>
      <c r="I14" s="263"/>
      <c r="J14" s="100"/>
      <c r="K14" s="1"/>
      <c r="L14" s="5"/>
      <c r="M14" s="6"/>
      <c r="N14" s="6"/>
      <c r="O14" s="500" t="str">
        <f t="shared" si="5"/>
        <v/>
      </c>
      <c r="P14" s="501"/>
      <c r="Q14" s="7"/>
      <c r="R14" s="8"/>
      <c r="S14" s="8"/>
      <c r="T14" s="9"/>
      <c r="U14" s="11"/>
      <c r="V14" s="5"/>
      <c r="W14" s="5"/>
      <c r="X14" s="253"/>
      <c r="Y14" s="60"/>
      <c r="Z14" s="264" t="str">
        <f t="shared" si="0"/>
        <v/>
      </c>
      <c r="AA14" s="6"/>
      <c r="AB14" s="265" t="str">
        <f t="shared" ca="1" si="1"/>
        <v/>
      </c>
      <c r="AC14" s="261"/>
      <c r="AD14" s="261"/>
      <c r="AE14" s="261"/>
      <c r="AF14" s="261"/>
      <c r="AG14" s="261"/>
      <c r="AH14" s="261"/>
      <c r="AI14" s="261"/>
      <c r="AJ14" s="458" t="str">
        <f t="shared" si="2"/>
        <v/>
      </c>
      <c r="AK14" s="454"/>
      <c r="AL14" s="457" t="str">
        <f t="shared" ca="1" si="3"/>
        <v/>
      </c>
      <c r="AM14" s="254"/>
      <c r="AN14" s="261"/>
      <c r="AO14" s="266"/>
      <c r="AP14" s="256" t="str">
        <f>IFERROR(AO14/AM14,"")</f>
        <v/>
      </c>
    </row>
    <row r="15" spans="1:44" ht="67.5" customHeight="1">
      <c r="A15" s="188" t="s">
        <v>1114</v>
      </c>
      <c r="B15" s="10"/>
      <c r="C15" s="3"/>
      <c r="D15" s="4"/>
      <c r="E15" s="255"/>
      <c r="F15" s="247" t="str">
        <f>IF(E15="","",VLOOKUP(E15,'Listes déroulantes'!$A$2:$C$65,2,FALSE))</f>
        <v/>
      </c>
      <c r="G15" s="258"/>
      <c r="H15" s="259"/>
      <c r="I15" s="263"/>
      <c r="J15" s="100"/>
      <c r="K15" s="1"/>
      <c r="L15" s="5"/>
      <c r="M15" s="6"/>
      <c r="N15" s="6"/>
      <c r="O15" s="500" t="str">
        <f t="shared" si="5"/>
        <v/>
      </c>
      <c r="P15" s="501"/>
      <c r="Q15" s="7"/>
      <c r="R15" s="8"/>
      <c r="S15" s="8"/>
      <c r="T15" s="9"/>
      <c r="U15" s="11"/>
      <c r="V15" s="5"/>
      <c r="W15" s="5"/>
      <c r="X15" s="406"/>
      <c r="Y15" s="60"/>
      <c r="Z15" s="264" t="str">
        <f t="shared" si="0"/>
        <v/>
      </c>
      <c r="AA15" s="6"/>
      <c r="AB15" s="265" t="str">
        <f t="shared" ca="1" si="1"/>
        <v/>
      </c>
      <c r="AC15" s="261"/>
      <c r="AD15" s="261"/>
      <c r="AE15" s="261"/>
      <c r="AF15" s="261"/>
      <c r="AG15" s="261"/>
      <c r="AH15" s="261"/>
      <c r="AI15" s="261"/>
      <c r="AJ15" s="458" t="str">
        <f t="shared" si="2"/>
        <v/>
      </c>
      <c r="AK15" s="454"/>
      <c r="AL15" s="457" t="str">
        <f t="shared" ca="1" si="3"/>
        <v/>
      </c>
      <c r="AM15" s="254"/>
      <c r="AN15" s="261"/>
      <c r="AO15" s="266"/>
      <c r="AP15" s="256" t="str">
        <f>IFERROR(AO15/AM15,"")</f>
        <v/>
      </c>
    </row>
    <row r="16" spans="1:44" ht="85.5" customHeight="1">
      <c r="A16" s="188" t="s">
        <v>1115</v>
      </c>
      <c r="B16" s="10"/>
      <c r="C16" s="3"/>
      <c r="D16" s="4"/>
      <c r="E16" s="255"/>
      <c r="F16" s="247" t="str">
        <f>IF(E16="","",VLOOKUP(E16,'Listes déroulantes'!$A$2:$C$65,2,FALSE))</f>
        <v/>
      </c>
      <c r="G16" s="258"/>
      <c r="H16" s="259"/>
      <c r="I16" s="263"/>
      <c r="J16" s="100"/>
      <c r="K16" s="1"/>
      <c r="L16" s="5"/>
      <c r="M16" s="6"/>
      <c r="N16" s="6"/>
      <c r="O16" s="500" t="str">
        <f t="shared" si="5"/>
        <v/>
      </c>
      <c r="P16" s="501"/>
      <c r="Q16" s="7"/>
      <c r="R16" s="8"/>
      <c r="S16" s="8"/>
      <c r="T16" s="9"/>
      <c r="U16" s="11"/>
      <c r="V16" s="5"/>
      <c r="W16" s="5"/>
      <c r="X16" s="253"/>
      <c r="Y16" s="260"/>
      <c r="Z16" s="264" t="str">
        <f t="shared" si="0"/>
        <v/>
      </c>
      <c r="AA16" s="6"/>
      <c r="AB16" s="265" t="str">
        <f t="shared" ca="1" si="1"/>
        <v/>
      </c>
      <c r="AC16" s="261"/>
      <c r="AD16" s="261"/>
      <c r="AE16" s="261"/>
      <c r="AF16" s="261"/>
      <c r="AG16" s="261"/>
      <c r="AH16" s="261"/>
      <c r="AI16" s="261"/>
      <c r="AJ16" s="458" t="str">
        <f t="shared" si="2"/>
        <v/>
      </c>
      <c r="AK16" s="454"/>
      <c r="AL16" s="457" t="str">
        <f t="shared" ca="1" si="3"/>
        <v/>
      </c>
      <c r="AM16" s="254"/>
      <c r="AN16" s="261"/>
      <c r="AO16" s="266"/>
      <c r="AP16" s="256" t="str">
        <f>IFERROR(AO16/AM16,"")</f>
        <v/>
      </c>
    </row>
    <row r="17" spans="1:42" ht="67.5" customHeight="1">
      <c r="A17" s="188" t="s">
        <v>1116</v>
      </c>
      <c r="B17" s="10"/>
      <c r="C17" s="3"/>
      <c r="D17" s="4"/>
      <c r="E17" s="255"/>
      <c r="F17" s="247" t="str">
        <f>IF(E17="","",VLOOKUP(E17,'Listes déroulantes'!$A$2:$C$65,2,FALSE))</f>
        <v/>
      </c>
      <c r="G17" s="258"/>
      <c r="H17" s="259"/>
      <c r="I17" s="263"/>
      <c r="J17" s="100"/>
      <c r="K17" s="1"/>
      <c r="L17" s="5"/>
      <c r="M17" s="6"/>
      <c r="N17" s="6"/>
      <c r="O17" s="500" t="str">
        <f t="shared" si="5"/>
        <v/>
      </c>
      <c r="P17" s="501"/>
      <c r="Q17" s="7"/>
      <c r="R17" s="8"/>
      <c r="S17" s="8"/>
      <c r="T17" s="9"/>
      <c r="U17" s="11"/>
      <c r="V17" s="5"/>
      <c r="W17" s="5"/>
      <c r="X17" s="253"/>
      <c r="Y17" s="260"/>
      <c r="Z17" s="264" t="str">
        <f t="shared" si="0"/>
        <v/>
      </c>
      <c r="AA17" s="6"/>
      <c r="AB17" s="265" t="str">
        <f t="shared" ca="1" si="1"/>
        <v/>
      </c>
      <c r="AC17" s="261"/>
      <c r="AD17" s="261"/>
      <c r="AE17" s="261"/>
      <c r="AF17" s="261"/>
      <c r="AG17" s="261"/>
      <c r="AH17" s="261"/>
      <c r="AI17" s="261"/>
      <c r="AJ17" s="458" t="str">
        <f t="shared" si="2"/>
        <v/>
      </c>
      <c r="AK17" s="454"/>
      <c r="AL17" s="457" t="str">
        <f t="shared" ca="1" si="3"/>
        <v/>
      </c>
      <c r="AM17" s="254"/>
      <c r="AN17" s="261"/>
      <c r="AO17" s="266"/>
      <c r="AP17" s="256" t="str">
        <f>IFERROR(AO17/AM17,"")</f>
        <v/>
      </c>
    </row>
    <row r="18" spans="1:42" s="257" customFormat="1" ht="163.5" customHeight="1">
      <c r="A18" s="188" t="s">
        <v>1117</v>
      </c>
      <c r="B18" s="246"/>
      <c r="C18" s="244"/>
      <c r="D18" s="245"/>
      <c r="E18" s="255"/>
      <c r="F18" s="247" t="str">
        <f>IF(E18="","",VLOOKUP(E18,'Listes déroulantes'!$A$2:$C$65,2,FALSE))</f>
        <v/>
      </c>
      <c r="G18" s="258"/>
      <c r="H18" s="259"/>
      <c r="I18" s="263"/>
      <c r="J18" s="262"/>
      <c r="K18" s="248"/>
      <c r="L18" s="249"/>
      <c r="M18" s="250"/>
      <c r="N18" s="250"/>
      <c r="O18" s="500" t="str">
        <f t="shared" si="5"/>
        <v/>
      </c>
      <c r="P18" s="501"/>
      <c r="Q18" s="251"/>
      <c r="R18" s="252"/>
      <c r="S18" s="252"/>
      <c r="T18" s="253"/>
      <c r="U18" s="255"/>
      <c r="V18" s="249"/>
      <c r="W18" s="249"/>
      <c r="X18" s="253"/>
      <c r="Y18" s="260"/>
      <c r="Z18" s="264" t="str">
        <f t="shared" si="0"/>
        <v/>
      </c>
      <c r="AA18" s="250"/>
      <c r="AB18" s="265"/>
      <c r="AC18" s="261"/>
      <c r="AD18" s="261"/>
      <c r="AE18" s="261"/>
      <c r="AF18" s="261"/>
      <c r="AG18" s="261"/>
      <c r="AH18" s="261"/>
      <c r="AI18" s="261"/>
      <c r="AJ18" s="458" t="str">
        <f t="shared" si="2"/>
        <v/>
      </c>
      <c r="AK18" s="454"/>
      <c r="AL18" s="457" t="str">
        <f t="shared" ca="1" si="3"/>
        <v/>
      </c>
      <c r="AM18" s="254"/>
      <c r="AN18" s="261"/>
      <c r="AO18" s="266"/>
      <c r="AP18" s="256"/>
    </row>
    <row r="19" spans="1:42" ht="113.25" customHeight="1">
      <c r="A19" s="188" t="s">
        <v>1118</v>
      </c>
      <c r="B19" s="10"/>
      <c r="C19" s="3"/>
      <c r="D19" s="4"/>
      <c r="E19" s="255"/>
      <c r="F19" s="247" t="str">
        <f>IF(E19="","",VLOOKUP(E19,'Listes déroulantes'!$A$2:$C$65,2,FALSE))</f>
        <v/>
      </c>
      <c r="G19" s="258"/>
      <c r="H19" s="259"/>
      <c r="I19" s="263"/>
      <c r="J19" s="100"/>
      <c r="K19" s="1"/>
      <c r="L19" s="5"/>
      <c r="M19" s="6"/>
      <c r="N19" s="6"/>
      <c r="O19" s="500" t="str">
        <f t="shared" si="5"/>
        <v/>
      </c>
      <c r="P19" s="501"/>
      <c r="Q19" s="7"/>
      <c r="R19" s="8"/>
      <c r="S19" s="8"/>
      <c r="T19" s="9"/>
      <c r="U19" s="11"/>
      <c r="V19" s="5"/>
      <c r="W19" s="5"/>
      <c r="X19" s="387"/>
      <c r="Y19" s="60"/>
      <c r="Z19" s="264" t="str">
        <f t="shared" si="0"/>
        <v/>
      </c>
      <c r="AA19" s="6"/>
      <c r="AB19" s="265" t="str">
        <f t="shared" ref="AB19:AB82" ca="1" si="6">IF(ISBLANK(AA19),IF(Z19&lt;TODAY(),"non",""),IF(AA19&gt;Z19,"non","oui"))</f>
        <v/>
      </c>
      <c r="AC19" s="261"/>
      <c r="AD19" s="261"/>
      <c r="AE19" s="261"/>
      <c r="AF19" s="261"/>
      <c r="AG19" s="261"/>
      <c r="AH19" s="261"/>
      <c r="AI19" s="261"/>
      <c r="AJ19" s="458" t="str">
        <f t="shared" si="2"/>
        <v/>
      </c>
      <c r="AK19" s="454"/>
      <c r="AL19" s="457" t="str">
        <f t="shared" ca="1" si="3"/>
        <v/>
      </c>
      <c r="AM19" s="254"/>
      <c r="AN19" s="261"/>
      <c r="AO19" s="266"/>
      <c r="AP19" s="256" t="str">
        <f t="shared" ref="AP19:AP50" si="7">IFERROR(AO19/AM19,"")</f>
        <v/>
      </c>
    </row>
    <row r="20" spans="1:42" ht="89.25" customHeight="1">
      <c r="A20" s="188" t="s">
        <v>1119</v>
      </c>
      <c r="B20" s="10"/>
      <c r="C20" s="3"/>
      <c r="D20" s="4"/>
      <c r="E20" s="255"/>
      <c r="F20" s="247" t="str">
        <f>IF(E20="","",VLOOKUP(E20,'Listes déroulantes'!$A$2:$C$65,2,FALSE))</f>
        <v/>
      </c>
      <c r="G20" s="258"/>
      <c r="H20" s="259"/>
      <c r="I20" s="263"/>
      <c r="J20" s="100"/>
      <c r="K20" s="1"/>
      <c r="L20" s="5"/>
      <c r="M20" s="6"/>
      <c r="N20" s="6"/>
      <c r="O20" s="500" t="str">
        <f t="shared" si="5"/>
        <v/>
      </c>
      <c r="P20" s="501"/>
      <c r="Q20" s="251"/>
      <c r="R20" s="252"/>
      <c r="S20" s="8"/>
      <c r="T20" s="9"/>
      <c r="U20" s="11"/>
      <c r="V20" s="5"/>
      <c r="W20" s="5"/>
      <c r="X20" s="253"/>
      <c r="Y20" s="60"/>
      <c r="Z20" s="264" t="str">
        <f t="shared" si="0"/>
        <v/>
      </c>
      <c r="AA20" s="6"/>
      <c r="AB20" s="265" t="str">
        <f t="shared" ca="1" si="6"/>
        <v/>
      </c>
      <c r="AC20" s="261"/>
      <c r="AD20" s="261"/>
      <c r="AE20" s="261"/>
      <c r="AF20" s="261"/>
      <c r="AG20" s="261"/>
      <c r="AH20" s="261"/>
      <c r="AI20" s="261"/>
      <c r="AJ20" s="458" t="str">
        <f t="shared" si="2"/>
        <v/>
      </c>
      <c r="AK20" s="454"/>
      <c r="AL20" s="457" t="str">
        <f t="shared" ca="1" si="3"/>
        <v/>
      </c>
      <c r="AM20" s="254"/>
      <c r="AN20" s="261"/>
      <c r="AO20" s="266"/>
      <c r="AP20" s="256" t="str">
        <f t="shared" si="7"/>
        <v/>
      </c>
    </row>
    <row r="21" spans="1:42" ht="123" customHeight="1">
      <c r="A21" s="188" t="s">
        <v>1120</v>
      </c>
      <c r="B21" s="10"/>
      <c r="C21" s="3"/>
      <c r="D21" s="4"/>
      <c r="E21" s="255"/>
      <c r="F21" s="247" t="str">
        <f>IF(E21="","",VLOOKUP(E21,'Listes déroulantes'!$A$2:$C$65,2,FALSE))</f>
        <v/>
      </c>
      <c r="G21" s="258"/>
      <c r="H21" s="259"/>
      <c r="I21" s="263"/>
      <c r="J21" s="100"/>
      <c r="K21" s="1"/>
      <c r="L21" s="5"/>
      <c r="M21" s="6"/>
      <c r="N21" s="6"/>
      <c r="O21" s="500" t="str">
        <f t="shared" si="5"/>
        <v/>
      </c>
      <c r="P21" s="501"/>
      <c r="Q21" s="7"/>
      <c r="R21" s="8"/>
      <c r="S21" s="8"/>
      <c r="T21" s="9"/>
      <c r="U21" s="11"/>
      <c r="V21" s="5"/>
      <c r="W21" s="5"/>
      <c r="X21" s="253"/>
      <c r="Y21" s="60"/>
      <c r="Z21" s="264" t="str">
        <f t="shared" si="0"/>
        <v/>
      </c>
      <c r="AA21" s="6"/>
      <c r="AB21" s="265" t="str">
        <f t="shared" ca="1" si="6"/>
        <v/>
      </c>
      <c r="AC21" s="261"/>
      <c r="AD21" s="261"/>
      <c r="AE21" s="261"/>
      <c r="AF21" s="261"/>
      <c r="AG21" s="261"/>
      <c r="AH21" s="261"/>
      <c r="AI21" s="261"/>
      <c r="AJ21" s="458" t="str">
        <f t="shared" si="2"/>
        <v/>
      </c>
      <c r="AK21" s="454"/>
      <c r="AL21" s="457" t="str">
        <f t="shared" ca="1" si="3"/>
        <v/>
      </c>
      <c r="AM21" s="254"/>
      <c r="AN21" s="261"/>
      <c r="AO21" s="266"/>
      <c r="AP21" s="256" t="str">
        <f t="shared" si="7"/>
        <v/>
      </c>
    </row>
    <row r="22" spans="1:42" ht="67.5" customHeight="1">
      <c r="A22" s="188" t="s">
        <v>1121</v>
      </c>
      <c r="B22" s="10"/>
      <c r="C22" s="3"/>
      <c r="D22" s="4"/>
      <c r="E22" s="255"/>
      <c r="F22" s="247" t="str">
        <f>IF(E22="","",VLOOKUP(E22,'Listes déroulantes'!$A$2:$C$65,2,FALSE))</f>
        <v/>
      </c>
      <c r="G22" s="258"/>
      <c r="H22" s="259"/>
      <c r="I22" s="263"/>
      <c r="J22" s="100"/>
      <c r="K22" s="1"/>
      <c r="L22" s="5"/>
      <c r="M22" s="6"/>
      <c r="N22" s="6"/>
      <c r="O22" s="500" t="str">
        <f t="shared" si="5"/>
        <v/>
      </c>
      <c r="P22" s="501"/>
      <c r="Q22" s="7"/>
      <c r="R22" s="8"/>
      <c r="S22" s="8"/>
      <c r="T22" s="9"/>
      <c r="U22" s="11"/>
      <c r="V22" s="5"/>
      <c r="W22" s="5"/>
      <c r="X22" s="253"/>
      <c r="Y22" s="60"/>
      <c r="Z22" s="264" t="str">
        <f t="shared" si="0"/>
        <v/>
      </c>
      <c r="AA22" s="6"/>
      <c r="AB22" s="265" t="str">
        <f t="shared" ca="1" si="6"/>
        <v/>
      </c>
      <c r="AC22" s="261"/>
      <c r="AD22" s="261"/>
      <c r="AE22" s="261"/>
      <c r="AF22" s="261"/>
      <c r="AG22" s="261"/>
      <c r="AH22" s="261"/>
      <c r="AI22" s="261"/>
      <c r="AJ22" s="458" t="str">
        <f t="shared" si="2"/>
        <v/>
      </c>
      <c r="AK22" s="454"/>
      <c r="AL22" s="457" t="str">
        <f t="shared" ca="1" si="3"/>
        <v/>
      </c>
      <c r="AM22" s="254"/>
      <c r="AN22" s="261"/>
      <c r="AO22" s="266"/>
      <c r="AP22" s="256" t="str">
        <f t="shared" si="7"/>
        <v/>
      </c>
    </row>
    <row r="23" spans="1:42" ht="67.5" customHeight="1">
      <c r="A23" s="188" t="s">
        <v>1122</v>
      </c>
      <c r="B23" s="10"/>
      <c r="C23" s="3"/>
      <c r="D23" s="4"/>
      <c r="E23" s="255"/>
      <c r="F23" s="247" t="str">
        <f>IF(E23="","",VLOOKUP(E23,'Listes déroulantes'!$A$2:$C$65,2,FALSE))</f>
        <v/>
      </c>
      <c r="G23" s="258"/>
      <c r="H23" s="259"/>
      <c r="I23" s="263"/>
      <c r="J23" s="100"/>
      <c r="K23" s="1"/>
      <c r="L23" s="5"/>
      <c r="M23" s="6"/>
      <c r="N23" s="6"/>
      <c r="O23" s="500" t="str">
        <f t="shared" si="5"/>
        <v/>
      </c>
      <c r="P23" s="501"/>
      <c r="Q23" s="7"/>
      <c r="R23" s="8"/>
      <c r="S23" s="8"/>
      <c r="T23" s="9"/>
      <c r="U23" s="11"/>
      <c r="V23" s="5"/>
      <c r="W23" s="5"/>
      <c r="X23" s="253"/>
      <c r="Y23" s="60"/>
      <c r="Z23" s="264" t="str">
        <f t="shared" si="0"/>
        <v/>
      </c>
      <c r="AA23" s="6"/>
      <c r="AB23" s="265" t="str">
        <f t="shared" ca="1" si="6"/>
        <v/>
      </c>
      <c r="AC23" s="261"/>
      <c r="AD23" s="261"/>
      <c r="AE23" s="261"/>
      <c r="AF23" s="261"/>
      <c r="AG23" s="261"/>
      <c r="AH23" s="261"/>
      <c r="AI23" s="261"/>
      <c r="AJ23" s="458" t="str">
        <f t="shared" si="2"/>
        <v/>
      </c>
      <c r="AK23" s="454"/>
      <c r="AL23" s="457" t="str">
        <f t="shared" ca="1" si="3"/>
        <v/>
      </c>
      <c r="AM23" s="254"/>
      <c r="AN23" s="261"/>
      <c r="AO23" s="266"/>
      <c r="AP23" s="256" t="str">
        <f t="shared" si="7"/>
        <v/>
      </c>
    </row>
    <row r="24" spans="1:42" ht="67.5" customHeight="1">
      <c r="A24" s="188" t="s">
        <v>1123</v>
      </c>
      <c r="B24" s="10"/>
      <c r="C24" s="3"/>
      <c r="D24" s="4"/>
      <c r="E24" s="255"/>
      <c r="F24" s="247" t="str">
        <f>IF(E24="","",VLOOKUP(E24,'Listes déroulantes'!$A$2:$C$65,2,FALSE))</f>
        <v/>
      </c>
      <c r="G24" s="258"/>
      <c r="H24" s="259"/>
      <c r="I24" s="263"/>
      <c r="J24" s="100"/>
      <c r="K24" s="1"/>
      <c r="L24" s="5"/>
      <c r="M24" s="6"/>
      <c r="N24" s="6"/>
      <c r="O24" s="500" t="str">
        <f t="shared" si="5"/>
        <v/>
      </c>
      <c r="P24" s="501"/>
      <c r="Q24" s="7"/>
      <c r="R24" s="8"/>
      <c r="S24" s="8"/>
      <c r="T24" s="9"/>
      <c r="U24" s="11"/>
      <c r="V24" s="5"/>
      <c r="W24" s="5"/>
      <c r="X24" s="253"/>
      <c r="Y24" s="60"/>
      <c r="Z24" s="264" t="str">
        <f t="shared" si="0"/>
        <v/>
      </c>
      <c r="AA24" s="6"/>
      <c r="AB24" s="265" t="str">
        <f t="shared" ca="1" si="6"/>
        <v/>
      </c>
      <c r="AC24" s="261"/>
      <c r="AD24" s="261"/>
      <c r="AE24" s="261"/>
      <c r="AF24" s="261"/>
      <c r="AG24" s="261"/>
      <c r="AH24" s="261"/>
      <c r="AI24" s="261"/>
      <c r="AJ24" s="458" t="str">
        <f t="shared" si="2"/>
        <v/>
      </c>
      <c r="AK24" s="454"/>
      <c r="AL24" s="457" t="str">
        <f t="shared" ca="1" si="3"/>
        <v/>
      </c>
      <c r="AM24" s="254"/>
      <c r="AN24" s="261"/>
      <c r="AO24" s="266"/>
      <c r="AP24" s="256" t="str">
        <f t="shared" si="7"/>
        <v/>
      </c>
    </row>
    <row r="25" spans="1:42" ht="67.5" customHeight="1">
      <c r="A25" s="188" t="s">
        <v>1124</v>
      </c>
      <c r="B25" s="10"/>
      <c r="C25" s="3"/>
      <c r="D25" s="4"/>
      <c r="E25" s="255"/>
      <c r="F25" s="247" t="str">
        <f>IF(E25="","",VLOOKUP(E25,'Listes déroulantes'!$A$2:$C$65,2,FALSE))</f>
        <v/>
      </c>
      <c r="G25" s="258"/>
      <c r="H25" s="259"/>
      <c r="I25" s="263"/>
      <c r="J25" s="100"/>
      <c r="K25" s="1"/>
      <c r="L25" s="5"/>
      <c r="M25" s="6"/>
      <c r="N25" s="6"/>
      <c r="O25" s="500" t="str">
        <f t="shared" si="5"/>
        <v/>
      </c>
      <c r="P25" s="501"/>
      <c r="Q25" s="7"/>
      <c r="R25" s="8"/>
      <c r="S25" s="8"/>
      <c r="T25" s="9"/>
      <c r="U25" s="11"/>
      <c r="V25" s="5"/>
      <c r="W25" s="5"/>
      <c r="X25" s="253"/>
      <c r="Y25" s="60"/>
      <c r="Z25" s="264" t="str">
        <f t="shared" si="0"/>
        <v/>
      </c>
      <c r="AA25" s="6"/>
      <c r="AB25" s="265" t="str">
        <f t="shared" ca="1" si="6"/>
        <v/>
      </c>
      <c r="AC25" s="261"/>
      <c r="AD25" s="261"/>
      <c r="AE25" s="261"/>
      <c r="AF25" s="261"/>
      <c r="AG25" s="261"/>
      <c r="AH25" s="261"/>
      <c r="AI25" s="261"/>
      <c r="AJ25" s="458" t="str">
        <f t="shared" si="2"/>
        <v/>
      </c>
      <c r="AK25" s="454"/>
      <c r="AL25" s="457" t="str">
        <f t="shared" ca="1" si="3"/>
        <v/>
      </c>
      <c r="AM25" s="254"/>
      <c r="AN25" s="261"/>
      <c r="AO25" s="266"/>
      <c r="AP25" s="256" t="str">
        <f t="shared" si="7"/>
        <v/>
      </c>
    </row>
    <row r="26" spans="1:42" ht="67.5" customHeight="1">
      <c r="A26" s="188" t="s">
        <v>1125</v>
      </c>
      <c r="B26" s="10"/>
      <c r="C26" s="3"/>
      <c r="D26" s="4"/>
      <c r="E26" s="255"/>
      <c r="F26" s="247" t="str">
        <f>IF(E26="","",VLOOKUP(E26,'Listes déroulantes'!$A$2:$C$65,2,FALSE))</f>
        <v/>
      </c>
      <c r="G26" s="258"/>
      <c r="H26" s="259"/>
      <c r="I26" s="263"/>
      <c r="J26" s="100"/>
      <c r="K26" s="1"/>
      <c r="L26" s="5"/>
      <c r="M26" s="6"/>
      <c r="N26" s="6"/>
      <c r="O26" s="500" t="str">
        <f t="shared" si="5"/>
        <v/>
      </c>
      <c r="P26" s="501"/>
      <c r="Q26" s="7"/>
      <c r="R26" s="8"/>
      <c r="S26" s="8"/>
      <c r="T26" s="9"/>
      <c r="U26" s="11"/>
      <c r="V26" s="5"/>
      <c r="W26" s="5"/>
      <c r="X26" s="253"/>
      <c r="Y26" s="60"/>
      <c r="Z26" s="264" t="str">
        <f t="shared" si="0"/>
        <v/>
      </c>
      <c r="AA26" s="6"/>
      <c r="AB26" s="265" t="str">
        <f t="shared" ca="1" si="6"/>
        <v/>
      </c>
      <c r="AC26" s="261"/>
      <c r="AD26" s="261"/>
      <c r="AE26" s="261"/>
      <c r="AF26" s="261"/>
      <c r="AG26" s="261"/>
      <c r="AH26" s="261"/>
      <c r="AI26" s="261"/>
      <c r="AJ26" s="458" t="str">
        <f t="shared" si="2"/>
        <v/>
      </c>
      <c r="AK26" s="454"/>
      <c r="AL26" s="457" t="str">
        <f t="shared" ca="1" si="3"/>
        <v/>
      </c>
      <c r="AM26" s="254"/>
      <c r="AN26" s="261"/>
      <c r="AO26" s="266"/>
      <c r="AP26" s="256" t="str">
        <f t="shared" si="7"/>
        <v/>
      </c>
    </row>
    <row r="27" spans="1:42" ht="67.5" customHeight="1">
      <c r="A27" s="188" t="s">
        <v>1126</v>
      </c>
      <c r="B27" s="10"/>
      <c r="C27" s="3"/>
      <c r="D27" s="4"/>
      <c r="E27" s="255"/>
      <c r="F27" s="247" t="str">
        <f>IF(E27="","",VLOOKUP(E27,'Listes déroulantes'!$A$2:$C$65,2,FALSE))</f>
        <v/>
      </c>
      <c r="G27" s="258"/>
      <c r="H27" s="259"/>
      <c r="I27" s="263"/>
      <c r="J27" s="100"/>
      <c r="K27" s="1"/>
      <c r="L27" s="5"/>
      <c r="M27" s="6"/>
      <c r="N27" s="6"/>
      <c r="O27" s="500" t="str">
        <f t="shared" si="5"/>
        <v/>
      </c>
      <c r="P27" s="501"/>
      <c r="Q27" s="7"/>
      <c r="R27" s="8"/>
      <c r="S27" s="8"/>
      <c r="T27" s="9"/>
      <c r="U27" s="11"/>
      <c r="V27" s="5"/>
      <c r="W27" s="5"/>
      <c r="X27" s="253"/>
      <c r="Y27" s="60"/>
      <c r="Z27" s="264" t="str">
        <f t="shared" si="0"/>
        <v/>
      </c>
      <c r="AA27" s="6"/>
      <c r="AB27" s="265" t="str">
        <f t="shared" ca="1" si="6"/>
        <v/>
      </c>
      <c r="AC27" s="261"/>
      <c r="AD27" s="261"/>
      <c r="AE27" s="261"/>
      <c r="AF27" s="261"/>
      <c r="AG27" s="261"/>
      <c r="AH27" s="261"/>
      <c r="AI27" s="261"/>
      <c r="AJ27" s="458" t="str">
        <f t="shared" si="2"/>
        <v/>
      </c>
      <c r="AK27" s="454"/>
      <c r="AL27" s="457" t="str">
        <f t="shared" ca="1" si="3"/>
        <v/>
      </c>
      <c r="AM27" s="254"/>
      <c r="AN27" s="261"/>
      <c r="AO27" s="266"/>
      <c r="AP27" s="256" t="str">
        <f t="shared" si="7"/>
        <v/>
      </c>
    </row>
    <row r="28" spans="1:42" ht="67.5" customHeight="1">
      <c r="A28" s="188" t="s">
        <v>1127</v>
      </c>
      <c r="B28" s="10"/>
      <c r="C28" s="3"/>
      <c r="D28" s="4"/>
      <c r="E28" s="255"/>
      <c r="F28" s="247" t="str">
        <f>IF(E28="","",VLOOKUP(E28,'Listes déroulantes'!$A$2:$C$65,2,FALSE))</f>
        <v/>
      </c>
      <c r="G28" s="258"/>
      <c r="H28" s="259"/>
      <c r="I28" s="263"/>
      <c r="J28" s="100"/>
      <c r="K28" s="1"/>
      <c r="L28" s="5"/>
      <c r="M28" s="6"/>
      <c r="N28" s="6"/>
      <c r="O28" s="500" t="str">
        <f t="shared" si="5"/>
        <v/>
      </c>
      <c r="P28" s="501"/>
      <c r="Q28" s="7"/>
      <c r="R28" s="8"/>
      <c r="S28" s="8"/>
      <c r="T28" s="9"/>
      <c r="U28" s="11"/>
      <c r="V28" s="5"/>
      <c r="W28" s="5"/>
      <c r="X28" s="253"/>
      <c r="Y28" s="60"/>
      <c r="Z28" s="264" t="str">
        <f t="shared" si="0"/>
        <v/>
      </c>
      <c r="AA28" s="6"/>
      <c r="AB28" s="265" t="str">
        <f t="shared" ca="1" si="6"/>
        <v/>
      </c>
      <c r="AC28" s="261"/>
      <c r="AD28" s="261"/>
      <c r="AE28" s="261"/>
      <c r="AF28" s="261"/>
      <c r="AG28" s="261"/>
      <c r="AH28" s="261"/>
      <c r="AI28" s="261"/>
      <c r="AJ28" s="458" t="str">
        <f t="shared" si="2"/>
        <v/>
      </c>
      <c r="AK28" s="454"/>
      <c r="AL28" s="457" t="str">
        <f t="shared" ca="1" si="3"/>
        <v/>
      </c>
      <c r="AM28" s="254"/>
      <c r="AN28" s="261"/>
      <c r="AO28" s="266"/>
      <c r="AP28" s="256" t="str">
        <f t="shared" si="7"/>
        <v/>
      </c>
    </row>
    <row r="29" spans="1:42" ht="67.5" customHeight="1">
      <c r="A29" s="188" t="s">
        <v>1128</v>
      </c>
      <c r="B29" s="176"/>
      <c r="C29" s="168"/>
      <c r="D29" s="169"/>
      <c r="E29" s="255"/>
      <c r="F29" s="247" t="str">
        <f>IF(E29="","",VLOOKUP(E29,'Listes déroulantes'!$A$2:$C$65,2,FALSE))</f>
        <v/>
      </c>
      <c r="G29" s="258"/>
      <c r="H29" s="259"/>
      <c r="I29" s="263"/>
      <c r="J29" s="185"/>
      <c r="K29" s="167"/>
      <c r="L29" s="170"/>
      <c r="M29" s="171"/>
      <c r="N29" s="171"/>
      <c r="O29" s="500" t="str">
        <f t="shared" si="5"/>
        <v/>
      </c>
      <c r="P29" s="501"/>
      <c r="Q29" s="172"/>
      <c r="R29" s="173"/>
      <c r="S29" s="173"/>
      <c r="T29" s="174"/>
      <c r="U29" s="177"/>
      <c r="V29" s="170"/>
      <c r="W29" s="170"/>
      <c r="X29" s="253"/>
      <c r="Y29" s="182"/>
      <c r="Z29" s="264" t="str">
        <f t="shared" si="0"/>
        <v/>
      </c>
      <c r="AA29" s="171"/>
      <c r="AB29" s="265" t="str">
        <f t="shared" ca="1" si="6"/>
        <v/>
      </c>
      <c r="AC29" s="261"/>
      <c r="AD29" s="261"/>
      <c r="AE29" s="261"/>
      <c r="AF29" s="261"/>
      <c r="AG29" s="261"/>
      <c r="AH29" s="261"/>
      <c r="AI29" s="261"/>
      <c r="AJ29" s="458" t="str">
        <f t="shared" si="2"/>
        <v/>
      </c>
      <c r="AK29" s="454"/>
      <c r="AL29" s="457" t="str">
        <f t="shared" ca="1" si="3"/>
        <v/>
      </c>
      <c r="AM29" s="254"/>
      <c r="AN29" s="261"/>
      <c r="AO29" s="266"/>
      <c r="AP29" s="256" t="str">
        <f t="shared" si="7"/>
        <v/>
      </c>
    </row>
    <row r="30" spans="1:42" ht="67.5" customHeight="1">
      <c r="A30" s="188" t="s">
        <v>1129</v>
      </c>
      <c r="B30" s="176"/>
      <c r="C30" s="168"/>
      <c r="D30" s="169"/>
      <c r="E30" s="255"/>
      <c r="F30" s="247" t="str">
        <f>IF(E30="","",VLOOKUP(E30,'Listes déroulantes'!$A$2:$C$65,2,FALSE))</f>
        <v/>
      </c>
      <c r="G30" s="258"/>
      <c r="H30" s="259"/>
      <c r="I30" s="263"/>
      <c r="J30" s="185"/>
      <c r="K30" s="167"/>
      <c r="L30" s="170"/>
      <c r="M30" s="171"/>
      <c r="N30" s="171"/>
      <c r="O30" s="500" t="str">
        <f t="shared" si="5"/>
        <v/>
      </c>
      <c r="P30" s="501"/>
      <c r="Q30" s="172"/>
      <c r="R30" s="173"/>
      <c r="S30" s="173"/>
      <c r="T30" s="174"/>
      <c r="U30" s="177"/>
      <c r="V30" s="170"/>
      <c r="W30" s="170"/>
      <c r="X30" s="253"/>
      <c r="Y30" s="182"/>
      <c r="Z30" s="264" t="str">
        <f t="shared" si="0"/>
        <v/>
      </c>
      <c r="AA30" s="171"/>
      <c r="AB30" s="265" t="str">
        <f t="shared" ca="1" si="6"/>
        <v/>
      </c>
      <c r="AC30" s="261"/>
      <c r="AD30" s="261"/>
      <c r="AE30" s="261"/>
      <c r="AF30" s="261"/>
      <c r="AG30" s="261"/>
      <c r="AH30" s="261"/>
      <c r="AI30" s="261"/>
      <c r="AJ30" s="458" t="str">
        <f t="shared" si="2"/>
        <v/>
      </c>
      <c r="AK30" s="454"/>
      <c r="AL30" s="457" t="str">
        <f t="shared" ca="1" si="3"/>
        <v/>
      </c>
      <c r="AM30" s="254"/>
      <c r="AN30" s="261"/>
      <c r="AO30" s="266"/>
      <c r="AP30" s="256" t="str">
        <f t="shared" si="7"/>
        <v/>
      </c>
    </row>
    <row r="31" spans="1:42" ht="67.5" customHeight="1">
      <c r="A31" s="188" t="s">
        <v>1130</v>
      </c>
      <c r="B31" s="176"/>
      <c r="C31" s="168"/>
      <c r="D31" s="169"/>
      <c r="E31" s="255"/>
      <c r="F31" s="247" t="str">
        <f>IF(E31="","",VLOOKUP(E31,'Listes déroulantes'!$A$2:$C$65,2,FALSE))</f>
        <v/>
      </c>
      <c r="G31" s="258"/>
      <c r="H31" s="259"/>
      <c r="I31" s="263"/>
      <c r="J31" s="185"/>
      <c r="K31" s="167"/>
      <c r="L31" s="170"/>
      <c r="M31" s="171"/>
      <c r="N31" s="171"/>
      <c r="O31" s="500" t="str">
        <f t="shared" si="5"/>
        <v/>
      </c>
      <c r="P31" s="501"/>
      <c r="Q31" s="172"/>
      <c r="R31" s="173"/>
      <c r="S31" s="173"/>
      <c r="T31" s="174"/>
      <c r="U31" s="177"/>
      <c r="V31" s="170"/>
      <c r="W31" s="170"/>
      <c r="X31" s="174"/>
      <c r="Y31" s="182"/>
      <c r="Z31" s="264" t="str">
        <f t="shared" si="0"/>
        <v/>
      </c>
      <c r="AA31" s="171"/>
      <c r="AB31" s="183" t="str">
        <f t="shared" ca="1" si="6"/>
        <v/>
      </c>
      <c r="AC31" s="261"/>
      <c r="AD31" s="261"/>
      <c r="AE31" s="261"/>
      <c r="AF31" s="261"/>
      <c r="AG31" s="261"/>
      <c r="AH31" s="261"/>
      <c r="AI31" s="261"/>
      <c r="AJ31" s="458" t="str">
        <f t="shared" si="2"/>
        <v/>
      </c>
      <c r="AK31" s="454"/>
      <c r="AL31" s="457" t="str">
        <f t="shared" ca="1" si="3"/>
        <v/>
      </c>
      <c r="AM31" s="254"/>
      <c r="AN31" s="261"/>
      <c r="AO31" s="266"/>
      <c r="AP31" s="256" t="str">
        <f t="shared" si="7"/>
        <v/>
      </c>
    </row>
    <row r="32" spans="1:42" ht="67.5" customHeight="1">
      <c r="A32" s="188" t="s">
        <v>1131</v>
      </c>
      <c r="B32" s="176"/>
      <c r="C32" s="168"/>
      <c r="D32" s="169"/>
      <c r="E32" s="255"/>
      <c r="F32" s="247" t="str">
        <f>IF(E32="","",VLOOKUP(E32,'Listes déroulantes'!$A$2:$C$65,2,FALSE))</f>
        <v/>
      </c>
      <c r="G32" s="258"/>
      <c r="H32" s="259"/>
      <c r="I32" s="263"/>
      <c r="J32" s="185"/>
      <c r="K32" s="167"/>
      <c r="L32" s="170"/>
      <c r="M32" s="171"/>
      <c r="N32" s="171"/>
      <c r="O32" s="500" t="str">
        <f t="shared" si="5"/>
        <v/>
      </c>
      <c r="P32" s="501"/>
      <c r="Q32" s="172"/>
      <c r="R32" s="173"/>
      <c r="S32" s="173"/>
      <c r="T32" s="174"/>
      <c r="U32" s="177"/>
      <c r="V32" s="170"/>
      <c r="W32" s="170"/>
      <c r="X32" s="174"/>
      <c r="Y32" s="182"/>
      <c r="Z32" s="264" t="str">
        <f t="shared" si="0"/>
        <v/>
      </c>
      <c r="AA32" s="171"/>
      <c r="AB32" s="183" t="str">
        <f t="shared" ca="1" si="6"/>
        <v/>
      </c>
      <c r="AC32" s="261"/>
      <c r="AD32" s="261"/>
      <c r="AE32" s="261"/>
      <c r="AF32" s="261"/>
      <c r="AG32" s="261"/>
      <c r="AH32" s="261"/>
      <c r="AI32" s="261"/>
      <c r="AJ32" s="458" t="str">
        <f t="shared" si="2"/>
        <v/>
      </c>
      <c r="AK32" s="454"/>
      <c r="AL32" s="457" t="str">
        <f t="shared" ca="1" si="3"/>
        <v/>
      </c>
      <c r="AM32" s="254"/>
      <c r="AN32" s="261"/>
      <c r="AO32" s="266"/>
      <c r="AP32" s="256" t="str">
        <f t="shared" si="7"/>
        <v/>
      </c>
    </row>
    <row r="33" spans="1:42" ht="67.5" customHeight="1">
      <c r="A33" s="188" t="s">
        <v>1132</v>
      </c>
      <c r="B33" s="176"/>
      <c r="C33" s="168"/>
      <c r="D33" s="169"/>
      <c r="E33" s="255"/>
      <c r="F33" s="247" t="str">
        <f>IF(E33="","",VLOOKUP(E33,'Listes déroulantes'!$A$2:$C$65,2,FALSE))</f>
        <v/>
      </c>
      <c r="G33" s="258"/>
      <c r="H33" s="259"/>
      <c r="I33" s="263"/>
      <c r="J33" s="185"/>
      <c r="K33" s="167"/>
      <c r="L33" s="170"/>
      <c r="M33" s="171"/>
      <c r="N33" s="171"/>
      <c r="O33" s="500" t="str">
        <f t="shared" si="5"/>
        <v/>
      </c>
      <c r="P33" s="501"/>
      <c r="Q33" s="172"/>
      <c r="R33" s="173"/>
      <c r="S33" s="173"/>
      <c r="T33" s="174"/>
      <c r="U33" s="177"/>
      <c r="V33" s="170"/>
      <c r="W33" s="170"/>
      <c r="X33" s="174"/>
      <c r="Y33" s="182"/>
      <c r="Z33" s="264" t="str">
        <f t="shared" si="0"/>
        <v/>
      </c>
      <c r="AA33" s="171"/>
      <c r="AB33" s="183" t="str">
        <f t="shared" ca="1" si="6"/>
        <v/>
      </c>
      <c r="AC33" s="261"/>
      <c r="AD33" s="261"/>
      <c r="AE33" s="261"/>
      <c r="AF33" s="261"/>
      <c r="AG33" s="261"/>
      <c r="AH33" s="261"/>
      <c r="AI33" s="261"/>
      <c r="AJ33" s="458" t="str">
        <f t="shared" si="2"/>
        <v/>
      </c>
      <c r="AK33" s="454"/>
      <c r="AL33" s="457" t="str">
        <f t="shared" ca="1" si="3"/>
        <v/>
      </c>
      <c r="AM33" s="254"/>
      <c r="AN33" s="261"/>
      <c r="AO33" s="266"/>
      <c r="AP33" s="256" t="str">
        <f t="shared" si="7"/>
        <v/>
      </c>
    </row>
    <row r="34" spans="1:42" ht="67.5" customHeight="1">
      <c r="A34" s="188" t="s">
        <v>1133</v>
      </c>
      <c r="B34" s="176"/>
      <c r="C34" s="168"/>
      <c r="D34" s="169"/>
      <c r="E34" s="255"/>
      <c r="F34" s="247" t="str">
        <f>IF(E34="","",VLOOKUP(E34,'Listes déroulantes'!$A$2:$C$65,2,FALSE))</f>
        <v/>
      </c>
      <c r="G34" s="258"/>
      <c r="H34" s="259"/>
      <c r="I34" s="263"/>
      <c r="J34" s="185"/>
      <c r="K34" s="167"/>
      <c r="L34" s="170"/>
      <c r="M34" s="171"/>
      <c r="N34" s="171"/>
      <c r="O34" s="500" t="str">
        <f t="shared" si="5"/>
        <v/>
      </c>
      <c r="P34" s="501"/>
      <c r="Q34" s="172"/>
      <c r="R34" s="173"/>
      <c r="S34" s="173"/>
      <c r="T34" s="174"/>
      <c r="U34" s="177"/>
      <c r="V34" s="170"/>
      <c r="W34" s="170"/>
      <c r="X34" s="174"/>
      <c r="Y34" s="182"/>
      <c r="Z34" s="264" t="str">
        <f t="shared" si="0"/>
        <v/>
      </c>
      <c r="AA34" s="171"/>
      <c r="AB34" s="183" t="str">
        <f t="shared" ca="1" si="6"/>
        <v/>
      </c>
      <c r="AC34" s="261"/>
      <c r="AD34" s="261"/>
      <c r="AE34" s="261"/>
      <c r="AF34" s="261"/>
      <c r="AG34" s="261"/>
      <c r="AH34" s="261"/>
      <c r="AI34" s="261"/>
      <c r="AJ34" s="458" t="str">
        <f t="shared" si="2"/>
        <v/>
      </c>
      <c r="AK34" s="454"/>
      <c r="AL34" s="457" t="str">
        <f t="shared" ca="1" si="3"/>
        <v/>
      </c>
      <c r="AM34" s="254"/>
      <c r="AN34" s="261"/>
      <c r="AO34" s="266"/>
      <c r="AP34" s="256" t="str">
        <f t="shared" si="7"/>
        <v/>
      </c>
    </row>
    <row r="35" spans="1:42" ht="67.5" customHeight="1">
      <c r="A35" s="188" t="s">
        <v>1134</v>
      </c>
      <c r="B35" s="176"/>
      <c r="C35" s="168"/>
      <c r="D35" s="169"/>
      <c r="E35" s="255"/>
      <c r="F35" s="247" t="str">
        <f>IF(E35="","",VLOOKUP(E35,'Listes déroulantes'!$A$2:$C$65,2,FALSE))</f>
        <v/>
      </c>
      <c r="G35" s="258"/>
      <c r="H35" s="259"/>
      <c r="I35" s="263"/>
      <c r="J35" s="185"/>
      <c r="K35" s="167"/>
      <c r="L35" s="170"/>
      <c r="M35" s="171"/>
      <c r="N35" s="171"/>
      <c r="O35" s="500" t="str">
        <f t="shared" si="5"/>
        <v/>
      </c>
      <c r="P35" s="501"/>
      <c r="Q35" s="172"/>
      <c r="R35" s="173"/>
      <c r="S35" s="173"/>
      <c r="T35" s="174"/>
      <c r="U35" s="177"/>
      <c r="V35" s="170"/>
      <c r="W35" s="170"/>
      <c r="X35" s="174"/>
      <c r="Y35" s="182"/>
      <c r="Z35" s="264" t="str">
        <f t="shared" ref="Z35:Z61" si="8">IF(ISBLANK(I35),"",I35+2)</f>
        <v/>
      </c>
      <c r="AA35" s="171"/>
      <c r="AB35" s="183" t="str">
        <f t="shared" ca="1" si="6"/>
        <v/>
      </c>
      <c r="AC35" s="261"/>
      <c r="AD35" s="261"/>
      <c r="AE35" s="261"/>
      <c r="AF35" s="261"/>
      <c r="AG35" s="261"/>
      <c r="AH35" s="261"/>
      <c r="AI35" s="261"/>
      <c r="AJ35" s="458" t="str">
        <f t="shared" si="2"/>
        <v/>
      </c>
      <c r="AK35" s="454"/>
      <c r="AL35" s="457" t="str">
        <f t="shared" ca="1" si="3"/>
        <v/>
      </c>
      <c r="AM35" s="254"/>
      <c r="AN35" s="261"/>
      <c r="AO35" s="266"/>
      <c r="AP35" s="256" t="str">
        <f t="shared" si="7"/>
        <v/>
      </c>
    </row>
    <row r="36" spans="1:42" ht="67.5" customHeight="1">
      <c r="A36" s="188" t="s">
        <v>1135</v>
      </c>
      <c r="B36" s="176"/>
      <c r="C36" s="168"/>
      <c r="D36" s="169"/>
      <c r="E36" s="255"/>
      <c r="F36" s="247" t="str">
        <f>IF(E36="","",VLOOKUP(E36,'Listes déroulantes'!$A$2:$C$65,2,FALSE))</f>
        <v/>
      </c>
      <c r="G36" s="258"/>
      <c r="H36" s="259"/>
      <c r="I36" s="263"/>
      <c r="J36" s="262"/>
      <c r="K36" s="167"/>
      <c r="L36" s="170"/>
      <c r="M36" s="171"/>
      <c r="N36" s="171"/>
      <c r="O36" s="500" t="str">
        <f t="shared" si="5"/>
        <v/>
      </c>
      <c r="P36" s="501"/>
      <c r="Q36" s="172"/>
      <c r="R36" s="173"/>
      <c r="S36" s="173"/>
      <c r="T36" s="174"/>
      <c r="U36" s="177"/>
      <c r="V36" s="170"/>
      <c r="W36" s="170"/>
      <c r="X36" s="253"/>
      <c r="Y36" s="182"/>
      <c r="Z36" s="264" t="str">
        <f t="shared" si="8"/>
        <v/>
      </c>
      <c r="AA36" s="171"/>
      <c r="AB36" s="183" t="str">
        <f t="shared" ca="1" si="6"/>
        <v/>
      </c>
      <c r="AC36" s="261"/>
      <c r="AD36" s="261"/>
      <c r="AE36" s="261"/>
      <c r="AF36" s="261"/>
      <c r="AG36" s="261"/>
      <c r="AH36" s="261"/>
      <c r="AI36" s="261"/>
      <c r="AJ36" s="458" t="str">
        <f t="shared" ref="AJ36:AJ73" si="9">IF(ISBLANK(I36),"",I36+30)</f>
        <v/>
      </c>
      <c r="AK36" s="454"/>
      <c r="AL36" s="457" t="str">
        <f t="shared" ref="AL36:AL65" ca="1" si="10">IF(ISBLANK(AK36),IF(AJ36&lt;TODAY(),"non",""),IF(AK36&gt;AJ36,"non","oui"))</f>
        <v/>
      </c>
      <c r="AM36" s="254"/>
      <c r="AN36" s="261"/>
      <c r="AO36" s="266"/>
      <c r="AP36" s="256" t="str">
        <f t="shared" si="7"/>
        <v/>
      </c>
    </row>
    <row r="37" spans="1:42" ht="67.5" customHeight="1">
      <c r="A37" s="188" t="s">
        <v>1136</v>
      </c>
      <c r="B37" s="176"/>
      <c r="C37" s="168"/>
      <c r="D37" s="169"/>
      <c r="E37" s="255"/>
      <c r="F37" s="247" t="str">
        <f>IF(E37="","",VLOOKUP(E37,'Listes déroulantes'!$A$2:$C$65,2,FALSE))</f>
        <v/>
      </c>
      <c r="G37" s="258"/>
      <c r="H37" s="259"/>
      <c r="I37" s="263"/>
      <c r="J37" s="185"/>
      <c r="K37" s="167"/>
      <c r="L37" s="170"/>
      <c r="M37" s="171"/>
      <c r="N37" s="171"/>
      <c r="O37" s="500" t="str">
        <f t="shared" si="5"/>
        <v/>
      </c>
      <c r="P37" s="501"/>
      <c r="Q37" s="172"/>
      <c r="R37" s="173"/>
      <c r="S37" s="173"/>
      <c r="T37" s="174"/>
      <c r="U37" s="177"/>
      <c r="V37" s="170"/>
      <c r="W37" s="170"/>
      <c r="X37" s="253"/>
      <c r="Y37" s="182"/>
      <c r="Z37" s="264" t="str">
        <f t="shared" si="8"/>
        <v/>
      </c>
      <c r="AA37" s="171"/>
      <c r="AB37" s="183" t="str">
        <f t="shared" ca="1" si="6"/>
        <v/>
      </c>
      <c r="AC37" s="261"/>
      <c r="AD37" s="261"/>
      <c r="AE37" s="261"/>
      <c r="AF37" s="261"/>
      <c r="AG37" s="261"/>
      <c r="AH37" s="261"/>
      <c r="AI37" s="261"/>
      <c r="AJ37" s="458" t="str">
        <f t="shared" si="9"/>
        <v/>
      </c>
      <c r="AK37" s="454"/>
      <c r="AL37" s="457" t="str">
        <f t="shared" ca="1" si="10"/>
        <v/>
      </c>
      <c r="AM37" s="254"/>
      <c r="AN37" s="261"/>
      <c r="AO37" s="266"/>
      <c r="AP37" s="256" t="str">
        <f t="shared" si="7"/>
        <v/>
      </c>
    </row>
    <row r="38" spans="1:42" ht="67.5" customHeight="1">
      <c r="A38" s="188" t="s">
        <v>1137</v>
      </c>
      <c r="B38" s="176"/>
      <c r="C38" s="168"/>
      <c r="D38" s="169"/>
      <c r="E38" s="255"/>
      <c r="F38" s="247" t="str">
        <f>IF(E38="","",VLOOKUP(E38,'Listes déroulantes'!$A$2:$C$65,2,FALSE))</f>
        <v/>
      </c>
      <c r="G38" s="258"/>
      <c r="H38" s="259"/>
      <c r="I38" s="263"/>
      <c r="J38" s="185"/>
      <c r="K38" s="167"/>
      <c r="L38" s="170"/>
      <c r="M38" s="171"/>
      <c r="N38" s="171"/>
      <c r="O38" s="500" t="str">
        <f t="shared" si="5"/>
        <v/>
      </c>
      <c r="P38" s="501"/>
      <c r="Q38" s="172"/>
      <c r="R38" s="173"/>
      <c r="S38" s="173"/>
      <c r="T38" s="174"/>
      <c r="U38" s="177"/>
      <c r="V38" s="170"/>
      <c r="W38" s="170"/>
      <c r="X38" s="253"/>
      <c r="Y38" s="182"/>
      <c r="Z38" s="264" t="str">
        <f t="shared" si="8"/>
        <v/>
      </c>
      <c r="AA38" s="171"/>
      <c r="AB38" s="183" t="str">
        <f t="shared" ca="1" si="6"/>
        <v/>
      </c>
      <c r="AC38" s="261"/>
      <c r="AD38" s="261"/>
      <c r="AE38" s="261"/>
      <c r="AF38" s="261"/>
      <c r="AG38" s="261"/>
      <c r="AH38" s="261"/>
      <c r="AI38" s="261"/>
      <c r="AJ38" s="458" t="str">
        <f t="shared" si="9"/>
        <v/>
      </c>
      <c r="AK38" s="454"/>
      <c r="AL38" s="457" t="str">
        <f t="shared" ca="1" si="10"/>
        <v/>
      </c>
      <c r="AM38" s="254"/>
      <c r="AN38" s="261"/>
      <c r="AO38" s="266"/>
      <c r="AP38" s="256" t="str">
        <f t="shared" si="7"/>
        <v/>
      </c>
    </row>
    <row r="39" spans="1:42" ht="67.5" customHeight="1">
      <c r="A39" s="188" t="s">
        <v>1138</v>
      </c>
      <c r="B39" s="176"/>
      <c r="C39" s="168"/>
      <c r="D39" s="169"/>
      <c r="E39" s="255"/>
      <c r="F39" s="247" t="str">
        <f>IF(E39="","",VLOOKUP(E39,'Listes déroulantes'!$A$2:$C$65,2,FALSE))</f>
        <v/>
      </c>
      <c r="G39" s="258"/>
      <c r="H39" s="259"/>
      <c r="I39" s="263"/>
      <c r="J39" s="185"/>
      <c r="K39" s="167"/>
      <c r="L39" s="170"/>
      <c r="M39" s="171"/>
      <c r="N39" s="171"/>
      <c r="O39" s="500" t="str">
        <f t="shared" si="5"/>
        <v/>
      </c>
      <c r="P39" s="501"/>
      <c r="Q39" s="172"/>
      <c r="R39" s="173"/>
      <c r="S39" s="173"/>
      <c r="T39" s="174"/>
      <c r="U39" s="177"/>
      <c r="V39" s="170"/>
      <c r="W39" s="170"/>
      <c r="X39" s="253"/>
      <c r="Y39" s="182"/>
      <c r="Z39" s="264" t="str">
        <f t="shared" si="8"/>
        <v/>
      </c>
      <c r="AA39" s="171"/>
      <c r="AB39" s="183" t="str">
        <f t="shared" ca="1" si="6"/>
        <v/>
      </c>
      <c r="AC39" s="261"/>
      <c r="AD39" s="261"/>
      <c r="AE39" s="261"/>
      <c r="AF39" s="261"/>
      <c r="AG39" s="261"/>
      <c r="AH39" s="261"/>
      <c r="AI39" s="261"/>
      <c r="AJ39" s="458" t="str">
        <f t="shared" si="9"/>
        <v/>
      </c>
      <c r="AK39" s="454"/>
      <c r="AL39" s="457" t="str">
        <f t="shared" ca="1" si="10"/>
        <v/>
      </c>
      <c r="AM39" s="254"/>
      <c r="AN39" s="261"/>
      <c r="AO39" s="266"/>
      <c r="AP39" s="256" t="str">
        <f t="shared" si="7"/>
        <v/>
      </c>
    </row>
    <row r="40" spans="1:42" ht="67.5" customHeight="1">
      <c r="A40" s="188" t="s">
        <v>1139</v>
      </c>
      <c r="B40" s="176"/>
      <c r="C40" s="168"/>
      <c r="D40" s="169"/>
      <c r="E40" s="255"/>
      <c r="F40" s="247" t="str">
        <f>IF(E40="","",VLOOKUP(E40,'Listes déroulantes'!$A$2:$C$65,2,FALSE))</f>
        <v/>
      </c>
      <c r="G40" s="258"/>
      <c r="H40" s="259"/>
      <c r="I40" s="263"/>
      <c r="J40" s="185"/>
      <c r="K40" s="167"/>
      <c r="L40" s="170"/>
      <c r="M40" s="171"/>
      <c r="N40" s="171"/>
      <c r="O40" s="500" t="str">
        <f t="shared" si="5"/>
        <v/>
      </c>
      <c r="P40" s="501"/>
      <c r="Q40" s="172"/>
      <c r="R40" s="173"/>
      <c r="S40" s="173"/>
      <c r="T40" s="174"/>
      <c r="U40" s="177"/>
      <c r="V40" s="170"/>
      <c r="W40" s="170"/>
      <c r="X40" s="253"/>
      <c r="Y40" s="182"/>
      <c r="Z40" s="264" t="str">
        <f t="shared" si="8"/>
        <v/>
      </c>
      <c r="AA40" s="171"/>
      <c r="AB40" s="183" t="str">
        <f t="shared" ca="1" si="6"/>
        <v/>
      </c>
      <c r="AC40" s="261"/>
      <c r="AD40" s="261"/>
      <c r="AE40" s="261"/>
      <c r="AF40" s="261"/>
      <c r="AG40" s="261"/>
      <c r="AH40" s="261"/>
      <c r="AI40" s="261"/>
      <c r="AJ40" s="458" t="str">
        <f t="shared" si="9"/>
        <v/>
      </c>
      <c r="AK40" s="454"/>
      <c r="AL40" s="457" t="str">
        <f t="shared" ca="1" si="10"/>
        <v/>
      </c>
      <c r="AM40" s="254"/>
      <c r="AN40" s="261"/>
      <c r="AO40" s="266"/>
      <c r="AP40" s="256" t="str">
        <f t="shared" si="7"/>
        <v/>
      </c>
    </row>
    <row r="41" spans="1:42" ht="67.5" customHeight="1">
      <c r="A41" s="188" t="s">
        <v>1140</v>
      </c>
      <c r="B41" s="176"/>
      <c r="C41" s="168"/>
      <c r="D41" s="169"/>
      <c r="E41" s="255"/>
      <c r="F41" s="247" t="str">
        <f>IF(E41="","",VLOOKUP(E41,'Listes déroulantes'!$A$2:$C$65,2,FALSE))</f>
        <v/>
      </c>
      <c r="G41" s="258"/>
      <c r="H41" s="259"/>
      <c r="I41" s="263"/>
      <c r="J41" s="185"/>
      <c r="K41" s="167"/>
      <c r="L41" s="170"/>
      <c r="M41" s="171"/>
      <c r="N41" s="171"/>
      <c r="O41" s="500" t="str">
        <f t="shared" si="5"/>
        <v/>
      </c>
      <c r="P41" s="501"/>
      <c r="Q41" s="172"/>
      <c r="R41" s="173"/>
      <c r="S41" s="173"/>
      <c r="T41" s="174"/>
      <c r="U41" s="177"/>
      <c r="V41" s="170"/>
      <c r="W41" s="170"/>
      <c r="X41" s="253"/>
      <c r="Y41" s="182"/>
      <c r="Z41" s="264" t="str">
        <f t="shared" si="8"/>
        <v/>
      </c>
      <c r="AA41" s="171"/>
      <c r="AB41" s="183" t="str">
        <f t="shared" ca="1" si="6"/>
        <v/>
      </c>
      <c r="AC41" s="261"/>
      <c r="AD41" s="261"/>
      <c r="AE41" s="261"/>
      <c r="AF41" s="261"/>
      <c r="AG41" s="261"/>
      <c r="AH41" s="261"/>
      <c r="AI41" s="261"/>
      <c r="AJ41" s="458" t="str">
        <f t="shared" si="9"/>
        <v/>
      </c>
      <c r="AK41" s="454"/>
      <c r="AL41" s="457" t="str">
        <f t="shared" ca="1" si="10"/>
        <v/>
      </c>
      <c r="AM41" s="254"/>
      <c r="AN41" s="261"/>
      <c r="AO41" s="266"/>
      <c r="AP41" s="256" t="str">
        <f t="shared" si="7"/>
        <v/>
      </c>
    </row>
    <row r="42" spans="1:42" ht="67.5" customHeight="1">
      <c r="A42" s="188" t="s">
        <v>1141</v>
      </c>
      <c r="B42" s="176"/>
      <c r="C42" s="168"/>
      <c r="D42" s="169"/>
      <c r="E42" s="255"/>
      <c r="F42" s="247" t="str">
        <f>IF(E42="","",VLOOKUP(E42,'Listes déroulantes'!$A$2:$C$65,2,FALSE))</f>
        <v/>
      </c>
      <c r="G42" s="258"/>
      <c r="H42" s="259"/>
      <c r="I42" s="263"/>
      <c r="J42" s="185"/>
      <c r="K42" s="167"/>
      <c r="L42" s="170"/>
      <c r="M42" s="171"/>
      <c r="N42" s="171"/>
      <c r="O42" s="500" t="str">
        <f t="shared" ref="O42:O105" si="11">IF(L42="avec arrêt",(N42-M42)+1,"")</f>
        <v/>
      </c>
      <c r="P42" s="501"/>
      <c r="Q42" s="172"/>
      <c r="R42" s="173"/>
      <c r="S42" s="173"/>
      <c r="T42" s="174"/>
      <c r="U42" s="177"/>
      <c r="V42" s="170"/>
      <c r="W42" s="170"/>
      <c r="X42" s="253"/>
      <c r="Y42" s="182"/>
      <c r="Z42" s="264" t="str">
        <f t="shared" si="8"/>
        <v/>
      </c>
      <c r="AA42" s="171"/>
      <c r="AB42" s="183" t="str">
        <f t="shared" ca="1" si="6"/>
        <v/>
      </c>
      <c r="AC42" s="261"/>
      <c r="AD42" s="261"/>
      <c r="AE42" s="261"/>
      <c r="AF42" s="261"/>
      <c r="AG42" s="261"/>
      <c r="AH42" s="261"/>
      <c r="AI42" s="261"/>
      <c r="AJ42" s="458" t="str">
        <f t="shared" si="9"/>
        <v/>
      </c>
      <c r="AK42" s="454"/>
      <c r="AL42" s="457" t="str">
        <f t="shared" ca="1" si="10"/>
        <v/>
      </c>
      <c r="AM42" s="254"/>
      <c r="AN42" s="261"/>
      <c r="AO42" s="266"/>
      <c r="AP42" s="256" t="str">
        <f t="shared" si="7"/>
        <v/>
      </c>
    </row>
    <row r="43" spans="1:42" ht="67.5" customHeight="1">
      <c r="A43" s="188" t="s">
        <v>1142</v>
      </c>
      <c r="B43" s="176"/>
      <c r="C43" s="168"/>
      <c r="D43" s="169"/>
      <c r="E43" s="255"/>
      <c r="F43" s="247" t="str">
        <f>IF(E43="","",VLOOKUP(E43,'Listes déroulantes'!$A$2:$C$65,2,FALSE))</f>
        <v/>
      </c>
      <c r="G43" s="258"/>
      <c r="H43" s="259"/>
      <c r="I43" s="263"/>
      <c r="J43" s="185"/>
      <c r="K43" s="167"/>
      <c r="L43" s="170"/>
      <c r="M43" s="171"/>
      <c r="N43" s="171"/>
      <c r="O43" s="500" t="str">
        <f t="shared" si="11"/>
        <v/>
      </c>
      <c r="P43" s="501"/>
      <c r="Q43" s="172"/>
      <c r="R43" s="173"/>
      <c r="S43" s="173"/>
      <c r="T43" s="174"/>
      <c r="U43" s="177"/>
      <c r="V43" s="170"/>
      <c r="W43" s="170"/>
      <c r="X43" s="253"/>
      <c r="Y43" s="182"/>
      <c r="Z43" s="264" t="str">
        <f t="shared" si="8"/>
        <v/>
      </c>
      <c r="AA43" s="171"/>
      <c r="AB43" s="183" t="str">
        <f t="shared" ca="1" si="6"/>
        <v/>
      </c>
      <c r="AC43" s="261"/>
      <c r="AD43" s="261"/>
      <c r="AE43" s="261"/>
      <c r="AF43" s="261"/>
      <c r="AG43" s="261"/>
      <c r="AH43" s="261"/>
      <c r="AI43" s="261"/>
      <c r="AJ43" s="458" t="str">
        <f t="shared" si="9"/>
        <v/>
      </c>
      <c r="AK43" s="454"/>
      <c r="AL43" s="457" t="str">
        <f t="shared" ca="1" si="10"/>
        <v/>
      </c>
      <c r="AM43" s="254"/>
      <c r="AN43" s="261"/>
      <c r="AO43" s="266"/>
      <c r="AP43" s="256" t="str">
        <f t="shared" si="7"/>
        <v/>
      </c>
    </row>
    <row r="44" spans="1:42" ht="67.5" customHeight="1">
      <c r="A44" s="188" t="s">
        <v>1143</v>
      </c>
      <c r="B44" s="176"/>
      <c r="C44" s="168"/>
      <c r="D44" s="169"/>
      <c r="E44" s="255"/>
      <c r="F44" s="247" t="str">
        <f>IF(E44="","",VLOOKUP(E44,'Listes déroulantes'!$A$2:$C$65,2,FALSE))</f>
        <v/>
      </c>
      <c r="G44" s="258"/>
      <c r="H44" s="259"/>
      <c r="I44" s="263"/>
      <c r="J44" s="185"/>
      <c r="K44" s="167"/>
      <c r="L44" s="170"/>
      <c r="M44" s="171"/>
      <c r="N44" s="171"/>
      <c r="O44" s="500" t="str">
        <f t="shared" si="11"/>
        <v/>
      </c>
      <c r="P44" s="501"/>
      <c r="Q44" s="172"/>
      <c r="R44" s="173"/>
      <c r="S44" s="173"/>
      <c r="T44" s="174"/>
      <c r="U44" s="177"/>
      <c r="V44" s="170"/>
      <c r="W44" s="170"/>
      <c r="X44" s="253"/>
      <c r="Y44" s="182"/>
      <c r="Z44" s="264" t="str">
        <f t="shared" si="8"/>
        <v/>
      </c>
      <c r="AA44" s="171"/>
      <c r="AB44" s="183" t="str">
        <f t="shared" ca="1" si="6"/>
        <v/>
      </c>
      <c r="AC44" s="261"/>
      <c r="AD44" s="261"/>
      <c r="AE44" s="261"/>
      <c r="AF44" s="261"/>
      <c r="AG44" s="261"/>
      <c r="AH44" s="261"/>
      <c r="AI44" s="261"/>
      <c r="AJ44" s="458" t="str">
        <f t="shared" si="9"/>
        <v/>
      </c>
      <c r="AK44" s="454"/>
      <c r="AL44" s="457" t="str">
        <f t="shared" ca="1" si="10"/>
        <v/>
      </c>
      <c r="AM44" s="254"/>
      <c r="AN44" s="261"/>
      <c r="AO44" s="266"/>
      <c r="AP44" s="256" t="str">
        <f t="shared" si="7"/>
        <v/>
      </c>
    </row>
    <row r="45" spans="1:42" ht="67.5" customHeight="1">
      <c r="A45" s="188" t="s">
        <v>1144</v>
      </c>
      <c r="B45" s="176"/>
      <c r="C45" s="168"/>
      <c r="D45" s="169"/>
      <c r="E45" s="255"/>
      <c r="F45" s="247" t="str">
        <f>IF(E45="","",VLOOKUP(E45,'Listes déroulantes'!$A$2:$C$65,2,FALSE))</f>
        <v/>
      </c>
      <c r="G45" s="258"/>
      <c r="H45" s="259"/>
      <c r="I45" s="263"/>
      <c r="J45" s="185"/>
      <c r="K45" s="167"/>
      <c r="L45" s="170"/>
      <c r="M45" s="171"/>
      <c r="N45" s="171"/>
      <c r="O45" s="500" t="str">
        <f t="shared" si="11"/>
        <v/>
      </c>
      <c r="P45" s="501"/>
      <c r="Q45" s="172"/>
      <c r="R45" s="173"/>
      <c r="S45" s="173"/>
      <c r="T45" s="174"/>
      <c r="U45" s="177"/>
      <c r="V45" s="170"/>
      <c r="W45" s="170"/>
      <c r="X45" s="253"/>
      <c r="Y45" s="182"/>
      <c r="Z45" s="264" t="str">
        <f t="shared" si="8"/>
        <v/>
      </c>
      <c r="AA45" s="171"/>
      <c r="AB45" s="183" t="str">
        <f t="shared" ca="1" si="6"/>
        <v/>
      </c>
      <c r="AC45" s="261"/>
      <c r="AD45" s="261"/>
      <c r="AE45" s="261"/>
      <c r="AF45" s="261"/>
      <c r="AG45" s="261"/>
      <c r="AH45" s="261"/>
      <c r="AI45" s="261"/>
      <c r="AJ45" s="458" t="str">
        <f t="shared" si="9"/>
        <v/>
      </c>
      <c r="AK45" s="454"/>
      <c r="AL45" s="457" t="str">
        <f t="shared" ca="1" si="10"/>
        <v/>
      </c>
      <c r="AM45" s="254"/>
      <c r="AN45" s="261"/>
      <c r="AO45" s="266"/>
      <c r="AP45" s="256" t="str">
        <f t="shared" si="7"/>
        <v/>
      </c>
    </row>
    <row r="46" spans="1:42" ht="67.5" customHeight="1">
      <c r="A46" s="188" t="s">
        <v>1145</v>
      </c>
      <c r="B46" s="176"/>
      <c r="C46" s="168"/>
      <c r="D46" s="169"/>
      <c r="E46" s="255"/>
      <c r="F46" s="247" t="str">
        <f>IF(E46="","",VLOOKUP(E46,'Listes déroulantes'!$A$2:$C$65,2,FALSE))</f>
        <v/>
      </c>
      <c r="G46" s="258"/>
      <c r="H46" s="259"/>
      <c r="I46" s="263"/>
      <c r="J46" s="185"/>
      <c r="K46" s="167"/>
      <c r="L46" s="170"/>
      <c r="M46" s="171"/>
      <c r="N46" s="171"/>
      <c r="O46" s="500" t="str">
        <f t="shared" si="11"/>
        <v/>
      </c>
      <c r="P46" s="501"/>
      <c r="Q46" s="172"/>
      <c r="R46" s="173"/>
      <c r="S46" s="173"/>
      <c r="T46" s="174"/>
      <c r="U46" s="177"/>
      <c r="V46" s="170"/>
      <c r="W46" s="170"/>
      <c r="X46" s="253"/>
      <c r="Y46" s="182"/>
      <c r="Z46" s="264" t="str">
        <f t="shared" si="8"/>
        <v/>
      </c>
      <c r="AA46" s="171"/>
      <c r="AB46" s="183" t="str">
        <f t="shared" ca="1" si="6"/>
        <v/>
      </c>
      <c r="AC46" s="261"/>
      <c r="AD46" s="261"/>
      <c r="AE46" s="261"/>
      <c r="AF46" s="261"/>
      <c r="AG46" s="261"/>
      <c r="AH46" s="261"/>
      <c r="AI46" s="261"/>
      <c r="AJ46" s="458" t="str">
        <f t="shared" si="9"/>
        <v/>
      </c>
      <c r="AK46" s="454"/>
      <c r="AL46" s="457" t="str">
        <f t="shared" ca="1" si="10"/>
        <v/>
      </c>
      <c r="AM46" s="254"/>
      <c r="AN46" s="261"/>
      <c r="AO46" s="266"/>
      <c r="AP46" s="256" t="str">
        <f t="shared" si="7"/>
        <v/>
      </c>
    </row>
    <row r="47" spans="1:42" ht="67.5" customHeight="1">
      <c r="A47" s="188" t="s">
        <v>1146</v>
      </c>
      <c r="B47" s="176"/>
      <c r="C47" s="168"/>
      <c r="D47" s="169"/>
      <c r="E47" s="255"/>
      <c r="F47" s="247" t="str">
        <f>IF(E47="","",VLOOKUP(E47,'Listes déroulantes'!$A$2:$C$65,2,FALSE))</f>
        <v/>
      </c>
      <c r="G47" s="258"/>
      <c r="H47" s="259"/>
      <c r="I47" s="263"/>
      <c r="J47" s="185"/>
      <c r="K47" s="167"/>
      <c r="L47" s="170"/>
      <c r="M47" s="171"/>
      <c r="N47" s="171"/>
      <c r="O47" s="500" t="str">
        <f t="shared" si="11"/>
        <v/>
      </c>
      <c r="P47" s="501"/>
      <c r="Q47" s="172"/>
      <c r="R47" s="173"/>
      <c r="S47" s="173"/>
      <c r="T47" s="174"/>
      <c r="U47" s="177"/>
      <c r="V47" s="170"/>
      <c r="W47" s="170"/>
      <c r="X47" s="253"/>
      <c r="Y47" s="182"/>
      <c r="Z47" s="264" t="str">
        <f t="shared" si="8"/>
        <v/>
      </c>
      <c r="AA47" s="171"/>
      <c r="AB47" s="183" t="str">
        <f t="shared" ca="1" si="6"/>
        <v/>
      </c>
      <c r="AC47" s="261"/>
      <c r="AD47" s="261"/>
      <c r="AE47" s="261"/>
      <c r="AF47" s="261"/>
      <c r="AG47" s="261"/>
      <c r="AH47" s="261"/>
      <c r="AI47" s="261"/>
      <c r="AJ47" s="458" t="str">
        <f t="shared" si="9"/>
        <v/>
      </c>
      <c r="AK47" s="454"/>
      <c r="AL47" s="457" t="str">
        <f t="shared" ca="1" si="10"/>
        <v/>
      </c>
      <c r="AM47" s="254"/>
      <c r="AN47" s="261"/>
      <c r="AO47" s="266"/>
      <c r="AP47" s="256" t="str">
        <f t="shared" si="7"/>
        <v/>
      </c>
    </row>
    <row r="48" spans="1:42" ht="67.5" customHeight="1">
      <c r="A48" s="188" t="s">
        <v>1147</v>
      </c>
      <c r="B48" s="176"/>
      <c r="C48" s="168"/>
      <c r="D48" s="169"/>
      <c r="E48" s="255"/>
      <c r="F48" s="247" t="str">
        <f>IF(E48="","",VLOOKUP(E48,'Listes déroulantes'!$A$2:$C$65,2,FALSE))</f>
        <v/>
      </c>
      <c r="G48" s="258"/>
      <c r="H48" s="259"/>
      <c r="I48" s="263"/>
      <c r="J48" s="185"/>
      <c r="K48" s="167"/>
      <c r="L48" s="170"/>
      <c r="M48" s="171"/>
      <c r="N48" s="171"/>
      <c r="O48" s="500" t="str">
        <f t="shared" si="11"/>
        <v/>
      </c>
      <c r="P48" s="501"/>
      <c r="Q48" s="172"/>
      <c r="R48" s="173"/>
      <c r="S48" s="173"/>
      <c r="T48" s="174"/>
      <c r="U48" s="177"/>
      <c r="V48" s="170"/>
      <c r="W48" s="170"/>
      <c r="X48" s="253"/>
      <c r="Y48" s="182"/>
      <c r="Z48" s="264" t="str">
        <f t="shared" si="8"/>
        <v/>
      </c>
      <c r="AA48" s="171"/>
      <c r="AB48" s="183" t="str">
        <f t="shared" ca="1" si="6"/>
        <v/>
      </c>
      <c r="AC48" s="261"/>
      <c r="AD48" s="261"/>
      <c r="AE48" s="261"/>
      <c r="AF48" s="261"/>
      <c r="AG48" s="261"/>
      <c r="AH48" s="261"/>
      <c r="AI48" s="261"/>
      <c r="AJ48" s="458" t="str">
        <f t="shared" si="9"/>
        <v/>
      </c>
      <c r="AK48" s="454"/>
      <c r="AL48" s="457" t="str">
        <f t="shared" ca="1" si="10"/>
        <v/>
      </c>
      <c r="AM48" s="254"/>
      <c r="AN48" s="261"/>
      <c r="AO48" s="266"/>
      <c r="AP48" s="256" t="str">
        <f t="shared" si="7"/>
        <v/>
      </c>
    </row>
    <row r="49" spans="1:42" ht="67.5" customHeight="1">
      <c r="A49" s="188" t="s">
        <v>1148</v>
      </c>
      <c r="B49" s="176"/>
      <c r="C49" s="168"/>
      <c r="D49" s="169"/>
      <c r="E49" s="255"/>
      <c r="F49" s="247" t="str">
        <f>IF(E49="","",VLOOKUP(E49,'Listes déroulantes'!$A$2:$C$65,2,FALSE))</f>
        <v/>
      </c>
      <c r="G49" s="258"/>
      <c r="H49" s="259"/>
      <c r="I49" s="263"/>
      <c r="J49" s="185"/>
      <c r="K49" s="167"/>
      <c r="L49" s="170"/>
      <c r="M49" s="171"/>
      <c r="N49" s="171"/>
      <c r="O49" s="500" t="str">
        <f t="shared" si="11"/>
        <v/>
      </c>
      <c r="P49" s="501"/>
      <c r="Q49" s="172"/>
      <c r="R49" s="173"/>
      <c r="S49" s="173"/>
      <c r="T49" s="174"/>
      <c r="U49" s="177"/>
      <c r="V49" s="170"/>
      <c r="W49" s="170"/>
      <c r="X49" s="174"/>
      <c r="Y49" s="182"/>
      <c r="Z49" s="264" t="str">
        <f t="shared" si="8"/>
        <v/>
      </c>
      <c r="AA49" s="171"/>
      <c r="AB49" s="183" t="str">
        <f t="shared" ca="1" si="6"/>
        <v/>
      </c>
      <c r="AC49" s="261"/>
      <c r="AD49" s="261"/>
      <c r="AE49" s="261"/>
      <c r="AF49" s="261"/>
      <c r="AG49" s="261"/>
      <c r="AH49" s="261"/>
      <c r="AI49" s="261"/>
      <c r="AJ49" s="458" t="str">
        <f t="shared" si="9"/>
        <v/>
      </c>
      <c r="AK49" s="454"/>
      <c r="AL49" s="457" t="str">
        <f t="shared" ca="1" si="10"/>
        <v/>
      </c>
      <c r="AM49" s="254"/>
      <c r="AN49" s="261"/>
      <c r="AO49" s="266"/>
      <c r="AP49" s="256" t="str">
        <f t="shared" si="7"/>
        <v/>
      </c>
    </row>
    <row r="50" spans="1:42" ht="67.5" customHeight="1">
      <c r="A50" s="188" t="s">
        <v>1149</v>
      </c>
      <c r="B50" s="176"/>
      <c r="C50" s="168"/>
      <c r="D50" s="169"/>
      <c r="E50" s="255"/>
      <c r="F50" s="247" t="str">
        <f>IF(E50="","",VLOOKUP(E50,'Listes déroulantes'!$A$2:$C$65,2,FALSE))</f>
        <v/>
      </c>
      <c r="G50" s="258"/>
      <c r="H50" s="259"/>
      <c r="I50" s="263"/>
      <c r="J50" s="185"/>
      <c r="K50" s="167"/>
      <c r="L50" s="170"/>
      <c r="M50" s="171"/>
      <c r="N50" s="171"/>
      <c r="O50" s="500" t="str">
        <f t="shared" si="11"/>
        <v/>
      </c>
      <c r="P50" s="501"/>
      <c r="Q50" s="172"/>
      <c r="R50" s="173"/>
      <c r="S50" s="173"/>
      <c r="T50" s="174"/>
      <c r="U50" s="177"/>
      <c r="V50" s="170"/>
      <c r="W50" s="170"/>
      <c r="X50" s="174"/>
      <c r="Y50" s="182"/>
      <c r="Z50" s="264" t="str">
        <f t="shared" si="8"/>
        <v/>
      </c>
      <c r="AA50" s="171"/>
      <c r="AB50" s="183" t="str">
        <f t="shared" ca="1" si="6"/>
        <v/>
      </c>
      <c r="AC50" s="261"/>
      <c r="AD50" s="261"/>
      <c r="AE50" s="261"/>
      <c r="AF50" s="261"/>
      <c r="AG50" s="261"/>
      <c r="AH50" s="261"/>
      <c r="AI50" s="261"/>
      <c r="AJ50" s="458" t="str">
        <f t="shared" si="9"/>
        <v/>
      </c>
      <c r="AK50" s="454"/>
      <c r="AL50" s="457" t="str">
        <f t="shared" ca="1" si="10"/>
        <v/>
      </c>
      <c r="AM50" s="254"/>
      <c r="AN50" s="261"/>
      <c r="AO50" s="266"/>
      <c r="AP50" s="256" t="str">
        <f t="shared" si="7"/>
        <v/>
      </c>
    </row>
    <row r="51" spans="1:42" ht="67.5" customHeight="1">
      <c r="A51" s="188" t="s">
        <v>1150</v>
      </c>
      <c r="B51" s="176"/>
      <c r="C51" s="168"/>
      <c r="D51" s="169"/>
      <c r="E51" s="255"/>
      <c r="F51" s="247" t="str">
        <f>IF(E51="","",VLOOKUP(E51,'Listes déroulantes'!$A$2:$C$65,2,FALSE))</f>
        <v/>
      </c>
      <c r="G51" s="258"/>
      <c r="H51" s="259"/>
      <c r="I51" s="263"/>
      <c r="J51" s="185"/>
      <c r="K51" s="167"/>
      <c r="L51" s="170"/>
      <c r="M51" s="171"/>
      <c r="N51" s="171"/>
      <c r="O51" s="500" t="str">
        <f t="shared" si="11"/>
        <v/>
      </c>
      <c r="P51" s="501"/>
      <c r="Q51" s="172"/>
      <c r="R51" s="173"/>
      <c r="S51" s="173"/>
      <c r="T51" s="174"/>
      <c r="U51" s="177"/>
      <c r="V51" s="170"/>
      <c r="W51" s="170"/>
      <c r="X51" s="174"/>
      <c r="Y51" s="182"/>
      <c r="Z51" s="264" t="str">
        <f t="shared" si="8"/>
        <v/>
      </c>
      <c r="AA51" s="171"/>
      <c r="AB51" s="183" t="str">
        <f t="shared" ca="1" si="6"/>
        <v/>
      </c>
      <c r="AC51" s="261"/>
      <c r="AD51" s="261"/>
      <c r="AE51" s="261"/>
      <c r="AF51" s="261"/>
      <c r="AG51" s="261"/>
      <c r="AH51" s="261"/>
      <c r="AI51" s="261"/>
      <c r="AJ51" s="458" t="str">
        <f t="shared" si="9"/>
        <v/>
      </c>
      <c r="AK51" s="454"/>
      <c r="AL51" s="457" t="str">
        <f t="shared" ca="1" si="10"/>
        <v/>
      </c>
      <c r="AM51" s="254"/>
      <c r="AN51" s="261"/>
      <c r="AO51" s="266"/>
      <c r="AP51" s="256" t="str">
        <f t="shared" ref="AP51:AP71" si="12">IFERROR(AO51/AM51,"")</f>
        <v/>
      </c>
    </row>
    <row r="52" spans="1:42" ht="67.5" customHeight="1">
      <c r="A52" s="188" t="s">
        <v>1151</v>
      </c>
      <c r="B52" s="176"/>
      <c r="C52" s="168"/>
      <c r="D52" s="169"/>
      <c r="E52" s="255"/>
      <c r="F52" s="247" t="str">
        <f>IF(E52="","",VLOOKUP(E52,'Listes déroulantes'!$A$2:$C$65,2,FALSE))</f>
        <v/>
      </c>
      <c r="G52" s="258"/>
      <c r="H52" s="259"/>
      <c r="I52" s="263"/>
      <c r="J52" s="185"/>
      <c r="K52" s="167"/>
      <c r="L52" s="170"/>
      <c r="M52" s="171"/>
      <c r="N52" s="171"/>
      <c r="O52" s="500" t="str">
        <f t="shared" si="11"/>
        <v/>
      </c>
      <c r="P52" s="501"/>
      <c r="Q52" s="172"/>
      <c r="R52" s="173"/>
      <c r="S52" s="173"/>
      <c r="T52" s="174"/>
      <c r="U52" s="177"/>
      <c r="V52" s="170"/>
      <c r="W52" s="170"/>
      <c r="X52" s="174"/>
      <c r="Y52" s="182"/>
      <c r="Z52" s="264" t="str">
        <f t="shared" si="8"/>
        <v/>
      </c>
      <c r="AA52" s="171"/>
      <c r="AB52" s="183" t="str">
        <f t="shared" ca="1" si="6"/>
        <v/>
      </c>
      <c r="AC52" s="261"/>
      <c r="AD52" s="261"/>
      <c r="AE52" s="261"/>
      <c r="AF52" s="261"/>
      <c r="AG52" s="261"/>
      <c r="AH52" s="261"/>
      <c r="AI52" s="261"/>
      <c r="AJ52" s="458" t="str">
        <f t="shared" si="9"/>
        <v/>
      </c>
      <c r="AK52" s="454"/>
      <c r="AL52" s="457" t="str">
        <f t="shared" ca="1" si="10"/>
        <v/>
      </c>
      <c r="AM52" s="254"/>
      <c r="AN52" s="261"/>
      <c r="AO52" s="266"/>
      <c r="AP52" s="256" t="str">
        <f t="shared" si="12"/>
        <v/>
      </c>
    </row>
    <row r="53" spans="1:42" ht="67.5" customHeight="1">
      <c r="A53" s="188" t="s">
        <v>1152</v>
      </c>
      <c r="B53" s="176"/>
      <c r="C53" s="168"/>
      <c r="D53" s="169"/>
      <c r="E53" s="255"/>
      <c r="F53" s="247" t="str">
        <f>IF(E53="","",VLOOKUP(E53,'Listes déroulantes'!$A$2:$C$65,2,FALSE))</f>
        <v/>
      </c>
      <c r="G53" s="258"/>
      <c r="H53" s="259"/>
      <c r="I53" s="263"/>
      <c r="J53" s="185"/>
      <c r="K53" s="167"/>
      <c r="L53" s="170"/>
      <c r="M53" s="171"/>
      <c r="N53" s="171"/>
      <c r="O53" s="500" t="str">
        <f t="shared" si="11"/>
        <v/>
      </c>
      <c r="P53" s="501"/>
      <c r="Q53" s="172"/>
      <c r="R53" s="173"/>
      <c r="S53" s="173"/>
      <c r="T53" s="174"/>
      <c r="U53" s="177"/>
      <c r="V53" s="170"/>
      <c r="W53" s="170"/>
      <c r="X53" s="174"/>
      <c r="Y53" s="182"/>
      <c r="Z53" s="264" t="str">
        <f t="shared" si="8"/>
        <v/>
      </c>
      <c r="AA53" s="171"/>
      <c r="AB53" s="183" t="str">
        <f t="shared" ca="1" si="6"/>
        <v/>
      </c>
      <c r="AC53" s="261"/>
      <c r="AD53" s="261"/>
      <c r="AE53" s="261"/>
      <c r="AF53" s="261"/>
      <c r="AG53" s="261"/>
      <c r="AH53" s="261"/>
      <c r="AI53" s="261"/>
      <c r="AJ53" s="458" t="str">
        <f t="shared" si="9"/>
        <v/>
      </c>
      <c r="AK53" s="454"/>
      <c r="AL53" s="457" t="str">
        <f t="shared" ca="1" si="10"/>
        <v/>
      </c>
      <c r="AM53" s="254"/>
      <c r="AN53" s="261"/>
      <c r="AO53" s="266"/>
      <c r="AP53" s="256" t="str">
        <f t="shared" si="12"/>
        <v/>
      </c>
    </row>
    <row r="54" spans="1:42" ht="67.5" customHeight="1">
      <c r="A54" s="188" t="s">
        <v>1153</v>
      </c>
      <c r="B54" s="176"/>
      <c r="C54" s="168"/>
      <c r="D54" s="169"/>
      <c r="E54" s="255"/>
      <c r="F54" s="247" t="str">
        <f>IF(E54="","",VLOOKUP(E54,'Listes déroulantes'!$A$2:$C$65,2,FALSE))</f>
        <v/>
      </c>
      <c r="G54" s="258"/>
      <c r="H54" s="259"/>
      <c r="I54" s="263"/>
      <c r="J54" s="185"/>
      <c r="K54" s="167"/>
      <c r="L54" s="170"/>
      <c r="M54" s="171"/>
      <c r="N54" s="171"/>
      <c r="O54" s="500" t="str">
        <f t="shared" si="11"/>
        <v/>
      </c>
      <c r="P54" s="501"/>
      <c r="Q54" s="172"/>
      <c r="R54" s="173"/>
      <c r="S54" s="173"/>
      <c r="T54" s="174"/>
      <c r="U54" s="177"/>
      <c r="V54" s="170"/>
      <c r="W54" s="170"/>
      <c r="X54" s="174"/>
      <c r="Y54" s="182"/>
      <c r="Z54" s="264" t="str">
        <f t="shared" si="8"/>
        <v/>
      </c>
      <c r="AA54" s="171"/>
      <c r="AB54" s="183" t="str">
        <f t="shared" ca="1" si="6"/>
        <v/>
      </c>
      <c r="AC54" s="261"/>
      <c r="AD54" s="261"/>
      <c r="AE54" s="261"/>
      <c r="AF54" s="261"/>
      <c r="AG54" s="261"/>
      <c r="AH54" s="261"/>
      <c r="AI54" s="261"/>
      <c r="AJ54" s="458" t="str">
        <f t="shared" si="9"/>
        <v/>
      </c>
      <c r="AK54" s="454"/>
      <c r="AL54" s="457" t="str">
        <f t="shared" ca="1" si="10"/>
        <v/>
      </c>
      <c r="AM54" s="254"/>
      <c r="AN54" s="261"/>
      <c r="AO54" s="266"/>
      <c r="AP54" s="256" t="str">
        <f t="shared" si="12"/>
        <v/>
      </c>
    </row>
    <row r="55" spans="1:42" ht="67.5" customHeight="1">
      <c r="A55" s="188" t="s">
        <v>1154</v>
      </c>
      <c r="B55" s="176"/>
      <c r="C55" s="168"/>
      <c r="D55" s="169"/>
      <c r="E55" s="255"/>
      <c r="F55" s="247" t="str">
        <f>IF(E55="","",VLOOKUP(E55,'Listes déroulantes'!$A$2:$C$65,2,FALSE))</f>
        <v/>
      </c>
      <c r="G55" s="258"/>
      <c r="H55" s="259"/>
      <c r="I55" s="263"/>
      <c r="J55" s="185"/>
      <c r="K55" s="167"/>
      <c r="L55" s="170"/>
      <c r="M55" s="171"/>
      <c r="N55" s="171"/>
      <c r="O55" s="500" t="str">
        <f t="shared" si="11"/>
        <v/>
      </c>
      <c r="P55" s="501"/>
      <c r="Q55" s="172"/>
      <c r="R55" s="173"/>
      <c r="S55" s="173"/>
      <c r="T55" s="174"/>
      <c r="U55" s="177"/>
      <c r="V55" s="170"/>
      <c r="W55" s="170"/>
      <c r="X55" s="174"/>
      <c r="Y55" s="182"/>
      <c r="Z55" s="264" t="str">
        <f t="shared" si="8"/>
        <v/>
      </c>
      <c r="AA55" s="171"/>
      <c r="AB55" s="183" t="str">
        <f t="shared" ca="1" si="6"/>
        <v/>
      </c>
      <c r="AC55" s="261"/>
      <c r="AD55" s="261"/>
      <c r="AE55" s="261"/>
      <c r="AF55" s="261"/>
      <c r="AG55" s="261"/>
      <c r="AH55" s="261"/>
      <c r="AI55" s="261"/>
      <c r="AJ55" s="458" t="str">
        <f t="shared" si="9"/>
        <v/>
      </c>
      <c r="AK55" s="454"/>
      <c r="AL55" s="457" t="str">
        <f t="shared" ca="1" si="10"/>
        <v/>
      </c>
      <c r="AM55" s="254"/>
      <c r="AN55" s="261"/>
      <c r="AO55" s="266"/>
      <c r="AP55" s="256" t="str">
        <f t="shared" si="12"/>
        <v/>
      </c>
    </row>
    <row r="56" spans="1:42" ht="67.5" customHeight="1">
      <c r="A56" s="188" t="s">
        <v>1155</v>
      </c>
      <c r="B56" s="176"/>
      <c r="C56" s="168"/>
      <c r="D56" s="169"/>
      <c r="E56" s="255"/>
      <c r="F56" s="247" t="str">
        <f>IF(E56="","",VLOOKUP(E56,'Listes déroulantes'!$A$2:$C$65,2,FALSE))</f>
        <v/>
      </c>
      <c r="G56" s="258"/>
      <c r="H56" s="259"/>
      <c r="I56" s="263"/>
      <c r="J56" s="185"/>
      <c r="K56" s="167"/>
      <c r="L56" s="170"/>
      <c r="M56" s="171"/>
      <c r="N56" s="171"/>
      <c r="O56" s="500" t="str">
        <f t="shared" si="11"/>
        <v/>
      </c>
      <c r="P56" s="501"/>
      <c r="Q56" s="172"/>
      <c r="R56" s="173"/>
      <c r="S56" s="173"/>
      <c r="T56" s="174"/>
      <c r="U56" s="177"/>
      <c r="V56" s="170"/>
      <c r="W56" s="170"/>
      <c r="X56" s="174"/>
      <c r="Y56" s="182"/>
      <c r="Z56" s="264" t="str">
        <f t="shared" si="8"/>
        <v/>
      </c>
      <c r="AA56" s="171"/>
      <c r="AB56" s="183" t="str">
        <f t="shared" ca="1" si="6"/>
        <v/>
      </c>
      <c r="AC56" s="261"/>
      <c r="AD56" s="261"/>
      <c r="AE56" s="261"/>
      <c r="AF56" s="261"/>
      <c r="AG56" s="261"/>
      <c r="AH56" s="261"/>
      <c r="AI56" s="261"/>
      <c r="AJ56" s="458" t="str">
        <f t="shared" si="9"/>
        <v/>
      </c>
      <c r="AK56" s="454"/>
      <c r="AL56" s="457" t="str">
        <f t="shared" ca="1" si="10"/>
        <v/>
      </c>
      <c r="AM56" s="254"/>
      <c r="AN56" s="261"/>
      <c r="AO56" s="266"/>
      <c r="AP56" s="256" t="str">
        <f t="shared" si="12"/>
        <v/>
      </c>
    </row>
    <row r="57" spans="1:42" ht="67.5" customHeight="1">
      <c r="A57" s="188" t="s">
        <v>1156</v>
      </c>
      <c r="B57" s="176"/>
      <c r="C57" s="168"/>
      <c r="D57" s="169"/>
      <c r="E57" s="255"/>
      <c r="F57" s="247" t="str">
        <f>IF(E57="","",VLOOKUP(E57,'Listes déroulantes'!$A$2:$C$65,2,FALSE))</f>
        <v/>
      </c>
      <c r="G57" s="258"/>
      <c r="H57" s="259"/>
      <c r="I57" s="263"/>
      <c r="J57" s="185"/>
      <c r="K57" s="167"/>
      <c r="L57" s="170"/>
      <c r="M57" s="171"/>
      <c r="N57" s="171"/>
      <c r="O57" s="500" t="str">
        <f t="shared" si="11"/>
        <v/>
      </c>
      <c r="P57" s="501"/>
      <c r="Q57" s="172"/>
      <c r="R57" s="173"/>
      <c r="S57" s="173"/>
      <c r="T57" s="174"/>
      <c r="U57" s="177"/>
      <c r="V57" s="170"/>
      <c r="W57" s="170"/>
      <c r="X57" s="174"/>
      <c r="Y57" s="182"/>
      <c r="Z57" s="264" t="str">
        <f t="shared" si="8"/>
        <v/>
      </c>
      <c r="AA57" s="171"/>
      <c r="AB57" s="183" t="str">
        <f t="shared" ca="1" si="6"/>
        <v/>
      </c>
      <c r="AC57" s="261"/>
      <c r="AD57" s="261"/>
      <c r="AE57" s="261"/>
      <c r="AF57" s="261"/>
      <c r="AG57" s="261"/>
      <c r="AH57" s="261"/>
      <c r="AI57" s="261"/>
      <c r="AJ57" s="458" t="str">
        <f t="shared" si="9"/>
        <v/>
      </c>
      <c r="AK57" s="454"/>
      <c r="AL57" s="457" t="str">
        <f t="shared" ca="1" si="10"/>
        <v/>
      </c>
      <c r="AM57" s="254"/>
      <c r="AN57" s="261"/>
      <c r="AO57" s="266"/>
      <c r="AP57" s="256" t="str">
        <f t="shared" si="12"/>
        <v/>
      </c>
    </row>
    <row r="58" spans="1:42" ht="67.5" customHeight="1">
      <c r="A58" s="188" t="s">
        <v>1157</v>
      </c>
      <c r="B58" s="176"/>
      <c r="C58" s="168"/>
      <c r="D58" s="169"/>
      <c r="E58" s="255"/>
      <c r="F58" s="247" t="str">
        <f>IF(E58="","",VLOOKUP(E58,'Listes déroulantes'!$A$2:$C$65,2,FALSE))</f>
        <v/>
      </c>
      <c r="G58" s="258"/>
      <c r="H58" s="259"/>
      <c r="I58" s="263"/>
      <c r="J58" s="185"/>
      <c r="K58" s="167"/>
      <c r="L58" s="170"/>
      <c r="M58" s="171"/>
      <c r="N58" s="171"/>
      <c r="O58" s="500" t="str">
        <f t="shared" si="11"/>
        <v/>
      </c>
      <c r="P58" s="501"/>
      <c r="Q58" s="172"/>
      <c r="R58" s="173"/>
      <c r="S58" s="173"/>
      <c r="T58" s="174"/>
      <c r="U58" s="177"/>
      <c r="V58" s="170"/>
      <c r="W58" s="170"/>
      <c r="X58" s="253"/>
      <c r="Y58" s="182"/>
      <c r="Z58" s="264" t="str">
        <f t="shared" si="8"/>
        <v/>
      </c>
      <c r="AA58" s="171"/>
      <c r="AB58" s="183" t="str">
        <f t="shared" ca="1" si="6"/>
        <v/>
      </c>
      <c r="AC58" s="261"/>
      <c r="AD58" s="261"/>
      <c r="AE58" s="261"/>
      <c r="AF58" s="261"/>
      <c r="AG58" s="261"/>
      <c r="AH58" s="261"/>
      <c r="AI58" s="261"/>
      <c r="AJ58" s="458" t="str">
        <f t="shared" si="9"/>
        <v/>
      </c>
      <c r="AK58" s="454"/>
      <c r="AL58" s="457" t="str">
        <f t="shared" ca="1" si="10"/>
        <v/>
      </c>
      <c r="AM58" s="254"/>
      <c r="AN58" s="261"/>
      <c r="AO58" s="266"/>
      <c r="AP58" s="256" t="str">
        <f t="shared" si="12"/>
        <v/>
      </c>
    </row>
    <row r="59" spans="1:42" ht="67.5" customHeight="1">
      <c r="A59" s="188" t="s">
        <v>1158</v>
      </c>
      <c r="B59" s="176"/>
      <c r="C59" s="168"/>
      <c r="D59" s="169"/>
      <c r="E59" s="255"/>
      <c r="F59" s="247" t="str">
        <f>IF(E59="","",VLOOKUP(E59,'Listes déroulantes'!$A$2:$C$65,2,FALSE))</f>
        <v/>
      </c>
      <c r="G59" s="258"/>
      <c r="H59" s="259"/>
      <c r="I59" s="263"/>
      <c r="J59" s="185"/>
      <c r="K59" s="167"/>
      <c r="L59" s="170"/>
      <c r="M59" s="171"/>
      <c r="N59" s="171"/>
      <c r="O59" s="500" t="str">
        <f t="shared" si="11"/>
        <v/>
      </c>
      <c r="P59" s="501"/>
      <c r="Q59" s="172"/>
      <c r="R59" s="173"/>
      <c r="S59" s="173"/>
      <c r="T59" s="174"/>
      <c r="U59" s="177"/>
      <c r="V59" s="170"/>
      <c r="W59" s="170"/>
      <c r="X59" s="174"/>
      <c r="Y59" s="182"/>
      <c r="Z59" s="264" t="str">
        <f t="shared" si="8"/>
        <v/>
      </c>
      <c r="AA59" s="171"/>
      <c r="AB59" s="183" t="str">
        <f t="shared" ca="1" si="6"/>
        <v/>
      </c>
      <c r="AC59" s="261"/>
      <c r="AD59" s="261"/>
      <c r="AE59" s="261"/>
      <c r="AF59" s="261"/>
      <c r="AG59" s="261"/>
      <c r="AH59" s="261"/>
      <c r="AI59" s="261"/>
      <c r="AJ59" s="458" t="str">
        <f t="shared" si="9"/>
        <v/>
      </c>
      <c r="AK59" s="454"/>
      <c r="AL59" s="457" t="str">
        <f t="shared" ca="1" si="10"/>
        <v/>
      </c>
      <c r="AM59" s="254"/>
      <c r="AN59" s="261"/>
      <c r="AO59" s="266"/>
      <c r="AP59" s="256" t="str">
        <f t="shared" si="12"/>
        <v/>
      </c>
    </row>
    <row r="60" spans="1:42" ht="67.5" customHeight="1">
      <c r="A60" s="188" t="s">
        <v>1159</v>
      </c>
      <c r="B60" s="176"/>
      <c r="C60" s="168"/>
      <c r="D60" s="169"/>
      <c r="E60" s="255"/>
      <c r="F60" s="247" t="str">
        <f>IF(E60="","",VLOOKUP(E60,'Listes déroulantes'!$A$2:$C$65,2,FALSE))</f>
        <v/>
      </c>
      <c r="G60" s="258"/>
      <c r="H60" s="259"/>
      <c r="I60" s="263"/>
      <c r="J60" s="185"/>
      <c r="K60" s="167"/>
      <c r="L60" s="170"/>
      <c r="M60" s="171"/>
      <c r="N60" s="171"/>
      <c r="O60" s="500" t="str">
        <f t="shared" si="11"/>
        <v/>
      </c>
      <c r="P60" s="501"/>
      <c r="Q60" s="172"/>
      <c r="R60" s="173"/>
      <c r="S60" s="173"/>
      <c r="T60" s="174"/>
      <c r="U60" s="177"/>
      <c r="V60" s="170"/>
      <c r="W60" s="170"/>
      <c r="X60" s="174"/>
      <c r="Y60" s="182"/>
      <c r="Z60" s="264" t="str">
        <f t="shared" si="8"/>
        <v/>
      </c>
      <c r="AA60" s="171"/>
      <c r="AB60" s="183" t="str">
        <f t="shared" ca="1" si="6"/>
        <v/>
      </c>
      <c r="AC60" s="261"/>
      <c r="AD60" s="261"/>
      <c r="AE60" s="261"/>
      <c r="AF60" s="261"/>
      <c r="AG60" s="261"/>
      <c r="AH60" s="261"/>
      <c r="AI60" s="261"/>
      <c r="AJ60" s="458" t="str">
        <f t="shared" si="9"/>
        <v/>
      </c>
      <c r="AK60" s="454"/>
      <c r="AL60" s="457" t="str">
        <f t="shared" ca="1" si="10"/>
        <v/>
      </c>
      <c r="AM60" s="254"/>
      <c r="AN60" s="261"/>
      <c r="AO60" s="266"/>
      <c r="AP60" s="256" t="str">
        <f t="shared" si="12"/>
        <v/>
      </c>
    </row>
    <row r="61" spans="1:42" ht="67.5" customHeight="1">
      <c r="A61" s="188" t="s">
        <v>1160</v>
      </c>
      <c r="B61" s="176"/>
      <c r="C61" s="168"/>
      <c r="D61" s="169"/>
      <c r="E61" s="255"/>
      <c r="F61" s="247" t="str">
        <f>IF(E61="","",VLOOKUP(E61,'Listes déroulantes'!$A$2:$C$65,2,FALSE))</f>
        <v/>
      </c>
      <c r="G61" s="258"/>
      <c r="H61" s="259"/>
      <c r="I61" s="263"/>
      <c r="J61" s="185"/>
      <c r="K61" s="167"/>
      <c r="L61" s="170"/>
      <c r="M61" s="171"/>
      <c r="N61" s="171"/>
      <c r="O61" s="500" t="str">
        <f t="shared" si="11"/>
        <v/>
      </c>
      <c r="P61" s="501"/>
      <c r="Q61" s="172"/>
      <c r="R61" s="173"/>
      <c r="S61" s="173"/>
      <c r="T61" s="174"/>
      <c r="U61" s="177"/>
      <c r="V61" s="170"/>
      <c r="W61" s="170"/>
      <c r="X61" s="174"/>
      <c r="Y61" s="182"/>
      <c r="Z61" s="264" t="str">
        <f t="shared" si="8"/>
        <v/>
      </c>
      <c r="AA61" s="171"/>
      <c r="AB61" s="183" t="str">
        <f t="shared" ca="1" si="6"/>
        <v/>
      </c>
      <c r="AC61" s="261"/>
      <c r="AD61" s="261"/>
      <c r="AE61" s="261"/>
      <c r="AF61" s="261"/>
      <c r="AG61" s="261"/>
      <c r="AH61" s="261"/>
      <c r="AI61" s="261"/>
      <c r="AJ61" s="458" t="str">
        <f t="shared" si="9"/>
        <v/>
      </c>
      <c r="AK61" s="454"/>
      <c r="AL61" s="457" t="str">
        <f t="shared" ca="1" si="10"/>
        <v/>
      </c>
      <c r="AM61" s="254"/>
      <c r="AN61" s="261"/>
      <c r="AO61" s="266"/>
      <c r="AP61" s="256" t="str">
        <f t="shared" si="12"/>
        <v/>
      </c>
    </row>
    <row r="62" spans="1:42" ht="67.5" customHeight="1">
      <c r="A62" s="188" t="s">
        <v>1161</v>
      </c>
      <c r="B62" s="176"/>
      <c r="C62" s="168"/>
      <c r="D62" s="169"/>
      <c r="E62" s="255"/>
      <c r="F62" s="247" t="str">
        <f>IF(E62="","",VLOOKUP(E62,'Listes déroulantes'!$A$2:$C$65,2,FALSE))</f>
        <v/>
      </c>
      <c r="G62" s="258"/>
      <c r="H62" s="259"/>
      <c r="I62" s="263"/>
      <c r="J62" s="185"/>
      <c r="K62" s="167"/>
      <c r="L62" s="170"/>
      <c r="M62" s="171"/>
      <c r="N62" s="171"/>
      <c r="O62" s="500" t="str">
        <f t="shared" si="11"/>
        <v/>
      </c>
      <c r="P62" s="501"/>
      <c r="Q62" s="172"/>
      <c r="R62" s="173"/>
      <c r="S62" s="173"/>
      <c r="T62" s="174"/>
      <c r="U62" s="177"/>
      <c r="V62" s="170"/>
      <c r="W62" s="170"/>
      <c r="X62" s="174"/>
      <c r="Y62" s="182"/>
      <c r="Z62" s="179" t="str">
        <f t="shared" ref="Z62:Z93" si="13">IF(ISBLANK(I62),"",I62+7)</f>
        <v/>
      </c>
      <c r="AA62" s="171"/>
      <c r="AB62" s="183" t="str">
        <f t="shared" ca="1" si="6"/>
        <v/>
      </c>
      <c r="AC62" s="261"/>
      <c r="AD62" s="261"/>
      <c r="AE62" s="261"/>
      <c r="AF62" s="261"/>
      <c r="AG62" s="261"/>
      <c r="AH62" s="261"/>
      <c r="AI62" s="261"/>
      <c r="AJ62" s="458" t="str">
        <f t="shared" si="9"/>
        <v/>
      </c>
      <c r="AK62" s="454"/>
      <c r="AL62" s="457" t="str">
        <f t="shared" ca="1" si="10"/>
        <v/>
      </c>
      <c r="AM62" s="254"/>
      <c r="AN62" s="261"/>
      <c r="AO62" s="266"/>
      <c r="AP62" s="256" t="str">
        <f t="shared" si="12"/>
        <v/>
      </c>
    </row>
    <row r="63" spans="1:42" ht="67.5" customHeight="1">
      <c r="A63" s="188" t="s">
        <v>1162</v>
      </c>
      <c r="B63" s="176"/>
      <c r="C63" s="168"/>
      <c r="D63" s="169"/>
      <c r="E63" s="255"/>
      <c r="F63" s="247" t="str">
        <f>IF(E63="","",VLOOKUP(E63,'Listes déroulantes'!$A$2:$C$65,2,FALSE))</f>
        <v/>
      </c>
      <c r="G63" s="258"/>
      <c r="H63" s="259"/>
      <c r="I63" s="263"/>
      <c r="J63" s="185"/>
      <c r="K63" s="167"/>
      <c r="L63" s="170"/>
      <c r="M63" s="171"/>
      <c r="N63" s="171"/>
      <c r="O63" s="500" t="str">
        <f t="shared" si="11"/>
        <v/>
      </c>
      <c r="P63" s="501"/>
      <c r="Q63" s="172"/>
      <c r="R63" s="173"/>
      <c r="S63" s="173"/>
      <c r="T63" s="174"/>
      <c r="U63" s="177"/>
      <c r="V63" s="170"/>
      <c r="W63" s="170"/>
      <c r="X63" s="174"/>
      <c r="Y63" s="182"/>
      <c r="Z63" s="179" t="str">
        <f t="shared" si="13"/>
        <v/>
      </c>
      <c r="AA63" s="171"/>
      <c r="AB63" s="183" t="str">
        <f t="shared" ca="1" si="6"/>
        <v/>
      </c>
      <c r="AC63" s="261"/>
      <c r="AD63" s="261"/>
      <c r="AE63" s="261"/>
      <c r="AF63" s="261"/>
      <c r="AG63" s="261"/>
      <c r="AH63" s="261"/>
      <c r="AI63" s="261"/>
      <c r="AJ63" s="458" t="str">
        <f t="shared" si="9"/>
        <v/>
      </c>
      <c r="AK63" s="454"/>
      <c r="AL63" s="457" t="str">
        <f t="shared" ca="1" si="10"/>
        <v/>
      </c>
      <c r="AM63" s="254"/>
      <c r="AN63" s="261"/>
      <c r="AO63" s="266"/>
      <c r="AP63" s="256" t="str">
        <f t="shared" si="12"/>
        <v/>
      </c>
    </row>
    <row r="64" spans="1:42" ht="67.5" customHeight="1">
      <c r="A64" s="188" t="s">
        <v>1163</v>
      </c>
      <c r="B64" s="176"/>
      <c r="C64" s="168"/>
      <c r="D64" s="169"/>
      <c r="E64" s="255"/>
      <c r="F64" s="247" t="str">
        <f>IF(E64="","",VLOOKUP(E64,'Listes déroulantes'!$A$2:$C$65,2,FALSE))</f>
        <v/>
      </c>
      <c r="G64" s="258"/>
      <c r="H64" s="259"/>
      <c r="I64" s="263"/>
      <c r="J64" s="185"/>
      <c r="K64" s="167"/>
      <c r="L64" s="170"/>
      <c r="M64" s="171"/>
      <c r="N64" s="171"/>
      <c r="O64" s="500" t="str">
        <f t="shared" si="11"/>
        <v/>
      </c>
      <c r="P64" s="501"/>
      <c r="Q64" s="172"/>
      <c r="R64" s="173"/>
      <c r="S64" s="173"/>
      <c r="T64" s="174"/>
      <c r="U64" s="177"/>
      <c r="V64" s="170"/>
      <c r="W64" s="170"/>
      <c r="X64" s="174"/>
      <c r="Y64" s="182"/>
      <c r="Z64" s="179" t="str">
        <f t="shared" si="13"/>
        <v/>
      </c>
      <c r="AA64" s="171"/>
      <c r="AB64" s="183" t="str">
        <f t="shared" ca="1" si="6"/>
        <v/>
      </c>
      <c r="AC64" s="261"/>
      <c r="AD64" s="261"/>
      <c r="AE64" s="261"/>
      <c r="AF64" s="261"/>
      <c r="AG64" s="261"/>
      <c r="AH64" s="261"/>
      <c r="AI64" s="261"/>
      <c r="AJ64" s="458" t="str">
        <f t="shared" si="9"/>
        <v/>
      </c>
      <c r="AK64" s="454"/>
      <c r="AL64" s="457" t="str">
        <f t="shared" ca="1" si="10"/>
        <v/>
      </c>
      <c r="AM64" s="254"/>
      <c r="AN64" s="261"/>
      <c r="AO64" s="266"/>
      <c r="AP64" s="256" t="str">
        <f t="shared" si="12"/>
        <v/>
      </c>
    </row>
    <row r="65" spans="1:42" ht="67.5" customHeight="1">
      <c r="A65" s="188" t="s">
        <v>1164</v>
      </c>
      <c r="B65" s="176"/>
      <c r="C65" s="168"/>
      <c r="D65" s="169"/>
      <c r="E65" s="255"/>
      <c r="F65" s="247" t="str">
        <f>IF(E65="","",VLOOKUP(E65,'Listes déroulantes'!$A$2:$C$65,2,FALSE))</f>
        <v/>
      </c>
      <c r="G65" s="258"/>
      <c r="H65" s="259"/>
      <c r="I65" s="263"/>
      <c r="J65" s="185"/>
      <c r="K65" s="167"/>
      <c r="L65" s="170"/>
      <c r="M65" s="171"/>
      <c r="N65" s="171"/>
      <c r="O65" s="500" t="str">
        <f t="shared" si="11"/>
        <v/>
      </c>
      <c r="P65" s="501"/>
      <c r="Q65" s="172"/>
      <c r="R65" s="173"/>
      <c r="S65" s="173"/>
      <c r="T65" s="174"/>
      <c r="U65" s="177"/>
      <c r="V65" s="170"/>
      <c r="W65" s="170"/>
      <c r="X65" s="174"/>
      <c r="Y65" s="182"/>
      <c r="Z65" s="179" t="str">
        <f t="shared" si="13"/>
        <v/>
      </c>
      <c r="AA65" s="171"/>
      <c r="AB65" s="183" t="str">
        <f t="shared" ca="1" si="6"/>
        <v/>
      </c>
      <c r="AC65" s="261"/>
      <c r="AD65" s="261"/>
      <c r="AE65" s="261"/>
      <c r="AF65" s="261"/>
      <c r="AG65" s="261"/>
      <c r="AH65" s="261"/>
      <c r="AI65" s="261"/>
      <c r="AJ65" s="458" t="str">
        <f t="shared" si="9"/>
        <v/>
      </c>
      <c r="AK65" s="454"/>
      <c r="AL65" s="457" t="str">
        <f t="shared" ca="1" si="10"/>
        <v/>
      </c>
      <c r="AM65" s="254"/>
      <c r="AN65" s="261"/>
      <c r="AO65" s="266"/>
      <c r="AP65" s="256" t="str">
        <f t="shared" si="12"/>
        <v/>
      </c>
    </row>
    <row r="66" spans="1:42" ht="67.5" customHeight="1">
      <c r="A66" s="188" t="s">
        <v>1165</v>
      </c>
      <c r="B66" s="176"/>
      <c r="C66" s="168"/>
      <c r="D66" s="169"/>
      <c r="E66" s="255"/>
      <c r="F66" s="247" t="str">
        <f>IF(E66="","",VLOOKUP(E66,'Listes déroulantes'!$A$2:$C$65,2,FALSE))</f>
        <v/>
      </c>
      <c r="G66" s="258"/>
      <c r="H66" s="259"/>
      <c r="I66" s="263"/>
      <c r="J66" s="185"/>
      <c r="K66" s="167"/>
      <c r="L66" s="170"/>
      <c r="M66" s="171"/>
      <c r="N66" s="171"/>
      <c r="O66" s="500" t="str">
        <f t="shared" si="11"/>
        <v/>
      </c>
      <c r="P66" s="501"/>
      <c r="Q66" s="172"/>
      <c r="R66" s="173"/>
      <c r="S66" s="173"/>
      <c r="T66" s="174"/>
      <c r="U66" s="177"/>
      <c r="V66" s="170"/>
      <c r="W66" s="170"/>
      <c r="X66" s="174"/>
      <c r="Y66" s="182"/>
      <c r="Z66" s="179" t="str">
        <f t="shared" si="13"/>
        <v/>
      </c>
      <c r="AA66" s="171"/>
      <c r="AB66" s="183" t="str">
        <f t="shared" ca="1" si="6"/>
        <v/>
      </c>
      <c r="AC66" s="261"/>
      <c r="AD66" s="261"/>
      <c r="AE66" s="261"/>
      <c r="AF66" s="261"/>
      <c r="AG66" s="261"/>
      <c r="AH66" s="261"/>
      <c r="AI66" s="261"/>
      <c r="AJ66" s="458" t="str">
        <f t="shared" si="9"/>
        <v/>
      </c>
      <c r="AK66" s="454"/>
      <c r="AL66" s="452"/>
      <c r="AM66" s="254"/>
      <c r="AN66" s="261"/>
      <c r="AO66" s="266"/>
      <c r="AP66" s="256" t="str">
        <f t="shared" si="12"/>
        <v/>
      </c>
    </row>
    <row r="67" spans="1:42" ht="67.5" customHeight="1">
      <c r="A67" s="188" t="s">
        <v>1166</v>
      </c>
      <c r="B67" s="176"/>
      <c r="C67" s="168"/>
      <c r="D67" s="169"/>
      <c r="E67" s="255"/>
      <c r="F67" s="247" t="str">
        <f>IF(E67="","",VLOOKUP(E67,'Listes déroulantes'!$A$2:$C$65,2,FALSE))</f>
        <v/>
      </c>
      <c r="G67" s="258"/>
      <c r="H67" s="259"/>
      <c r="I67" s="263"/>
      <c r="J67" s="185"/>
      <c r="K67" s="167"/>
      <c r="L67" s="170"/>
      <c r="M67" s="171"/>
      <c r="N67" s="171"/>
      <c r="O67" s="500" t="str">
        <f t="shared" si="11"/>
        <v/>
      </c>
      <c r="P67" s="501"/>
      <c r="Q67" s="172"/>
      <c r="R67" s="173"/>
      <c r="S67" s="173"/>
      <c r="T67" s="174"/>
      <c r="U67" s="177"/>
      <c r="V67" s="170"/>
      <c r="W67" s="170"/>
      <c r="X67" s="174"/>
      <c r="Y67" s="182"/>
      <c r="Z67" s="179" t="str">
        <f t="shared" si="13"/>
        <v/>
      </c>
      <c r="AA67" s="171"/>
      <c r="AB67" s="183" t="str">
        <f t="shared" ca="1" si="6"/>
        <v/>
      </c>
      <c r="AC67" s="261"/>
      <c r="AD67" s="261"/>
      <c r="AE67" s="261"/>
      <c r="AF67" s="261"/>
      <c r="AG67" s="261"/>
      <c r="AH67" s="261"/>
      <c r="AI67" s="261"/>
      <c r="AJ67" s="458" t="str">
        <f t="shared" si="9"/>
        <v/>
      </c>
      <c r="AK67" s="454"/>
      <c r="AL67" s="452"/>
      <c r="AM67" s="254"/>
      <c r="AN67" s="261"/>
      <c r="AO67" s="266"/>
      <c r="AP67" s="256" t="str">
        <f t="shared" si="12"/>
        <v/>
      </c>
    </row>
    <row r="68" spans="1:42" ht="67.5" customHeight="1">
      <c r="A68" s="188" t="s">
        <v>1167</v>
      </c>
      <c r="B68" s="176"/>
      <c r="C68" s="168"/>
      <c r="D68" s="169"/>
      <c r="E68" s="255"/>
      <c r="F68" s="247" t="str">
        <f>IF(E68="","",VLOOKUP(E68,'Listes déroulantes'!$A$2:$C$65,2,FALSE))</f>
        <v/>
      </c>
      <c r="G68" s="258"/>
      <c r="H68" s="259"/>
      <c r="I68" s="263"/>
      <c r="J68" s="185"/>
      <c r="K68" s="167"/>
      <c r="L68" s="170"/>
      <c r="M68" s="171"/>
      <c r="N68" s="171"/>
      <c r="O68" s="500" t="str">
        <f t="shared" si="11"/>
        <v/>
      </c>
      <c r="P68" s="501"/>
      <c r="Q68" s="172"/>
      <c r="R68" s="173"/>
      <c r="S68" s="173"/>
      <c r="T68" s="174"/>
      <c r="U68" s="177"/>
      <c r="V68" s="170"/>
      <c r="W68" s="170"/>
      <c r="X68" s="174"/>
      <c r="Y68" s="182"/>
      <c r="Z68" s="179" t="str">
        <f t="shared" si="13"/>
        <v/>
      </c>
      <c r="AA68" s="171"/>
      <c r="AB68" s="183" t="str">
        <f t="shared" ca="1" si="6"/>
        <v/>
      </c>
      <c r="AC68" s="261"/>
      <c r="AD68" s="261"/>
      <c r="AE68" s="261"/>
      <c r="AF68" s="261"/>
      <c r="AG68" s="261"/>
      <c r="AH68" s="261"/>
      <c r="AI68" s="261"/>
      <c r="AJ68" s="458" t="str">
        <f t="shared" si="9"/>
        <v/>
      </c>
      <c r="AK68" s="454"/>
      <c r="AL68" s="452"/>
      <c r="AM68" s="254"/>
      <c r="AN68" s="261"/>
      <c r="AO68" s="266"/>
      <c r="AP68" s="256" t="str">
        <f t="shared" si="12"/>
        <v/>
      </c>
    </row>
    <row r="69" spans="1:42" ht="67.5" customHeight="1">
      <c r="A69" s="188" t="s">
        <v>1168</v>
      </c>
      <c r="B69" s="176"/>
      <c r="C69" s="168"/>
      <c r="D69" s="169"/>
      <c r="E69" s="255"/>
      <c r="F69" s="247" t="str">
        <f>IF(E69="","",VLOOKUP(E69,'Listes déroulantes'!$A$2:$C$65,2,FALSE))</f>
        <v/>
      </c>
      <c r="G69" s="258"/>
      <c r="H69" s="259"/>
      <c r="I69" s="263"/>
      <c r="J69" s="185"/>
      <c r="K69" s="167"/>
      <c r="L69" s="170"/>
      <c r="M69" s="171"/>
      <c r="N69" s="171"/>
      <c r="O69" s="500" t="str">
        <f t="shared" si="11"/>
        <v/>
      </c>
      <c r="P69" s="501"/>
      <c r="Q69" s="172"/>
      <c r="R69" s="173"/>
      <c r="S69" s="173"/>
      <c r="T69" s="174"/>
      <c r="U69" s="177"/>
      <c r="V69" s="170"/>
      <c r="W69" s="170"/>
      <c r="X69" s="253"/>
      <c r="Y69" s="182"/>
      <c r="Z69" s="179" t="str">
        <f t="shared" si="13"/>
        <v/>
      </c>
      <c r="AA69" s="171"/>
      <c r="AB69" s="183" t="str">
        <f t="shared" ca="1" si="6"/>
        <v/>
      </c>
      <c r="AC69" s="261"/>
      <c r="AD69" s="261"/>
      <c r="AE69" s="261"/>
      <c r="AF69" s="261"/>
      <c r="AG69" s="261"/>
      <c r="AH69" s="261"/>
      <c r="AI69" s="261"/>
      <c r="AJ69" s="458" t="str">
        <f t="shared" si="9"/>
        <v/>
      </c>
      <c r="AK69" s="454"/>
      <c r="AL69" s="452"/>
      <c r="AM69" s="254"/>
      <c r="AN69" s="261"/>
      <c r="AO69" s="266"/>
      <c r="AP69" s="256" t="str">
        <f t="shared" si="12"/>
        <v/>
      </c>
    </row>
    <row r="70" spans="1:42" ht="67.5" customHeight="1">
      <c r="A70" s="188" t="s">
        <v>1169</v>
      </c>
      <c r="B70" s="176"/>
      <c r="C70" s="168"/>
      <c r="D70" s="169"/>
      <c r="E70" s="255"/>
      <c r="F70" s="247" t="str">
        <f>IF(E70="","",VLOOKUP(E70,'Listes déroulantes'!$A$2:$C$65,2,FALSE))</f>
        <v/>
      </c>
      <c r="G70" s="258"/>
      <c r="H70" s="259"/>
      <c r="I70" s="263"/>
      <c r="J70" s="185"/>
      <c r="K70" s="167"/>
      <c r="L70" s="170"/>
      <c r="M70" s="171"/>
      <c r="N70" s="171"/>
      <c r="O70" s="500" t="str">
        <f t="shared" si="11"/>
        <v/>
      </c>
      <c r="P70" s="501"/>
      <c r="Q70" s="172"/>
      <c r="R70" s="173"/>
      <c r="S70" s="173"/>
      <c r="T70" s="174"/>
      <c r="U70" s="177"/>
      <c r="V70" s="170"/>
      <c r="W70" s="170"/>
      <c r="X70" s="174"/>
      <c r="Y70" s="182"/>
      <c r="Z70" s="179" t="str">
        <f t="shared" si="13"/>
        <v/>
      </c>
      <c r="AA70" s="171"/>
      <c r="AB70" s="183" t="str">
        <f t="shared" ca="1" si="6"/>
        <v/>
      </c>
      <c r="AC70" s="261"/>
      <c r="AD70" s="261"/>
      <c r="AE70" s="261"/>
      <c r="AF70" s="261"/>
      <c r="AG70" s="261"/>
      <c r="AH70" s="261"/>
      <c r="AI70" s="261"/>
      <c r="AJ70" s="458" t="str">
        <f t="shared" si="9"/>
        <v/>
      </c>
      <c r="AK70" s="454"/>
      <c r="AL70" s="452"/>
      <c r="AM70" s="254"/>
      <c r="AN70" s="261"/>
      <c r="AO70" s="266"/>
      <c r="AP70" s="256" t="str">
        <f t="shared" si="12"/>
        <v/>
      </c>
    </row>
    <row r="71" spans="1:42" ht="67.5" customHeight="1">
      <c r="A71" s="188" t="s">
        <v>1170</v>
      </c>
      <c r="B71" s="176"/>
      <c r="C71" s="168"/>
      <c r="D71" s="169"/>
      <c r="E71" s="255"/>
      <c r="F71" s="247" t="str">
        <f>IF(E71="","",VLOOKUP(E71,'Listes déroulantes'!$A$2:$C$65,2,FALSE))</f>
        <v/>
      </c>
      <c r="G71" s="258"/>
      <c r="H71" s="259"/>
      <c r="I71" s="263"/>
      <c r="J71" s="185"/>
      <c r="K71" s="167"/>
      <c r="L71" s="170"/>
      <c r="M71" s="171"/>
      <c r="N71" s="171"/>
      <c r="O71" s="500" t="str">
        <f t="shared" si="11"/>
        <v/>
      </c>
      <c r="P71" s="501"/>
      <c r="Q71" s="172"/>
      <c r="R71" s="173"/>
      <c r="S71" s="173"/>
      <c r="T71" s="174"/>
      <c r="U71" s="177"/>
      <c r="V71" s="170"/>
      <c r="W71" s="170"/>
      <c r="X71" s="253"/>
      <c r="Y71" s="260"/>
      <c r="Z71" s="179" t="str">
        <f t="shared" si="13"/>
        <v/>
      </c>
      <c r="AA71" s="171"/>
      <c r="AB71" s="183" t="str">
        <f t="shared" ca="1" si="6"/>
        <v/>
      </c>
      <c r="AC71" s="261"/>
      <c r="AD71" s="261"/>
      <c r="AE71" s="261"/>
      <c r="AF71" s="261"/>
      <c r="AG71" s="261"/>
      <c r="AH71" s="261"/>
      <c r="AI71" s="261"/>
      <c r="AJ71" s="458" t="str">
        <f t="shared" si="9"/>
        <v/>
      </c>
      <c r="AK71" s="454"/>
      <c r="AL71" s="452"/>
      <c r="AM71" s="254"/>
      <c r="AN71" s="261"/>
      <c r="AO71" s="266"/>
      <c r="AP71" s="256" t="str">
        <f t="shared" si="12"/>
        <v/>
      </c>
    </row>
    <row r="72" spans="1:42" ht="67.5" customHeight="1">
      <c r="A72" s="188" t="s">
        <v>1171</v>
      </c>
      <c r="B72" s="176"/>
      <c r="C72" s="168"/>
      <c r="D72" s="169"/>
      <c r="E72" s="255"/>
      <c r="F72" s="247" t="str">
        <f>IF(E72="","",VLOOKUP(E72,'Listes déroulantes'!$A$2:$C$65,2,FALSE))</f>
        <v/>
      </c>
      <c r="G72" s="180"/>
      <c r="H72" s="181"/>
      <c r="I72" s="263"/>
      <c r="J72" s="185"/>
      <c r="K72" s="167"/>
      <c r="L72" s="170"/>
      <c r="M72" s="171"/>
      <c r="N72" s="171"/>
      <c r="O72" s="500" t="str">
        <f t="shared" si="11"/>
        <v/>
      </c>
      <c r="P72" s="501"/>
      <c r="Q72" s="172"/>
      <c r="R72" s="173"/>
      <c r="S72" s="173"/>
      <c r="T72" s="174"/>
      <c r="U72" s="177"/>
      <c r="V72" s="170"/>
      <c r="W72" s="170"/>
      <c r="X72" s="253"/>
      <c r="Y72" s="260"/>
      <c r="Z72" s="179" t="str">
        <f t="shared" si="13"/>
        <v/>
      </c>
      <c r="AA72" s="171"/>
      <c r="AB72" s="183" t="str">
        <f t="shared" ca="1" si="6"/>
        <v/>
      </c>
      <c r="AC72" s="261"/>
      <c r="AD72" s="249"/>
      <c r="AE72" s="170"/>
      <c r="AF72" s="170"/>
      <c r="AG72" s="170"/>
      <c r="AH72" s="170"/>
      <c r="AI72" s="170"/>
      <c r="AJ72" s="455" t="str">
        <f t="shared" si="9"/>
        <v/>
      </c>
      <c r="AK72" s="454"/>
      <c r="AL72" s="453"/>
      <c r="AM72" s="175"/>
      <c r="AN72" s="261"/>
      <c r="AO72" s="254"/>
      <c r="AP72" s="178" t="str">
        <f t="shared" ref="AP72:AP135" si="14">IF(ISBLANK(AM72)," ",IF(AM72&gt;0,IF(AO72&lt;=AM72,AO72/AM72,"erreur"),1))</f>
        <v xml:space="preserve"> </v>
      </c>
    </row>
    <row r="73" spans="1:42" ht="67.5" customHeight="1">
      <c r="A73" s="188" t="s">
        <v>1172</v>
      </c>
      <c r="B73" s="176"/>
      <c r="C73" s="168"/>
      <c r="D73" s="169"/>
      <c r="E73" s="255"/>
      <c r="F73" s="247" t="str">
        <f>IF(E73="","",VLOOKUP(E73,'Listes déroulantes'!$A$2:$C$65,2,FALSE))</f>
        <v/>
      </c>
      <c r="G73" s="180"/>
      <c r="H73" s="181"/>
      <c r="I73" s="263"/>
      <c r="J73" s="185"/>
      <c r="K73" s="167"/>
      <c r="L73" s="170"/>
      <c r="M73" s="171"/>
      <c r="N73" s="171"/>
      <c r="O73" s="500" t="str">
        <f t="shared" si="11"/>
        <v/>
      </c>
      <c r="P73" s="501"/>
      <c r="Q73" s="172"/>
      <c r="R73" s="173"/>
      <c r="S73" s="173"/>
      <c r="T73" s="174"/>
      <c r="U73" s="177"/>
      <c r="V73" s="170"/>
      <c r="W73" s="170"/>
      <c r="X73" s="253"/>
      <c r="Y73" s="182"/>
      <c r="Z73" s="179" t="str">
        <f t="shared" si="13"/>
        <v/>
      </c>
      <c r="AA73" s="171"/>
      <c r="AB73" s="183" t="str">
        <f t="shared" ca="1" si="6"/>
        <v/>
      </c>
      <c r="AC73" s="265"/>
      <c r="AD73" s="249"/>
      <c r="AE73" s="170"/>
      <c r="AF73" s="170"/>
      <c r="AG73" s="170"/>
      <c r="AH73" s="170"/>
      <c r="AI73" s="170"/>
      <c r="AJ73" s="455" t="str">
        <f t="shared" si="9"/>
        <v/>
      </c>
      <c r="AK73" s="454"/>
      <c r="AL73" s="453"/>
      <c r="AM73" s="175"/>
      <c r="AN73" s="261"/>
      <c r="AO73" s="254"/>
      <c r="AP73" s="178" t="str">
        <f t="shared" si="14"/>
        <v xml:space="preserve"> </v>
      </c>
    </row>
    <row r="74" spans="1:42" ht="67.5" customHeight="1">
      <c r="A74" s="188" t="s">
        <v>1173</v>
      </c>
      <c r="B74" s="176"/>
      <c r="C74" s="168"/>
      <c r="D74" s="169"/>
      <c r="E74" s="255"/>
      <c r="F74" s="247" t="str">
        <f>IF(E74="","",VLOOKUP(E74,'Listes déroulantes'!$A$2:$C$65,2,FALSE))</f>
        <v/>
      </c>
      <c r="G74" s="180"/>
      <c r="H74" s="181"/>
      <c r="I74" s="263"/>
      <c r="J74" s="185"/>
      <c r="K74" s="167"/>
      <c r="L74" s="170"/>
      <c r="M74" s="171"/>
      <c r="N74" s="171"/>
      <c r="O74" s="500" t="str">
        <f t="shared" si="11"/>
        <v/>
      </c>
      <c r="P74" s="501"/>
      <c r="Q74" s="172"/>
      <c r="R74" s="173"/>
      <c r="S74" s="173"/>
      <c r="T74" s="174"/>
      <c r="U74" s="177"/>
      <c r="V74" s="170"/>
      <c r="W74" s="170"/>
      <c r="X74" s="174"/>
      <c r="Y74" s="182"/>
      <c r="Z74" s="179" t="str">
        <f t="shared" si="13"/>
        <v/>
      </c>
      <c r="AA74" s="171"/>
      <c r="AB74" s="183" t="str">
        <f t="shared" ca="1" si="6"/>
        <v/>
      </c>
      <c r="AC74" s="265"/>
      <c r="AD74" s="249"/>
      <c r="AE74" s="170"/>
      <c r="AF74" s="170"/>
      <c r="AG74" s="170"/>
      <c r="AH74" s="170"/>
      <c r="AI74" s="170"/>
      <c r="AJ74" s="453"/>
      <c r="AK74" s="454"/>
      <c r="AL74" s="453"/>
      <c r="AM74" s="175"/>
      <c r="AN74" s="261"/>
      <c r="AO74" s="254"/>
      <c r="AP74" s="178" t="str">
        <f t="shared" si="14"/>
        <v xml:space="preserve"> </v>
      </c>
    </row>
    <row r="75" spans="1:42" ht="67.5" customHeight="1">
      <c r="A75" s="188" t="s">
        <v>1174</v>
      </c>
      <c r="B75" s="176"/>
      <c r="C75" s="168"/>
      <c r="D75" s="169"/>
      <c r="E75" s="255"/>
      <c r="F75" s="247" t="str">
        <f>IF(E75="","",VLOOKUP(E75,'Listes déroulantes'!$A$2:$C$65,2,FALSE))</f>
        <v/>
      </c>
      <c r="G75" s="180"/>
      <c r="H75" s="181"/>
      <c r="I75" s="263"/>
      <c r="J75" s="185"/>
      <c r="K75" s="167"/>
      <c r="L75" s="170"/>
      <c r="M75" s="171"/>
      <c r="N75" s="171"/>
      <c r="O75" s="500" t="str">
        <f t="shared" si="11"/>
        <v/>
      </c>
      <c r="P75" s="501"/>
      <c r="Q75" s="172"/>
      <c r="R75" s="173"/>
      <c r="S75" s="173"/>
      <c r="T75" s="174"/>
      <c r="U75" s="177"/>
      <c r="V75" s="170"/>
      <c r="W75" s="170"/>
      <c r="X75" s="174"/>
      <c r="Y75" s="182"/>
      <c r="Z75" s="179" t="str">
        <f t="shared" si="13"/>
        <v/>
      </c>
      <c r="AA75" s="171"/>
      <c r="AB75" s="183" t="str">
        <f t="shared" ca="1" si="6"/>
        <v/>
      </c>
      <c r="AC75" s="265"/>
      <c r="AD75" s="249"/>
      <c r="AE75" s="170"/>
      <c r="AF75" s="170"/>
      <c r="AG75" s="170"/>
      <c r="AH75" s="170"/>
      <c r="AI75" s="170"/>
      <c r="AJ75" s="453"/>
      <c r="AK75" s="454"/>
      <c r="AL75" s="453"/>
      <c r="AM75" s="175"/>
      <c r="AN75" s="261"/>
      <c r="AO75" s="254"/>
      <c r="AP75" s="178" t="str">
        <f t="shared" si="14"/>
        <v xml:space="preserve"> </v>
      </c>
    </row>
    <row r="76" spans="1:42" ht="67.5" customHeight="1">
      <c r="A76" s="188" t="s">
        <v>1175</v>
      </c>
      <c r="B76" s="176"/>
      <c r="C76" s="168"/>
      <c r="D76" s="169"/>
      <c r="E76" s="255"/>
      <c r="F76" s="247" t="str">
        <f>IF(E76="","",VLOOKUP(E76,'Listes déroulantes'!$A$2:$C$65,2,FALSE))</f>
        <v/>
      </c>
      <c r="G76" s="180"/>
      <c r="H76" s="181"/>
      <c r="I76" s="263"/>
      <c r="J76" s="185"/>
      <c r="K76" s="167"/>
      <c r="L76" s="170"/>
      <c r="M76" s="171"/>
      <c r="N76" s="171"/>
      <c r="O76" s="500" t="str">
        <f t="shared" si="11"/>
        <v/>
      </c>
      <c r="P76" s="501"/>
      <c r="Q76" s="172"/>
      <c r="R76" s="173"/>
      <c r="S76" s="173"/>
      <c r="T76" s="174"/>
      <c r="U76" s="177"/>
      <c r="V76" s="170"/>
      <c r="W76" s="170"/>
      <c r="X76" s="174"/>
      <c r="Y76" s="182"/>
      <c r="Z76" s="179" t="str">
        <f t="shared" si="13"/>
        <v/>
      </c>
      <c r="AA76" s="171"/>
      <c r="AB76" s="183" t="str">
        <f t="shared" ca="1" si="6"/>
        <v/>
      </c>
      <c r="AC76" s="265"/>
      <c r="AD76" s="249"/>
      <c r="AE76" s="170"/>
      <c r="AF76" s="170"/>
      <c r="AG76" s="170"/>
      <c r="AH76" s="170"/>
      <c r="AI76" s="170"/>
      <c r="AJ76" s="453"/>
      <c r="AK76" s="454"/>
      <c r="AL76" s="453"/>
      <c r="AM76" s="175"/>
      <c r="AN76" s="254"/>
      <c r="AO76" s="254"/>
      <c r="AP76" s="178" t="str">
        <f t="shared" si="14"/>
        <v xml:space="preserve"> </v>
      </c>
    </row>
    <row r="77" spans="1:42" ht="67.5" customHeight="1">
      <c r="A77" s="188" t="s">
        <v>1176</v>
      </c>
      <c r="B77" s="176"/>
      <c r="C77" s="168"/>
      <c r="D77" s="169"/>
      <c r="E77" s="255"/>
      <c r="F77" s="247" t="str">
        <f>IF(E77="","",VLOOKUP(E77,'Listes déroulantes'!$A$2:$C$65,2,FALSE))</f>
        <v/>
      </c>
      <c r="G77" s="180"/>
      <c r="H77" s="181"/>
      <c r="I77" s="263"/>
      <c r="J77" s="185"/>
      <c r="K77" s="167"/>
      <c r="L77" s="170"/>
      <c r="M77" s="171"/>
      <c r="N77" s="171"/>
      <c r="O77" s="500" t="str">
        <f t="shared" si="11"/>
        <v/>
      </c>
      <c r="P77" s="501"/>
      <c r="Q77" s="172"/>
      <c r="R77" s="173"/>
      <c r="S77" s="173"/>
      <c r="T77" s="174"/>
      <c r="U77" s="177"/>
      <c r="V77" s="170"/>
      <c r="W77" s="170"/>
      <c r="X77" s="174"/>
      <c r="Y77" s="182"/>
      <c r="Z77" s="179" t="str">
        <f t="shared" si="13"/>
        <v/>
      </c>
      <c r="AA77" s="171"/>
      <c r="AB77" s="183" t="str">
        <f t="shared" ca="1" si="6"/>
        <v/>
      </c>
      <c r="AC77" s="265"/>
      <c r="AD77" s="249"/>
      <c r="AE77" s="170"/>
      <c r="AF77" s="170"/>
      <c r="AG77" s="170"/>
      <c r="AH77" s="170"/>
      <c r="AI77" s="170"/>
      <c r="AJ77" s="453"/>
      <c r="AK77" s="454"/>
      <c r="AL77" s="453"/>
      <c r="AM77" s="175"/>
      <c r="AN77" s="254"/>
      <c r="AO77" s="254"/>
      <c r="AP77" s="178" t="str">
        <f t="shared" si="14"/>
        <v xml:space="preserve"> </v>
      </c>
    </row>
    <row r="78" spans="1:42" ht="67.5" customHeight="1">
      <c r="A78" s="188" t="s">
        <v>1177</v>
      </c>
      <c r="B78" s="176"/>
      <c r="C78" s="168"/>
      <c r="D78" s="169"/>
      <c r="E78" s="255"/>
      <c r="F78" s="247" t="str">
        <f>IF(E78="","",VLOOKUP(E78,'Listes déroulantes'!$A$2:$C$65,2,FALSE))</f>
        <v/>
      </c>
      <c r="G78" s="180"/>
      <c r="H78" s="181"/>
      <c r="I78" s="263"/>
      <c r="J78" s="185"/>
      <c r="K78" s="167"/>
      <c r="L78" s="170"/>
      <c r="M78" s="171"/>
      <c r="N78" s="171"/>
      <c r="O78" s="500" t="str">
        <f t="shared" si="11"/>
        <v/>
      </c>
      <c r="P78" s="501"/>
      <c r="Q78" s="172"/>
      <c r="R78" s="173"/>
      <c r="S78" s="173"/>
      <c r="T78" s="174"/>
      <c r="U78" s="177"/>
      <c r="V78" s="170"/>
      <c r="W78" s="170"/>
      <c r="X78" s="174"/>
      <c r="Y78" s="182"/>
      <c r="Z78" s="179" t="str">
        <f t="shared" si="13"/>
        <v/>
      </c>
      <c r="AA78" s="171"/>
      <c r="AB78" s="183" t="str">
        <f t="shared" ca="1" si="6"/>
        <v/>
      </c>
      <c r="AC78" s="265"/>
      <c r="AD78" s="249"/>
      <c r="AE78" s="170"/>
      <c r="AF78" s="170"/>
      <c r="AG78" s="170"/>
      <c r="AH78" s="170"/>
      <c r="AI78" s="170"/>
      <c r="AJ78" s="453"/>
      <c r="AK78" s="454"/>
      <c r="AL78" s="453"/>
      <c r="AM78" s="175"/>
      <c r="AN78" s="254"/>
      <c r="AO78" s="254"/>
      <c r="AP78" s="178" t="str">
        <f t="shared" si="14"/>
        <v xml:space="preserve"> </v>
      </c>
    </row>
    <row r="79" spans="1:42" ht="67.5" customHeight="1">
      <c r="A79" s="188" t="s">
        <v>1178</v>
      </c>
      <c r="B79" s="176"/>
      <c r="C79" s="168"/>
      <c r="D79" s="169"/>
      <c r="E79" s="255"/>
      <c r="F79" s="247" t="str">
        <f>IF(E79="","",VLOOKUP(E79,'Listes déroulantes'!$A$2:$C$65,2,FALSE))</f>
        <v/>
      </c>
      <c r="G79" s="180"/>
      <c r="H79" s="181"/>
      <c r="I79" s="263"/>
      <c r="J79" s="185"/>
      <c r="K79" s="167"/>
      <c r="L79" s="170"/>
      <c r="M79" s="171"/>
      <c r="N79" s="171"/>
      <c r="O79" s="500" t="str">
        <f t="shared" si="11"/>
        <v/>
      </c>
      <c r="P79" s="501"/>
      <c r="Q79" s="172"/>
      <c r="R79" s="173"/>
      <c r="S79" s="173"/>
      <c r="T79" s="174"/>
      <c r="U79" s="177"/>
      <c r="V79" s="170"/>
      <c r="W79" s="170"/>
      <c r="X79" s="174"/>
      <c r="Y79" s="182"/>
      <c r="Z79" s="179" t="str">
        <f t="shared" si="13"/>
        <v/>
      </c>
      <c r="AA79" s="171"/>
      <c r="AB79" s="183" t="str">
        <f t="shared" ca="1" si="6"/>
        <v/>
      </c>
      <c r="AC79" s="265"/>
      <c r="AD79" s="249"/>
      <c r="AE79" s="170"/>
      <c r="AF79" s="170"/>
      <c r="AG79" s="170"/>
      <c r="AH79" s="170"/>
      <c r="AI79" s="170"/>
      <c r="AJ79" s="453"/>
      <c r="AK79" s="454"/>
      <c r="AL79" s="453"/>
      <c r="AM79" s="175"/>
      <c r="AN79" s="254"/>
      <c r="AO79" s="254"/>
      <c r="AP79" s="178" t="str">
        <f t="shared" si="14"/>
        <v xml:space="preserve"> </v>
      </c>
    </row>
    <row r="80" spans="1:42" ht="67.5" customHeight="1">
      <c r="A80" s="188" t="s">
        <v>1179</v>
      </c>
      <c r="B80" s="176"/>
      <c r="C80" s="168"/>
      <c r="D80" s="169"/>
      <c r="E80" s="255"/>
      <c r="F80" s="247" t="str">
        <f>IF(E80="","",VLOOKUP(E80,'Listes déroulantes'!$A$3:$C$65,2,FALSE))</f>
        <v/>
      </c>
      <c r="G80" s="180"/>
      <c r="H80" s="181"/>
      <c r="I80" s="263"/>
      <c r="J80" s="185"/>
      <c r="K80" s="167"/>
      <c r="L80" s="170"/>
      <c r="M80" s="171"/>
      <c r="N80" s="171"/>
      <c r="O80" s="500" t="str">
        <f t="shared" si="11"/>
        <v/>
      </c>
      <c r="P80" s="501"/>
      <c r="Q80" s="172"/>
      <c r="R80" s="173"/>
      <c r="S80" s="173"/>
      <c r="T80" s="174"/>
      <c r="U80" s="177"/>
      <c r="V80" s="170"/>
      <c r="W80" s="170"/>
      <c r="X80" s="174"/>
      <c r="Y80" s="182"/>
      <c r="Z80" s="179" t="str">
        <f t="shared" si="13"/>
        <v/>
      </c>
      <c r="AA80" s="171"/>
      <c r="AB80" s="183" t="str">
        <f t="shared" ca="1" si="6"/>
        <v/>
      </c>
      <c r="AC80" s="265"/>
      <c r="AD80" s="249"/>
      <c r="AE80" s="249"/>
      <c r="AF80" s="249"/>
      <c r="AG80" s="249"/>
      <c r="AH80" s="249"/>
      <c r="AI80" s="249"/>
      <c r="AJ80" s="453"/>
      <c r="AK80" s="454"/>
      <c r="AL80" s="453"/>
      <c r="AM80" s="175"/>
      <c r="AN80" s="254"/>
      <c r="AO80" s="254"/>
      <c r="AP80" s="178" t="str">
        <f t="shared" si="14"/>
        <v xml:space="preserve"> </v>
      </c>
    </row>
    <row r="81" spans="1:42" ht="67.5" customHeight="1">
      <c r="A81" s="188" t="s">
        <v>1180</v>
      </c>
      <c r="B81" s="176"/>
      <c r="C81" s="168"/>
      <c r="D81" s="169"/>
      <c r="E81" s="255"/>
      <c r="F81" s="247" t="str">
        <f>IF(E81="","",VLOOKUP(E81,'Listes déroulantes'!$A$3:$C$65,2,FALSE))</f>
        <v/>
      </c>
      <c r="G81" s="180"/>
      <c r="H81" s="181"/>
      <c r="I81" s="263"/>
      <c r="J81" s="185"/>
      <c r="K81" s="167"/>
      <c r="L81" s="170"/>
      <c r="M81" s="171"/>
      <c r="N81" s="171"/>
      <c r="O81" s="500" t="str">
        <f t="shared" si="11"/>
        <v/>
      </c>
      <c r="P81" s="501"/>
      <c r="Q81" s="172"/>
      <c r="R81" s="173"/>
      <c r="S81" s="173"/>
      <c r="T81" s="174"/>
      <c r="U81" s="177"/>
      <c r="V81" s="170"/>
      <c r="W81" s="170"/>
      <c r="X81" s="174"/>
      <c r="Y81" s="182"/>
      <c r="Z81" s="179" t="str">
        <f t="shared" si="13"/>
        <v/>
      </c>
      <c r="AA81" s="171"/>
      <c r="AB81" s="183" t="str">
        <f t="shared" ca="1" si="6"/>
        <v/>
      </c>
      <c r="AC81" s="265"/>
      <c r="AD81" s="249"/>
      <c r="AE81" s="170"/>
      <c r="AF81" s="170"/>
      <c r="AG81" s="170"/>
      <c r="AH81" s="170"/>
      <c r="AI81" s="170"/>
      <c r="AJ81" s="453"/>
      <c r="AK81" s="454"/>
      <c r="AL81" s="453"/>
      <c r="AM81" s="175"/>
      <c r="AN81" s="254"/>
      <c r="AO81" s="254"/>
      <c r="AP81" s="178" t="str">
        <f t="shared" si="14"/>
        <v xml:space="preserve"> </v>
      </c>
    </row>
    <row r="82" spans="1:42" ht="67.5" customHeight="1">
      <c r="A82" s="188" t="s">
        <v>1181</v>
      </c>
      <c r="B82" s="176"/>
      <c r="C82" s="168"/>
      <c r="D82" s="169"/>
      <c r="E82" s="255"/>
      <c r="F82" s="189" t="str">
        <f>IF(E82="","",VLOOKUP(E82,'Listes déroulantes'!$A$3:$C$39,2))</f>
        <v/>
      </c>
      <c r="G82" s="180"/>
      <c r="H82" s="181"/>
      <c r="I82" s="263"/>
      <c r="J82" s="185"/>
      <c r="K82" s="167"/>
      <c r="L82" s="170"/>
      <c r="M82" s="171"/>
      <c r="N82" s="171"/>
      <c r="O82" s="500" t="str">
        <f t="shared" si="11"/>
        <v/>
      </c>
      <c r="P82" s="501"/>
      <c r="Q82" s="172"/>
      <c r="R82" s="173"/>
      <c r="S82" s="173"/>
      <c r="T82" s="174"/>
      <c r="U82" s="177"/>
      <c r="V82" s="170"/>
      <c r="W82" s="170"/>
      <c r="X82" s="174"/>
      <c r="Y82" s="182"/>
      <c r="Z82" s="179" t="str">
        <f t="shared" si="13"/>
        <v/>
      </c>
      <c r="AA82" s="171"/>
      <c r="AB82" s="183" t="str">
        <f t="shared" ca="1" si="6"/>
        <v/>
      </c>
      <c r="AC82" s="265"/>
      <c r="AD82" s="249"/>
      <c r="AE82" s="170"/>
      <c r="AF82" s="170"/>
      <c r="AG82" s="170"/>
      <c r="AH82" s="170"/>
      <c r="AI82" s="170"/>
      <c r="AJ82" s="453"/>
      <c r="AK82" s="454"/>
      <c r="AL82" s="453"/>
      <c r="AM82" s="175"/>
      <c r="AN82" s="254"/>
      <c r="AO82" s="254"/>
      <c r="AP82" s="178" t="str">
        <f t="shared" si="14"/>
        <v xml:space="preserve"> </v>
      </c>
    </row>
    <row r="83" spans="1:42" ht="67.5" customHeight="1">
      <c r="A83" s="188" t="s">
        <v>1182</v>
      </c>
      <c r="B83" s="176"/>
      <c r="C83" s="168"/>
      <c r="D83" s="169"/>
      <c r="E83" s="255"/>
      <c r="F83" s="189" t="str">
        <f>IF(E83="","",VLOOKUP(E83,'Listes déroulantes'!$A$3:$C$39,2))</f>
        <v/>
      </c>
      <c r="G83" s="180"/>
      <c r="H83" s="181"/>
      <c r="I83" s="263"/>
      <c r="J83" s="185"/>
      <c r="K83" s="167"/>
      <c r="L83" s="170"/>
      <c r="M83" s="171"/>
      <c r="N83" s="171"/>
      <c r="O83" s="500" t="str">
        <f t="shared" si="11"/>
        <v/>
      </c>
      <c r="P83" s="501"/>
      <c r="Q83" s="172"/>
      <c r="R83" s="173"/>
      <c r="S83" s="173"/>
      <c r="T83" s="174"/>
      <c r="U83" s="177"/>
      <c r="V83" s="170"/>
      <c r="W83" s="170"/>
      <c r="X83" s="174"/>
      <c r="Y83" s="182"/>
      <c r="Z83" s="179" t="str">
        <f t="shared" si="13"/>
        <v/>
      </c>
      <c r="AA83" s="171"/>
      <c r="AB83" s="183" t="str">
        <f t="shared" ref="AB83:AB146" ca="1" si="15">IF(ISBLANK(AA83),IF(Z83&lt;TODAY(),"non",""),IF(AA83&gt;Z83,"non","oui"))</f>
        <v/>
      </c>
      <c r="AC83" s="265"/>
      <c r="AD83" s="249"/>
      <c r="AE83" s="170"/>
      <c r="AF83" s="170"/>
      <c r="AG83" s="170"/>
      <c r="AH83" s="170"/>
      <c r="AI83" s="170"/>
      <c r="AJ83" s="453"/>
      <c r="AK83" s="454"/>
      <c r="AL83" s="453"/>
      <c r="AM83" s="175"/>
      <c r="AN83" s="254"/>
      <c r="AO83" s="254"/>
      <c r="AP83" s="178" t="str">
        <f t="shared" si="14"/>
        <v xml:space="preserve"> </v>
      </c>
    </row>
    <row r="84" spans="1:42" ht="67.5" customHeight="1">
      <c r="A84" s="188" t="s">
        <v>1183</v>
      </c>
      <c r="B84" s="176"/>
      <c r="C84" s="168"/>
      <c r="D84" s="169"/>
      <c r="E84" s="255"/>
      <c r="F84" s="189" t="str">
        <f>IF(E84="","",VLOOKUP(E84,'Listes déroulantes'!$A$3:$C$39,2))</f>
        <v/>
      </c>
      <c r="G84" s="180"/>
      <c r="H84" s="181"/>
      <c r="I84" s="263"/>
      <c r="J84" s="185"/>
      <c r="K84" s="167"/>
      <c r="L84" s="170"/>
      <c r="M84" s="171"/>
      <c r="N84" s="171"/>
      <c r="O84" s="500" t="str">
        <f t="shared" si="11"/>
        <v/>
      </c>
      <c r="P84" s="501"/>
      <c r="Q84" s="172"/>
      <c r="R84" s="173"/>
      <c r="S84" s="173"/>
      <c r="T84" s="174"/>
      <c r="U84" s="177"/>
      <c r="V84" s="170"/>
      <c r="W84" s="170"/>
      <c r="X84" s="174"/>
      <c r="Y84" s="182"/>
      <c r="Z84" s="179" t="str">
        <f t="shared" si="13"/>
        <v/>
      </c>
      <c r="AA84" s="171"/>
      <c r="AB84" s="183" t="str">
        <f t="shared" ca="1" si="15"/>
        <v/>
      </c>
      <c r="AC84" s="265"/>
      <c r="AD84" s="249"/>
      <c r="AE84" s="170"/>
      <c r="AF84" s="170"/>
      <c r="AG84" s="170"/>
      <c r="AH84" s="170"/>
      <c r="AI84" s="170"/>
      <c r="AJ84" s="453"/>
      <c r="AK84" s="454"/>
      <c r="AL84" s="453"/>
      <c r="AM84" s="175"/>
      <c r="AN84" s="254"/>
      <c r="AO84" s="254"/>
      <c r="AP84" s="178" t="str">
        <f t="shared" si="14"/>
        <v xml:space="preserve"> </v>
      </c>
    </row>
    <row r="85" spans="1:42" ht="67.5" customHeight="1">
      <c r="A85" s="188" t="s">
        <v>1184</v>
      </c>
      <c r="B85" s="176"/>
      <c r="C85" s="168"/>
      <c r="D85" s="169"/>
      <c r="E85" s="255"/>
      <c r="F85" s="189" t="str">
        <f>IF(E85="","",VLOOKUP(E85,'Listes déroulantes'!$A$3:$C$39,2))</f>
        <v/>
      </c>
      <c r="G85" s="180"/>
      <c r="H85" s="181"/>
      <c r="I85" s="263"/>
      <c r="J85" s="185"/>
      <c r="K85" s="167"/>
      <c r="L85" s="170"/>
      <c r="M85" s="171"/>
      <c r="N85" s="171"/>
      <c r="O85" s="500" t="str">
        <f t="shared" si="11"/>
        <v/>
      </c>
      <c r="P85" s="501"/>
      <c r="Q85" s="172"/>
      <c r="R85" s="173"/>
      <c r="S85" s="173"/>
      <c r="T85" s="174"/>
      <c r="U85" s="177"/>
      <c r="V85" s="170"/>
      <c r="W85" s="170"/>
      <c r="X85" s="174"/>
      <c r="Y85" s="182"/>
      <c r="Z85" s="179" t="str">
        <f t="shared" si="13"/>
        <v/>
      </c>
      <c r="AA85" s="171"/>
      <c r="AB85" s="183" t="str">
        <f t="shared" ca="1" si="15"/>
        <v/>
      </c>
      <c r="AC85" s="265"/>
      <c r="AD85" s="249"/>
      <c r="AE85" s="170"/>
      <c r="AF85" s="170"/>
      <c r="AG85" s="170"/>
      <c r="AH85" s="170"/>
      <c r="AI85" s="170"/>
      <c r="AJ85" s="453"/>
      <c r="AK85" s="454"/>
      <c r="AL85" s="453"/>
      <c r="AM85" s="175"/>
      <c r="AN85" s="254"/>
      <c r="AO85" s="254"/>
      <c r="AP85" s="178" t="str">
        <f t="shared" si="14"/>
        <v xml:space="preserve"> </v>
      </c>
    </row>
    <row r="86" spans="1:42" ht="67.5" customHeight="1">
      <c r="A86" s="188" t="s">
        <v>1185</v>
      </c>
      <c r="B86" s="176"/>
      <c r="C86" s="168"/>
      <c r="D86" s="169"/>
      <c r="E86" s="255"/>
      <c r="F86" s="189" t="str">
        <f>IF(E86="","",VLOOKUP(E86,'Listes déroulantes'!$A$3:$C$39,2))</f>
        <v/>
      </c>
      <c r="G86" s="180"/>
      <c r="H86" s="181"/>
      <c r="I86" s="263"/>
      <c r="J86" s="185"/>
      <c r="K86" s="167"/>
      <c r="L86" s="170"/>
      <c r="M86" s="171"/>
      <c r="N86" s="171"/>
      <c r="O86" s="500" t="str">
        <f t="shared" si="11"/>
        <v/>
      </c>
      <c r="P86" s="501"/>
      <c r="Q86" s="172"/>
      <c r="R86" s="173"/>
      <c r="S86" s="173"/>
      <c r="T86" s="174"/>
      <c r="U86" s="177"/>
      <c r="V86" s="170"/>
      <c r="W86" s="170"/>
      <c r="X86" s="174"/>
      <c r="Y86" s="182"/>
      <c r="Z86" s="179" t="str">
        <f t="shared" si="13"/>
        <v/>
      </c>
      <c r="AA86" s="171"/>
      <c r="AB86" s="183" t="str">
        <f t="shared" ca="1" si="15"/>
        <v/>
      </c>
      <c r="AC86" s="265"/>
      <c r="AD86" s="249"/>
      <c r="AE86" s="170"/>
      <c r="AF86" s="170"/>
      <c r="AG86" s="170"/>
      <c r="AH86" s="170"/>
      <c r="AI86" s="170"/>
      <c r="AJ86" s="453"/>
      <c r="AK86" s="454"/>
      <c r="AL86" s="453"/>
      <c r="AM86" s="175"/>
      <c r="AN86" s="254"/>
      <c r="AO86" s="254"/>
      <c r="AP86" s="178" t="str">
        <f t="shared" si="14"/>
        <v xml:space="preserve"> </v>
      </c>
    </row>
    <row r="87" spans="1:42" ht="67.5" customHeight="1">
      <c r="A87" s="188" t="s">
        <v>1186</v>
      </c>
      <c r="B87" s="176"/>
      <c r="C87" s="168"/>
      <c r="D87" s="169"/>
      <c r="E87" s="255"/>
      <c r="F87" s="189" t="str">
        <f>IF(E87="","",VLOOKUP(E87,'Listes déroulantes'!$A$3:$C$39,2))</f>
        <v/>
      </c>
      <c r="G87" s="180"/>
      <c r="H87" s="181"/>
      <c r="I87" s="263"/>
      <c r="J87" s="185"/>
      <c r="K87" s="167"/>
      <c r="L87" s="170"/>
      <c r="M87" s="171"/>
      <c r="N87" s="171"/>
      <c r="O87" s="500" t="str">
        <f t="shared" si="11"/>
        <v/>
      </c>
      <c r="P87" s="501"/>
      <c r="Q87" s="172"/>
      <c r="R87" s="173"/>
      <c r="S87" s="173"/>
      <c r="T87" s="174"/>
      <c r="U87" s="177"/>
      <c r="V87" s="170"/>
      <c r="W87" s="170"/>
      <c r="X87" s="174"/>
      <c r="Y87" s="182"/>
      <c r="Z87" s="179" t="str">
        <f t="shared" si="13"/>
        <v/>
      </c>
      <c r="AA87" s="171"/>
      <c r="AB87" s="183" t="str">
        <f t="shared" ca="1" si="15"/>
        <v/>
      </c>
      <c r="AC87" s="265"/>
      <c r="AD87" s="249"/>
      <c r="AE87" s="170"/>
      <c r="AF87" s="170"/>
      <c r="AG87" s="170"/>
      <c r="AH87" s="170"/>
      <c r="AI87" s="170"/>
      <c r="AJ87" s="453"/>
      <c r="AK87" s="454"/>
      <c r="AL87" s="453"/>
      <c r="AM87" s="175"/>
      <c r="AN87" s="254"/>
      <c r="AO87" s="254"/>
      <c r="AP87" s="178" t="str">
        <f t="shared" si="14"/>
        <v xml:space="preserve"> </v>
      </c>
    </row>
    <row r="88" spans="1:42" ht="67.5" customHeight="1">
      <c r="A88" s="188" t="s">
        <v>1187</v>
      </c>
      <c r="B88" s="176"/>
      <c r="C88" s="168"/>
      <c r="D88" s="169"/>
      <c r="E88" s="255"/>
      <c r="F88" s="189" t="str">
        <f>IF(E88="","",VLOOKUP(E88,'Listes déroulantes'!$A$3:$C$39,2))</f>
        <v/>
      </c>
      <c r="G88" s="180"/>
      <c r="H88" s="181"/>
      <c r="I88" s="186"/>
      <c r="J88" s="185"/>
      <c r="K88" s="167"/>
      <c r="L88" s="170"/>
      <c r="M88" s="171"/>
      <c r="N88" s="171"/>
      <c r="O88" s="500" t="str">
        <f t="shared" si="11"/>
        <v/>
      </c>
      <c r="P88" s="501"/>
      <c r="Q88" s="172"/>
      <c r="R88" s="173"/>
      <c r="S88" s="173"/>
      <c r="T88" s="174"/>
      <c r="U88" s="177"/>
      <c r="V88" s="170"/>
      <c r="W88" s="170"/>
      <c r="X88" s="253"/>
      <c r="Y88" s="182"/>
      <c r="Z88" s="179" t="str">
        <f t="shared" si="13"/>
        <v/>
      </c>
      <c r="AA88" s="171"/>
      <c r="AB88" s="183" t="str">
        <f t="shared" ca="1" si="15"/>
        <v/>
      </c>
      <c r="AC88" s="265"/>
      <c r="AD88" s="249"/>
      <c r="AE88" s="170"/>
      <c r="AF88" s="170"/>
      <c r="AG88" s="170"/>
      <c r="AH88" s="170"/>
      <c r="AI88" s="170"/>
      <c r="AJ88" s="453"/>
      <c r="AK88" s="454"/>
      <c r="AL88" s="453"/>
      <c r="AM88" s="175"/>
      <c r="AN88" s="254"/>
      <c r="AO88" s="254"/>
      <c r="AP88" s="178" t="str">
        <f t="shared" si="14"/>
        <v xml:space="preserve"> </v>
      </c>
    </row>
    <row r="89" spans="1:42" ht="67.5" customHeight="1">
      <c r="A89" s="188" t="s">
        <v>1188</v>
      </c>
      <c r="B89" s="176"/>
      <c r="C89" s="168"/>
      <c r="D89" s="169"/>
      <c r="E89" s="255"/>
      <c r="F89" s="189" t="str">
        <f>IF(E89="","",VLOOKUP(E89,'Listes déroulantes'!$A$3:$C$39,2))</f>
        <v/>
      </c>
      <c r="G89" s="180"/>
      <c r="H89" s="181"/>
      <c r="I89" s="186"/>
      <c r="J89" s="185"/>
      <c r="K89" s="167"/>
      <c r="L89" s="170"/>
      <c r="M89" s="171"/>
      <c r="N89" s="171"/>
      <c r="O89" s="500" t="str">
        <f t="shared" si="11"/>
        <v/>
      </c>
      <c r="P89" s="501"/>
      <c r="Q89" s="172"/>
      <c r="R89" s="173"/>
      <c r="S89" s="173"/>
      <c r="T89" s="174"/>
      <c r="U89" s="177"/>
      <c r="V89" s="170"/>
      <c r="W89" s="170"/>
      <c r="X89" s="174"/>
      <c r="Y89" s="182"/>
      <c r="Z89" s="179" t="str">
        <f t="shared" si="13"/>
        <v/>
      </c>
      <c r="AA89" s="171"/>
      <c r="AB89" s="183" t="str">
        <f t="shared" ca="1" si="15"/>
        <v/>
      </c>
      <c r="AC89" s="265"/>
      <c r="AD89" s="249"/>
      <c r="AE89" s="170"/>
      <c r="AF89" s="170"/>
      <c r="AG89" s="170"/>
      <c r="AH89" s="170"/>
      <c r="AI89" s="170"/>
      <c r="AJ89" s="453"/>
      <c r="AK89" s="454"/>
      <c r="AL89" s="453"/>
      <c r="AM89" s="175"/>
      <c r="AN89" s="254"/>
      <c r="AO89" s="254"/>
      <c r="AP89" s="178" t="str">
        <f t="shared" si="14"/>
        <v xml:space="preserve"> </v>
      </c>
    </row>
    <row r="90" spans="1:42" ht="67.5" customHeight="1">
      <c r="A90" s="188" t="s">
        <v>1189</v>
      </c>
      <c r="B90" s="176"/>
      <c r="C90" s="168"/>
      <c r="D90" s="169"/>
      <c r="E90" s="255"/>
      <c r="F90" s="189" t="str">
        <f>IF(E90="","",VLOOKUP(E90,'Listes déroulantes'!$A$3:$C$39,2))</f>
        <v/>
      </c>
      <c r="G90" s="180"/>
      <c r="H90" s="181"/>
      <c r="I90" s="186"/>
      <c r="J90" s="185"/>
      <c r="K90" s="167"/>
      <c r="L90" s="170"/>
      <c r="M90" s="171"/>
      <c r="N90" s="171"/>
      <c r="O90" s="500" t="str">
        <f t="shared" si="11"/>
        <v/>
      </c>
      <c r="P90" s="501"/>
      <c r="Q90" s="172"/>
      <c r="R90" s="173"/>
      <c r="S90" s="173"/>
      <c r="T90" s="174"/>
      <c r="U90" s="177"/>
      <c r="V90" s="170"/>
      <c r="W90" s="170"/>
      <c r="X90" s="174"/>
      <c r="Y90" s="182"/>
      <c r="Z90" s="179" t="str">
        <f t="shared" si="13"/>
        <v/>
      </c>
      <c r="AA90" s="171"/>
      <c r="AB90" s="183" t="str">
        <f t="shared" ca="1" si="15"/>
        <v/>
      </c>
      <c r="AC90" s="265"/>
      <c r="AD90" s="249"/>
      <c r="AE90" s="170"/>
      <c r="AF90" s="170"/>
      <c r="AG90" s="170"/>
      <c r="AH90" s="170"/>
      <c r="AI90" s="170"/>
      <c r="AJ90" s="453"/>
      <c r="AK90" s="454"/>
      <c r="AL90" s="453"/>
      <c r="AM90" s="175"/>
      <c r="AN90" s="254"/>
      <c r="AO90" s="254"/>
      <c r="AP90" s="178" t="str">
        <f t="shared" si="14"/>
        <v xml:space="preserve"> </v>
      </c>
    </row>
    <row r="91" spans="1:42" ht="67.5" customHeight="1">
      <c r="A91" s="188" t="s">
        <v>1190</v>
      </c>
      <c r="B91" s="176"/>
      <c r="C91" s="168"/>
      <c r="D91" s="169"/>
      <c r="E91" s="255"/>
      <c r="F91" s="189" t="str">
        <f>IF(E91="","",VLOOKUP(E91,'Listes déroulantes'!$A$3:$C$39,2))</f>
        <v/>
      </c>
      <c r="G91" s="180"/>
      <c r="H91" s="181"/>
      <c r="I91" s="186"/>
      <c r="J91" s="185"/>
      <c r="K91" s="167"/>
      <c r="L91" s="170"/>
      <c r="M91" s="171"/>
      <c r="N91" s="171"/>
      <c r="O91" s="500" t="str">
        <f t="shared" si="11"/>
        <v/>
      </c>
      <c r="P91" s="501"/>
      <c r="Q91" s="172"/>
      <c r="R91" s="173"/>
      <c r="S91" s="173"/>
      <c r="T91" s="174"/>
      <c r="U91" s="177"/>
      <c r="V91" s="170"/>
      <c r="W91" s="170"/>
      <c r="X91" s="174"/>
      <c r="Y91" s="182"/>
      <c r="Z91" s="179" t="str">
        <f t="shared" si="13"/>
        <v/>
      </c>
      <c r="AA91" s="171"/>
      <c r="AB91" s="183" t="str">
        <f t="shared" ca="1" si="15"/>
        <v/>
      </c>
      <c r="AC91" s="265"/>
      <c r="AD91" s="249"/>
      <c r="AE91" s="249"/>
      <c r="AF91" s="249"/>
      <c r="AG91" s="249"/>
      <c r="AH91" s="249"/>
      <c r="AI91" s="249"/>
      <c r="AJ91" s="453"/>
      <c r="AK91" s="454"/>
      <c r="AL91" s="453"/>
      <c r="AM91" s="175"/>
      <c r="AN91" s="254"/>
      <c r="AO91" s="254"/>
      <c r="AP91" s="178" t="str">
        <f t="shared" si="14"/>
        <v xml:space="preserve"> </v>
      </c>
    </row>
    <row r="92" spans="1:42" ht="67.5" customHeight="1">
      <c r="A92" s="188" t="s">
        <v>1191</v>
      </c>
      <c r="B92" s="176"/>
      <c r="C92" s="168"/>
      <c r="D92" s="169"/>
      <c r="E92" s="255"/>
      <c r="F92" s="189" t="str">
        <f>IF(E92="","",VLOOKUP(E92,'Listes déroulantes'!$A$3:$C$39,2))</f>
        <v/>
      </c>
      <c r="G92" s="180"/>
      <c r="H92" s="181"/>
      <c r="I92" s="186"/>
      <c r="J92" s="185"/>
      <c r="K92" s="167"/>
      <c r="L92" s="170"/>
      <c r="M92" s="171"/>
      <c r="N92" s="171"/>
      <c r="O92" s="500" t="str">
        <f t="shared" si="11"/>
        <v/>
      </c>
      <c r="P92" s="501"/>
      <c r="Q92" s="172"/>
      <c r="R92" s="173"/>
      <c r="S92" s="173"/>
      <c r="T92" s="174"/>
      <c r="U92" s="177"/>
      <c r="V92" s="170"/>
      <c r="W92" s="170"/>
      <c r="X92" s="174"/>
      <c r="Y92" s="182"/>
      <c r="Z92" s="179" t="str">
        <f t="shared" si="13"/>
        <v/>
      </c>
      <c r="AA92" s="171"/>
      <c r="AB92" s="183" t="str">
        <f t="shared" ca="1" si="15"/>
        <v/>
      </c>
      <c r="AC92" s="265"/>
      <c r="AD92" s="249"/>
      <c r="AE92" s="170"/>
      <c r="AF92" s="170"/>
      <c r="AG92" s="170"/>
      <c r="AH92" s="170"/>
      <c r="AI92" s="170"/>
      <c r="AJ92" s="453"/>
      <c r="AK92" s="454"/>
      <c r="AL92" s="453"/>
      <c r="AM92" s="175"/>
      <c r="AN92" s="254"/>
      <c r="AO92" s="254"/>
      <c r="AP92" s="178" t="str">
        <f t="shared" si="14"/>
        <v xml:space="preserve"> </v>
      </c>
    </row>
    <row r="93" spans="1:42" ht="67.5" customHeight="1">
      <c r="A93" s="188" t="s">
        <v>1192</v>
      </c>
      <c r="B93" s="176"/>
      <c r="C93" s="168"/>
      <c r="D93" s="169"/>
      <c r="E93" s="255"/>
      <c r="F93" s="189" t="str">
        <f>IF(E93="","",VLOOKUP(E93,'Listes déroulantes'!$A$3:$C$39,2))</f>
        <v/>
      </c>
      <c r="G93" s="180"/>
      <c r="H93" s="181"/>
      <c r="I93" s="186"/>
      <c r="J93" s="185"/>
      <c r="K93" s="167"/>
      <c r="L93" s="170"/>
      <c r="M93" s="171"/>
      <c r="N93" s="171"/>
      <c r="O93" s="500" t="str">
        <f t="shared" si="11"/>
        <v/>
      </c>
      <c r="P93" s="501"/>
      <c r="Q93" s="172"/>
      <c r="R93" s="173"/>
      <c r="S93" s="173"/>
      <c r="T93" s="174"/>
      <c r="U93" s="177"/>
      <c r="V93" s="170"/>
      <c r="W93" s="170"/>
      <c r="X93" s="174"/>
      <c r="Y93" s="182"/>
      <c r="Z93" s="179" t="str">
        <f t="shared" si="13"/>
        <v/>
      </c>
      <c r="AA93" s="171"/>
      <c r="AB93" s="183" t="str">
        <f t="shared" ca="1" si="15"/>
        <v/>
      </c>
      <c r="AC93" s="265"/>
      <c r="AD93" s="249"/>
      <c r="AE93" s="170"/>
      <c r="AF93" s="170"/>
      <c r="AG93" s="170"/>
      <c r="AH93" s="170"/>
      <c r="AI93" s="170"/>
      <c r="AJ93" s="453"/>
      <c r="AK93" s="454"/>
      <c r="AL93" s="453"/>
      <c r="AM93" s="175"/>
      <c r="AN93" s="254"/>
      <c r="AO93" s="254"/>
      <c r="AP93" s="178" t="str">
        <f t="shared" si="14"/>
        <v xml:space="preserve"> </v>
      </c>
    </row>
    <row r="94" spans="1:42" ht="67.5" customHeight="1">
      <c r="A94" s="188" t="s">
        <v>1193</v>
      </c>
      <c r="B94" s="176"/>
      <c r="C94" s="168"/>
      <c r="D94" s="169"/>
      <c r="E94" s="255"/>
      <c r="F94" s="189" t="str">
        <f>IF(E94="","",VLOOKUP(E94,'Listes déroulantes'!$A$3:$C$39,2))</f>
        <v/>
      </c>
      <c r="G94" s="180"/>
      <c r="H94" s="181"/>
      <c r="I94" s="186"/>
      <c r="J94" s="185"/>
      <c r="K94" s="167"/>
      <c r="L94" s="170"/>
      <c r="M94" s="171"/>
      <c r="N94" s="171"/>
      <c r="O94" s="500" t="str">
        <f t="shared" si="11"/>
        <v/>
      </c>
      <c r="P94" s="501"/>
      <c r="Q94" s="172"/>
      <c r="R94" s="173"/>
      <c r="S94" s="173"/>
      <c r="T94" s="174"/>
      <c r="U94" s="177"/>
      <c r="V94" s="170"/>
      <c r="W94" s="170"/>
      <c r="X94" s="174"/>
      <c r="Y94" s="182"/>
      <c r="Z94" s="179" t="str">
        <f t="shared" ref="Z94:Z157" si="16">IF(ISBLANK(I94),"",I94+7)</f>
        <v/>
      </c>
      <c r="AA94" s="171"/>
      <c r="AB94" s="183" t="str">
        <f t="shared" ca="1" si="15"/>
        <v/>
      </c>
      <c r="AC94" s="265"/>
      <c r="AD94" s="249"/>
      <c r="AE94" s="170"/>
      <c r="AF94" s="170"/>
      <c r="AG94" s="170"/>
      <c r="AH94" s="170"/>
      <c r="AI94" s="170"/>
      <c r="AJ94" s="453"/>
      <c r="AK94" s="454"/>
      <c r="AL94" s="453"/>
      <c r="AM94" s="175"/>
      <c r="AN94" s="254"/>
      <c r="AO94" s="254"/>
      <c r="AP94" s="178" t="str">
        <f t="shared" si="14"/>
        <v xml:space="preserve"> </v>
      </c>
    </row>
    <row r="95" spans="1:42" ht="67.5" customHeight="1">
      <c r="A95" s="188" t="s">
        <v>1194</v>
      </c>
      <c r="B95" s="176"/>
      <c r="C95" s="168"/>
      <c r="D95" s="169"/>
      <c r="E95" s="255"/>
      <c r="F95" s="189" t="str">
        <f>IF(E95="","",VLOOKUP(E95,'Listes déroulantes'!$A$3:$C$39,2))</f>
        <v/>
      </c>
      <c r="G95" s="180"/>
      <c r="H95" s="181"/>
      <c r="I95" s="186"/>
      <c r="J95" s="185"/>
      <c r="K95" s="167"/>
      <c r="L95" s="170"/>
      <c r="M95" s="171"/>
      <c r="N95" s="171"/>
      <c r="O95" s="500" t="str">
        <f t="shared" si="11"/>
        <v/>
      </c>
      <c r="P95" s="501"/>
      <c r="Q95" s="172"/>
      <c r="R95" s="173"/>
      <c r="S95" s="173"/>
      <c r="T95" s="174"/>
      <c r="U95" s="177"/>
      <c r="V95" s="170"/>
      <c r="W95" s="170"/>
      <c r="X95" s="174"/>
      <c r="Y95" s="182"/>
      <c r="Z95" s="179" t="str">
        <f t="shared" si="16"/>
        <v/>
      </c>
      <c r="AA95" s="171"/>
      <c r="AB95" s="183" t="str">
        <f t="shared" ca="1" si="15"/>
        <v/>
      </c>
      <c r="AC95" s="265"/>
      <c r="AD95" s="249"/>
      <c r="AE95" s="170"/>
      <c r="AF95" s="170"/>
      <c r="AG95" s="170"/>
      <c r="AH95" s="170"/>
      <c r="AI95" s="170"/>
      <c r="AJ95" s="453"/>
      <c r="AK95" s="454"/>
      <c r="AL95" s="453"/>
      <c r="AM95" s="175"/>
      <c r="AN95" s="254"/>
      <c r="AO95" s="254"/>
      <c r="AP95" s="178" t="str">
        <f t="shared" si="14"/>
        <v xml:space="preserve"> </v>
      </c>
    </row>
    <row r="96" spans="1:42" ht="67.5" customHeight="1">
      <c r="A96" s="188" t="s">
        <v>1195</v>
      </c>
      <c r="B96" s="176"/>
      <c r="C96" s="168"/>
      <c r="D96" s="169"/>
      <c r="E96" s="255"/>
      <c r="F96" s="189" t="str">
        <f>IF(E96="","",VLOOKUP(E96,'Listes déroulantes'!$A$3:$C$39,2))</f>
        <v/>
      </c>
      <c r="G96" s="180"/>
      <c r="H96" s="181"/>
      <c r="I96" s="186"/>
      <c r="J96" s="185"/>
      <c r="K96" s="167"/>
      <c r="L96" s="170"/>
      <c r="M96" s="171"/>
      <c r="N96" s="171"/>
      <c r="O96" s="500" t="str">
        <f t="shared" si="11"/>
        <v/>
      </c>
      <c r="P96" s="501"/>
      <c r="Q96" s="172"/>
      <c r="R96" s="173"/>
      <c r="S96" s="173"/>
      <c r="T96" s="174"/>
      <c r="U96" s="177"/>
      <c r="V96" s="170"/>
      <c r="W96" s="170"/>
      <c r="X96" s="174"/>
      <c r="Y96" s="182"/>
      <c r="Z96" s="179" t="str">
        <f t="shared" si="16"/>
        <v/>
      </c>
      <c r="AA96" s="171"/>
      <c r="AB96" s="183" t="str">
        <f t="shared" ca="1" si="15"/>
        <v/>
      </c>
      <c r="AC96" s="265"/>
      <c r="AD96" s="249"/>
      <c r="AE96" s="170"/>
      <c r="AF96" s="170"/>
      <c r="AG96" s="170"/>
      <c r="AH96" s="170"/>
      <c r="AI96" s="170"/>
      <c r="AJ96" s="453"/>
      <c r="AK96" s="454"/>
      <c r="AL96" s="453"/>
      <c r="AM96" s="175"/>
      <c r="AN96" s="254"/>
      <c r="AO96" s="254"/>
      <c r="AP96" s="178" t="str">
        <f t="shared" si="14"/>
        <v xml:space="preserve"> </v>
      </c>
    </row>
    <row r="97" spans="1:42" ht="67.5" customHeight="1">
      <c r="A97" s="188" t="s">
        <v>1196</v>
      </c>
      <c r="B97" s="176"/>
      <c r="C97" s="168"/>
      <c r="D97" s="169"/>
      <c r="E97" s="255"/>
      <c r="F97" s="189" t="str">
        <f>IF(E97="","",VLOOKUP(E97,'Listes déroulantes'!$A$3:$C$39,2))</f>
        <v/>
      </c>
      <c r="G97" s="180"/>
      <c r="H97" s="181"/>
      <c r="I97" s="186"/>
      <c r="J97" s="185"/>
      <c r="K97" s="167"/>
      <c r="L97" s="170"/>
      <c r="M97" s="171"/>
      <c r="N97" s="171"/>
      <c r="O97" s="500" t="str">
        <f t="shared" si="11"/>
        <v/>
      </c>
      <c r="P97" s="501"/>
      <c r="Q97" s="172"/>
      <c r="R97" s="173"/>
      <c r="S97" s="173"/>
      <c r="T97" s="174"/>
      <c r="U97" s="177"/>
      <c r="V97" s="170"/>
      <c r="W97" s="170"/>
      <c r="X97" s="174"/>
      <c r="Y97" s="182"/>
      <c r="Z97" s="179" t="str">
        <f t="shared" si="16"/>
        <v/>
      </c>
      <c r="AA97" s="171"/>
      <c r="AB97" s="183" t="str">
        <f t="shared" ca="1" si="15"/>
        <v/>
      </c>
      <c r="AC97" s="265"/>
      <c r="AD97" s="249"/>
      <c r="AE97" s="170"/>
      <c r="AF97" s="170"/>
      <c r="AG97" s="170"/>
      <c r="AH97" s="170"/>
      <c r="AI97" s="170"/>
      <c r="AJ97" s="453"/>
      <c r="AK97" s="454"/>
      <c r="AL97" s="453"/>
      <c r="AM97" s="175"/>
      <c r="AN97" s="254"/>
      <c r="AO97" s="254"/>
      <c r="AP97" s="178" t="str">
        <f t="shared" si="14"/>
        <v xml:space="preserve"> </v>
      </c>
    </row>
    <row r="98" spans="1:42" ht="67.5" customHeight="1">
      <c r="A98" s="188" t="s">
        <v>1197</v>
      </c>
      <c r="B98" s="176"/>
      <c r="C98" s="168"/>
      <c r="D98" s="169"/>
      <c r="E98" s="255"/>
      <c r="F98" s="189" t="str">
        <f>IF(E98="","",VLOOKUP(E98,'Listes déroulantes'!$A$3:$C$39,2))</f>
        <v/>
      </c>
      <c r="G98" s="180"/>
      <c r="H98" s="181"/>
      <c r="I98" s="186"/>
      <c r="J98" s="185"/>
      <c r="K98" s="167"/>
      <c r="L98" s="170"/>
      <c r="M98" s="171"/>
      <c r="N98" s="171"/>
      <c r="O98" s="500" t="str">
        <f t="shared" si="11"/>
        <v/>
      </c>
      <c r="P98" s="501"/>
      <c r="Q98" s="172"/>
      <c r="R98" s="173"/>
      <c r="S98" s="173"/>
      <c r="T98" s="174"/>
      <c r="U98" s="177"/>
      <c r="V98" s="170"/>
      <c r="W98" s="170"/>
      <c r="X98" s="174"/>
      <c r="Y98" s="182"/>
      <c r="Z98" s="179" t="str">
        <f t="shared" si="16"/>
        <v/>
      </c>
      <c r="AA98" s="171"/>
      <c r="AB98" s="183" t="str">
        <f t="shared" ca="1" si="15"/>
        <v/>
      </c>
      <c r="AC98" s="265"/>
      <c r="AD98" s="249"/>
      <c r="AE98" s="170"/>
      <c r="AF98" s="170"/>
      <c r="AG98" s="170"/>
      <c r="AH98" s="170"/>
      <c r="AI98" s="170"/>
      <c r="AJ98" s="453"/>
      <c r="AK98" s="454"/>
      <c r="AL98" s="453"/>
      <c r="AM98" s="175"/>
      <c r="AN98" s="254"/>
      <c r="AO98" s="254"/>
      <c r="AP98" s="178" t="str">
        <f t="shared" si="14"/>
        <v xml:space="preserve"> </v>
      </c>
    </row>
    <row r="99" spans="1:42" ht="67.5" customHeight="1">
      <c r="A99" s="188" t="s">
        <v>1198</v>
      </c>
      <c r="B99" s="176"/>
      <c r="C99" s="168"/>
      <c r="D99" s="169"/>
      <c r="E99" s="255"/>
      <c r="F99" s="189" t="str">
        <f>IF(E99="","",VLOOKUP(E99,'Listes déroulantes'!$A$3:$C$39,2))</f>
        <v/>
      </c>
      <c r="G99" s="180"/>
      <c r="H99" s="181"/>
      <c r="I99" s="186"/>
      <c r="J99" s="185"/>
      <c r="K99" s="167"/>
      <c r="L99" s="170"/>
      <c r="M99" s="171"/>
      <c r="N99" s="171"/>
      <c r="O99" s="500" t="str">
        <f t="shared" si="11"/>
        <v/>
      </c>
      <c r="P99" s="501"/>
      <c r="Q99" s="172"/>
      <c r="R99" s="173"/>
      <c r="S99" s="173"/>
      <c r="T99" s="174"/>
      <c r="U99" s="177"/>
      <c r="V99" s="170"/>
      <c r="W99" s="170"/>
      <c r="X99" s="174"/>
      <c r="Y99" s="182"/>
      <c r="Z99" s="179" t="str">
        <f t="shared" si="16"/>
        <v/>
      </c>
      <c r="AA99" s="171"/>
      <c r="AB99" s="183" t="str">
        <f t="shared" ca="1" si="15"/>
        <v/>
      </c>
      <c r="AC99" s="265"/>
      <c r="AD99" s="249"/>
      <c r="AE99" s="170"/>
      <c r="AF99" s="170"/>
      <c r="AG99" s="170"/>
      <c r="AH99" s="170"/>
      <c r="AI99" s="170"/>
      <c r="AJ99" s="453"/>
      <c r="AK99" s="454"/>
      <c r="AL99" s="453"/>
      <c r="AM99" s="175"/>
      <c r="AN99" s="254"/>
      <c r="AO99" s="254"/>
      <c r="AP99" s="178" t="str">
        <f t="shared" si="14"/>
        <v xml:space="preserve"> </v>
      </c>
    </row>
    <row r="100" spans="1:42" ht="67.5" customHeight="1">
      <c r="A100" s="188" t="s">
        <v>1199</v>
      </c>
      <c r="B100" s="176"/>
      <c r="C100" s="168"/>
      <c r="D100" s="169"/>
      <c r="E100" s="255"/>
      <c r="F100" s="189" t="str">
        <f>IF(E100="","",VLOOKUP(E100,'Listes déroulantes'!$A$3:$C$39,2))</f>
        <v/>
      </c>
      <c r="G100" s="180"/>
      <c r="H100" s="181"/>
      <c r="I100" s="186"/>
      <c r="J100" s="185"/>
      <c r="K100" s="167"/>
      <c r="L100" s="170"/>
      <c r="M100" s="171"/>
      <c r="N100" s="171"/>
      <c r="O100" s="500" t="str">
        <f t="shared" si="11"/>
        <v/>
      </c>
      <c r="P100" s="501"/>
      <c r="Q100" s="172"/>
      <c r="R100" s="173"/>
      <c r="S100" s="173"/>
      <c r="T100" s="174"/>
      <c r="U100" s="177"/>
      <c r="V100" s="170"/>
      <c r="W100" s="170"/>
      <c r="X100" s="174"/>
      <c r="Y100" s="182"/>
      <c r="Z100" s="179" t="str">
        <f t="shared" si="16"/>
        <v/>
      </c>
      <c r="AA100" s="171"/>
      <c r="AB100" s="183" t="str">
        <f t="shared" ca="1" si="15"/>
        <v/>
      </c>
      <c r="AC100" s="265"/>
      <c r="AD100" s="249"/>
      <c r="AE100" s="170"/>
      <c r="AF100" s="170"/>
      <c r="AG100" s="170"/>
      <c r="AH100" s="170"/>
      <c r="AI100" s="170"/>
      <c r="AJ100" s="453"/>
      <c r="AK100" s="454"/>
      <c r="AL100" s="453"/>
      <c r="AM100" s="175"/>
      <c r="AN100" s="254"/>
      <c r="AO100" s="254"/>
      <c r="AP100" s="178" t="str">
        <f t="shared" si="14"/>
        <v xml:space="preserve"> </v>
      </c>
    </row>
    <row r="101" spans="1:42" ht="67.5" customHeight="1">
      <c r="A101" s="188" t="s">
        <v>1200</v>
      </c>
      <c r="B101" s="176"/>
      <c r="C101" s="168"/>
      <c r="D101" s="169"/>
      <c r="E101" s="255"/>
      <c r="F101" s="189" t="str">
        <f>IF(E101="","",VLOOKUP(E101,'Listes déroulantes'!$A$3:$C$39,2))</f>
        <v/>
      </c>
      <c r="G101" s="180"/>
      <c r="H101" s="181"/>
      <c r="I101" s="186"/>
      <c r="J101" s="185"/>
      <c r="K101" s="167"/>
      <c r="L101" s="170"/>
      <c r="M101" s="171"/>
      <c r="N101" s="171"/>
      <c r="O101" s="500" t="str">
        <f t="shared" si="11"/>
        <v/>
      </c>
      <c r="P101" s="501"/>
      <c r="Q101" s="172"/>
      <c r="R101" s="173"/>
      <c r="S101" s="173"/>
      <c r="T101" s="174"/>
      <c r="U101" s="177"/>
      <c r="V101" s="170"/>
      <c r="W101" s="170"/>
      <c r="X101" s="174"/>
      <c r="Y101" s="182"/>
      <c r="Z101" s="179" t="str">
        <f t="shared" si="16"/>
        <v/>
      </c>
      <c r="AA101" s="171"/>
      <c r="AB101" s="183" t="str">
        <f t="shared" ca="1" si="15"/>
        <v/>
      </c>
      <c r="AC101" s="265"/>
      <c r="AD101" s="249"/>
      <c r="AE101" s="170"/>
      <c r="AF101" s="170"/>
      <c r="AG101" s="170"/>
      <c r="AH101" s="170"/>
      <c r="AI101" s="170"/>
      <c r="AJ101" s="453"/>
      <c r="AK101" s="454"/>
      <c r="AL101" s="453"/>
      <c r="AM101" s="175"/>
      <c r="AN101" s="254"/>
      <c r="AO101" s="254"/>
      <c r="AP101" s="178" t="str">
        <f t="shared" si="14"/>
        <v xml:space="preserve"> </v>
      </c>
    </row>
    <row r="102" spans="1:42" ht="67.5" customHeight="1">
      <c r="A102" s="188" t="s">
        <v>1201</v>
      </c>
      <c r="B102" s="176"/>
      <c r="C102" s="168"/>
      <c r="D102" s="169"/>
      <c r="E102" s="255"/>
      <c r="F102" s="189" t="str">
        <f>IF(E102="","",VLOOKUP(E102,'Listes déroulantes'!$A$3:$C$39,2))</f>
        <v/>
      </c>
      <c r="G102" s="180"/>
      <c r="H102" s="181"/>
      <c r="I102" s="186"/>
      <c r="J102" s="185"/>
      <c r="K102" s="167"/>
      <c r="L102" s="170"/>
      <c r="M102" s="171"/>
      <c r="N102" s="171"/>
      <c r="O102" s="500" t="str">
        <f t="shared" si="11"/>
        <v/>
      </c>
      <c r="P102" s="501"/>
      <c r="Q102" s="172"/>
      <c r="R102" s="173"/>
      <c r="S102" s="173"/>
      <c r="T102" s="174"/>
      <c r="U102" s="177"/>
      <c r="V102" s="170"/>
      <c r="W102" s="170"/>
      <c r="X102" s="253"/>
      <c r="Y102" s="182"/>
      <c r="Z102" s="179" t="str">
        <f t="shared" si="16"/>
        <v/>
      </c>
      <c r="AA102" s="171"/>
      <c r="AB102" s="183" t="str">
        <f t="shared" ca="1" si="15"/>
        <v/>
      </c>
      <c r="AC102" s="265"/>
      <c r="AD102" s="249"/>
      <c r="AE102" s="249"/>
      <c r="AF102" s="249"/>
      <c r="AG102" s="249"/>
      <c r="AH102" s="249"/>
      <c r="AI102" s="249"/>
      <c r="AJ102" s="453"/>
      <c r="AK102" s="454"/>
      <c r="AL102" s="453"/>
      <c r="AM102" s="175"/>
      <c r="AN102" s="254"/>
      <c r="AO102" s="254"/>
      <c r="AP102" s="178" t="str">
        <f t="shared" si="14"/>
        <v xml:space="preserve"> </v>
      </c>
    </row>
    <row r="103" spans="1:42" ht="67.5" customHeight="1">
      <c r="A103" s="188" t="s">
        <v>1202</v>
      </c>
      <c r="B103" s="176"/>
      <c r="C103" s="168"/>
      <c r="D103" s="169"/>
      <c r="E103" s="255"/>
      <c r="F103" s="189" t="str">
        <f>IF(E103="","",VLOOKUP(E103,'Listes déroulantes'!$A$3:$C$39,2))</f>
        <v/>
      </c>
      <c r="G103" s="180"/>
      <c r="H103" s="181"/>
      <c r="I103" s="186"/>
      <c r="J103" s="185"/>
      <c r="K103" s="167"/>
      <c r="L103" s="170"/>
      <c r="M103" s="171"/>
      <c r="N103" s="171"/>
      <c r="O103" s="500" t="str">
        <f t="shared" si="11"/>
        <v/>
      </c>
      <c r="P103" s="501"/>
      <c r="Q103" s="172"/>
      <c r="R103" s="173"/>
      <c r="S103" s="173"/>
      <c r="T103" s="174"/>
      <c r="U103" s="177"/>
      <c r="V103" s="170"/>
      <c r="W103" s="170"/>
      <c r="X103" s="174"/>
      <c r="Y103" s="182"/>
      <c r="Z103" s="179" t="str">
        <f t="shared" si="16"/>
        <v/>
      </c>
      <c r="AA103" s="171"/>
      <c r="AB103" s="183" t="str">
        <f t="shared" ca="1" si="15"/>
        <v/>
      </c>
      <c r="AC103" s="265"/>
      <c r="AD103" s="249"/>
      <c r="AE103" s="170"/>
      <c r="AF103" s="170"/>
      <c r="AG103" s="170"/>
      <c r="AH103" s="170"/>
      <c r="AI103" s="170"/>
      <c r="AJ103" s="453"/>
      <c r="AK103" s="454"/>
      <c r="AL103" s="453"/>
      <c r="AM103" s="175"/>
      <c r="AN103" s="254"/>
      <c r="AO103" s="254"/>
      <c r="AP103" s="178" t="str">
        <f t="shared" si="14"/>
        <v xml:space="preserve"> </v>
      </c>
    </row>
    <row r="104" spans="1:42" ht="67.5" customHeight="1">
      <c r="A104" s="188" t="s">
        <v>1203</v>
      </c>
      <c r="B104" s="176"/>
      <c r="C104" s="168"/>
      <c r="D104" s="169"/>
      <c r="E104" s="255"/>
      <c r="F104" s="189" t="str">
        <f>IF(E104="","",VLOOKUP(E104,'Listes déroulantes'!$A$3:$C$39,2))</f>
        <v/>
      </c>
      <c r="G104" s="180"/>
      <c r="H104" s="181"/>
      <c r="I104" s="186"/>
      <c r="J104" s="185"/>
      <c r="K104" s="167"/>
      <c r="L104" s="170"/>
      <c r="M104" s="171"/>
      <c r="N104" s="171"/>
      <c r="O104" s="500" t="str">
        <f t="shared" si="11"/>
        <v/>
      </c>
      <c r="P104" s="501"/>
      <c r="Q104" s="172"/>
      <c r="R104" s="173"/>
      <c r="S104" s="173"/>
      <c r="T104" s="174"/>
      <c r="U104" s="177"/>
      <c r="V104" s="170"/>
      <c r="W104" s="170"/>
      <c r="X104" s="174"/>
      <c r="Y104" s="182"/>
      <c r="Z104" s="179" t="str">
        <f t="shared" si="16"/>
        <v/>
      </c>
      <c r="AA104" s="171"/>
      <c r="AB104" s="183" t="str">
        <f t="shared" ca="1" si="15"/>
        <v/>
      </c>
      <c r="AC104" s="265"/>
      <c r="AD104" s="249"/>
      <c r="AE104" s="170"/>
      <c r="AF104" s="170"/>
      <c r="AG104" s="170"/>
      <c r="AH104" s="170"/>
      <c r="AI104" s="170"/>
      <c r="AJ104" s="453"/>
      <c r="AK104" s="454"/>
      <c r="AL104" s="453"/>
      <c r="AM104" s="175"/>
      <c r="AN104" s="254"/>
      <c r="AO104" s="254"/>
      <c r="AP104" s="178" t="str">
        <f t="shared" si="14"/>
        <v xml:space="preserve"> </v>
      </c>
    </row>
    <row r="105" spans="1:42" ht="67.5" customHeight="1">
      <c r="A105" s="188" t="s">
        <v>1204</v>
      </c>
      <c r="B105" s="176"/>
      <c r="C105" s="168"/>
      <c r="D105" s="169"/>
      <c r="E105" s="255"/>
      <c r="F105" s="189" t="str">
        <f>IF(E105="","",VLOOKUP(E105,'Listes déroulantes'!$A$3:$C$39,2))</f>
        <v/>
      </c>
      <c r="G105" s="180"/>
      <c r="H105" s="181"/>
      <c r="I105" s="186"/>
      <c r="J105" s="185"/>
      <c r="K105" s="167"/>
      <c r="L105" s="170"/>
      <c r="M105" s="171"/>
      <c r="N105" s="171"/>
      <c r="O105" s="500" t="str">
        <f t="shared" si="11"/>
        <v/>
      </c>
      <c r="P105" s="501"/>
      <c r="Q105" s="172"/>
      <c r="R105" s="173"/>
      <c r="S105" s="173"/>
      <c r="T105" s="174"/>
      <c r="U105" s="177"/>
      <c r="V105" s="170"/>
      <c r="W105" s="170"/>
      <c r="X105" s="174"/>
      <c r="Y105" s="182"/>
      <c r="Z105" s="179" t="str">
        <f t="shared" si="16"/>
        <v/>
      </c>
      <c r="AA105" s="171"/>
      <c r="AB105" s="183" t="str">
        <f t="shared" ca="1" si="15"/>
        <v/>
      </c>
      <c r="AC105" s="265"/>
      <c r="AD105" s="249"/>
      <c r="AE105" s="170"/>
      <c r="AF105" s="170"/>
      <c r="AG105" s="170"/>
      <c r="AH105" s="170"/>
      <c r="AI105" s="170"/>
      <c r="AJ105" s="453"/>
      <c r="AK105" s="454"/>
      <c r="AL105" s="453"/>
      <c r="AM105" s="175"/>
      <c r="AN105" s="254"/>
      <c r="AO105" s="254"/>
      <c r="AP105" s="178" t="str">
        <f t="shared" si="14"/>
        <v xml:space="preserve"> </v>
      </c>
    </row>
    <row r="106" spans="1:42" ht="67.5" customHeight="1">
      <c r="A106" s="188" t="s">
        <v>1205</v>
      </c>
      <c r="B106" s="176"/>
      <c r="C106" s="168"/>
      <c r="D106" s="169"/>
      <c r="E106" s="255"/>
      <c r="F106" s="189" t="str">
        <f>IF(E106="","",VLOOKUP(E106,'Listes déroulantes'!$A$3:$C$39,2))</f>
        <v/>
      </c>
      <c r="G106" s="180"/>
      <c r="H106" s="181"/>
      <c r="I106" s="186"/>
      <c r="J106" s="185"/>
      <c r="K106" s="167"/>
      <c r="L106" s="170"/>
      <c r="M106" s="171"/>
      <c r="N106" s="171"/>
      <c r="O106" s="500" t="str">
        <f t="shared" ref="O106:O169" si="17">IF(L106="avec arrêt",(N106-M106)+1,"")</f>
        <v/>
      </c>
      <c r="P106" s="501"/>
      <c r="Q106" s="172"/>
      <c r="R106" s="173"/>
      <c r="S106" s="173"/>
      <c r="T106" s="174"/>
      <c r="U106" s="177"/>
      <c r="V106" s="170"/>
      <c r="W106" s="170"/>
      <c r="X106" s="174"/>
      <c r="Y106" s="182"/>
      <c r="Z106" s="179" t="str">
        <f t="shared" si="16"/>
        <v/>
      </c>
      <c r="AA106" s="171"/>
      <c r="AB106" s="183" t="str">
        <f t="shared" ca="1" si="15"/>
        <v/>
      </c>
      <c r="AC106" s="265"/>
      <c r="AD106" s="249"/>
      <c r="AE106" s="170"/>
      <c r="AF106" s="170"/>
      <c r="AG106" s="170"/>
      <c r="AH106" s="170"/>
      <c r="AI106" s="170"/>
      <c r="AJ106" s="453"/>
      <c r="AK106" s="454"/>
      <c r="AL106" s="453"/>
      <c r="AM106" s="175"/>
      <c r="AN106" s="254"/>
      <c r="AO106" s="254"/>
      <c r="AP106" s="178" t="str">
        <f t="shared" si="14"/>
        <v xml:space="preserve"> </v>
      </c>
    </row>
    <row r="107" spans="1:42" ht="67.5" customHeight="1">
      <c r="A107" s="188" t="s">
        <v>1206</v>
      </c>
      <c r="B107" s="176"/>
      <c r="C107" s="168"/>
      <c r="D107" s="169"/>
      <c r="E107" s="255"/>
      <c r="F107" s="189" t="str">
        <f>IF(E107="","",VLOOKUP(E107,'Listes déroulantes'!$A$3:$C$39,2))</f>
        <v/>
      </c>
      <c r="G107" s="180"/>
      <c r="H107" s="181"/>
      <c r="I107" s="186"/>
      <c r="J107" s="185"/>
      <c r="K107" s="167"/>
      <c r="L107" s="170"/>
      <c r="M107" s="171"/>
      <c r="N107" s="171"/>
      <c r="O107" s="500" t="str">
        <f t="shared" si="17"/>
        <v/>
      </c>
      <c r="P107" s="501"/>
      <c r="Q107" s="172"/>
      <c r="R107" s="173"/>
      <c r="S107" s="173"/>
      <c r="T107" s="174"/>
      <c r="U107" s="177"/>
      <c r="V107" s="170"/>
      <c r="W107" s="170"/>
      <c r="X107" s="174"/>
      <c r="Y107" s="182"/>
      <c r="Z107" s="179" t="str">
        <f t="shared" si="16"/>
        <v/>
      </c>
      <c r="AA107" s="171"/>
      <c r="AB107" s="183" t="str">
        <f t="shared" ca="1" si="15"/>
        <v/>
      </c>
      <c r="AC107" s="265"/>
      <c r="AD107" s="249"/>
      <c r="AE107" s="170"/>
      <c r="AF107" s="170"/>
      <c r="AG107" s="170"/>
      <c r="AH107" s="170"/>
      <c r="AI107" s="170"/>
      <c r="AJ107" s="453"/>
      <c r="AK107" s="454"/>
      <c r="AL107" s="453"/>
      <c r="AM107" s="175"/>
      <c r="AN107" s="254"/>
      <c r="AO107" s="254"/>
      <c r="AP107" s="178" t="str">
        <f t="shared" si="14"/>
        <v xml:space="preserve"> </v>
      </c>
    </row>
    <row r="108" spans="1:42" ht="67.5" customHeight="1">
      <c r="A108" s="188" t="s">
        <v>1207</v>
      </c>
      <c r="B108" s="176"/>
      <c r="C108" s="168"/>
      <c r="D108" s="169"/>
      <c r="E108" s="255"/>
      <c r="F108" s="189" t="str">
        <f>IF(E108="","",VLOOKUP(E108,'Listes déroulantes'!$A$3:$C$39,2))</f>
        <v/>
      </c>
      <c r="G108" s="180"/>
      <c r="H108" s="181"/>
      <c r="I108" s="186"/>
      <c r="J108" s="185"/>
      <c r="K108" s="167"/>
      <c r="L108" s="170"/>
      <c r="M108" s="171"/>
      <c r="N108" s="171"/>
      <c r="O108" s="500" t="str">
        <f t="shared" si="17"/>
        <v/>
      </c>
      <c r="P108" s="501"/>
      <c r="Q108" s="172"/>
      <c r="R108" s="173"/>
      <c r="S108" s="173"/>
      <c r="T108" s="174"/>
      <c r="U108" s="177"/>
      <c r="V108" s="170"/>
      <c r="W108" s="170"/>
      <c r="X108" s="174"/>
      <c r="Y108" s="182"/>
      <c r="Z108" s="179" t="str">
        <f t="shared" si="16"/>
        <v/>
      </c>
      <c r="AA108" s="171"/>
      <c r="AB108" s="183" t="str">
        <f t="shared" ca="1" si="15"/>
        <v/>
      </c>
      <c r="AC108" s="265"/>
      <c r="AD108" s="249"/>
      <c r="AE108" s="170"/>
      <c r="AF108" s="170"/>
      <c r="AG108" s="170"/>
      <c r="AH108" s="170"/>
      <c r="AI108" s="170"/>
      <c r="AJ108" s="453"/>
      <c r="AK108" s="454"/>
      <c r="AL108" s="453"/>
      <c r="AM108" s="175"/>
      <c r="AN108" s="254"/>
      <c r="AO108" s="254"/>
      <c r="AP108" s="178" t="str">
        <f t="shared" si="14"/>
        <v xml:space="preserve"> </v>
      </c>
    </row>
    <row r="109" spans="1:42" ht="67.5" customHeight="1">
      <c r="A109" s="188" t="s">
        <v>1208</v>
      </c>
      <c r="B109" s="176"/>
      <c r="C109" s="168"/>
      <c r="D109" s="169"/>
      <c r="E109" s="255"/>
      <c r="F109" s="189" t="str">
        <f>IF(E109="","",VLOOKUP(E109,'Listes déroulantes'!$A$3:$C$39,2))</f>
        <v/>
      </c>
      <c r="G109" s="180"/>
      <c r="H109" s="181"/>
      <c r="I109" s="186"/>
      <c r="J109" s="185"/>
      <c r="K109" s="167"/>
      <c r="L109" s="170"/>
      <c r="M109" s="171"/>
      <c r="N109" s="171"/>
      <c r="O109" s="500" t="str">
        <f t="shared" si="17"/>
        <v/>
      </c>
      <c r="P109" s="501"/>
      <c r="Q109" s="172"/>
      <c r="R109" s="173"/>
      <c r="S109" s="173"/>
      <c r="T109" s="174"/>
      <c r="U109" s="177"/>
      <c r="V109" s="170"/>
      <c r="W109" s="170"/>
      <c r="X109" s="174"/>
      <c r="Y109" s="182"/>
      <c r="Z109" s="179" t="str">
        <f t="shared" si="16"/>
        <v/>
      </c>
      <c r="AA109" s="171"/>
      <c r="AB109" s="183" t="str">
        <f t="shared" ca="1" si="15"/>
        <v/>
      </c>
      <c r="AC109" s="265"/>
      <c r="AD109" s="249"/>
      <c r="AE109" s="170"/>
      <c r="AF109" s="170"/>
      <c r="AG109" s="170"/>
      <c r="AH109" s="170"/>
      <c r="AI109" s="170"/>
      <c r="AJ109" s="453"/>
      <c r="AK109" s="454"/>
      <c r="AL109" s="453"/>
      <c r="AM109" s="175"/>
      <c r="AN109" s="254"/>
      <c r="AO109" s="254"/>
      <c r="AP109" s="178" t="str">
        <f t="shared" si="14"/>
        <v xml:space="preserve"> </v>
      </c>
    </row>
    <row r="110" spans="1:42" ht="67.5" customHeight="1">
      <c r="A110" s="188" t="s">
        <v>1209</v>
      </c>
      <c r="B110" s="176"/>
      <c r="C110" s="168"/>
      <c r="D110" s="169"/>
      <c r="E110" s="255"/>
      <c r="F110" s="189" t="str">
        <f>IF(E110="","",VLOOKUP(E110,'Listes déroulantes'!$A$3:$C$39,2))</f>
        <v/>
      </c>
      <c r="G110" s="180"/>
      <c r="H110" s="181"/>
      <c r="I110" s="186"/>
      <c r="J110" s="185"/>
      <c r="K110" s="167"/>
      <c r="L110" s="170"/>
      <c r="M110" s="171"/>
      <c r="N110" s="171"/>
      <c r="O110" s="500" t="str">
        <f t="shared" si="17"/>
        <v/>
      </c>
      <c r="P110" s="501"/>
      <c r="Q110" s="172"/>
      <c r="R110" s="173"/>
      <c r="S110" s="173"/>
      <c r="T110" s="174"/>
      <c r="U110" s="177"/>
      <c r="V110" s="170"/>
      <c r="W110" s="170"/>
      <c r="X110" s="174"/>
      <c r="Y110" s="182"/>
      <c r="Z110" s="179" t="str">
        <f t="shared" si="16"/>
        <v/>
      </c>
      <c r="AA110" s="171"/>
      <c r="AB110" s="183" t="str">
        <f t="shared" ca="1" si="15"/>
        <v/>
      </c>
      <c r="AC110" s="265"/>
      <c r="AD110" s="249"/>
      <c r="AE110" s="170"/>
      <c r="AF110" s="170"/>
      <c r="AG110" s="170"/>
      <c r="AH110" s="170"/>
      <c r="AI110" s="170"/>
      <c r="AJ110" s="453"/>
      <c r="AK110" s="454"/>
      <c r="AL110" s="453"/>
      <c r="AM110" s="175"/>
      <c r="AN110" s="254"/>
      <c r="AO110" s="254"/>
      <c r="AP110" s="178" t="str">
        <f t="shared" si="14"/>
        <v xml:space="preserve"> </v>
      </c>
    </row>
    <row r="111" spans="1:42" ht="67.5" customHeight="1">
      <c r="A111" s="188" t="s">
        <v>1210</v>
      </c>
      <c r="B111" s="176"/>
      <c r="C111" s="168"/>
      <c r="D111" s="169"/>
      <c r="E111" s="255"/>
      <c r="F111" s="189" t="str">
        <f>IF(E111="","",VLOOKUP(E111,'Listes déroulantes'!$A$3:$C$39,2))</f>
        <v/>
      </c>
      <c r="G111" s="180"/>
      <c r="H111" s="181"/>
      <c r="I111" s="186"/>
      <c r="J111" s="185"/>
      <c r="K111" s="167"/>
      <c r="L111" s="170"/>
      <c r="M111" s="171"/>
      <c r="N111" s="171"/>
      <c r="O111" s="500" t="str">
        <f t="shared" si="17"/>
        <v/>
      </c>
      <c r="P111" s="501"/>
      <c r="Q111" s="172"/>
      <c r="R111" s="173"/>
      <c r="S111" s="173"/>
      <c r="T111" s="174"/>
      <c r="U111" s="177"/>
      <c r="V111" s="170"/>
      <c r="W111" s="170"/>
      <c r="X111" s="174"/>
      <c r="Y111" s="182"/>
      <c r="Z111" s="179" t="str">
        <f t="shared" si="16"/>
        <v/>
      </c>
      <c r="AA111" s="171"/>
      <c r="AB111" s="183" t="str">
        <f t="shared" ca="1" si="15"/>
        <v/>
      </c>
      <c r="AC111" s="265"/>
      <c r="AD111" s="249"/>
      <c r="AE111" s="170"/>
      <c r="AF111" s="170"/>
      <c r="AG111" s="170"/>
      <c r="AH111" s="170"/>
      <c r="AI111" s="170"/>
      <c r="AJ111" s="453"/>
      <c r="AK111" s="454"/>
      <c r="AL111" s="453"/>
      <c r="AM111" s="175"/>
      <c r="AN111" s="254"/>
      <c r="AO111" s="254"/>
      <c r="AP111" s="178" t="str">
        <f t="shared" si="14"/>
        <v xml:space="preserve"> </v>
      </c>
    </row>
    <row r="112" spans="1:42" ht="67.5" customHeight="1">
      <c r="A112" s="188" t="s">
        <v>1211</v>
      </c>
      <c r="B112" s="176"/>
      <c r="C112" s="168"/>
      <c r="D112" s="169"/>
      <c r="E112" s="255"/>
      <c r="F112" s="189" t="str">
        <f>IF(E112="","",VLOOKUP(E112,'Listes déroulantes'!$A$3:$C$39,2))</f>
        <v/>
      </c>
      <c r="G112" s="180"/>
      <c r="H112" s="181"/>
      <c r="I112" s="186"/>
      <c r="J112" s="185"/>
      <c r="K112" s="167"/>
      <c r="L112" s="170"/>
      <c r="M112" s="171"/>
      <c r="N112" s="171"/>
      <c r="O112" s="500" t="str">
        <f t="shared" si="17"/>
        <v/>
      </c>
      <c r="P112" s="501"/>
      <c r="Q112" s="172"/>
      <c r="R112" s="173"/>
      <c r="S112" s="173"/>
      <c r="T112" s="174"/>
      <c r="U112" s="177"/>
      <c r="V112" s="170"/>
      <c r="W112" s="170"/>
      <c r="X112" s="174"/>
      <c r="Y112" s="182"/>
      <c r="Z112" s="179" t="str">
        <f t="shared" si="16"/>
        <v/>
      </c>
      <c r="AA112" s="171"/>
      <c r="AB112" s="183" t="str">
        <f t="shared" ca="1" si="15"/>
        <v/>
      </c>
      <c r="AC112" s="265"/>
      <c r="AD112" s="249"/>
      <c r="AE112" s="170"/>
      <c r="AF112" s="170"/>
      <c r="AG112" s="170"/>
      <c r="AH112" s="170"/>
      <c r="AI112" s="170"/>
      <c r="AJ112" s="453"/>
      <c r="AK112" s="454"/>
      <c r="AL112" s="453"/>
      <c r="AM112" s="175"/>
      <c r="AN112" s="254"/>
      <c r="AO112" s="254"/>
      <c r="AP112" s="178" t="str">
        <f t="shared" si="14"/>
        <v xml:space="preserve"> </v>
      </c>
    </row>
    <row r="113" spans="1:42" ht="67.5" customHeight="1">
      <c r="A113" s="188" t="s">
        <v>1212</v>
      </c>
      <c r="B113" s="176"/>
      <c r="C113" s="168"/>
      <c r="D113" s="169"/>
      <c r="E113" s="255"/>
      <c r="F113" s="189" t="str">
        <f>IF(E113="","",VLOOKUP(E113,'Listes déroulantes'!$A$3:$C$39,2))</f>
        <v/>
      </c>
      <c r="G113" s="180"/>
      <c r="H113" s="181"/>
      <c r="I113" s="186"/>
      <c r="J113" s="185"/>
      <c r="K113" s="167"/>
      <c r="L113" s="170"/>
      <c r="M113" s="171"/>
      <c r="N113" s="171"/>
      <c r="O113" s="500" t="str">
        <f t="shared" si="17"/>
        <v/>
      </c>
      <c r="P113" s="501"/>
      <c r="Q113" s="172"/>
      <c r="R113" s="173"/>
      <c r="S113" s="173"/>
      <c r="T113" s="174"/>
      <c r="U113" s="177"/>
      <c r="V113" s="170"/>
      <c r="W113" s="170"/>
      <c r="X113" s="253"/>
      <c r="Y113" s="260"/>
      <c r="Z113" s="179" t="str">
        <f t="shared" si="16"/>
        <v/>
      </c>
      <c r="AA113" s="171"/>
      <c r="AB113" s="183" t="str">
        <f t="shared" ca="1" si="15"/>
        <v/>
      </c>
      <c r="AC113" s="265"/>
      <c r="AD113" s="249"/>
      <c r="AE113" s="249"/>
      <c r="AF113" s="249"/>
      <c r="AG113" s="249"/>
      <c r="AH113" s="249"/>
      <c r="AI113" s="249"/>
      <c r="AJ113" s="453"/>
      <c r="AK113" s="454"/>
      <c r="AL113" s="453"/>
      <c r="AM113" s="175"/>
      <c r="AN113" s="254"/>
      <c r="AO113" s="254"/>
      <c r="AP113" s="178" t="str">
        <f t="shared" si="14"/>
        <v xml:space="preserve"> </v>
      </c>
    </row>
    <row r="114" spans="1:42" ht="67.5" customHeight="1">
      <c r="A114" s="188" t="s">
        <v>1213</v>
      </c>
      <c r="B114" s="176"/>
      <c r="C114" s="168"/>
      <c r="D114" s="169"/>
      <c r="E114" s="255"/>
      <c r="F114" s="189" t="str">
        <f>IF(E114="","",VLOOKUP(E114,'Listes déroulantes'!$A$3:$C$39,2))</f>
        <v/>
      </c>
      <c r="G114" s="180"/>
      <c r="H114" s="181"/>
      <c r="I114" s="186"/>
      <c r="J114" s="185"/>
      <c r="K114" s="167"/>
      <c r="L114" s="170"/>
      <c r="M114" s="171"/>
      <c r="N114" s="171"/>
      <c r="O114" s="500" t="str">
        <f t="shared" si="17"/>
        <v/>
      </c>
      <c r="P114" s="501"/>
      <c r="Q114" s="172"/>
      <c r="R114" s="173"/>
      <c r="S114" s="173"/>
      <c r="T114" s="174"/>
      <c r="U114" s="177"/>
      <c r="V114" s="170"/>
      <c r="W114" s="170"/>
      <c r="X114" s="174"/>
      <c r="Y114" s="182"/>
      <c r="Z114" s="179" t="str">
        <f t="shared" si="16"/>
        <v/>
      </c>
      <c r="AA114" s="171"/>
      <c r="AB114" s="183" t="str">
        <f t="shared" ca="1" si="15"/>
        <v/>
      </c>
      <c r="AC114" s="265"/>
      <c r="AD114" s="249"/>
      <c r="AE114" s="170"/>
      <c r="AF114" s="170"/>
      <c r="AG114" s="170"/>
      <c r="AH114" s="170"/>
      <c r="AI114" s="170"/>
      <c r="AJ114" s="453"/>
      <c r="AK114" s="454"/>
      <c r="AL114" s="453"/>
      <c r="AM114" s="175"/>
      <c r="AN114" s="254"/>
      <c r="AO114" s="254"/>
      <c r="AP114" s="178" t="str">
        <f t="shared" si="14"/>
        <v xml:space="preserve"> </v>
      </c>
    </row>
    <row r="115" spans="1:42" ht="67.5" customHeight="1">
      <c r="A115" s="188" t="s">
        <v>1214</v>
      </c>
      <c r="B115" s="176"/>
      <c r="C115" s="168"/>
      <c r="D115" s="169"/>
      <c r="E115" s="255"/>
      <c r="F115" s="189" t="str">
        <f>IF(E115="","",VLOOKUP(E115,'Listes déroulantes'!$A$3:$C$39,2))</f>
        <v/>
      </c>
      <c r="G115" s="180"/>
      <c r="H115" s="181"/>
      <c r="I115" s="186"/>
      <c r="J115" s="185"/>
      <c r="K115" s="167"/>
      <c r="L115" s="170"/>
      <c r="M115" s="171"/>
      <c r="N115" s="171"/>
      <c r="O115" s="500" t="str">
        <f t="shared" si="17"/>
        <v/>
      </c>
      <c r="P115" s="501"/>
      <c r="Q115" s="172"/>
      <c r="R115" s="173"/>
      <c r="S115" s="173"/>
      <c r="T115" s="174"/>
      <c r="U115" s="177"/>
      <c r="V115" s="170"/>
      <c r="W115" s="170"/>
      <c r="X115" s="174"/>
      <c r="Y115" s="182"/>
      <c r="Z115" s="179" t="str">
        <f t="shared" si="16"/>
        <v/>
      </c>
      <c r="AA115" s="171"/>
      <c r="AB115" s="183" t="str">
        <f t="shared" ca="1" si="15"/>
        <v/>
      </c>
      <c r="AC115" s="265"/>
      <c r="AD115" s="249"/>
      <c r="AE115" s="170"/>
      <c r="AF115" s="170"/>
      <c r="AG115" s="170"/>
      <c r="AH115" s="170"/>
      <c r="AI115" s="170"/>
      <c r="AJ115" s="453"/>
      <c r="AK115" s="454"/>
      <c r="AL115" s="453"/>
      <c r="AM115" s="175"/>
      <c r="AN115" s="254"/>
      <c r="AO115" s="254"/>
      <c r="AP115" s="178" t="str">
        <f t="shared" si="14"/>
        <v xml:space="preserve"> </v>
      </c>
    </row>
    <row r="116" spans="1:42" ht="63" customHeight="1">
      <c r="A116" s="188" t="s">
        <v>1215</v>
      </c>
      <c r="B116" s="176"/>
      <c r="C116" s="168"/>
      <c r="D116" s="169"/>
      <c r="E116" s="255"/>
      <c r="F116" s="189" t="str">
        <f>IF(E116="","",VLOOKUP(E116,'Listes déroulantes'!$A$3:$C$39,2))</f>
        <v/>
      </c>
      <c r="G116" s="180"/>
      <c r="H116" s="181"/>
      <c r="I116" s="186"/>
      <c r="J116" s="185"/>
      <c r="K116" s="167"/>
      <c r="L116" s="170"/>
      <c r="M116" s="171"/>
      <c r="N116" s="171"/>
      <c r="O116" s="500" t="str">
        <f t="shared" si="17"/>
        <v/>
      </c>
      <c r="P116" s="501"/>
      <c r="Q116" s="172"/>
      <c r="R116" s="173"/>
      <c r="S116" s="173"/>
      <c r="T116" s="174"/>
      <c r="U116" s="177"/>
      <c r="V116" s="170"/>
      <c r="W116" s="170"/>
      <c r="X116" s="174"/>
      <c r="Y116" s="182"/>
      <c r="Z116" s="179" t="str">
        <f t="shared" si="16"/>
        <v/>
      </c>
      <c r="AA116" s="171"/>
      <c r="AB116" s="183" t="str">
        <f t="shared" ca="1" si="15"/>
        <v/>
      </c>
      <c r="AC116" s="265"/>
      <c r="AD116" s="249"/>
      <c r="AE116" s="170"/>
      <c r="AF116" s="170"/>
      <c r="AG116" s="170"/>
      <c r="AH116" s="170"/>
      <c r="AI116" s="170"/>
      <c r="AJ116" s="453"/>
      <c r="AK116" s="454"/>
      <c r="AL116" s="453"/>
      <c r="AM116" s="175"/>
      <c r="AN116" s="254"/>
      <c r="AO116" s="254"/>
      <c r="AP116" s="178" t="str">
        <f t="shared" si="14"/>
        <v xml:space="preserve"> </v>
      </c>
    </row>
    <row r="117" spans="1:42" ht="63" customHeight="1">
      <c r="A117" s="188" t="s">
        <v>1216</v>
      </c>
      <c r="B117" s="176"/>
      <c r="C117" s="168"/>
      <c r="D117" s="169"/>
      <c r="E117" s="255"/>
      <c r="F117" s="189" t="str">
        <f>IF(E117="","",VLOOKUP(E117,'Listes déroulantes'!$A$3:$C$39,2))</f>
        <v/>
      </c>
      <c r="G117" s="180"/>
      <c r="H117" s="181"/>
      <c r="I117" s="186"/>
      <c r="J117" s="185"/>
      <c r="K117" s="167"/>
      <c r="L117" s="170"/>
      <c r="M117" s="171"/>
      <c r="N117" s="171"/>
      <c r="O117" s="500" t="str">
        <f t="shared" si="17"/>
        <v/>
      </c>
      <c r="P117" s="501"/>
      <c r="Q117" s="172"/>
      <c r="R117" s="173"/>
      <c r="S117" s="173"/>
      <c r="T117" s="174"/>
      <c r="U117" s="177"/>
      <c r="V117" s="170"/>
      <c r="W117" s="170"/>
      <c r="X117" s="174"/>
      <c r="Y117" s="182"/>
      <c r="Z117" s="179" t="str">
        <f t="shared" si="16"/>
        <v/>
      </c>
      <c r="AA117" s="171"/>
      <c r="AB117" s="183" t="str">
        <f t="shared" ca="1" si="15"/>
        <v/>
      </c>
      <c r="AC117" s="265"/>
      <c r="AD117" s="249"/>
      <c r="AE117" s="170"/>
      <c r="AF117" s="170"/>
      <c r="AG117" s="170"/>
      <c r="AH117" s="170"/>
      <c r="AI117" s="170"/>
      <c r="AJ117" s="453"/>
      <c r="AK117" s="454"/>
      <c r="AL117" s="453"/>
      <c r="AM117" s="175"/>
      <c r="AN117" s="254"/>
      <c r="AO117" s="254"/>
      <c r="AP117" s="178" t="str">
        <f t="shared" si="14"/>
        <v xml:space="preserve"> </v>
      </c>
    </row>
    <row r="118" spans="1:42" ht="63" customHeight="1">
      <c r="A118" s="188" t="s">
        <v>1217</v>
      </c>
      <c r="B118" s="176"/>
      <c r="C118" s="168"/>
      <c r="D118" s="169"/>
      <c r="E118" s="255"/>
      <c r="F118" s="189" t="str">
        <f>IF(E118="","",VLOOKUP(E118,'Listes déroulantes'!$A$3:$C$39,2))</f>
        <v/>
      </c>
      <c r="G118" s="180"/>
      <c r="H118" s="181"/>
      <c r="I118" s="186"/>
      <c r="J118" s="185"/>
      <c r="K118" s="167"/>
      <c r="L118" s="170"/>
      <c r="M118" s="171"/>
      <c r="N118" s="171"/>
      <c r="O118" s="500" t="str">
        <f t="shared" si="17"/>
        <v/>
      </c>
      <c r="P118" s="501"/>
      <c r="Q118" s="172"/>
      <c r="R118" s="173"/>
      <c r="S118" s="173"/>
      <c r="T118" s="174"/>
      <c r="U118" s="177"/>
      <c r="V118" s="170"/>
      <c r="W118" s="170"/>
      <c r="X118" s="174"/>
      <c r="Y118" s="182"/>
      <c r="Z118" s="179" t="str">
        <f t="shared" si="16"/>
        <v/>
      </c>
      <c r="AA118" s="171"/>
      <c r="AB118" s="183" t="str">
        <f t="shared" ca="1" si="15"/>
        <v/>
      </c>
      <c r="AC118" s="265"/>
      <c r="AD118" s="249"/>
      <c r="AE118" s="170"/>
      <c r="AF118" s="170"/>
      <c r="AG118" s="170"/>
      <c r="AH118" s="170"/>
      <c r="AI118" s="170"/>
      <c r="AJ118" s="453"/>
      <c r="AK118" s="454"/>
      <c r="AL118" s="453"/>
      <c r="AM118" s="175"/>
      <c r="AN118" s="254"/>
      <c r="AO118" s="254"/>
      <c r="AP118" s="178" t="str">
        <f t="shared" si="14"/>
        <v xml:space="preserve"> </v>
      </c>
    </row>
    <row r="119" spans="1:42" ht="63" customHeight="1">
      <c r="A119" s="188" t="s">
        <v>1218</v>
      </c>
      <c r="B119" s="176"/>
      <c r="C119" s="168"/>
      <c r="D119" s="169"/>
      <c r="E119" s="255"/>
      <c r="F119" s="189" t="str">
        <f>IF(E119="","",VLOOKUP(E119,'Listes déroulantes'!$A$3:$C$39,2))</f>
        <v/>
      </c>
      <c r="G119" s="180"/>
      <c r="H119" s="181"/>
      <c r="I119" s="186"/>
      <c r="J119" s="185"/>
      <c r="K119" s="167"/>
      <c r="L119" s="170"/>
      <c r="M119" s="171"/>
      <c r="N119" s="171"/>
      <c r="O119" s="500" t="str">
        <f t="shared" si="17"/>
        <v/>
      </c>
      <c r="P119" s="501"/>
      <c r="Q119" s="172"/>
      <c r="R119" s="173"/>
      <c r="S119" s="173"/>
      <c r="T119" s="174"/>
      <c r="U119" s="177"/>
      <c r="V119" s="170"/>
      <c r="W119" s="170"/>
      <c r="X119" s="174"/>
      <c r="Y119" s="182"/>
      <c r="Z119" s="179" t="str">
        <f t="shared" si="16"/>
        <v/>
      </c>
      <c r="AA119" s="171"/>
      <c r="AB119" s="183" t="str">
        <f t="shared" ca="1" si="15"/>
        <v/>
      </c>
      <c r="AC119" s="265"/>
      <c r="AD119" s="249"/>
      <c r="AE119" s="170"/>
      <c r="AF119" s="170"/>
      <c r="AG119" s="170"/>
      <c r="AH119" s="170"/>
      <c r="AI119" s="170"/>
      <c r="AJ119" s="453"/>
      <c r="AK119" s="454"/>
      <c r="AL119" s="453"/>
      <c r="AM119" s="175"/>
      <c r="AN119" s="254"/>
      <c r="AO119" s="254"/>
      <c r="AP119" s="178" t="str">
        <f t="shared" si="14"/>
        <v xml:space="preserve"> </v>
      </c>
    </row>
    <row r="120" spans="1:42" ht="63" customHeight="1">
      <c r="A120" s="188" t="s">
        <v>1219</v>
      </c>
      <c r="B120" s="176"/>
      <c r="C120" s="168"/>
      <c r="D120" s="169"/>
      <c r="E120" s="255"/>
      <c r="F120" s="189" t="str">
        <f>IF(E120="","",VLOOKUP(E120,'Listes déroulantes'!$A$3:$C$39,2))</f>
        <v/>
      </c>
      <c r="G120" s="180"/>
      <c r="H120" s="181"/>
      <c r="I120" s="186"/>
      <c r="J120" s="185"/>
      <c r="K120" s="167"/>
      <c r="L120" s="170"/>
      <c r="M120" s="171"/>
      <c r="N120" s="171"/>
      <c r="O120" s="500" t="str">
        <f t="shared" si="17"/>
        <v/>
      </c>
      <c r="P120" s="501"/>
      <c r="Q120" s="172"/>
      <c r="R120" s="173"/>
      <c r="S120" s="173"/>
      <c r="T120" s="174"/>
      <c r="U120" s="177"/>
      <c r="V120" s="170"/>
      <c r="W120" s="170"/>
      <c r="X120" s="174"/>
      <c r="Y120" s="182"/>
      <c r="Z120" s="179" t="str">
        <f t="shared" si="16"/>
        <v/>
      </c>
      <c r="AA120" s="171"/>
      <c r="AB120" s="183" t="str">
        <f t="shared" ca="1" si="15"/>
        <v/>
      </c>
      <c r="AC120" s="265"/>
      <c r="AD120" s="249"/>
      <c r="AE120" s="170"/>
      <c r="AF120" s="170"/>
      <c r="AG120" s="170"/>
      <c r="AH120" s="170"/>
      <c r="AI120" s="170"/>
      <c r="AJ120" s="453"/>
      <c r="AK120" s="454"/>
      <c r="AL120" s="453"/>
      <c r="AM120" s="175"/>
      <c r="AN120" s="254"/>
      <c r="AO120" s="254"/>
      <c r="AP120" s="178" t="str">
        <f t="shared" si="14"/>
        <v xml:space="preserve"> </v>
      </c>
    </row>
    <row r="121" spans="1:42" ht="63" customHeight="1">
      <c r="A121" s="188" t="s">
        <v>1220</v>
      </c>
      <c r="B121" s="176"/>
      <c r="C121" s="168"/>
      <c r="D121" s="169"/>
      <c r="E121" s="255"/>
      <c r="F121" s="189" t="str">
        <f>IF(E121="","",VLOOKUP(E121,'Listes déroulantes'!$A$3:$C$39,2))</f>
        <v/>
      </c>
      <c r="G121" s="180"/>
      <c r="H121" s="181"/>
      <c r="I121" s="186"/>
      <c r="J121" s="185"/>
      <c r="K121" s="167"/>
      <c r="L121" s="170"/>
      <c r="M121" s="171"/>
      <c r="N121" s="171"/>
      <c r="O121" s="500" t="str">
        <f t="shared" si="17"/>
        <v/>
      </c>
      <c r="P121" s="501"/>
      <c r="Q121" s="172"/>
      <c r="R121" s="173"/>
      <c r="S121" s="173"/>
      <c r="T121" s="174"/>
      <c r="U121" s="177"/>
      <c r="V121" s="170"/>
      <c r="W121" s="170"/>
      <c r="X121" s="174"/>
      <c r="Y121" s="182"/>
      <c r="Z121" s="179" t="str">
        <f t="shared" si="16"/>
        <v/>
      </c>
      <c r="AA121" s="171"/>
      <c r="AB121" s="183" t="str">
        <f t="shared" ca="1" si="15"/>
        <v/>
      </c>
      <c r="AC121" s="265"/>
      <c r="AD121" s="249"/>
      <c r="AE121" s="170"/>
      <c r="AF121" s="170"/>
      <c r="AG121" s="170"/>
      <c r="AH121" s="170"/>
      <c r="AI121" s="170"/>
      <c r="AJ121" s="453"/>
      <c r="AK121" s="454"/>
      <c r="AL121" s="453"/>
      <c r="AM121" s="175"/>
      <c r="AN121" s="254"/>
      <c r="AO121" s="254"/>
      <c r="AP121" s="178" t="str">
        <f t="shared" si="14"/>
        <v xml:space="preserve"> </v>
      </c>
    </row>
    <row r="122" spans="1:42" ht="63" customHeight="1">
      <c r="A122" s="188" t="s">
        <v>1221</v>
      </c>
      <c r="B122" s="176"/>
      <c r="C122" s="168"/>
      <c r="D122" s="169"/>
      <c r="E122" s="255"/>
      <c r="F122" s="189" t="str">
        <f>IF(E122="","",VLOOKUP(E122,'Listes déroulantes'!$A$3:$C$39,2))</f>
        <v/>
      </c>
      <c r="G122" s="180"/>
      <c r="H122" s="181"/>
      <c r="I122" s="186"/>
      <c r="J122" s="185"/>
      <c r="K122" s="167"/>
      <c r="L122" s="170"/>
      <c r="M122" s="171"/>
      <c r="N122" s="171"/>
      <c r="O122" s="500" t="str">
        <f t="shared" si="17"/>
        <v/>
      </c>
      <c r="P122" s="501"/>
      <c r="Q122" s="172"/>
      <c r="R122" s="173"/>
      <c r="S122" s="173"/>
      <c r="T122" s="174"/>
      <c r="U122" s="177"/>
      <c r="V122" s="170"/>
      <c r="W122" s="170"/>
      <c r="X122" s="174"/>
      <c r="Y122" s="182"/>
      <c r="Z122" s="179" t="str">
        <f t="shared" si="16"/>
        <v/>
      </c>
      <c r="AA122" s="171"/>
      <c r="AB122" s="183" t="str">
        <f t="shared" ca="1" si="15"/>
        <v/>
      </c>
      <c r="AC122" s="265"/>
      <c r="AD122" s="249"/>
      <c r="AE122" s="170"/>
      <c r="AF122" s="170"/>
      <c r="AG122" s="170"/>
      <c r="AH122" s="170"/>
      <c r="AI122" s="170"/>
      <c r="AJ122" s="453"/>
      <c r="AK122" s="454"/>
      <c r="AL122" s="453"/>
      <c r="AM122" s="175"/>
      <c r="AN122" s="254"/>
      <c r="AO122" s="254"/>
      <c r="AP122" s="178" t="str">
        <f t="shared" si="14"/>
        <v xml:space="preserve"> </v>
      </c>
    </row>
    <row r="123" spans="1:42" ht="63" customHeight="1">
      <c r="A123" s="188" t="s">
        <v>1222</v>
      </c>
      <c r="B123" s="176"/>
      <c r="C123" s="168"/>
      <c r="D123" s="169"/>
      <c r="E123" s="255"/>
      <c r="F123" s="189" t="str">
        <f>IF(E123="","",VLOOKUP(E123,'Listes déroulantes'!$A$3:$C$39,2))</f>
        <v/>
      </c>
      <c r="G123" s="180"/>
      <c r="H123" s="181"/>
      <c r="I123" s="186"/>
      <c r="J123" s="185"/>
      <c r="K123" s="167"/>
      <c r="L123" s="170"/>
      <c r="M123" s="171"/>
      <c r="N123" s="171"/>
      <c r="O123" s="500" t="str">
        <f t="shared" si="17"/>
        <v/>
      </c>
      <c r="P123" s="501"/>
      <c r="Q123" s="172"/>
      <c r="R123" s="173"/>
      <c r="S123" s="173"/>
      <c r="T123" s="174"/>
      <c r="U123" s="177"/>
      <c r="V123" s="170"/>
      <c r="W123" s="170"/>
      <c r="X123" s="174"/>
      <c r="Y123" s="182"/>
      <c r="Z123" s="179" t="str">
        <f t="shared" si="16"/>
        <v/>
      </c>
      <c r="AA123" s="171"/>
      <c r="AB123" s="183" t="str">
        <f t="shared" ca="1" si="15"/>
        <v/>
      </c>
      <c r="AC123" s="265"/>
      <c r="AD123" s="249"/>
      <c r="AE123" s="170"/>
      <c r="AF123" s="170"/>
      <c r="AG123" s="170"/>
      <c r="AH123" s="170"/>
      <c r="AI123" s="170"/>
      <c r="AJ123" s="453"/>
      <c r="AK123" s="454"/>
      <c r="AL123" s="453"/>
      <c r="AM123" s="175"/>
      <c r="AN123" s="254"/>
      <c r="AO123" s="254"/>
      <c r="AP123" s="178" t="str">
        <f t="shared" si="14"/>
        <v xml:space="preserve"> </v>
      </c>
    </row>
    <row r="124" spans="1:42" ht="63" customHeight="1">
      <c r="A124" s="188" t="s">
        <v>1223</v>
      </c>
      <c r="B124" s="176"/>
      <c r="C124" s="168"/>
      <c r="D124" s="169"/>
      <c r="E124" s="255"/>
      <c r="F124" s="189" t="str">
        <f>IF(E124="","",VLOOKUP(E124,'Listes déroulantes'!$A$3:$C$39,2))</f>
        <v/>
      </c>
      <c r="G124" s="180"/>
      <c r="H124" s="181"/>
      <c r="I124" s="186"/>
      <c r="J124" s="185"/>
      <c r="K124" s="167"/>
      <c r="L124" s="170"/>
      <c r="M124" s="171"/>
      <c r="N124" s="171"/>
      <c r="O124" s="500" t="str">
        <f t="shared" si="17"/>
        <v/>
      </c>
      <c r="P124" s="501"/>
      <c r="Q124" s="172"/>
      <c r="R124" s="173"/>
      <c r="S124" s="173"/>
      <c r="T124" s="174"/>
      <c r="U124" s="177"/>
      <c r="V124" s="170"/>
      <c r="W124" s="170"/>
      <c r="X124" s="174"/>
      <c r="Y124" s="182"/>
      <c r="Z124" s="179" t="str">
        <f t="shared" si="16"/>
        <v/>
      </c>
      <c r="AA124" s="171"/>
      <c r="AB124" s="183" t="str">
        <f t="shared" ca="1" si="15"/>
        <v/>
      </c>
      <c r="AC124" s="265"/>
      <c r="AD124" s="249"/>
      <c r="AE124" s="249"/>
      <c r="AF124" s="249"/>
      <c r="AG124" s="249"/>
      <c r="AH124" s="249"/>
      <c r="AI124" s="249"/>
      <c r="AJ124" s="453"/>
      <c r="AK124" s="454"/>
      <c r="AL124" s="453"/>
      <c r="AM124" s="175"/>
      <c r="AN124" s="254"/>
      <c r="AO124" s="254"/>
      <c r="AP124" s="178" t="str">
        <f t="shared" si="14"/>
        <v xml:space="preserve"> </v>
      </c>
    </row>
    <row r="125" spans="1:42" ht="63" customHeight="1">
      <c r="A125" s="188" t="s">
        <v>1224</v>
      </c>
      <c r="B125" s="176"/>
      <c r="C125" s="168"/>
      <c r="D125" s="169"/>
      <c r="E125" s="255"/>
      <c r="F125" s="189" t="str">
        <f>IF(E125="","",VLOOKUP(E125,'Listes déroulantes'!$A$3:$C$39,2))</f>
        <v/>
      </c>
      <c r="G125" s="180"/>
      <c r="H125" s="181"/>
      <c r="I125" s="186"/>
      <c r="J125" s="185"/>
      <c r="K125" s="167"/>
      <c r="L125" s="170"/>
      <c r="M125" s="171"/>
      <c r="N125" s="171"/>
      <c r="O125" s="500" t="str">
        <f t="shared" si="17"/>
        <v/>
      </c>
      <c r="P125" s="501"/>
      <c r="Q125" s="172"/>
      <c r="R125" s="173"/>
      <c r="S125" s="173"/>
      <c r="T125" s="174"/>
      <c r="U125" s="177"/>
      <c r="V125" s="170"/>
      <c r="W125" s="170"/>
      <c r="X125" s="174"/>
      <c r="Y125" s="182"/>
      <c r="Z125" s="179" t="str">
        <f t="shared" si="16"/>
        <v/>
      </c>
      <c r="AA125" s="171"/>
      <c r="AB125" s="183" t="str">
        <f t="shared" ca="1" si="15"/>
        <v/>
      </c>
      <c r="AC125" s="265"/>
      <c r="AD125" s="249"/>
      <c r="AE125" s="170"/>
      <c r="AF125" s="170"/>
      <c r="AG125" s="170"/>
      <c r="AH125" s="170"/>
      <c r="AI125" s="170"/>
      <c r="AJ125" s="453"/>
      <c r="AK125" s="454"/>
      <c r="AL125" s="453"/>
      <c r="AM125" s="175"/>
      <c r="AN125" s="254"/>
      <c r="AO125" s="254"/>
      <c r="AP125" s="178" t="str">
        <f t="shared" si="14"/>
        <v xml:space="preserve"> </v>
      </c>
    </row>
    <row r="126" spans="1:42" ht="63" customHeight="1">
      <c r="A126" s="188" t="s">
        <v>1225</v>
      </c>
      <c r="B126" s="176"/>
      <c r="C126" s="168"/>
      <c r="D126" s="169"/>
      <c r="E126" s="255"/>
      <c r="F126" s="189" t="str">
        <f>IF(E126="","",VLOOKUP(E126,'Listes déroulantes'!$A$3:$C$39,2))</f>
        <v/>
      </c>
      <c r="G126" s="180"/>
      <c r="H126" s="181"/>
      <c r="I126" s="186"/>
      <c r="J126" s="185"/>
      <c r="K126" s="167"/>
      <c r="L126" s="170"/>
      <c r="M126" s="171"/>
      <c r="N126" s="171"/>
      <c r="O126" s="500" t="str">
        <f t="shared" si="17"/>
        <v/>
      </c>
      <c r="P126" s="501"/>
      <c r="Q126" s="172"/>
      <c r="R126" s="173"/>
      <c r="S126" s="173"/>
      <c r="T126" s="174"/>
      <c r="U126" s="177"/>
      <c r="V126" s="170"/>
      <c r="W126" s="170"/>
      <c r="X126" s="174"/>
      <c r="Y126" s="182"/>
      <c r="Z126" s="179" t="str">
        <f t="shared" si="16"/>
        <v/>
      </c>
      <c r="AA126" s="171"/>
      <c r="AB126" s="183" t="str">
        <f t="shared" ca="1" si="15"/>
        <v/>
      </c>
      <c r="AC126" s="265"/>
      <c r="AD126" s="249"/>
      <c r="AE126" s="170"/>
      <c r="AF126" s="170"/>
      <c r="AG126" s="170"/>
      <c r="AH126" s="170"/>
      <c r="AI126" s="170"/>
      <c r="AJ126" s="453"/>
      <c r="AK126" s="454"/>
      <c r="AL126" s="453"/>
      <c r="AM126" s="175"/>
      <c r="AN126" s="254"/>
      <c r="AO126" s="254"/>
      <c r="AP126" s="178" t="str">
        <f t="shared" si="14"/>
        <v xml:space="preserve"> </v>
      </c>
    </row>
    <row r="127" spans="1:42" ht="63" customHeight="1">
      <c r="A127" s="188" t="s">
        <v>1226</v>
      </c>
      <c r="B127" s="176"/>
      <c r="C127" s="168"/>
      <c r="D127" s="169"/>
      <c r="E127" s="255"/>
      <c r="F127" s="189" t="str">
        <f>IF(E127="","",VLOOKUP(E127,'Listes déroulantes'!$A$3:$C$39,2))</f>
        <v/>
      </c>
      <c r="G127" s="180"/>
      <c r="H127" s="181"/>
      <c r="I127" s="186"/>
      <c r="J127" s="185"/>
      <c r="K127" s="167"/>
      <c r="L127" s="170"/>
      <c r="M127" s="171"/>
      <c r="N127" s="171"/>
      <c r="O127" s="500" t="str">
        <f t="shared" si="17"/>
        <v/>
      </c>
      <c r="P127" s="501"/>
      <c r="Q127" s="172"/>
      <c r="R127" s="173"/>
      <c r="S127" s="173"/>
      <c r="T127" s="174"/>
      <c r="U127" s="177"/>
      <c r="V127" s="170"/>
      <c r="W127" s="170"/>
      <c r="X127" s="174"/>
      <c r="Y127" s="182"/>
      <c r="Z127" s="179" t="str">
        <f t="shared" si="16"/>
        <v/>
      </c>
      <c r="AA127" s="171"/>
      <c r="AB127" s="183" t="str">
        <f t="shared" ca="1" si="15"/>
        <v/>
      </c>
      <c r="AC127" s="265"/>
      <c r="AD127" s="249"/>
      <c r="AE127" s="170"/>
      <c r="AF127" s="170"/>
      <c r="AG127" s="170"/>
      <c r="AH127" s="170"/>
      <c r="AI127" s="170"/>
      <c r="AJ127" s="453"/>
      <c r="AK127" s="454"/>
      <c r="AL127" s="453"/>
      <c r="AM127" s="175"/>
      <c r="AN127" s="254"/>
      <c r="AO127" s="254"/>
      <c r="AP127" s="178" t="str">
        <f t="shared" si="14"/>
        <v xml:space="preserve"> </v>
      </c>
    </row>
    <row r="128" spans="1:42" ht="63" customHeight="1">
      <c r="A128" s="188" t="s">
        <v>1227</v>
      </c>
      <c r="B128" s="176"/>
      <c r="C128" s="168"/>
      <c r="D128" s="169"/>
      <c r="E128" s="255"/>
      <c r="F128" s="189" t="str">
        <f>IF(E128="","",VLOOKUP(E128,'Listes déroulantes'!$A$3:$C$39,2))</f>
        <v/>
      </c>
      <c r="G128" s="180"/>
      <c r="H128" s="181"/>
      <c r="I128" s="186"/>
      <c r="J128" s="185"/>
      <c r="K128" s="167"/>
      <c r="L128" s="170"/>
      <c r="M128" s="171"/>
      <c r="N128" s="171"/>
      <c r="O128" s="500" t="str">
        <f t="shared" si="17"/>
        <v/>
      </c>
      <c r="P128" s="501"/>
      <c r="Q128" s="172"/>
      <c r="R128" s="173"/>
      <c r="S128" s="173"/>
      <c r="T128" s="174"/>
      <c r="U128" s="177"/>
      <c r="V128" s="170"/>
      <c r="W128" s="170"/>
      <c r="X128" s="174"/>
      <c r="Y128" s="182"/>
      <c r="Z128" s="179" t="str">
        <f t="shared" si="16"/>
        <v/>
      </c>
      <c r="AA128" s="171"/>
      <c r="AB128" s="183" t="str">
        <f t="shared" ca="1" si="15"/>
        <v/>
      </c>
      <c r="AC128" s="265"/>
      <c r="AD128" s="249"/>
      <c r="AE128" s="170"/>
      <c r="AF128" s="170"/>
      <c r="AG128" s="170"/>
      <c r="AH128" s="170"/>
      <c r="AI128" s="170"/>
      <c r="AJ128" s="453"/>
      <c r="AK128" s="454"/>
      <c r="AL128" s="453"/>
      <c r="AM128" s="175"/>
      <c r="AN128" s="254"/>
      <c r="AO128" s="254"/>
      <c r="AP128" s="178" t="str">
        <f t="shared" si="14"/>
        <v xml:space="preserve"> </v>
      </c>
    </row>
    <row r="129" spans="1:42" ht="63" customHeight="1">
      <c r="A129" s="188" t="s">
        <v>1228</v>
      </c>
      <c r="B129" s="176"/>
      <c r="C129" s="168"/>
      <c r="D129" s="169"/>
      <c r="E129" s="255"/>
      <c r="F129" s="189" t="str">
        <f>IF(E129="","",VLOOKUP(E129,'Listes déroulantes'!$A$3:$C$39,2))</f>
        <v/>
      </c>
      <c r="G129" s="180"/>
      <c r="H129" s="181"/>
      <c r="I129" s="186"/>
      <c r="J129" s="185"/>
      <c r="K129" s="167"/>
      <c r="L129" s="170"/>
      <c r="M129" s="171"/>
      <c r="N129" s="171"/>
      <c r="O129" s="500" t="str">
        <f t="shared" si="17"/>
        <v/>
      </c>
      <c r="P129" s="501"/>
      <c r="Q129" s="172"/>
      <c r="R129" s="173"/>
      <c r="S129" s="173"/>
      <c r="T129" s="174"/>
      <c r="U129" s="177"/>
      <c r="V129" s="170"/>
      <c r="W129" s="170"/>
      <c r="X129" s="174"/>
      <c r="Y129" s="182"/>
      <c r="Z129" s="179" t="str">
        <f t="shared" si="16"/>
        <v/>
      </c>
      <c r="AA129" s="171"/>
      <c r="AB129" s="183" t="str">
        <f t="shared" ca="1" si="15"/>
        <v/>
      </c>
      <c r="AC129" s="265"/>
      <c r="AD129" s="249"/>
      <c r="AE129" s="170"/>
      <c r="AF129" s="170"/>
      <c r="AG129" s="170"/>
      <c r="AH129" s="170"/>
      <c r="AI129" s="170"/>
      <c r="AJ129" s="453"/>
      <c r="AK129" s="454"/>
      <c r="AL129" s="453"/>
      <c r="AM129" s="175"/>
      <c r="AN129" s="254"/>
      <c r="AO129" s="254"/>
      <c r="AP129" s="178" t="str">
        <f t="shared" si="14"/>
        <v xml:space="preserve"> </v>
      </c>
    </row>
    <row r="130" spans="1:42" ht="63" customHeight="1">
      <c r="A130" s="188" t="s">
        <v>1229</v>
      </c>
      <c r="B130" s="176"/>
      <c r="C130" s="168"/>
      <c r="D130" s="169"/>
      <c r="E130" s="255"/>
      <c r="F130" s="189" t="str">
        <f>IF(E130="","",VLOOKUP(E130,'Listes déroulantes'!$A$3:$C$39,2))</f>
        <v/>
      </c>
      <c r="G130" s="180"/>
      <c r="H130" s="181"/>
      <c r="I130" s="186"/>
      <c r="J130" s="185"/>
      <c r="K130" s="167"/>
      <c r="L130" s="170"/>
      <c r="M130" s="171"/>
      <c r="N130" s="171"/>
      <c r="O130" s="500" t="str">
        <f t="shared" si="17"/>
        <v/>
      </c>
      <c r="P130" s="501"/>
      <c r="Q130" s="172"/>
      <c r="R130" s="173"/>
      <c r="S130" s="173"/>
      <c r="T130" s="174"/>
      <c r="U130" s="177"/>
      <c r="V130" s="170"/>
      <c r="W130" s="170"/>
      <c r="X130" s="174"/>
      <c r="Y130" s="182"/>
      <c r="Z130" s="179" t="str">
        <f t="shared" si="16"/>
        <v/>
      </c>
      <c r="AA130" s="171"/>
      <c r="AB130" s="183" t="str">
        <f t="shared" ca="1" si="15"/>
        <v/>
      </c>
      <c r="AC130" s="265"/>
      <c r="AD130" s="249"/>
      <c r="AE130" s="170"/>
      <c r="AF130" s="170"/>
      <c r="AG130" s="170"/>
      <c r="AH130" s="170"/>
      <c r="AI130" s="170"/>
      <c r="AJ130" s="453"/>
      <c r="AK130" s="454"/>
      <c r="AL130" s="453"/>
      <c r="AM130" s="175"/>
      <c r="AN130" s="254"/>
      <c r="AO130" s="254"/>
      <c r="AP130" s="178" t="str">
        <f t="shared" si="14"/>
        <v xml:space="preserve"> </v>
      </c>
    </row>
    <row r="131" spans="1:42" ht="63" customHeight="1">
      <c r="A131" s="188" t="s">
        <v>1230</v>
      </c>
      <c r="B131" s="176"/>
      <c r="C131" s="168"/>
      <c r="D131" s="169"/>
      <c r="E131" s="255"/>
      <c r="F131" s="189" t="str">
        <f>IF(E131="","",VLOOKUP(E131,'Listes déroulantes'!$A$3:$C$39,2))</f>
        <v/>
      </c>
      <c r="G131" s="180"/>
      <c r="H131" s="181"/>
      <c r="I131" s="186"/>
      <c r="J131" s="185"/>
      <c r="K131" s="167"/>
      <c r="L131" s="170"/>
      <c r="M131" s="171"/>
      <c r="N131" s="171"/>
      <c r="O131" s="500" t="str">
        <f t="shared" si="17"/>
        <v/>
      </c>
      <c r="P131" s="501"/>
      <c r="Q131" s="172"/>
      <c r="R131" s="173"/>
      <c r="S131" s="173"/>
      <c r="T131" s="174"/>
      <c r="U131" s="177"/>
      <c r="V131" s="170"/>
      <c r="W131" s="170"/>
      <c r="X131" s="174"/>
      <c r="Y131" s="182"/>
      <c r="Z131" s="179" t="str">
        <f t="shared" si="16"/>
        <v/>
      </c>
      <c r="AA131" s="171"/>
      <c r="AB131" s="183" t="str">
        <f t="shared" ca="1" si="15"/>
        <v/>
      </c>
      <c r="AC131" s="265"/>
      <c r="AD131" s="249"/>
      <c r="AE131" s="170"/>
      <c r="AF131" s="170"/>
      <c r="AG131" s="170"/>
      <c r="AH131" s="170"/>
      <c r="AI131" s="170"/>
      <c r="AJ131" s="453"/>
      <c r="AK131" s="454"/>
      <c r="AL131" s="453"/>
      <c r="AM131" s="175"/>
      <c r="AN131" s="254"/>
      <c r="AO131" s="254"/>
      <c r="AP131" s="178" t="str">
        <f t="shared" si="14"/>
        <v xml:space="preserve"> </v>
      </c>
    </row>
    <row r="132" spans="1:42" ht="63" customHeight="1">
      <c r="A132" s="188" t="s">
        <v>1231</v>
      </c>
      <c r="B132" s="176"/>
      <c r="C132" s="168"/>
      <c r="D132" s="169"/>
      <c r="E132" s="255"/>
      <c r="F132" s="189" t="str">
        <f>IF(E132="","",VLOOKUP(E132,'Listes déroulantes'!$A$3:$C$39,2))</f>
        <v/>
      </c>
      <c r="G132" s="180"/>
      <c r="H132" s="181"/>
      <c r="I132" s="186"/>
      <c r="J132" s="185"/>
      <c r="K132" s="167"/>
      <c r="L132" s="170"/>
      <c r="M132" s="171"/>
      <c r="N132" s="171"/>
      <c r="O132" s="500" t="str">
        <f t="shared" si="17"/>
        <v/>
      </c>
      <c r="P132" s="501"/>
      <c r="Q132" s="172"/>
      <c r="R132" s="173"/>
      <c r="S132" s="173"/>
      <c r="T132" s="174"/>
      <c r="U132" s="177"/>
      <c r="V132" s="170"/>
      <c r="W132" s="170"/>
      <c r="X132" s="174"/>
      <c r="Y132" s="182"/>
      <c r="Z132" s="179" t="str">
        <f t="shared" si="16"/>
        <v/>
      </c>
      <c r="AA132" s="171"/>
      <c r="AB132" s="183" t="str">
        <f t="shared" ca="1" si="15"/>
        <v/>
      </c>
      <c r="AC132" s="265"/>
      <c r="AD132" s="249"/>
      <c r="AE132" s="170"/>
      <c r="AF132" s="170"/>
      <c r="AG132" s="170"/>
      <c r="AH132" s="170"/>
      <c r="AI132" s="170"/>
      <c r="AJ132" s="453"/>
      <c r="AK132" s="454"/>
      <c r="AL132" s="453"/>
      <c r="AM132" s="175"/>
      <c r="AN132" s="254"/>
      <c r="AO132" s="254"/>
      <c r="AP132" s="178" t="str">
        <f t="shared" si="14"/>
        <v xml:space="preserve"> </v>
      </c>
    </row>
    <row r="133" spans="1:42" ht="63" customHeight="1">
      <c r="A133" s="188" t="s">
        <v>1232</v>
      </c>
      <c r="B133" s="176"/>
      <c r="C133" s="168"/>
      <c r="D133" s="169"/>
      <c r="E133" s="255"/>
      <c r="F133" s="189" t="str">
        <f>IF(E133="","",VLOOKUP(E133,'Listes déroulantes'!$A$3:$C$39,2))</f>
        <v/>
      </c>
      <c r="G133" s="180"/>
      <c r="H133" s="181"/>
      <c r="I133" s="186"/>
      <c r="J133" s="185"/>
      <c r="K133" s="167"/>
      <c r="L133" s="170"/>
      <c r="M133" s="171"/>
      <c r="N133" s="171"/>
      <c r="O133" s="500" t="str">
        <f t="shared" si="17"/>
        <v/>
      </c>
      <c r="P133" s="501"/>
      <c r="Q133" s="172"/>
      <c r="R133" s="173"/>
      <c r="S133" s="173"/>
      <c r="T133" s="174"/>
      <c r="U133" s="177"/>
      <c r="V133" s="170"/>
      <c r="W133" s="170"/>
      <c r="X133" s="174"/>
      <c r="Y133" s="182"/>
      <c r="Z133" s="179" t="str">
        <f t="shared" si="16"/>
        <v/>
      </c>
      <c r="AA133" s="171"/>
      <c r="AB133" s="183" t="str">
        <f t="shared" ca="1" si="15"/>
        <v/>
      </c>
      <c r="AC133" s="265"/>
      <c r="AD133" s="249"/>
      <c r="AE133" s="170"/>
      <c r="AF133" s="170"/>
      <c r="AG133" s="170"/>
      <c r="AH133" s="170"/>
      <c r="AI133" s="170"/>
      <c r="AJ133" s="453"/>
      <c r="AK133" s="454"/>
      <c r="AL133" s="453"/>
      <c r="AM133" s="175"/>
      <c r="AN133" s="254"/>
      <c r="AO133" s="254"/>
      <c r="AP133" s="178" t="str">
        <f t="shared" si="14"/>
        <v xml:space="preserve"> </v>
      </c>
    </row>
    <row r="134" spans="1:42" ht="63" customHeight="1">
      <c r="A134" s="188" t="s">
        <v>1233</v>
      </c>
      <c r="B134" s="176"/>
      <c r="C134" s="168"/>
      <c r="D134" s="169"/>
      <c r="E134" s="255"/>
      <c r="F134" s="189" t="str">
        <f>IF(E134="","",VLOOKUP(E134,'Listes déroulantes'!$A$3:$C$39,2))</f>
        <v/>
      </c>
      <c r="G134" s="180"/>
      <c r="H134" s="181"/>
      <c r="I134" s="186"/>
      <c r="J134" s="185"/>
      <c r="K134" s="167"/>
      <c r="L134" s="170"/>
      <c r="M134" s="171"/>
      <c r="N134" s="171"/>
      <c r="O134" s="500" t="str">
        <f t="shared" si="17"/>
        <v/>
      </c>
      <c r="P134" s="501"/>
      <c r="Q134" s="172"/>
      <c r="R134" s="173"/>
      <c r="S134" s="173"/>
      <c r="T134" s="174"/>
      <c r="U134" s="177"/>
      <c r="V134" s="170"/>
      <c r="W134" s="170"/>
      <c r="X134" s="174"/>
      <c r="Y134" s="182"/>
      <c r="Z134" s="179" t="str">
        <f t="shared" si="16"/>
        <v/>
      </c>
      <c r="AA134" s="171"/>
      <c r="AB134" s="183" t="str">
        <f t="shared" ca="1" si="15"/>
        <v/>
      </c>
      <c r="AC134" s="265"/>
      <c r="AD134" s="249"/>
      <c r="AE134" s="170"/>
      <c r="AF134" s="170"/>
      <c r="AG134" s="170"/>
      <c r="AH134" s="170"/>
      <c r="AI134" s="170"/>
      <c r="AJ134" s="453"/>
      <c r="AK134" s="454"/>
      <c r="AL134" s="453"/>
      <c r="AM134" s="175"/>
      <c r="AN134" s="254"/>
      <c r="AO134" s="254"/>
      <c r="AP134" s="178" t="str">
        <f t="shared" si="14"/>
        <v xml:space="preserve"> </v>
      </c>
    </row>
    <row r="135" spans="1:42" ht="63" customHeight="1">
      <c r="A135" s="188" t="s">
        <v>1234</v>
      </c>
      <c r="B135" s="176"/>
      <c r="C135" s="168"/>
      <c r="D135" s="169"/>
      <c r="E135" s="255"/>
      <c r="F135" s="189" t="str">
        <f>IF(E135="","",VLOOKUP(E135,'Listes déroulantes'!$A$3:$C$39,2))</f>
        <v/>
      </c>
      <c r="G135" s="180"/>
      <c r="H135" s="181"/>
      <c r="I135" s="186"/>
      <c r="J135" s="185"/>
      <c r="K135" s="167"/>
      <c r="L135" s="170"/>
      <c r="M135" s="171"/>
      <c r="N135" s="171"/>
      <c r="O135" s="500" t="str">
        <f t="shared" si="17"/>
        <v/>
      </c>
      <c r="P135" s="501"/>
      <c r="Q135" s="172"/>
      <c r="R135" s="173"/>
      <c r="S135" s="173"/>
      <c r="T135" s="174"/>
      <c r="U135" s="177"/>
      <c r="V135" s="170"/>
      <c r="W135" s="170"/>
      <c r="X135" s="253"/>
      <c r="Y135" s="260"/>
      <c r="Z135" s="179" t="str">
        <f t="shared" si="16"/>
        <v/>
      </c>
      <c r="AA135" s="171"/>
      <c r="AB135" s="183" t="str">
        <f t="shared" ca="1" si="15"/>
        <v/>
      </c>
      <c r="AC135" s="265"/>
      <c r="AD135" s="249"/>
      <c r="AE135" s="249"/>
      <c r="AF135" s="249"/>
      <c r="AG135" s="249"/>
      <c r="AH135" s="249"/>
      <c r="AI135" s="249"/>
      <c r="AJ135" s="453"/>
      <c r="AK135" s="454"/>
      <c r="AL135" s="453"/>
      <c r="AM135" s="175"/>
      <c r="AN135" s="254"/>
      <c r="AO135" s="254"/>
      <c r="AP135" s="178" t="str">
        <f t="shared" si="14"/>
        <v xml:space="preserve"> </v>
      </c>
    </row>
    <row r="136" spans="1:42" ht="63" customHeight="1">
      <c r="A136" s="188" t="s">
        <v>1235</v>
      </c>
      <c r="B136" s="176"/>
      <c r="C136" s="168"/>
      <c r="D136" s="169"/>
      <c r="E136" s="255"/>
      <c r="F136" s="189" t="str">
        <f>IF(E136="","",VLOOKUP(E136,'Listes déroulantes'!$A$3:$C$39,2))</f>
        <v/>
      </c>
      <c r="G136" s="180"/>
      <c r="H136" s="181"/>
      <c r="I136" s="186"/>
      <c r="J136" s="185"/>
      <c r="K136" s="167"/>
      <c r="L136" s="170"/>
      <c r="M136" s="171"/>
      <c r="N136" s="171"/>
      <c r="O136" s="500" t="str">
        <f t="shared" si="17"/>
        <v/>
      </c>
      <c r="P136" s="501"/>
      <c r="Q136" s="172"/>
      <c r="R136" s="173"/>
      <c r="S136" s="173"/>
      <c r="T136" s="174"/>
      <c r="U136" s="177"/>
      <c r="V136" s="170"/>
      <c r="W136" s="170"/>
      <c r="X136" s="174"/>
      <c r="Y136" s="182"/>
      <c r="Z136" s="179" t="str">
        <f t="shared" si="16"/>
        <v/>
      </c>
      <c r="AA136" s="171"/>
      <c r="AB136" s="183" t="str">
        <f t="shared" ca="1" si="15"/>
        <v/>
      </c>
      <c r="AC136" s="265"/>
      <c r="AD136" s="249"/>
      <c r="AE136" s="170"/>
      <c r="AF136" s="170"/>
      <c r="AG136" s="170"/>
      <c r="AH136" s="170"/>
      <c r="AI136" s="170"/>
      <c r="AJ136" s="453"/>
      <c r="AK136" s="454"/>
      <c r="AL136" s="453"/>
      <c r="AM136" s="175"/>
      <c r="AN136" s="254"/>
      <c r="AO136" s="254"/>
      <c r="AP136" s="178" t="str">
        <f t="shared" ref="AP136:AP199" si="18">IF(ISBLANK(AM136)," ",IF(AM136&gt;0,IF(AO136&lt;=AM136,AO136/AM136,"erreur"),1))</f>
        <v xml:space="preserve"> </v>
      </c>
    </row>
    <row r="137" spans="1:42" ht="63" customHeight="1">
      <c r="A137" s="188" t="s">
        <v>1236</v>
      </c>
      <c r="B137" s="176"/>
      <c r="C137" s="168"/>
      <c r="D137" s="169"/>
      <c r="E137" s="255"/>
      <c r="F137" s="189" t="str">
        <f>IF(E137="","",VLOOKUP(E137,'Listes déroulantes'!$A$3:$C$39,2))</f>
        <v/>
      </c>
      <c r="G137" s="180"/>
      <c r="H137" s="181"/>
      <c r="I137" s="186"/>
      <c r="J137" s="185"/>
      <c r="K137" s="167"/>
      <c r="L137" s="170"/>
      <c r="M137" s="171"/>
      <c r="N137" s="171"/>
      <c r="O137" s="500" t="str">
        <f t="shared" si="17"/>
        <v/>
      </c>
      <c r="P137" s="501"/>
      <c r="Q137" s="172"/>
      <c r="R137" s="173"/>
      <c r="S137" s="173"/>
      <c r="T137" s="174"/>
      <c r="U137" s="177"/>
      <c r="V137" s="170"/>
      <c r="W137" s="170"/>
      <c r="X137" s="174"/>
      <c r="Y137" s="182"/>
      <c r="Z137" s="179" t="str">
        <f t="shared" si="16"/>
        <v/>
      </c>
      <c r="AA137" s="171"/>
      <c r="AB137" s="183" t="str">
        <f t="shared" ca="1" si="15"/>
        <v/>
      </c>
      <c r="AC137" s="265"/>
      <c r="AD137" s="249"/>
      <c r="AE137" s="170"/>
      <c r="AF137" s="170"/>
      <c r="AG137" s="170"/>
      <c r="AH137" s="170"/>
      <c r="AI137" s="170"/>
      <c r="AJ137" s="453"/>
      <c r="AK137" s="454"/>
      <c r="AL137" s="453"/>
      <c r="AM137" s="175"/>
      <c r="AN137" s="254"/>
      <c r="AO137" s="254"/>
      <c r="AP137" s="178" t="str">
        <f t="shared" si="18"/>
        <v xml:space="preserve"> </v>
      </c>
    </row>
    <row r="138" spans="1:42" ht="63" customHeight="1">
      <c r="A138" s="188" t="s">
        <v>1237</v>
      </c>
      <c r="B138" s="176"/>
      <c r="C138" s="168"/>
      <c r="D138" s="169"/>
      <c r="E138" s="255"/>
      <c r="F138" s="189" t="str">
        <f>IF(E138="","",VLOOKUP(E138,'Listes déroulantes'!$A$3:$C$39,2))</f>
        <v/>
      </c>
      <c r="G138" s="180"/>
      <c r="H138" s="181"/>
      <c r="I138" s="186"/>
      <c r="J138" s="185"/>
      <c r="K138" s="167"/>
      <c r="L138" s="170"/>
      <c r="M138" s="171"/>
      <c r="N138" s="171"/>
      <c r="O138" s="500" t="str">
        <f t="shared" si="17"/>
        <v/>
      </c>
      <c r="P138" s="501"/>
      <c r="Q138" s="172"/>
      <c r="R138" s="173"/>
      <c r="S138" s="173"/>
      <c r="T138" s="174"/>
      <c r="U138" s="177"/>
      <c r="V138" s="170"/>
      <c r="W138" s="170"/>
      <c r="X138" s="174"/>
      <c r="Y138" s="182"/>
      <c r="Z138" s="179" t="str">
        <f t="shared" si="16"/>
        <v/>
      </c>
      <c r="AA138" s="171"/>
      <c r="AB138" s="183" t="str">
        <f t="shared" ca="1" si="15"/>
        <v/>
      </c>
      <c r="AC138" s="265"/>
      <c r="AD138" s="249"/>
      <c r="AE138" s="170"/>
      <c r="AF138" s="170"/>
      <c r="AG138" s="170"/>
      <c r="AH138" s="170"/>
      <c r="AI138" s="170"/>
      <c r="AJ138" s="453"/>
      <c r="AK138" s="454"/>
      <c r="AL138" s="453"/>
      <c r="AM138" s="175"/>
      <c r="AN138" s="254"/>
      <c r="AO138" s="254"/>
      <c r="AP138" s="178" t="str">
        <f t="shared" si="18"/>
        <v xml:space="preserve"> </v>
      </c>
    </row>
    <row r="139" spans="1:42" ht="63" customHeight="1">
      <c r="A139" s="188" t="s">
        <v>1238</v>
      </c>
      <c r="B139" s="176"/>
      <c r="C139" s="168"/>
      <c r="D139" s="169"/>
      <c r="E139" s="255"/>
      <c r="F139" s="189" t="str">
        <f>IF(E139="","",VLOOKUP(E139,'Listes déroulantes'!$A$3:$C$39,2))</f>
        <v/>
      </c>
      <c r="G139" s="180"/>
      <c r="H139" s="181"/>
      <c r="I139" s="186"/>
      <c r="J139" s="185"/>
      <c r="K139" s="167"/>
      <c r="L139" s="170"/>
      <c r="M139" s="171"/>
      <c r="N139" s="171"/>
      <c r="O139" s="500" t="str">
        <f t="shared" si="17"/>
        <v/>
      </c>
      <c r="P139" s="501"/>
      <c r="Q139" s="172"/>
      <c r="R139" s="173"/>
      <c r="S139" s="173"/>
      <c r="T139" s="174"/>
      <c r="U139" s="177"/>
      <c r="V139" s="170"/>
      <c r="W139" s="170"/>
      <c r="X139" s="174"/>
      <c r="Y139" s="182"/>
      <c r="Z139" s="179" t="str">
        <f t="shared" si="16"/>
        <v/>
      </c>
      <c r="AA139" s="171"/>
      <c r="AB139" s="183" t="str">
        <f t="shared" ca="1" si="15"/>
        <v/>
      </c>
      <c r="AC139" s="265"/>
      <c r="AD139" s="249"/>
      <c r="AE139" s="170"/>
      <c r="AF139" s="170"/>
      <c r="AG139" s="170"/>
      <c r="AH139" s="170"/>
      <c r="AI139" s="170"/>
      <c r="AJ139" s="453"/>
      <c r="AK139" s="454"/>
      <c r="AL139" s="453"/>
      <c r="AM139" s="175"/>
      <c r="AN139" s="254"/>
      <c r="AO139" s="254"/>
      <c r="AP139" s="178" t="str">
        <f t="shared" si="18"/>
        <v xml:space="preserve"> </v>
      </c>
    </row>
    <row r="140" spans="1:42" ht="63" customHeight="1">
      <c r="A140" s="188" t="s">
        <v>1239</v>
      </c>
      <c r="B140" s="176"/>
      <c r="C140" s="168"/>
      <c r="D140" s="169"/>
      <c r="E140" s="255"/>
      <c r="F140" s="189" t="str">
        <f>IF(E140="","",VLOOKUP(E140,'Listes déroulantes'!$A$3:$C$39,2))</f>
        <v/>
      </c>
      <c r="G140" s="180"/>
      <c r="H140" s="181"/>
      <c r="I140" s="186"/>
      <c r="J140" s="185"/>
      <c r="K140" s="167"/>
      <c r="L140" s="170"/>
      <c r="M140" s="171"/>
      <c r="N140" s="171"/>
      <c r="O140" s="500" t="str">
        <f t="shared" si="17"/>
        <v/>
      </c>
      <c r="P140" s="501"/>
      <c r="Q140" s="172"/>
      <c r="R140" s="173"/>
      <c r="S140" s="173"/>
      <c r="T140" s="174"/>
      <c r="U140" s="177"/>
      <c r="V140" s="170"/>
      <c r="W140" s="170"/>
      <c r="X140" s="174"/>
      <c r="Y140" s="182"/>
      <c r="Z140" s="179" t="str">
        <f t="shared" si="16"/>
        <v/>
      </c>
      <c r="AA140" s="171"/>
      <c r="AB140" s="183" t="str">
        <f t="shared" ca="1" si="15"/>
        <v/>
      </c>
      <c r="AC140" s="265"/>
      <c r="AD140" s="249"/>
      <c r="AE140" s="170"/>
      <c r="AF140" s="170"/>
      <c r="AG140" s="170"/>
      <c r="AH140" s="170"/>
      <c r="AI140" s="170"/>
      <c r="AJ140" s="453"/>
      <c r="AK140" s="454"/>
      <c r="AL140" s="453"/>
      <c r="AM140" s="175"/>
      <c r="AN140" s="254"/>
      <c r="AO140" s="254"/>
      <c r="AP140" s="178" t="str">
        <f t="shared" si="18"/>
        <v xml:space="preserve"> </v>
      </c>
    </row>
    <row r="141" spans="1:42" ht="63" customHeight="1">
      <c r="A141" s="188" t="s">
        <v>1240</v>
      </c>
      <c r="B141" s="176"/>
      <c r="C141" s="168"/>
      <c r="D141" s="169"/>
      <c r="E141" s="255"/>
      <c r="F141" s="189" t="str">
        <f>IF(E141="","",VLOOKUP(E141,'Listes déroulantes'!$A$3:$C$39,2))</f>
        <v/>
      </c>
      <c r="G141" s="180"/>
      <c r="H141" s="181"/>
      <c r="I141" s="186"/>
      <c r="J141" s="185"/>
      <c r="K141" s="167"/>
      <c r="L141" s="170"/>
      <c r="M141" s="171"/>
      <c r="N141" s="171"/>
      <c r="O141" s="500" t="str">
        <f t="shared" si="17"/>
        <v/>
      </c>
      <c r="P141" s="501"/>
      <c r="Q141" s="172"/>
      <c r="R141" s="173"/>
      <c r="S141" s="173"/>
      <c r="T141" s="174"/>
      <c r="U141" s="177"/>
      <c r="V141" s="170"/>
      <c r="W141" s="170"/>
      <c r="X141" s="174"/>
      <c r="Y141" s="182"/>
      <c r="Z141" s="179" t="str">
        <f t="shared" si="16"/>
        <v/>
      </c>
      <c r="AA141" s="171"/>
      <c r="AB141" s="183" t="str">
        <f t="shared" ca="1" si="15"/>
        <v/>
      </c>
      <c r="AC141" s="265"/>
      <c r="AD141" s="249"/>
      <c r="AE141" s="170"/>
      <c r="AF141" s="170"/>
      <c r="AG141" s="170"/>
      <c r="AH141" s="170"/>
      <c r="AI141" s="170"/>
      <c r="AJ141" s="453"/>
      <c r="AK141" s="454"/>
      <c r="AL141" s="453"/>
      <c r="AM141" s="175"/>
      <c r="AN141" s="254"/>
      <c r="AO141" s="254"/>
      <c r="AP141" s="178" t="str">
        <f t="shared" si="18"/>
        <v xml:space="preserve"> </v>
      </c>
    </row>
    <row r="142" spans="1:42" ht="63" customHeight="1">
      <c r="A142" s="188" t="s">
        <v>1241</v>
      </c>
      <c r="B142" s="176"/>
      <c r="C142" s="168"/>
      <c r="D142" s="169"/>
      <c r="E142" s="255"/>
      <c r="F142" s="189" t="str">
        <f>IF(E142="","",VLOOKUP(E142,'Listes déroulantes'!$A$3:$C$39,2))</f>
        <v/>
      </c>
      <c r="G142" s="180"/>
      <c r="H142" s="181"/>
      <c r="I142" s="186"/>
      <c r="J142" s="185"/>
      <c r="K142" s="167"/>
      <c r="L142" s="170"/>
      <c r="M142" s="171"/>
      <c r="N142" s="171"/>
      <c r="O142" s="500" t="str">
        <f t="shared" si="17"/>
        <v/>
      </c>
      <c r="P142" s="501"/>
      <c r="Q142" s="172"/>
      <c r="R142" s="173"/>
      <c r="S142" s="173"/>
      <c r="T142" s="174"/>
      <c r="U142" s="177"/>
      <c r="V142" s="170"/>
      <c r="W142" s="170"/>
      <c r="X142" s="174"/>
      <c r="Y142" s="182"/>
      <c r="Z142" s="179" t="str">
        <f t="shared" si="16"/>
        <v/>
      </c>
      <c r="AA142" s="171"/>
      <c r="AB142" s="183" t="str">
        <f t="shared" ca="1" si="15"/>
        <v/>
      </c>
      <c r="AC142" s="265"/>
      <c r="AD142" s="249"/>
      <c r="AE142" s="170"/>
      <c r="AF142" s="170"/>
      <c r="AG142" s="170"/>
      <c r="AH142" s="170"/>
      <c r="AI142" s="170"/>
      <c r="AJ142" s="453"/>
      <c r="AK142" s="454"/>
      <c r="AL142" s="453"/>
      <c r="AM142" s="175"/>
      <c r="AN142" s="254"/>
      <c r="AO142" s="254"/>
      <c r="AP142" s="178" t="str">
        <f t="shared" si="18"/>
        <v xml:space="preserve"> </v>
      </c>
    </row>
    <row r="143" spans="1:42" ht="63" customHeight="1">
      <c r="A143" s="188" t="s">
        <v>1242</v>
      </c>
      <c r="B143" s="176"/>
      <c r="C143" s="168"/>
      <c r="D143" s="169"/>
      <c r="E143" s="255"/>
      <c r="F143" s="189" t="str">
        <f>IF(E143="","",VLOOKUP(E143,'Listes déroulantes'!$A$3:$C$39,2))</f>
        <v/>
      </c>
      <c r="G143" s="180"/>
      <c r="H143" s="181"/>
      <c r="I143" s="186"/>
      <c r="J143" s="185"/>
      <c r="K143" s="167"/>
      <c r="L143" s="170"/>
      <c r="M143" s="171"/>
      <c r="N143" s="171"/>
      <c r="O143" s="500" t="str">
        <f t="shared" si="17"/>
        <v/>
      </c>
      <c r="P143" s="501"/>
      <c r="Q143" s="172"/>
      <c r="R143" s="173"/>
      <c r="S143" s="173"/>
      <c r="T143" s="174"/>
      <c r="U143" s="177"/>
      <c r="V143" s="170"/>
      <c r="W143" s="170"/>
      <c r="X143" s="174"/>
      <c r="Y143" s="182"/>
      <c r="Z143" s="179" t="str">
        <f t="shared" si="16"/>
        <v/>
      </c>
      <c r="AA143" s="171"/>
      <c r="AB143" s="183" t="str">
        <f t="shared" ca="1" si="15"/>
        <v/>
      </c>
      <c r="AC143" s="265"/>
      <c r="AD143" s="249"/>
      <c r="AE143" s="170"/>
      <c r="AF143" s="170"/>
      <c r="AG143" s="170"/>
      <c r="AH143" s="170"/>
      <c r="AI143" s="170"/>
      <c r="AJ143" s="453"/>
      <c r="AK143" s="454"/>
      <c r="AL143" s="453"/>
      <c r="AM143" s="175"/>
      <c r="AN143" s="254"/>
      <c r="AO143" s="254"/>
      <c r="AP143" s="178" t="str">
        <f t="shared" si="18"/>
        <v xml:space="preserve"> </v>
      </c>
    </row>
    <row r="144" spans="1:42" ht="63" customHeight="1">
      <c r="A144" s="188" t="s">
        <v>1243</v>
      </c>
      <c r="B144" s="176"/>
      <c r="C144" s="168"/>
      <c r="D144" s="169"/>
      <c r="E144" s="255"/>
      <c r="F144" s="189" t="str">
        <f>IF(E144="","",VLOOKUP(E144,'Listes déroulantes'!$A$3:$C$39,2))</f>
        <v/>
      </c>
      <c r="G144" s="180"/>
      <c r="H144" s="181"/>
      <c r="I144" s="186"/>
      <c r="J144" s="185"/>
      <c r="K144" s="167"/>
      <c r="L144" s="170"/>
      <c r="M144" s="171"/>
      <c r="N144" s="171"/>
      <c r="O144" s="500" t="str">
        <f t="shared" si="17"/>
        <v/>
      </c>
      <c r="P144" s="501"/>
      <c r="Q144" s="172"/>
      <c r="R144" s="173"/>
      <c r="S144" s="173"/>
      <c r="T144" s="174"/>
      <c r="U144" s="177"/>
      <c r="V144" s="170"/>
      <c r="W144" s="170"/>
      <c r="X144" s="174"/>
      <c r="Y144" s="182"/>
      <c r="Z144" s="179" t="str">
        <f t="shared" si="16"/>
        <v/>
      </c>
      <c r="AA144" s="171"/>
      <c r="AB144" s="183" t="str">
        <f t="shared" ca="1" si="15"/>
        <v/>
      </c>
      <c r="AC144" s="265"/>
      <c r="AD144" s="249"/>
      <c r="AE144" s="170"/>
      <c r="AF144" s="170"/>
      <c r="AG144" s="170"/>
      <c r="AH144" s="170"/>
      <c r="AI144" s="170"/>
      <c r="AJ144" s="453"/>
      <c r="AK144" s="454"/>
      <c r="AL144" s="453"/>
      <c r="AM144" s="175"/>
      <c r="AN144" s="254"/>
      <c r="AO144" s="254"/>
      <c r="AP144" s="178" t="str">
        <f t="shared" si="18"/>
        <v xml:space="preserve"> </v>
      </c>
    </row>
    <row r="145" spans="1:42" ht="63" customHeight="1">
      <c r="A145" s="188" t="s">
        <v>1244</v>
      </c>
      <c r="B145" s="176"/>
      <c r="C145" s="168"/>
      <c r="D145" s="169"/>
      <c r="E145" s="255"/>
      <c r="F145" s="189" t="str">
        <f>IF(E145="","",VLOOKUP(E145,'Listes déroulantes'!$A$3:$C$39,2))</f>
        <v/>
      </c>
      <c r="G145" s="180"/>
      <c r="H145" s="181"/>
      <c r="I145" s="186"/>
      <c r="J145" s="185"/>
      <c r="K145" s="167"/>
      <c r="L145" s="170"/>
      <c r="M145" s="171"/>
      <c r="N145" s="171"/>
      <c r="O145" s="500" t="str">
        <f t="shared" si="17"/>
        <v/>
      </c>
      <c r="P145" s="501"/>
      <c r="Q145" s="172"/>
      <c r="R145" s="173"/>
      <c r="S145" s="173"/>
      <c r="T145" s="174"/>
      <c r="U145" s="177"/>
      <c r="V145" s="170"/>
      <c r="W145" s="170"/>
      <c r="X145" s="174"/>
      <c r="Y145" s="182"/>
      <c r="Z145" s="179" t="str">
        <f t="shared" si="16"/>
        <v/>
      </c>
      <c r="AA145" s="171"/>
      <c r="AB145" s="183" t="str">
        <f t="shared" ca="1" si="15"/>
        <v/>
      </c>
      <c r="AC145" s="265"/>
      <c r="AD145" s="249"/>
      <c r="AE145" s="170"/>
      <c r="AF145" s="170"/>
      <c r="AG145" s="170"/>
      <c r="AH145" s="170"/>
      <c r="AI145" s="170"/>
      <c r="AJ145" s="453"/>
      <c r="AK145" s="454"/>
      <c r="AL145" s="453"/>
      <c r="AM145" s="175"/>
      <c r="AN145" s="254"/>
      <c r="AO145" s="254"/>
      <c r="AP145" s="178" t="str">
        <f t="shared" si="18"/>
        <v xml:space="preserve"> </v>
      </c>
    </row>
    <row r="146" spans="1:42" ht="63" customHeight="1">
      <c r="A146" s="188" t="s">
        <v>1245</v>
      </c>
      <c r="B146" s="176"/>
      <c r="C146" s="168"/>
      <c r="D146" s="169"/>
      <c r="E146" s="255"/>
      <c r="F146" s="189" t="str">
        <f>IF(E146="","",VLOOKUP(E146,'Listes déroulantes'!$A$3:$C$39,2))</f>
        <v/>
      </c>
      <c r="G146" s="180"/>
      <c r="H146" s="181"/>
      <c r="I146" s="186"/>
      <c r="J146" s="185"/>
      <c r="K146" s="167"/>
      <c r="L146" s="170"/>
      <c r="M146" s="171"/>
      <c r="N146" s="171"/>
      <c r="O146" s="500" t="str">
        <f t="shared" si="17"/>
        <v/>
      </c>
      <c r="P146" s="501"/>
      <c r="Q146" s="172"/>
      <c r="R146" s="173"/>
      <c r="S146" s="173"/>
      <c r="T146" s="174"/>
      <c r="U146" s="177"/>
      <c r="V146" s="170"/>
      <c r="W146" s="170"/>
      <c r="X146" s="253"/>
      <c r="Y146" s="260"/>
      <c r="Z146" s="179" t="str">
        <f t="shared" si="16"/>
        <v/>
      </c>
      <c r="AA146" s="171"/>
      <c r="AB146" s="183" t="str">
        <f t="shared" ca="1" si="15"/>
        <v/>
      </c>
      <c r="AC146" s="265"/>
      <c r="AD146" s="249"/>
      <c r="AE146" s="249"/>
      <c r="AF146" s="249"/>
      <c r="AG146" s="249"/>
      <c r="AH146" s="249"/>
      <c r="AI146" s="249"/>
      <c r="AJ146" s="453"/>
      <c r="AK146" s="454"/>
      <c r="AL146" s="453"/>
      <c r="AM146" s="175"/>
      <c r="AN146" s="254"/>
      <c r="AO146" s="254"/>
      <c r="AP146" s="178" t="str">
        <f t="shared" si="18"/>
        <v xml:space="preserve"> </v>
      </c>
    </row>
    <row r="147" spans="1:42" ht="63" customHeight="1">
      <c r="A147" s="188" t="s">
        <v>1246</v>
      </c>
      <c r="B147" s="176"/>
      <c r="C147" s="168"/>
      <c r="D147" s="169"/>
      <c r="E147" s="255"/>
      <c r="F147" s="189" t="str">
        <f>IF(E147="","",VLOOKUP(E147,'Listes déroulantes'!$A$3:$C$39,2))</f>
        <v/>
      </c>
      <c r="G147" s="180"/>
      <c r="H147" s="181"/>
      <c r="I147" s="186"/>
      <c r="J147" s="185"/>
      <c r="K147" s="167"/>
      <c r="L147" s="170"/>
      <c r="M147" s="171"/>
      <c r="N147" s="171"/>
      <c r="O147" s="500" t="str">
        <f t="shared" si="17"/>
        <v/>
      </c>
      <c r="P147" s="501"/>
      <c r="Q147" s="172"/>
      <c r="R147" s="173"/>
      <c r="S147" s="173"/>
      <c r="T147" s="174"/>
      <c r="U147" s="177"/>
      <c r="V147" s="170"/>
      <c r="W147" s="170"/>
      <c r="X147" s="174"/>
      <c r="Y147" s="182"/>
      <c r="Z147" s="179" t="str">
        <f t="shared" si="16"/>
        <v/>
      </c>
      <c r="AA147" s="171"/>
      <c r="AB147" s="183" t="str">
        <f t="shared" ref="AB147:AB210" ca="1" si="19">IF(ISBLANK(AA147),IF(Z147&lt;TODAY(),"non",""),IF(AA147&gt;Z147,"non","oui"))</f>
        <v/>
      </c>
      <c r="AC147" s="265"/>
      <c r="AD147" s="249"/>
      <c r="AE147" s="170"/>
      <c r="AF147" s="170"/>
      <c r="AG147" s="170"/>
      <c r="AH147" s="170"/>
      <c r="AI147" s="170"/>
      <c r="AJ147" s="453"/>
      <c r="AK147" s="454"/>
      <c r="AL147" s="453"/>
      <c r="AM147" s="175"/>
      <c r="AN147" s="254"/>
      <c r="AO147" s="254"/>
      <c r="AP147" s="178" t="str">
        <f t="shared" si="18"/>
        <v xml:space="preserve"> </v>
      </c>
    </row>
    <row r="148" spans="1:42" ht="63" customHeight="1">
      <c r="A148" s="188" t="s">
        <v>1247</v>
      </c>
      <c r="B148" s="176"/>
      <c r="C148" s="168"/>
      <c r="D148" s="169"/>
      <c r="E148" s="255"/>
      <c r="F148" s="189" t="str">
        <f>IF(E148="","",VLOOKUP(E148,'Listes déroulantes'!$A$3:$C$39,2))</f>
        <v/>
      </c>
      <c r="G148" s="180"/>
      <c r="H148" s="181"/>
      <c r="I148" s="186"/>
      <c r="J148" s="185"/>
      <c r="K148" s="167"/>
      <c r="L148" s="170"/>
      <c r="M148" s="171"/>
      <c r="N148" s="171"/>
      <c r="O148" s="500" t="str">
        <f t="shared" si="17"/>
        <v/>
      </c>
      <c r="P148" s="501"/>
      <c r="Q148" s="172"/>
      <c r="R148" s="173"/>
      <c r="S148" s="173"/>
      <c r="T148" s="174"/>
      <c r="U148" s="177"/>
      <c r="V148" s="170"/>
      <c r="W148" s="170"/>
      <c r="X148" s="174"/>
      <c r="Y148" s="182"/>
      <c r="Z148" s="179" t="str">
        <f t="shared" si="16"/>
        <v/>
      </c>
      <c r="AA148" s="171"/>
      <c r="AB148" s="183" t="str">
        <f t="shared" ca="1" si="19"/>
        <v/>
      </c>
      <c r="AC148" s="265"/>
      <c r="AD148" s="249"/>
      <c r="AE148" s="170"/>
      <c r="AF148" s="170"/>
      <c r="AG148" s="170"/>
      <c r="AH148" s="170"/>
      <c r="AI148" s="170"/>
      <c r="AJ148" s="453"/>
      <c r="AK148" s="454"/>
      <c r="AL148" s="453"/>
      <c r="AM148" s="175"/>
      <c r="AN148" s="254"/>
      <c r="AO148" s="254"/>
      <c r="AP148" s="178" t="str">
        <f t="shared" si="18"/>
        <v xml:space="preserve"> </v>
      </c>
    </row>
    <row r="149" spans="1:42" ht="63" customHeight="1">
      <c r="A149" s="188" t="s">
        <v>1248</v>
      </c>
      <c r="B149" s="176"/>
      <c r="C149" s="168"/>
      <c r="D149" s="169"/>
      <c r="E149" s="255"/>
      <c r="F149" s="189" t="str">
        <f>IF(E149="","",VLOOKUP(E149,'Listes déroulantes'!$A$3:$C$39,2))</f>
        <v/>
      </c>
      <c r="G149" s="180"/>
      <c r="H149" s="181"/>
      <c r="I149" s="186"/>
      <c r="J149" s="185"/>
      <c r="K149" s="167"/>
      <c r="L149" s="170"/>
      <c r="M149" s="171"/>
      <c r="N149" s="171"/>
      <c r="O149" s="500" t="str">
        <f t="shared" si="17"/>
        <v/>
      </c>
      <c r="P149" s="501"/>
      <c r="Q149" s="172"/>
      <c r="R149" s="173"/>
      <c r="S149" s="173"/>
      <c r="T149" s="174"/>
      <c r="U149" s="177"/>
      <c r="V149" s="170"/>
      <c r="W149" s="170"/>
      <c r="X149" s="174"/>
      <c r="Y149" s="182"/>
      <c r="Z149" s="179" t="str">
        <f t="shared" si="16"/>
        <v/>
      </c>
      <c r="AA149" s="171"/>
      <c r="AB149" s="183" t="str">
        <f t="shared" ca="1" si="19"/>
        <v/>
      </c>
      <c r="AC149" s="265"/>
      <c r="AD149" s="249"/>
      <c r="AE149" s="170"/>
      <c r="AF149" s="170"/>
      <c r="AG149" s="170"/>
      <c r="AH149" s="170"/>
      <c r="AI149" s="170"/>
      <c r="AJ149" s="453"/>
      <c r="AK149" s="454"/>
      <c r="AL149" s="453"/>
      <c r="AM149" s="175"/>
      <c r="AN149" s="254"/>
      <c r="AO149" s="254"/>
      <c r="AP149" s="178" t="str">
        <f t="shared" si="18"/>
        <v xml:space="preserve"> </v>
      </c>
    </row>
    <row r="150" spans="1:42" ht="63" customHeight="1">
      <c r="A150" s="188" t="s">
        <v>1249</v>
      </c>
      <c r="B150" s="176"/>
      <c r="C150" s="168"/>
      <c r="D150" s="169"/>
      <c r="E150" s="255"/>
      <c r="F150" s="189" t="str">
        <f>IF(E150="","",VLOOKUP(E150,'Listes déroulantes'!$A$3:$C$39,2))</f>
        <v/>
      </c>
      <c r="G150" s="180"/>
      <c r="H150" s="181"/>
      <c r="I150" s="186"/>
      <c r="J150" s="185"/>
      <c r="K150" s="167"/>
      <c r="L150" s="170"/>
      <c r="M150" s="171"/>
      <c r="N150" s="171"/>
      <c r="O150" s="500" t="str">
        <f t="shared" si="17"/>
        <v/>
      </c>
      <c r="P150" s="501"/>
      <c r="Q150" s="172"/>
      <c r="R150" s="173"/>
      <c r="S150" s="173"/>
      <c r="T150" s="174"/>
      <c r="U150" s="177"/>
      <c r="V150" s="170"/>
      <c r="W150" s="170"/>
      <c r="X150" s="174"/>
      <c r="Y150" s="182"/>
      <c r="Z150" s="179" t="str">
        <f t="shared" si="16"/>
        <v/>
      </c>
      <c r="AA150" s="171"/>
      <c r="AB150" s="183" t="str">
        <f t="shared" ca="1" si="19"/>
        <v/>
      </c>
      <c r="AC150" s="265"/>
      <c r="AD150" s="249"/>
      <c r="AE150" s="170"/>
      <c r="AF150" s="170"/>
      <c r="AG150" s="170"/>
      <c r="AH150" s="170"/>
      <c r="AI150" s="170"/>
      <c r="AJ150" s="453"/>
      <c r="AK150" s="454"/>
      <c r="AL150" s="453"/>
      <c r="AM150" s="175"/>
      <c r="AN150" s="254"/>
      <c r="AO150" s="254"/>
      <c r="AP150" s="178" t="str">
        <f t="shared" si="18"/>
        <v xml:space="preserve"> </v>
      </c>
    </row>
    <row r="151" spans="1:42" ht="63" customHeight="1">
      <c r="A151" s="188" t="s">
        <v>1250</v>
      </c>
      <c r="B151" s="176"/>
      <c r="C151" s="168"/>
      <c r="D151" s="169"/>
      <c r="E151" s="255"/>
      <c r="F151" s="189" t="str">
        <f>IF(E151="","",VLOOKUP(E151,'Listes déroulantes'!$A$3:$C$39,2))</f>
        <v/>
      </c>
      <c r="G151" s="180"/>
      <c r="H151" s="181"/>
      <c r="I151" s="186"/>
      <c r="J151" s="185"/>
      <c r="K151" s="167"/>
      <c r="L151" s="170"/>
      <c r="M151" s="171"/>
      <c r="N151" s="171"/>
      <c r="O151" s="500" t="str">
        <f t="shared" si="17"/>
        <v/>
      </c>
      <c r="P151" s="501"/>
      <c r="Q151" s="172"/>
      <c r="R151" s="173"/>
      <c r="S151" s="173"/>
      <c r="T151" s="174"/>
      <c r="U151" s="177"/>
      <c r="V151" s="170"/>
      <c r="W151" s="170"/>
      <c r="X151" s="174"/>
      <c r="Y151" s="182"/>
      <c r="Z151" s="179" t="str">
        <f t="shared" si="16"/>
        <v/>
      </c>
      <c r="AA151" s="171"/>
      <c r="AB151" s="183" t="str">
        <f t="shared" ca="1" si="19"/>
        <v/>
      </c>
      <c r="AC151" s="265"/>
      <c r="AD151" s="249"/>
      <c r="AE151" s="170"/>
      <c r="AF151" s="170"/>
      <c r="AG151" s="170"/>
      <c r="AH151" s="170"/>
      <c r="AI151" s="170"/>
      <c r="AJ151" s="453"/>
      <c r="AK151" s="454"/>
      <c r="AL151" s="453"/>
      <c r="AM151" s="175"/>
      <c r="AN151" s="254"/>
      <c r="AO151" s="254"/>
      <c r="AP151" s="178" t="str">
        <f t="shared" si="18"/>
        <v xml:space="preserve"> </v>
      </c>
    </row>
    <row r="152" spans="1:42" ht="63" customHeight="1">
      <c r="A152" s="188" t="s">
        <v>1251</v>
      </c>
      <c r="B152" s="176"/>
      <c r="C152" s="168"/>
      <c r="D152" s="169"/>
      <c r="E152" s="255"/>
      <c r="F152" s="189" t="str">
        <f>IF(E152="","",VLOOKUP(E152,'Listes déroulantes'!$A$3:$C$39,2))</f>
        <v/>
      </c>
      <c r="G152" s="180"/>
      <c r="H152" s="181"/>
      <c r="I152" s="186"/>
      <c r="J152" s="185"/>
      <c r="K152" s="167"/>
      <c r="L152" s="170"/>
      <c r="M152" s="171"/>
      <c r="N152" s="171"/>
      <c r="O152" s="500" t="str">
        <f t="shared" si="17"/>
        <v/>
      </c>
      <c r="P152" s="501"/>
      <c r="Q152" s="172"/>
      <c r="R152" s="173"/>
      <c r="S152" s="173"/>
      <c r="T152" s="174"/>
      <c r="U152" s="177"/>
      <c r="V152" s="170"/>
      <c r="W152" s="170"/>
      <c r="X152" s="174"/>
      <c r="Y152" s="182"/>
      <c r="Z152" s="179" t="str">
        <f t="shared" si="16"/>
        <v/>
      </c>
      <c r="AA152" s="171"/>
      <c r="AB152" s="183" t="str">
        <f t="shared" ca="1" si="19"/>
        <v/>
      </c>
      <c r="AC152" s="265"/>
      <c r="AD152" s="249"/>
      <c r="AE152" s="170"/>
      <c r="AF152" s="170"/>
      <c r="AG152" s="170"/>
      <c r="AH152" s="170"/>
      <c r="AI152" s="170"/>
      <c r="AJ152" s="453"/>
      <c r="AK152" s="454"/>
      <c r="AL152" s="453"/>
      <c r="AM152" s="175"/>
      <c r="AN152" s="254"/>
      <c r="AO152" s="254"/>
      <c r="AP152" s="178" t="str">
        <f t="shared" si="18"/>
        <v xml:space="preserve"> </v>
      </c>
    </row>
    <row r="153" spans="1:42" ht="63" customHeight="1">
      <c r="A153" s="188" t="s">
        <v>1252</v>
      </c>
      <c r="B153" s="176"/>
      <c r="C153" s="168"/>
      <c r="D153" s="169"/>
      <c r="E153" s="255"/>
      <c r="F153" s="189" t="str">
        <f>IF(E153="","",VLOOKUP(E153,'Listes déroulantes'!$A$3:$C$39,2))</f>
        <v/>
      </c>
      <c r="G153" s="180"/>
      <c r="H153" s="181"/>
      <c r="I153" s="186"/>
      <c r="J153" s="185"/>
      <c r="K153" s="167"/>
      <c r="L153" s="170"/>
      <c r="M153" s="171"/>
      <c r="N153" s="171"/>
      <c r="O153" s="500" t="str">
        <f t="shared" si="17"/>
        <v/>
      </c>
      <c r="P153" s="501"/>
      <c r="Q153" s="172"/>
      <c r="R153" s="173"/>
      <c r="S153" s="173"/>
      <c r="T153" s="174"/>
      <c r="U153" s="177"/>
      <c r="V153" s="170"/>
      <c r="W153" s="170"/>
      <c r="X153" s="174"/>
      <c r="Y153" s="182"/>
      <c r="Z153" s="179" t="str">
        <f t="shared" si="16"/>
        <v/>
      </c>
      <c r="AA153" s="171"/>
      <c r="AB153" s="183" t="str">
        <f t="shared" ca="1" si="19"/>
        <v/>
      </c>
      <c r="AC153" s="265"/>
      <c r="AD153" s="249"/>
      <c r="AE153" s="170"/>
      <c r="AF153" s="170"/>
      <c r="AG153" s="170"/>
      <c r="AH153" s="170"/>
      <c r="AI153" s="170"/>
      <c r="AJ153" s="453"/>
      <c r="AK153" s="454"/>
      <c r="AL153" s="453"/>
      <c r="AM153" s="175"/>
      <c r="AN153" s="254"/>
      <c r="AO153" s="175"/>
      <c r="AP153" s="178" t="str">
        <f t="shared" si="18"/>
        <v xml:space="preserve"> </v>
      </c>
    </row>
    <row r="154" spans="1:42" ht="63" customHeight="1">
      <c r="A154" s="188" t="s">
        <v>1253</v>
      </c>
      <c r="B154" s="176"/>
      <c r="C154" s="168"/>
      <c r="D154" s="169"/>
      <c r="E154" s="255"/>
      <c r="F154" s="189" t="str">
        <f>IF(E154="","",VLOOKUP(E154,'Listes déroulantes'!$A$3:$C$39,2))</f>
        <v/>
      </c>
      <c r="G154" s="180"/>
      <c r="H154" s="181"/>
      <c r="I154" s="186"/>
      <c r="J154" s="185"/>
      <c r="K154" s="167"/>
      <c r="L154" s="170"/>
      <c r="M154" s="171"/>
      <c r="N154" s="171"/>
      <c r="O154" s="500" t="str">
        <f t="shared" si="17"/>
        <v/>
      </c>
      <c r="P154" s="501"/>
      <c r="Q154" s="172"/>
      <c r="R154" s="173"/>
      <c r="S154" s="173"/>
      <c r="T154" s="174"/>
      <c r="U154" s="177"/>
      <c r="V154" s="170"/>
      <c r="W154" s="170"/>
      <c r="X154" s="174"/>
      <c r="Y154" s="182"/>
      <c r="Z154" s="179" t="str">
        <f t="shared" si="16"/>
        <v/>
      </c>
      <c r="AA154" s="171"/>
      <c r="AB154" s="183" t="str">
        <f t="shared" ca="1" si="19"/>
        <v/>
      </c>
      <c r="AC154" s="265"/>
      <c r="AD154" s="249"/>
      <c r="AE154" s="170"/>
      <c r="AF154" s="170"/>
      <c r="AG154" s="170"/>
      <c r="AH154" s="170"/>
      <c r="AI154" s="170"/>
      <c r="AJ154" s="453"/>
      <c r="AK154" s="454"/>
      <c r="AL154" s="453"/>
      <c r="AM154" s="175"/>
      <c r="AN154" s="254"/>
      <c r="AO154" s="175"/>
      <c r="AP154" s="178" t="str">
        <f t="shared" si="18"/>
        <v xml:space="preserve"> </v>
      </c>
    </row>
    <row r="155" spans="1:42" ht="63" customHeight="1">
      <c r="A155" s="188" t="s">
        <v>1254</v>
      </c>
      <c r="B155" s="176"/>
      <c r="C155" s="168"/>
      <c r="D155" s="169"/>
      <c r="E155" s="177"/>
      <c r="F155" s="189" t="str">
        <f>IF(E155="","",VLOOKUP(E155,'Listes déroulantes'!$A$3:$C$39,2))</f>
        <v/>
      </c>
      <c r="G155" s="180"/>
      <c r="H155" s="181"/>
      <c r="I155" s="186"/>
      <c r="J155" s="185"/>
      <c r="K155" s="167"/>
      <c r="L155" s="170"/>
      <c r="M155" s="171"/>
      <c r="N155" s="171"/>
      <c r="O155" s="500" t="str">
        <f t="shared" si="17"/>
        <v/>
      </c>
      <c r="P155" s="501"/>
      <c r="Q155" s="172"/>
      <c r="R155" s="173"/>
      <c r="S155" s="173"/>
      <c r="T155" s="174"/>
      <c r="U155" s="177"/>
      <c r="V155" s="170"/>
      <c r="W155" s="170"/>
      <c r="X155" s="174"/>
      <c r="Y155" s="182"/>
      <c r="Z155" s="179" t="str">
        <f t="shared" si="16"/>
        <v/>
      </c>
      <c r="AA155" s="171"/>
      <c r="AB155" s="183" t="str">
        <f t="shared" ca="1" si="19"/>
        <v/>
      </c>
      <c r="AC155" s="265"/>
      <c r="AD155" s="249"/>
      <c r="AE155" s="170"/>
      <c r="AF155" s="170"/>
      <c r="AG155" s="170"/>
      <c r="AH155" s="170"/>
      <c r="AI155" s="170"/>
      <c r="AJ155" s="453"/>
      <c r="AK155" s="454"/>
      <c r="AL155" s="453"/>
      <c r="AM155" s="175"/>
      <c r="AN155" s="254"/>
      <c r="AO155" s="175"/>
      <c r="AP155" s="178" t="str">
        <f t="shared" si="18"/>
        <v xml:space="preserve"> </v>
      </c>
    </row>
    <row r="156" spans="1:42" ht="63" customHeight="1">
      <c r="A156" s="188" t="s">
        <v>1255</v>
      </c>
      <c r="B156" s="176"/>
      <c r="C156" s="168"/>
      <c r="D156" s="169"/>
      <c r="E156" s="177"/>
      <c r="F156" s="189" t="str">
        <f>IF(E156="","",VLOOKUP(E156,'Listes déroulantes'!$A$3:$C$39,2))</f>
        <v/>
      </c>
      <c r="G156" s="180"/>
      <c r="H156" s="181"/>
      <c r="I156" s="186"/>
      <c r="J156" s="185"/>
      <c r="K156" s="167"/>
      <c r="L156" s="170"/>
      <c r="M156" s="171"/>
      <c r="N156" s="171"/>
      <c r="O156" s="500" t="str">
        <f t="shared" si="17"/>
        <v/>
      </c>
      <c r="P156" s="501"/>
      <c r="Q156" s="172"/>
      <c r="R156" s="173"/>
      <c r="S156" s="173"/>
      <c r="T156" s="174"/>
      <c r="U156" s="177"/>
      <c r="V156" s="170"/>
      <c r="W156" s="170"/>
      <c r="X156" s="174"/>
      <c r="Y156" s="182"/>
      <c r="Z156" s="179" t="str">
        <f t="shared" si="16"/>
        <v/>
      </c>
      <c r="AA156" s="171"/>
      <c r="AB156" s="183" t="str">
        <f t="shared" ca="1" si="19"/>
        <v/>
      </c>
      <c r="AC156" s="265"/>
      <c r="AD156" s="249"/>
      <c r="AE156" s="170"/>
      <c r="AF156" s="170"/>
      <c r="AG156" s="170"/>
      <c r="AH156" s="170"/>
      <c r="AI156" s="170"/>
      <c r="AJ156" s="453"/>
      <c r="AK156" s="454"/>
      <c r="AL156" s="453"/>
      <c r="AM156" s="175"/>
      <c r="AN156" s="254"/>
      <c r="AO156" s="175"/>
      <c r="AP156" s="178" t="str">
        <f t="shared" si="18"/>
        <v xml:space="preserve"> </v>
      </c>
    </row>
    <row r="157" spans="1:42" ht="63" customHeight="1">
      <c r="A157" s="188" t="s">
        <v>1256</v>
      </c>
      <c r="B157" s="176"/>
      <c r="C157" s="168"/>
      <c r="D157" s="169"/>
      <c r="E157" s="177"/>
      <c r="F157" s="189" t="str">
        <f>IF(E157="","",VLOOKUP(E157,'Listes déroulantes'!$A$3:$C$39,2))</f>
        <v/>
      </c>
      <c r="G157" s="180"/>
      <c r="H157" s="181"/>
      <c r="I157" s="186"/>
      <c r="J157" s="185"/>
      <c r="K157" s="167"/>
      <c r="L157" s="170"/>
      <c r="M157" s="171"/>
      <c r="N157" s="171"/>
      <c r="O157" s="500" t="str">
        <f t="shared" si="17"/>
        <v/>
      </c>
      <c r="P157" s="501"/>
      <c r="Q157" s="172"/>
      <c r="R157" s="173"/>
      <c r="S157" s="173"/>
      <c r="T157" s="174"/>
      <c r="U157" s="177"/>
      <c r="V157" s="170"/>
      <c r="W157" s="170"/>
      <c r="X157" s="253"/>
      <c r="Y157" s="182"/>
      <c r="Z157" s="179" t="str">
        <f t="shared" si="16"/>
        <v/>
      </c>
      <c r="AA157" s="171"/>
      <c r="AB157" s="183" t="str">
        <f t="shared" ca="1" si="19"/>
        <v/>
      </c>
      <c r="AC157" s="265"/>
      <c r="AD157" s="249"/>
      <c r="AE157" s="249"/>
      <c r="AF157" s="249"/>
      <c r="AG157" s="249"/>
      <c r="AH157" s="249"/>
      <c r="AI157" s="249"/>
      <c r="AJ157" s="453"/>
      <c r="AK157" s="454"/>
      <c r="AL157" s="453"/>
      <c r="AM157" s="175"/>
      <c r="AN157" s="254"/>
      <c r="AO157" s="254"/>
      <c r="AP157" s="178" t="str">
        <f t="shared" si="18"/>
        <v xml:space="preserve"> </v>
      </c>
    </row>
    <row r="158" spans="1:42" ht="63" customHeight="1">
      <c r="A158" s="188" t="s">
        <v>1257</v>
      </c>
      <c r="B158" s="176"/>
      <c r="C158" s="168"/>
      <c r="D158" s="169"/>
      <c r="E158" s="177"/>
      <c r="F158" s="189" t="str">
        <f>IF(E158="","",VLOOKUP(E158,'Listes déroulantes'!$A$3:$C$39,2))</f>
        <v/>
      </c>
      <c r="G158" s="180"/>
      <c r="H158" s="181"/>
      <c r="I158" s="186"/>
      <c r="J158" s="185"/>
      <c r="K158" s="167"/>
      <c r="L158" s="170"/>
      <c r="M158" s="171"/>
      <c r="N158" s="171"/>
      <c r="O158" s="500" t="str">
        <f t="shared" si="17"/>
        <v/>
      </c>
      <c r="P158" s="501"/>
      <c r="Q158" s="172"/>
      <c r="R158" s="173"/>
      <c r="S158" s="173"/>
      <c r="T158" s="174"/>
      <c r="U158" s="177"/>
      <c r="V158" s="170"/>
      <c r="W158" s="170"/>
      <c r="X158" s="174"/>
      <c r="Y158" s="182"/>
      <c r="Z158" s="179" t="str">
        <f t="shared" ref="Z158:Z221" si="20">IF(ISBLANK(I158),"",I158+7)</f>
        <v/>
      </c>
      <c r="AA158" s="171"/>
      <c r="AB158" s="183" t="str">
        <f t="shared" ca="1" si="19"/>
        <v/>
      </c>
      <c r="AC158" s="265"/>
      <c r="AD158" s="249"/>
      <c r="AE158" s="170"/>
      <c r="AF158" s="170"/>
      <c r="AG158" s="170"/>
      <c r="AH158" s="170"/>
      <c r="AI158" s="170"/>
      <c r="AJ158" s="453"/>
      <c r="AK158" s="454"/>
      <c r="AL158" s="453"/>
      <c r="AM158" s="175"/>
      <c r="AN158" s="254"/>
      <c r="AO158" s="175"/>
      <c r="AP158" s="178" t="str">
        <f t="shared" si="18"/>
        <v xml:space="preserve"> </v>
      </c>
    </row>
    <row r="159" spans="1:42" ht="63" customHeight="1">
      <c r="A159" s="188" t="s">
        <v>1258</v>
      </c>
      <c r="B159" s="176"/>
      <c r="C159" s="168"/>
      <c r="D159" s="169"/>
      <c r="E159" s="177"/>
      <c r="F159" s="189" t="str">
        <f>IF(E159="","",VLOOKUP(E159,'Listes déroulantes'!$A$3:$C$39,2))</f>
        <v/>
      </c>
      <c r="G159" s="180"/>
      <c r="H159" s="181"/>
      <c r="I159" s="186"/>
      <c r="J159" s="185"/>
      <c r="K159" s="167"/>
      <c r="L159" s="170"/>
      <c r="M159" s="171"/>
      <c r="N159" s="171"/>
      <c r="O159" s="500" t="str">
        <f t="shared" si="17"/>
        <v/>
      </c>
      <c r="P159" s="501"/>
      <c r="Q159" s="172"/>
      <c r="R159" s="173"/>
      <c r="S159" s="173"/>
      <c r="T159" s="174"/>
      <c r="U159" s="177"/>
      <c r="V159" s="170"/>
      <c r="W159" s="170"/>
      <c r="X159" s="174"/>
      <c r="Y159" s="182"/>
      <c r="Z159" s="179" t="str">
        <f t="shared" si="20"/>
        <v/>
      </c>
      <c r="AA159" s="171"/>
      <c r="AB159" s="183" t="str">
        <f t="shared" ca="1" si="19"/>
        <v/>
      </c>
      <c r="AC159" s="265"/>
      <c r="AD159" s="249"/>
      <c r="AE159" s="170"/>
      <c r="AF159" s="170"/>
      <c r="AG159" s="170"/>
      <c r="AH159" s="170"/>
      <c r="AI159" s="170"/>
      <c r="AJ159" s="453"/>
      <c r="AK159" s="454"/>
      <c r="AL159" s="453"/>
      <c r="AM159" s="175"/>
      <c r="AN159" s="254"/>
      <c r="AO159" s="175"/>
      <c r="AP159" s="178" t="str">
        <f t="shared" si="18"/>
        <v xml:space="preserve"> </v>
      </c>
    </row>
    <row r="160" spans="1:42" ht="63" customHeight="1">
      <c r="A160" s="188" t="s">
        <v>1259</v>
      </c>
      <c r="B160" s="176"/>
      <c r="C160" s="168"/>
      <c r="D160" s="169"/>
      <c r="E160" s="177"/>
      <c r="F160" s="189" t="str">
        <f>IF(E160="","",VLOOKUP(E160,'Listes déroulantes'!$A$3:$C$39,2))</f>
        <v/>
      </c>
      <c r="G160" s="180"/>
      <c r="H160" s="181"/>
      <c r="I160" s="186"/>
      <c r="J160" s="185"/>
      <c r="K160" s="167"/>
      <c r="L160" s="170"/>
      <c r="M160" s="171"/>
      <c r="N160" s="171"/>
      <c r="O160" s="500" t="str">
        <f t="shared" si="17"/>
        <v/>
      </c>
      <c r="P160" s="501"/>
      <c r="Q160" s="172"/>
      <c r="R160" s="173"/>
      <c r="S160" s="173"/>
      <c r="T160" s="174"/>
      <c r="U160" s="177"/>
      <c r="V160" s="170"/>
      <c r="W160" s="170"/>
      <c r="X160" s="174"/>
      <c r="Y160" s="182"/>
      <c r="Z160" s="179" t="str">
        <f t="shared" si="20"/>
        <v/>
      </c>
      <c r="AA160" s="171"/>
      <c r="AB160" s="183" t="str">
        <f t="shared" ca="1" si="19"/>
        <v/>
      </c>
      <c r="AC160" s="265"/>
      <c r="AD160" s="249"/>
      <c r="AE160" s="170"/>
      <c r="AF160" s="170"/>
      <c r="AG160" s="170"/>
      <c r="AH160" s="170"/>
      <c r="AI160" s="170"/>
      <c r="AJ160" s="453"/>
      <c r="AK160" s="454"/>
      <c r="AL160" s="453"/>
      <c r="AM160" s="175"/>
      <c r="AN160" s="254"/>
      <c r="AO160" s="175"/>
      <c r="AP160" s="178" t="str">
        <f t="shared" si="18"/>
        <v xml:space="preserve"> </v>
      </c>
    </row>
    <row r="161" spans="1:42" ht="63" customHeight="1">
      <c r="A161" s="188" t="s">
        <v>1260</v>
      </c>
      <c r="B161" s="176"/>
      <c r="C161" s="168"/>
      <c r="D161" s="169"/>
      <c r="E161" s="177"/>
      <c r="F161" s="189" t="str">
        <f>IF(E161="","",VLOOKUP(E161,'Listes déroulantes'!$A$3:$C$39,2))</f>
        <v/>
      </c>
      <c r="G161" s="180"/>
      <c r="H161" s="181"/>
      <c r="I161" s="186"/>
      <c r="J161" s="185"/>
      <c r="K161" s="167"/>
      <c r="L161" s="170"/>
      <c r="M161" s="171"/>
      <c r="N161" s="171"/>
      <c r="O161" s="500" t="str">
        <f t="shared" si="17"/>
        <v/>
      </c>
      <c r="P161" s="501"/>
      <c r="Q161" s="172"/>
      <c r="R161" s="173"/>
      <c r="S161" s="173"/>
      <c r="T161" s="174"/>
      <c r="U161" s="177"/>
      <c r="V161" s="170"/>
      <c r="W161" s="170"/>
      <c r="X161" s="174"/>
      <c r="Y161" s="182"/>
      <c r="Z161" s="179" t="str">
        <f t="shared" si="20"/>
        <v/>
      </c>
      <c r="AA161" s="171"/>
      <c r="AB161" s="183" t="str">
        <f t="shared" ca="1" si="19"/>
        <v/>
      </c>
      <c r="AC161" s="265"/>
      <c r="AD161" s="249"/>
      <c r="AE161" s="170"/>
      <c r="AF161" s="170"/>
      <c r="AG161" s="170"/>
      <c r="AH161" s="170"/>
      <c r="AI161" s="170"/>
      <c r="AJ161" s="453"/>
      <c r="AK161" s="454"/>
      <c r="AL161" s="453"/>
      <c r="AM161" s="175"/>
      <c r="AN161" s="254"/>
      <c r="AO161" s="175"/>
      <c r="AP161" s="178" t="str">
        <f t="shared" si="18"/>
        <v xml:space="preserve"> </v>
      </c>
    </row>
    <row r="162" spans="1:42" ht="63" customHeight="1">
      <c r="A162" s="188" t="s">
        <v>1261</v>
      </c>
      <c r="B162" s="176"/>
      <c r="C162" s="168"/>
      <c r="D162" s="169"/>
      <c r="E162" s="177"/>
      <c r="F162" s="189" t="str">
        <f>IF(E162="","",VLOOKUP(E162,'Listes déroulantes'!$A$3:$C$39,2))</f>
        <v/>
      </c>
      <c r="G162" s="180"/>
      <c r="H162" s="181"/>
      <c r="I162" s="186"/>
      <c r="J162" s="185"/>
      <c r="K162" s="167"/>
      <c r="L162" s="170"/>
      <c r="M162" s="171"/>
      <c r="N162" s="171"/>
      <c r="O162" s="500" t="str">
        <f t="shared" si="17"/>
        <v/>
      </c>
      <c r="P162" s="501"/>
      <c r="Q162" s="172"/>
      <c r="R162" s="173"/>
      <c r="S162" s="173"/>
      <c r="T162" s="174"/>
      <c r="U162" s="177"/>
      <c r="V162" s="170"/>
      <c r="W162" s="170"/>
      <c r="X162" s="174"/>
      <c r="Y162" s="182"/>
      <c r="Z162" s="179" t="str">
        <f t="shared" si="20"/>
        <v/>
      </c>
      <c r="AA162" s="171"/>
      <c r="AB162" s="183" t="str">
        <f t="shared" ca="1" si="19"/>
        <v/>
      </c>
      <c r="AC162" s="265"/>
      <c r="AD162" s="249"/>
      <c r="AE162" s="170"/>
      <c r="AF162" s="170"/>
      <c r="AG162" s="170"/>
      <c r="AH162" s="170"/>
      <c r="AI162" s="170"/>
      <c r="AJ162" s="453"/>
      <c r="AK162" s="454"/>
      <c r="AL162" s="453"/>
      <c r="AM162" s="175"/>
      <c r="AN162" s="254"/>
      <c r="AO162" s="175"/>
      <c r="AP162" s="178" t="str">
        <f t="shared" si="18"/>
        <v xml:space="preserve"> </v>
      </c>
    </row>
    <row r="163" spans="1:42" ht="63" customHeight="1">
      <c r="A163" s="188" t="s">
        <v>1262</v>
      </c>
      <c r="B163" s="176"/>
      <c r="C163" s="168"/>
      <c r="D163" s="169"/>
      <c r="E163" s="177"/>
      <c r="F163" s="189" t="str">
        <f>IF(E163="","",VLOOKUP(E163,'Listes déroulantes'!$A$3:$C$39,2))</f>
        <v/>
      </c>
      <c r="G163" s="180"/>
      <c r="H163" s="181"/>
      <c r="I163" s="186"/>
      <c r="J163" s="185"/>
      <c r="K163" s="167"/>
      <c r="L163" s="170"/>
      <c r="M163" s="171"/>
      <c r="N163" s="171"/>
      <c r="O163" s="500" t="str">
        <f t="shared" si="17"/>
        <v/>
      </c>
      <c r="P163" s="501"/>
      <c r="Q163" s="172"/>
      <c r="R163" s="173"/>
      <c r="S163" s="173"/>
      <c r="T163" s="174"/>
      <c r="U163" s="177"/>
      <c r="V163" s="170"/>
      <c r="W163" s="170"/>
      <c r="X163" s="174"/>
      <c r="Y163" s="182"/>
      <c r="Z163" s="179" t="str">
        <f t="shared" si="20"/>
        <v/>
      </c>
      <c r="AA163" s="171"/>
      <c r="AB163" s="183" t="str">
        <f t="shared" ca="1" si="19"/>
        <v/>
      </c>
      <c r="AC163" s="265"/>
      <c r="AD163" s="249"/>
      <c r="AE163" s="170"/>
      <c r="AF163" s="170"/>
      <c r="AG163" s="170"/>
      <c r="AH163" s="170"/>
      <c r="AI163" s="170"/>
      <c r="AJ163" s="453"/>
      <c r="AK163" s="454"/>
      <c r="AL163" s="453"/>
      <c r="AM163" s="175"/>
      <c r="AN163" s="254"/>
      <c r="AO163" s="175"/>
      <c r="AP163" s="178" t="str">
        <f t="shared" si="18"/>
        <v xml:space="preserve"> </v>
      </c>
    </row>
    <row r="164" spans="1:42" ht="63" customHeight="1">
      <c r="A164" s="188" t="s">
        <v>1263</v>
      </c>
      <c r="B164" s="176"/>
      <c r="C164" s="168"/>
      <c r="D164" s="169"/>
      <c r="E164" s="177"/>
      <c r="F164" s="189" t="str">
        <f>IF(E164="","",VLOOKUP(E164,'Listes déroulantes'!$A$3:$C$39,2))</f>
        <v/>
      </c>
      <c r="G164" s="180"/>
      <c r="H164" s="181"/>
      <c r="I164" s="186"/>
      <c r="J164" s="185"/>
      <c r="K164" s="167"/>
      <c r="L164" s="170"/>
      <c r="M164" s="171"/>
      <c r="N164" s="171"/>
      <c r="O164" s="500" t="str">
        <f t="shared" si="17"/>
        <v/>
      </c>
      <c r="P164" s="501"/>
      <c r="Q164" s="172"/>
      <c r="R164" s="173"/>
      <c r="S164" s="173"/>
      <c r="T164" s="174"/>
      <c r="U164" s="177"/>
      <c r="V164" s="170"/>
      <c r="W164" s="170"/>
      <c r="X164" s="174"/>
      <c r="Y164" s="182"/>
      <c r="Z164" s="179" t="str">
        <f t="shared" si="20"/>
        <v/>
      </c>
      <c r="AA164" s="171"/>
      <c r="AB164" s="183" t="str">
        <f t="shared" ca="1" si="19"/>
        <v/>
      </c>
      <c r="AC164" s="265"/>
      <c r="AD164" s="249"/>
      <c r="AE164" s="170"/>
      <c r="AF164" s="170"/>
      <c r="AG164" s="170"/>
      <c r="AH164" s="170"/>
      <c r="AI164" s="170"/>
      <c r="AJ164" s="453"/>
      <c r="AK164" s="454"/>
      <c r="AL164" s="453"/>
      <c r="AM164" s="175"/>
      <c r="AN164" s="254"/>
      <c r="AO164" s="175"/>
      <c r="AP164" s="178" t="str">
        <f t="shared" si="18"/>
        <v xml:space="preserve"> </v>
      </c>
    </row>
    <row r="165" spans="1:42" ht="63" customHeight="1">
      <c r="A165" s="188" t="s">
        <v>1264</v>
      </c>
      <c r="B165" s="176"/>
      <c r="C165" s="168"/>
      <c r="D165" s="169"/>
      <c r="E165" s="177"/>
      <c r="F165" s="189" t="str">
        <f>IF(E165="","",VLOOKUP(E165,'Listes déroulantes'!$A$3:$C$39,2))</f>
        <v/>
      </c>
      <c r="G165" s="180"/>
      <c r="H165" s="181"/>
      <c r="I165" s="186"/>
      <c r="J165" s="185"/>
      <c r="K165" s="167"/>
      <c r="L165" s="170"/>
      <c r="M165" s="171"/>
      <c r="N165" s="171"/>
      <c r="O165" s="500" t="str">
        <f t="shared" si="17"/>
        <v/>
      </c>
      <c r="P165" s="501"/>
      <c r="Q165" s="172"/>
      <c r="R165" s="173"/>
      <c r="S165" s="173"/>
      <c r="T165" s="174"/>
      <c r="U165" s="177"/>
      <c r="V165" s="170"/>
      <c r="W165" s="170"/>
      <c r="X165" s="174"/>
      <c r="Y165" s="182"/>
      <c r="Z165" s="179" t="str">
        <f t="shared" si="20"/>
        <v/>
      </c>
      <c r="AA165" s="171"/>
      <c r="AB165" s="183" t="str">
        <f t="shared" ca="1" si="19"/>
        <v/>
      </c>
      <c r="AC165" s="265"/>
      <c r="AD165" s="249"/>
      <c r="AE165" s="170"/>
      <c r="AF165" s="170"/>
      <c r="AG165" s="170"/>
      <c r="AH165" s="170"/>
      <c r="AI165" s="170"/>
      <c r="AJ165" s="453"/>
      <c r="AK165" s="454"/>
      <c r="AL165" s="453"/>
      <c r="AM165" s="175"/>
      <c r="AN165" s="254"/>
      <c r="AO165" s="175"/>
      <c r="AP165" s="178" t="str">
        <f t="shared" si="18"/>
        <v xml:space="preserve"> </v>
      </c>
    </row>
    <row r="166" spans="1:42" ht="63" customHeight="1">
      <c r="A166" s="188" t="s">
        <v>1265</v>
      </c>
      <c r="B166" s="176"/>
      <c r="C166" s="168"/>
      <c r="D166" s="169"/>
      <c r="E166" s="177"/>
      <c r="F166" s="189" t="str">
        <f>IF(E166="","",VLOOKUP(E166,'Listes déroulantes'!$A$3:$C$39,2))</f>
        <v/>
      </c>
      <c r="G166" s="180"/>
      <c r="H166" s="181"/>
      <c r="I166" s="186"/>
      <c r="J166" s="185"/>
      <c r="K166" s="167"/>
      <c r="L166" s="170"/>
      <c r="M166" s="171"/>
      <c r="N166" s="171"/>
      <c r="O166" s="500" t="str">
        <f t="shared" si="17"/>
        <v/>
      </c>
      <c r="P166" s="501"/>
      <c r="Q166" s="172"/>
      <c r="R166" s="173"/>
      <c r="S166" s="173"/>
      <c r="T166" s="174"/>
      <c r="U166" s="177"/>
      <c r="V166" s="170"/>
      <c r="W166" s="170"/>
      <c r="X166" s="174"/>
      <c r="Y166" s="182"/>
      <c r="Z166" s="179" t="str">
        <f t="shared" si="20"/>
        <v/>
      </c>
      <c r="AA166" s="171"/>
      <c r="AB166" s="183" t="str">
        <f t="shared" ca="1" si="19"/>
        <v/>
      </c>
      <c r="AC166" s="265"/>
      <c r="AD166" s="249"/>
      <c r="AE166" s="170"/>
      <c r="AF166" s="170"/>
      <c r="AG166" s="170"/>
      <c r="AH166" s="170"/>
      <c r="AI166" s="170"/>
      <c r="AJ166" s="453"/>
      <c r="AK166" s="454"/>
      <c r="AL166" s="453"/>
      <c r="AM166" s="175"/>
      <c r="AN166" s="254"/>
      <c r="AO166" s="175"/>
      <c r="AP166" s="178" t="str">
        <f t="shared" si="18"/>
        <v xml:space="preserve"> </v>
      </c>
    </row>
    <row r="167" spans="1:42" ht="63" customHeight="1">
      <c r="A167" s="188" t="s">
        <v>1266</v>
      </c>
      <c r="B167" s="176"/>
      <c r="C167" s="168"/>
      <c r="D167" s="169"/>
      <c r="E167" s="177"/>
      <c r="F167" s="189" t="str">
        <f>IF(E167="","",VLOOKUP(E167,'Listes déroulantes'!$A$3:$C$39,2))</f>
        <v/>
      </c>
      <c r="G167" s="180"/>
      <c r="H167" s="181"/>
      <c r="I167" s="186"/>
      <c r="J167" s="185"/>
      <c r="K167" s="167"/>
      <c r="L167" s="170"/>
      <c r="M167" s="171"/>
      <c r="N167" s="171"/>
      <c r="O167" s="500" t="str">
        <f t="shared" si="17"/>
        <v/>
      </c>
      <c r="P167" s="501"/>
      <c r="Q167" s="172"/>
      <c r="R167" s="173"/>
      <c r="S167" s="173"/>
      <c r="T167" s="174"/>
      <c r="U167" s="177"/>
      <c r="V167" s="170"/>
      <c r="W167" s="170"/>
      <c r="X167" s="174"/>
      <c r="Y167" s="182"/>
      <c r="Z167" s="179" t="str">
        <f t="shared" si="20"/>
        <v/>
      </c>
      <c r="AA167" s="171"/>
      <c r="AB167" s="183" t="str">
        <f t="shared" ca="1" si="19"/>
        <v/>
      </c>
      <c r="AC167" s="265"/>
      <c r="AD167" s="249"/>
      <c r="AE167" s="170"/>
      <c r="AF167" s="170"/>
      <c r="AG167" s="170"/>
      <c r="AH167" s="170"/>
      <c r="AI167" s="170"/>
      <c r="AJ167" s="453"/>
      <c r="AK167" s="454"/>
      <c r="AL167" s="453"/>
      <c r="AM167" s="175"/>
      <c r="AN167" s="254"/>
      <c r="AO167" s="175"/>
      <c r="AP167" s="178" t="str">
        <f t="shared" si="18"/>
        <v xml:space="preserve"> </v>
      </c>
    </row>
    <row r="168" spans="1:42" ht="63" customHeight="1">
      <c r="A168" s="188" t="s">
        <v>1267</v>
      </c>
      <c r="B168" s="176"/>
      <c r="C168" s="168"/>
      <c r="D168" s="169"/>
      <c r="E168" s="177"/>
      <c r="F168" s="189" t="str">
        <f>IF(E168="","",VLOOKUP(E168,'Listes déroulantes'!$A$3:$C$39,2))</f>
        <v/>
      </c>
      <c r="G168" s="180"/>
      <c r="H168" s="181"/>
      <c r="I168" s="186"/>
      <c r="J168" s="185"/>
      <c r="K168" s="167"/>
      <c r="L168" s="170"/>
      <c r="M168" s="171"/>
      <c r="N168" s="171"/>
      <c r="O168" s="500" t="str">
        <f t="shared" si="17"/>
        <v/>
      </c>
      <c r="P168" s="501"/>
      <c r="Q168" s="172"/>
      <c r="R168" s="173"/>
      <c r="S168" s="173"/>
      <c r="T168" s="174"/>
      <c r="U168" s="177"/>
      <c r="V168" s="170"/>
      <c r="W168" s="170"/>
      <c r="X168" s="174"/>
      <c r="Y168" s="182"/>
      <c r="Z168" s="179" t="str">
        <f t="shared" si="20"/>
        <v/>
      </c>
      <c r="AA168" s="171"/>
      <c r="AB168" s="183" t="str">
        <f t="shared" ca="1" si="19"/>
        <v/>
      </c>
      <c r="AC168" s="265"/>
      <c r="AD168" s="249"/>
      <c r="AE168" s="249"/>
      <c r="AF168" s="249"/>
      <c r="AG168" s="249"/>
      <c r="AH168" s="249"/>
      <c r="AI168" s="249"/>
      <c r="AJ168" s="453"/>
      <c r="AK168" s="454"/>
      <c r="AL168" s="453"/>
      <c r="AM168" s="175"/>
      <c r="AN168" s="254"/>
      <c r="AO168" s="254"/>
      <c r="AP168" s="178" t="str">
        <f t="shared" si="18"/>
        <v xml:space="preserve"> </v>
      </c>
    </row>
    <row r="169" spans="1:42" ht="63" customHeight="1">
      <c r="A169" s="188" t="s">
        <v>1268</v>
      </c>
      <c r="B169" s="176"/>
      <c r="C169" s="168"/>
      <c r="D169" s="169"/>
      <c r="E169" s="177"/>
      <c r="F169" s="189" t="str">
        <f>IF(E169="","",VLOOKUP(E169,'Listes déroulantes'!$A$3:$C$39,2))</f>
        <v/>
      </c>
      <c r="G169" s="180"/>
      <c r="H169" s="181"/>
      <c r="I169" s="186"/>
      <c r="J169" s="185"/>
      <c r="K169" s="167"/>
      <c r="L169" s="170"/>
      <c r="M169" s="171"/>
      <c r="N169" s="171"/>
      <c r="O169" s="500" t="str">
        <f t="shared" si="17"/>
        <v/>
      </c>
      <c r="P169" s="501"/>
      <c r="Q169" s="172"/>
      <c r="R169" s="173"/>
      <c r="S169" s="173"/>
      <c r="T169" s="174"/>
      <c r="U169" s="177"/>
      <c r="V169" s="170"/>
      <c r="W169" s="170"/>
      <c r="X169" s="174"/>
      <c r="Y169" s="182"/>
      <c r="Z169" s="179" t="str">
        <f t="shared" si="20"/>
        <v/>
      </c>
      <c r="AA169" s="171"/>
      <c r="AB169" s="183" t="str">
        <f t="shared" ca="1" si="19"/>
        <v/>
      </c>
      <c r="AC169" s="265"/>
      <c r="AD169" s="249"/>
      <c r="AE169" s="170"/>
      <c r="AF169" s="170"/>
      <c r="AG169" s="170"/>
      <c r="AH169" s="170"/>
      <c r="AI169" s="170"/>
      <c r="AJ169" s="453"/>
      <c r="AK169" s="454"/>
      <c r="AL169" s="453"/>
      <c r="AM169" s="175"/>
      <c r="AN169" s="254"/>
      <c r="AO169" s="175"/>
      <c r="AP169" s="178" t="str">
        <f t="shared" si="18"/>
        <v xml:space="preserve"> </v>
      </c>
    </row>
    <row r="170" spans="1:42" ht="63" customHeight="1">
      <c r="A170" s="188" t="s">
        <v>1269</v>
      </c>
      <c r="B170" s="176"/>
      <c r="C170" s="168"/>
      <c r="D170" s="169"/>
      <c r="E170" s="177"/>
      <c r="F170" s="189" t="str">
        <f>IF(E170="","",VLOOKUP(E170,'Listes déroulantes'!$A$3:$C$39,2))</f>
        <v/>
      </c>
      <c r="G170" s="180"/>
      <c r="H170" s="181"/>
      <c r="I170" s="186"/>
      <c r="J170" s="185"/>
      <c r="K170" s="167"/>
      <c r="L170" s="170"/>
      <c r="M170" s="171"/>
      <c r="N170" s="171"/>
      <c r="O170" s="500" t="str">
        <f t="shared" ref="O170:O233" si="21">IF(L170="avec arrêt",(N170-M170)+1,"")</f>
        <v/>
      </c>
      <c r="P170" s="501"/>
      <c r="Q170" s="172"/>
      <c r="R170" s="173"/>
      <c r="S170" s="173"/>
      <c r="T170" s="174"/>
      <c r="U170" s="177"/>
      <c r="V170" s="170"/>
      <c r="W170" s="170"/>
      <c r="X170" s="174"/>
      <c r="Y170" s="182"/>
      <c r="Z170" s="179" t="str">
        <f t="shared" si="20"/>
        <v/>
      </c>
      <c r="AA170" s="171"/>
      <c r="AB170" s="183" t="str">
        <f t="shared" ca="1" si="19"/>
        <v/>
      </c>
      <c r="AC170" s="265"/>
      <c r="AD170" s="249"/>
      <c r="AE170" s="170"/>
      <c r="AF170" s="170"/>
      <c r="AG170" s="170"/>
      <c r="AH170" s="170"/>
      <c r="AI170" s="170"/>
      <c r="AJ170" s="453"/>
      <c r="AK170" s="454"/>
      <c r="AL170" s="453"/>
      <c r="AM170" s="175"/>
      <c r="AN170" s="254"/>
      <c r="AO170" s="175"/>
      <c r="AP170" s="178" t="str">
        <f t="shared" si="18"/>
        <v xml:space="preserve"> </v>
      </c>
    </row>
    <row r="171" spans="1:42" ht="63" customHeight="1">
      <c r="A171" s="188" t="s">
        <v>1270</v>
      </c>
      <c r="B171" s="176"/>
      <c r="C171" s="168"/>
      <c r="D171" s="169"/>
      <c r="E171" s="177"/>
      <c r="F171" s="189" t="str">
        <f>IF(E171="","",VLOOKUP(E171,'Listes déroulantes'!$A$3:$C$39,2))</f>
        <v/>
      </c>
      <c r="G171" s="180"/>
      <c r="H171" s="181"/>
      <c r="I171" s="186"/>
      <c r="J171" s="185"/>
      <c r="K171" s="167"/>
      <c r="L171" s="170"/>
      <c r="M171" s="171"/>
      <c r="N171" s="171"/>
      <c r="O171" s="500" t="str">
        <f t="shared" si="21"/>
        <v/>
      </c>
      <c r="P171" s="501"/>
      <c r="Q171" s="172"/>
      <c r="R171" s="173"/>
      <c r="S171" s="173"/>
      <c r="T171" s="174"/>
      <c r="U171" s="177"/>
      <c r="V171" s="170"/>
      <c r="W171" s="170"/>
      <c r="X171" s="174"/>
      <c r="Y171" s="182"/>
      <c r="Z171" s="179" t="str">
        <f t="shared" si="20"/>
        <v/>
      </c>
      <c r="AA171" s="171"/>
      <c r="AB171" s="183" t="str">
        <f t="shared" ca="1" si="19"/>
        <v/>
      </c>
      <c r="AC171" s="265"/>
      <c r="AD171" s="249"/>
      <c r="AE171" s="170"/>
      <c r="AF171" s="170"/>
      <c r="AG171" s="170"/>
      <c r="AH171" s="170"/>
      <c r="AI171" s="170"/>
      <c r="AJ171" s="453"/>
      <c r="AK171" s="454"/>
      <c r="AL171" s="453"/>
      <c r="AM171" s="175"/>
      <c r="AN171" s="254"/>
      <c r="AO171" s="175"/>
      <c r="AP171" s="178" t="str">
        <f t="shared" si="18"/>
        <v xml:space="preserve"> </v>
      </c>
    </row>
    <row r="172" spans="1:42" ht="63" customHeight="1">
      <c r="A172" s="188" t="s">
        <v>1271</v>
      </c>
      <c r="B172" s="176"/>
      <c r="C172" s="168"/>
      <c r="D172" s="169"/>
      <c r="E172" s="177"/>
      <c r="F172" s="189" t="str">
        <f>IF(E172="","",VLOOKUP(E172,'Listes déroulantes'!$A$3:$C$39,2))</f>
        <v/>
      </c>
      <c r="G172" s="180"/>
      <c r="H172" s="181"/>
      <c r="I172" s="186"/>
      <c r="J172" s="185"/>
      <c r="K172" s="167"/>
      <c r="L172" s="170"/>
      <c r="M172" s="171"/>
      <c r="N172" s="171"/>
      <c r="O172" s="500" t="str">
        <f t="shared" si="21"/>
        <v/>
      </c>
      <c r="P172" s="501"/>
      <c r="Q172" s="172"/>
      <c r="R172" s="173"/>
      <c r="S172" s="173"/>
      <c r="T172" s="174"/>
      <c r="U172" s="177"/>
      <c r="V172" s="170"/>
      <c r="W172" s="170"/>
      <c r="X172" s="174"/>
      <c r="Y172" s="182"/>
      <c r="Z172" s="179" t="str">
        <f t="shared" si="20"/>
        <v/>
      </c>
      <c r="AA172" s="171"/>
      <c r="AB172" s="183" t="str">
        <f t="shared" ca="1" si="19"/>
        <v/>
      </c>
      <c r="AC172" s="265"/>
      <c r="AD172" s="249"/>
      <c r="AE172" s="170"/>
      <c r="AF172" s="170"/>
      <c r="AG172" s="170"/>
      <c r="AH172" s="170"/>
      <c r="AI172" s="170"/>
      <c r="AJ172" s="453"/>
      <c r="AK172" s="454"/>
      <c r="AL172" s="453"/>
      <c r="AM172" s="175"/>
      <c r="AN172" s="254"/>
      <c r="AO172" s="175"/>
      <c r="AP172" s="178" t="str">
        <f t="shared" si="18"/>
        <v xml:space="preserve"> </v>
      </c>
    </row>
    <row r="173" spans="1:42" ht="63" customHeight="1">
      <c r="A173" s="188" t="s">
        <v>1272</v>
      </c>
      <c r="B173" s="176"/>
      <c r="C173" s="168"/>
      <c r="D173" s="169"/>
      <c r="E173" s="177"/>
      <c r="F173" s="189" t="str">
        <f>IF(E173="","",VLOOKUP(E173,'Listes déroulantes'!$A$3:$C$39,2))</f>
        <v/>
      </c>
      <c r="G173" s="180"/>
      <c r="H173" s="181"/>
      <c r="I173" s="186"/>
      <c r="J173" s="185"/>
      <c r="K173" s="167"/>
      <c r="L173" s="170"/>
      <c r="M173" s="171"/>
      <c r="N173" s="171"/>
      <c r="O173" s="500" t="str">
        <f t="shared" si="21"/>
        <v/>
      </c>
      <c r="P173" s="501"/>
      <c r="Q173" s="172"/>
      <c r="R173" s="173"/>
      <c r="S173" s="173"/>
      <c r="T173" s="174"/>
      <c r="U173" s="177"/>
      <c r="V173" s="170"/>
      <c r="W173" s="170"/>
      <c r="X173" s="174"/>
      <c r="Y173" s="182"/>
      <c r="Z173" s="179" t="str">
        <f t="shared" si="20"/>
        <v/>
      </c>
      <c r="AA173" s="171"/>
      <c r="AB173" s="183" t="str">
        <f t="shared" ca="1" si="19"/>
        <v/>
      </c>
      <c r="AC173" s="265"/>
      <c r="AD173" s="249"/>
      <c r="AE173" s="170"/>
      <c r="AF173" s="170"/>
      <c r="AG173" s="170"/>
      <c r="AH173" s="170"/>
      <c r="AI173" s="170"/>
      <c r="AJ173" s="453"/>
      <c r="AK173" s="454"/>
      <c r="AL173" s="453"/>
      <c r="AM173" s="175"/>
      <c r="AN173" s="254"/>
      <c r="AO173" s="175"/>
      <c r="AP173" s="178" t="str">
        <f t="shared" si="18"/>
        <v xml:space="preserve"> </v>
      </c>
    </row>
    <row r="174" spans="1:42" ht="63" customHeight="1">
      <c r="A174" s="188" t="s">
        <v>1273</v>
      </c>
      <c r="B174" s="176"/>
      <c r="C174" s="168"/>
      <c r="D174" s="169"/>
      <c r="E174" s="177"/>
      <c r="F174" s="189" t="str">
        <f>IF(E174="","",VLOOKUP(E174,'Listes déroulantes'!$A$3:$C$39,2))</f>
        <v/>
      </c>
      <c r="G174" s="180"/>
      <c r="H174" s="181"/>
      <c r="I174" s="186"/>
      <c r="J174" s="185"/>
      <c r="K174" s="167"/>
      <c r="L174" s="170"/>
      <c r="M174" s="171"/>
      <c r="N174" s="171"/>
      <c r="O174" s="500" t="str">
        <f t="shared" si="21"/>
        <v/>
      </c>
      <c r="P174" s="501"/>
      <c r="Q174" s="172"/>
      <c r="R174" s="173"/>
      <c r="S174" s="173"/>
      <c r="T174" s="174"/>
      <c r="U174" s="177"/>
      <c r="V174" s="170"/>
      <c r="W174" s="170"/>
      <c r="X174" s="174"/>
      <c r="Y174" s="182"/>
      <c r="Z174" s="179" t="str">
        <f t="shared" si="20"/>
        <v/>
      </c>
      <c r="AA174" s="171"/>
      <c r="AB174" s="183" t="str">
        <f t="shared" ca="1" si="19"/>
        <v/>
      </c>
      <c r="AC174" s="265"/>
      <c r="AD174" s="249"/>
      <c r="AE174" s="170"/>
      <c r="AF174" s="170"/>
      <c r="AG174" s="170"/>
      <c r="AH174" s="170"/>
      <c r="AI174" s="170"/>
      <c r="AJ174" s="453"/>
      <c r="AK174" s="454"/>
      <c r="AL174" s="453"/>
      <c r="AM174" s="175"/>
      <c r="AN174" s="254"/>
      <c r="AO174" s="175"/>
      <c r="AP174" s="178" t="str">
        <f t="shared" si="18"/>
        <v xml:space="preserve"> </v>
      </c>
    </row>
    <row r="175" spans="1:42" ht="63" customHeight="1">
      <c r="A175" s="188" t="s">
        <v>1274</v>
      </c>
      <c r="B175" s="176"/>
      <c r="C175" s="168"/>
      <c r="D175" s="169"/>
      <c r="E175" s="177"/>
      <c r="F175" s="189" t="str">
        <f>IF(E175="","",VLOOKUP(E175,'Listes déroulantes'!$A$3:$C$39,2))</f>
        <v/>
      </c>
      <c r="G175" s="180"/>
      <c r="H175" s="181"/>
      <c r="I175" s="186"/>
      <c r="J175" s="185"/>
      <c r="K175" s="167"/>
      <c r="L175" s="170"/>
      <c r="M175" s="171"/>
      <c r="N175" s="171"/>
      <c r="O175" s="500" t="str">
        <f t="shared" si="21"/>
        <v/>
      </c>
      <c r="P175" s="501"/>
      <c r="Q175" s="172"/>
      <c r="R175" s="173"/>
      <c r="S175" s="173"/>
      <c r="T175" s="174"/>
      <c r="U175" s="177"/>
      <c r="V175" s="170"/>
      <c r="W175" s="170"/>
      <c r="X175" s="174"/>
      <c r="Y175" s="182"/>
      <c r="Z175" s="179" t="str">
        <f t="shared" si="20"/>
        <v/>
      </c>
      <c r="AA175" s="171"/>
      <c r="AB175" s="183" t="str">
        <f t="shared" ca="1" si="19"/>
        <v/>
      </c>
      <c r="AC175" s="265"/>
      <c r="AD175" s="249"/>
      <c r="AE175" s="170"/>
      <c r="AF175" s="170"/>
      <c r="AG175" s="170"/>
      <c r="AH175" s="170"/>
      <c r="AI175" s="170"/>
      <c r="AJ175" s="453"/>
      <c r="AK175" s="454"/>
      <c r="AL175" s="453"/>
      <c r="AM175" s="175"/>
      <c r="AN175" s="254"/>
      <c r="AO175" s="175"/>
      <c r="AP175" s="178" t="str">
        <f t="shared" si="18"/>
        <v xml:space="preserve"> </v>
      </c>
    </row>
    <row r="176" spans="1:42" ht="63" customHeight="1">
      <c r="A176" s="188" t="s">
        <v>1275</v>
      </c>
      <c r="B176" s="176"/>
      <c r="C176" s="168"/>
      <c r="D176" s="169"/>
      <c r="E176" s="177"/>
      <c r="F176" s="189" t="str">
        <f>IF(E176="","",VLOOKUP(E176,'Listes déroulantes'!$A$3:$C$39,2))</f>
        <v/>
      </c>
      <c r="G176" s="180"/>
      <c r="H176" s="181"/>
      <c r="I176" s="186"/>
      <c r="J176" s="185"/>
      <c r="K176" s="167"/>
      <c r="L176" s="170"/>
      <c r="M176" s="171"/>
      <c r="N176" s="171"/>
      <c r="O176" s="500" t="str">
        <f t="shared" si="21"/>
        <v/>
      </c>
      <c r="P176" s="501"/>
      <c r="Q176" s="172"/>
      <c r="R176" s="173"/>
      <c r="S176" s="173"/>
      <c r="T176" s="174"/>
      <c r="U176" s="177"/>
      <c r="V176" s="170"/>
      <c r="W176" s="170"/>
      <c r="X176" s="174"/>
      <c r="Y176" s="182"/>
      <c r="Z176" s="179" t="str">
        <f t="shared" si="20"/>
        <v/>
      </c>
      <c r="AA176" s="171"/>
      <c r="AB176" s="183" t="str">
        <f t="shared" ca="1" si="19"/>
        <v/>
      </c>
      <c r="AC176" s="265"/>
      <c r="AD176" s="249"/>
      <c r="AE176" s="170"/>
      <c r="AF176" s="170"/>
      <c r="AG176" s="170"/>
      <c r="AH176" s="170"/>
      <c r="AI176" s="170"/>
      <c r="AJ176" s="453"/>
      <c r="AK176" s="454"/>
      <c r="AL176" s="453"/>
      <c r="AM176" s="175"/>
      <c r="AN176" s="254"/>
      <c r="AO176" s="175"/>
      <c r="AP176" s="178" t="str">
        <f t="shared" si="18"/>
        <v xml:space="preserve"> </v>
      </c>
    </row>
    <row r="177" spans="1:42" ht="63" customHeight="1">
      <c r="A177" s="188" t="s">
        <v>1276</v>
      </c>
      <c r="B177" s="176"/>
      <c r="C177" s="168"/>
      <c r="D177" s="169"/>
      <c r="E177" s="177"/>
      <c r="F177" s="189" t="str">
        <f>IF(E177="","",VLOOKUP(E177,'Listes déroulantes'!$A$3:$C$39,2))</f>
        <v/>
      </c>
      <c r="G177" s="180"/>
      <c r="H177" s="181"/>
      <c r="I177" s="186"/>
      <c r="J177" s="185"/>
      <c r="K177" s="167"/>
      <c r="L177" s="170"/>
      <c r="M177" s="171"/>
      <c r="N177" s="171"/>
      <c r="O177" s="500" t="str">
        <f t="shared" si="21"/>
        <v/>
      </c>
      <c r="P177" s="501"/>
      <c r="Q177" s="172"/>
      <c r="R177" s="173"/>
      <c r="S177" s="173"/>
      <c r="T177" s="174"/>
      <c r="U177" s="177"/>
      <c r="V177" s="170"/>
      <c r="W177" s="170"/>
      <c r="X177" s="174"/>
      <c r="Y177" s="182"/>
      <c r="Z177" s="179" t="str">
        <f t="shared" si="20"/>
        <v/>
      </c>
      <c r="AA177" s="171"/>
      <c r="AB177" s="183" t="str">
        <f t="shared" ca="1" si="19"/>
        <v/>
      </c>
      <c r="AC177" s="265"/>
      <c r="AD177" s="249"/>
      <c r="AE177" s="170"/>
      <c r="AF177" s="170"/>
      <c r="AG177" s="170"/>
      <c r="AH177" s="170"/>
      <c r="AI177" s="170"/>
      <c r="AJ177" s="453"/>
      <c r="AK177" s="454"/>
      <c r="AL177" s="453"/>
      <c r="AM177" s="175"/>
      <c r="AN177" s="254"/>
      <c r="AO177" s="175"/>
      <c r="AP177" s="178" t="str">
        <f t="shared" si="18"/>
        <v xml:space="preserve"> </v>
      </c>
    </row>
    <row r="178" spans="1:42" ht="63" customHeight="1">
      <c r="A178" s="188" t="s">
        <v>1277</v>
      </c>
      <c r="B178" s="176"/>
      <c r="C178" s="168"/>
      <c r="D178" s="169"/>
      <c r="E178" s="177"/>
      <c r="F178" s="189" t="str">
        <f>IF(E178="","",VLOOKUP(E178,'Listes déroulantes'!$A$3:$C$39,2))</f>
        <v/>
      </c>
      <c r="G178" s="180"/>
      <c r="H178" s="181"/>
      <c r="I178" s="186"/>
      <c r="J178" s="185"/>
      <c r="K178" s="167"/>
      <c r="L178" s="170"/>
      <c r="M178" s="171"/>
      <c r="N178" s="171"/>
      <c r="O178" s="500" t="str">
        <f t="shared" si="21"/>
        <v/>
      </c>
      <c r="P178" s="501"/>
      <c r="Q178" s="172"/>
      <c r="R178" s="173"/>
      <c r="S178" s="173"/>
      <c r="T178" s="174"/>
      <c r="U178" s="177"/>
      <c r="V178" s="170"/>
      <c r="W178" s="170"/>
      <c r="X178" s="174"/>
      <c r="Y178" s="182"/>
      <c r="Z178" s="179" t="str">
        <f t="shared" si="20"/>
        <v/>
      </c>
      <c r="AA178" s="171"/>
      <c r="AB178" s="183" t="str">
        <f t="shared" ca="1" si="19"/>
        <v/>
      </c>
      <c r="AC178" s="265"/>
      <c r="AD178" s="249"/>
      <c r="AE178" s="170"/>
      <c r="AF178" s="170"/>
      <c r="AG178" s="170"/>
      <c r="AH178" s="170"/>
      <c r="AI178" s="170"/>
      <c r="AJ178" s="453"/>
      <c r="AK178" s="454"/>
      <c r="AL178" s="453"/>
      <c r="AM178" s="175"/>
      <c r="AN178" s="254"/>
      <c r="AO178" s="175"/>
      <c r="AP178" s="178" t="str">
        <f t="shared" si="18"/>
        <v xml:space="preserve"> </v>
      </c>
    </row>
    <row r="179" spans="1:42" ht="63" customHeight="1">
      <c r="A179" s="188" t="s">
        <v>1278</v>
      </c>
      <c r="B179" s="176"/>
      <c r="C179" s="168"/>
      <c r="D179" s="169"/>
      <c r="E179" s="177"/>
      <c r="F179" s="189" t="str">
        <f>IF(E179="","",VLOOKUP(E179,'Listes déroulantes'!$A$3:$C$39,2))</f>
        <v/>
      </c>
      <c r="G179" s="180"/>
      <c r="H179" s="181"/>
      <c r="I179" s="186"/>
      <c r="J179" s="185"/>
      <c r="K179" s="167"/>
      <c r="L179" s="170"/>
      <c r="M179" s="171"/>
      <c r="N179" s="171"/>
      <c r="O179" s="500" t="str">
        <f t="shared" si="21"/>
        <v/>
      </c>
      <c r="P179" s="501"/>
      <c r="Q179" s="172"/>
      <c r="R179" s="173"/>
      <c r="S179" s="173"/>
      <c r="T179" s="174"/>
      <c r="U179" s="177"/>
      <c r="V179" s="170"/>
      <c r="W179" s="170"/>
      <c r="X179" s="174"/>
      <c r="Y179" s="182"/>
      <c r="Z179" s="179" t="str">
        <f t="shared" si="20"/>
        <v/>
      </c>
      <c r="AA179" s="171"/>
      <c r="AB179" s="183" t="str">
        <f t="shared" ca="1" si="19"/>
        <v/>
      </c>
      <c r="AC179" s="265"/>
      <c r="AD179" s="249"/>
      <c r="AE179" s="249"/>
      <c r="AF179" s="249"/>
      <c r="AG179" s="249"/>
      <c r="AH179" s="249"/>
      <c r="AI179" s="249"/>
      <c r="AJ179" s="453"/>
      <c r="AK179" s="454"/>
      <c r="AL179" s="453"/>
      <c r="AM179" s="175"/>
      <c r="AN179" s="254"/>
      <c r="AO179" s="254"/>
      <c r="AP179" s="178" t="str">
        <f t="shared" si="18"/>
        <v xml:space="preserve"> </v>
      </c>
    </row>
    <row r="180" spans="1:42" ht="63" customHeight="1">
      <c r="A180" s="188" t="s">
        <v>1279</v>
      </c>
      <c r="B180" s="176"/>
      <c r="C180" s="168"/>
      <c r="D180" s="169"/>
      <c r="E180" s="177"/>
      <c r="F180" s="189" t="str">
        <f>IF(E180="","",VLOOKUP(E180,'Listes déroulantes'!$A$3:$C$39,2))</f>
        <v/>
      </c>
      <c r="G180" s="180"/>
      <c r="H180" s="181"/>
      <c r="I180" s="186"/>
      <c r="J180" s="185"/>
      <c r="K180" s="167"/>
      <c r="L180" s="170"/>
      <c r="M180" s="171"/>
      <c r="N180" s="171"/>
      <c r="O180" s="500" t="str">
        <f t="shared" si="21"/>
        <v/>
      </c>
      <c r="P180" s="501"/>
      <c r="Q180" s="172"/>
      <c r="R180" s="173"/>
      <c r="S180" s="173"/>
      <c r="T180" s="174"/>
      <c r="U180" s="177"/>
      <c r="V180" s="170"/>
      <c r="W180" s="170"/>
      <c r="X180" s="174"/>
      <c r="Y180" s="182"/>
      <c r="Z180" s="179" t="str">
        <f t="shared" si="20"/>
        <v/>
      </c>
      <c r="AA180" s="171"/>
      <c r="AB180" s="183" t="str">
        <f t="shared" ca="1" si="19"/>
        <v/>
      </c>
      <c r="AC180" s="265"/>
      <c r="AD180" s="249"/>
      <c r="AE180" s="170"/>
      <c r="AF180" s="170"/>
      <c r="AG180" s="170"/>
      <c r="AH180" s="170"/>
      <c r="AI180" s="170"/>
      <c r="AJ180" s="453"/>
      <c r="AK180" s="454"/>
      <c r="AL180" s="453"/>
      <c r="AM180" s="175"/>
      <c r="AN180" s="254"/>
      <c r="AO180" s="175"/>
      <c r="AP180" s="178" t="str">
        <f t="shared" si="18"/>
        <v xml:space="preserve"> </v>
      </c>
    </row>
    <row r="181" spans="1:42" ht="63" customHeight="1">
      <c r="A181" s="188" t="s">
        <v>1280</v>
      </c>
      <c r="B181" s="176"/>
      <c r="C181" s="168"/>
      <c r="D181" s="169"/>
      <c r="E181" s="177"/>
      <c r="F181" s="189" t="str">
        <f>IF(E181="","",VLOOKUP(E181,'Listes déroulantes'!$A$3:$C$39,2))</f>
        <v/>
      </c>
      <c r="G181" s="180"/>
      <c r="H181" s="181"/>
      <c r="I181" s="186"/>
      <c r="J181" s="185"/>
      <c r="K181" s="167"/>
      <c r="L181" s="170"/>
      <c r="M181" s="171"/>
      <c r="N181" s="171"/>
      <c r="O181" s="500" t="str">
        <f t="shared" si="21"/>
        <v/>
      </c>
      <c r="P181" s="501"/>
      <c r="Q181" s="172"/>
      <c r="R181" s="173"/>
      <c r="S181" s="173"/>
      <c r="T181" s="174"/>
      <c r="U181" s="177"/>
      <c r="V181" s="170"/>
      <c r="W181" s="170"/>
      <c r="X181" s="174"/>
      <c r="Y181" s="182"/>
      <c r="Z181" s="179" t="str">
        <f t="shared" si="20"/>
        <v/>
      </c>
      <c r="AA181" s="171"/>
      <c r="AB181" s="183" t="str">
        <f t="shared" ca="1" si="19"/>
        <v/>
      </c>
      <c r="AC181" s="265"/>
      <c r="AD181" s="249"/>
      <c r="AE181" s="170"/>
      <c r="AF181" s="170"/>
      <c r="AG181" s="170"/>
      <c r="AH181" s="170"/>
      <c r="AI181" s="170"/>
      <c r="AJ181" s="453"/>
      <c r="AK181" s="454"/>
      <c r="AL181" s="453"/>
      <c r="AM181" s="175"/>
      <c r="AN181" s="254"/>
      <c r="AO181" s="175"/>
      <c r="AP181" s="178" t="str">
        <f t="shared" si="18"/>
        <v xml:space="preserve"> </v>
      </c>
    </row>
    <row r="182" spans="1:42" ht="63" customHeight="1">
      <c r="A182" s="188" t="s">
        <v>1281</v>
      </c>
      <c r="B182" s="176"/>
      <c r="C182" s="168"/>
      <c r="D182" s="169"/>
      <c r="E182" s="177"/>
      <c r="F182" s="189" t="str">
        <f>IF(E182="","",VLOOKUP(E182,'Listes déroulantes'!$A$3:$C$39,2))</f>
        <v/>
      </c>
      <c r="G182" s="180"/>
      <c r="H182" s="181"/>
      <c r="I182" s="186"/>
      <c r="J182" s="185"/>
      <c r="K182" s="167"/>
      <c r="L182" s="170"/>
      <c r="M182" s="171"/>
      <c r="N182" s="171"/>
      <c r="O182" s="500" t="str">
        <f t="shared" si="21"/>
        <v/>
      </c>
      <c r="P182" s="501"/>
      <c r="Q182" s="172"/>
      <c r="R182" s="173"/>
      <c r="S182" s="173"/>
      <c r="T182" s="174"/>
      <c r="U182" s="177"/>
      <c r="V182" s="170"/>
      <c r="W182" s="170"/>
      <c r="X182" s="174"/>
      <c r="Y182" s="182"/>
      <c r="Z182" s="179" t="str">
        <f t="shared" si="20"/>
        <v/>
      </c>
      <c r="AA182" s="171"/>
      <c r="AB182" s="183" t="str">
        <f t="shared" ca="1" si="19"/>
        <v/>
      </c>
      <c r="AC182" s="265"/>
      <c r="AD182" s="249"/>
      <c r="AE182" s="170"/>
      <c r="AF182" s="170"/>
      <c r="AG182" s="170"/>
      <c r="AH182" s="170"/>
      <c r="AI182" s="170"/>
      <c r="AJ182" s="453"/>
      <c r="AK182" s="454"/>
      <c r="AL182" s="453"/>
      <c r="AM182" s="175"/>
      <c r="AN182" s="254"/>
      <c r="AO182" s="175"/>
      <c r="AP182" s="178" t="str">
        <f t="shared" si="18"/>
        <v xml:space="preserve"> </v>
      </c>
    </row>
    <row r="183" spans="1:42" ht="63" customHeight="1">
      <c r="A183" s="188" t="s">
        <v>1282</v>
      </c>
      <c r="B183" s="176"/>
      <c r="C183" s="168"/>
      <c r="D183" s="169"/>
      <c r="E183" s="177"/>
      <c r="F183" s="189" t="str">
        <f>IF(E183="","",VLOOKUP(E183,'Listes déroulantes'!$A$3:$C$39,2))</f>
        <v/>
      </c>
      <c r="G183" s="180"/>
      <c r="H183" s="181"/>
      <c r="I183" s="186"/>
      <c r="J183" s="185"/>
      <c r="K183" s="167"/>
      <c r="L183" s="170"/>
      <c r="M183" s="171"/>
      <c r="N183" s="171"/>
      <c r="O183" s="500" t="str">
        <f t="shared" si="21"/>
        <v/>
      </c>
      <c r="P183" s="501"/>
      <c r="Q183" s="172"/>
      <c r="R183" s="173"/>
      <c r="S183" s="173"/>
      <c r="T183" s="174"/>
      <c r="U183" s="177"/>
      <c r="V183" s="170"/>
      <c r="W183" s="170"/>
      <c r="X183" s="174"/>
      <c r="Y183" s="182"/>
      <c r="Z183" s="179" t="str">
        <f t="shared" si="20"/>
        <v/>
      </c>
      <c r="AA183" s="171"/>
      <c r="AB183" s="183" t="str">
        <f t="shared" ca="1" si="19"/>
        <v/>
      </c>
      <c r="AC183" s="265"/>
      <c r="AD183" s="249"/>
      <c r="AE183" s="170"/>
      <c r="AF183" s="170"/>
      <c r="AG183" s="170"/>
      <c r="AH183" s="170"/>
      <c r="AI183" s="170"/>
      <c r="AJ183" s="453"/>
      <c r="AK183" s="454"/>
      <c r="AL183" s="453"/>
      <c r="AM183" s="175"/>
      <c r="AN183" s="254"/>
      <c r="AO183" s="175"/>
      <c r="AP183" s="178" t="str">
        <f t="shared" si="18"/>
        <v xml:space="preserve"> </v>
      </c>
    </row>
    <row r="184" spans="1:42" ht="63" customHeight="1">
      <c r="A184" s="188" t="s">
        <v>1283</v>
      </c>
      <c r="B184" s="176"/>
      <c r="C184" s="168"/>
      <c r="D184" s="169"/>
      <c r="E184" s="177"/>
      <c r="F184" s="189" t="str">
        <f>IF(E184="","",VLOOKUP(E184,'Listes déroulantes'!$A$3:$C$39,2))</f>
        <v/>
      </c>
      <c r="G184" s="180"/>
      <c r="H184" s="181"/>
      <c r="I184" s="186"/>
      <c r="J184" s="185"/>
      <c r="K184" s="167"/>
      <c r="L184" s="170"/>
      <c r="M184" s="171"/>
      <c r="N184" s="171"/>
      <c r="O184" s="500" t="str">
        <f t="shared" si="21"/>
        <v/>
      </c>
      <c r="P184" s="501"/>
      <c r="Q184" s="172"/>
      <c r="R184" s="173"/>
      <c r="S184" s="173"/>
      <c r="T184" s="174"/>
      <c r="U184" s="177"/>
      <c r="V184" s="170"/>
      <c r="W184" s="170"/>
      <c r="X184" s="174"/>
      <c r="Y184" s="182"/>
      <c r="Z184" s="179" t="str">
        <f t="shared" si="20"/>
        <v/>
      </c>
      <c r="AA184" s="171"/>
      <c r="AB184" s="183" t="str">
        <f t="shared" ca="1" si="19"/>
        <v/>
      </c>
      <c r="AC184" s="265"/>
      <c r="AD184" s="249"/>
      <c r="AE184" s="170"/>
      <c r="AF184" s="170"/>
      <c r="AG184" s="170"/>
      <c r="AH184" s="170"/>
      <c r="AI184" s="170"/>
      <c r="AJ184" s="453"/>
      <c r="AK184" s="454"/>
      <c r="AL184" s="453"/>
      <c r="AM184" s="175"/>
      <c r="AN184" s="254"/>
      <c r="AO184" s="175"/>
      <c r="AP184" s="178" t="str">
        <f t="shared" si="18"/>
        <v xml:space="preserve"> </v>
      </c>
    </row>
    <row r="185" spans="1:42" ht="63" customHeight="1">
      <c r="A185" s="188" t="s">
        <v>1284</v>
      </c>
      <c r="B185" s="176"/>
      <c r="C185" s="168"/>
      <c r="D185" s="169"/>
      <c r="E185" s="177"/>
      <c r="F185" s="189" t="str">
        <f>IF(E185="","",VLOOKUP(E185,'Listes déroulantes'!$A$3:$C$39,2))</f>
        <v/>
      </c>
      <c r="G185" s="180"/>
      <c r="H185" s="181"/>
      <c r="I185" s="186"/>
      <c r="J185" s="185"/>
      <c r="K185" s="167"/>
      <c r="L185" s="170"/>
      <c r="M185" s="171"/>
      <c r="N185" s="171"/>
      <c r="O185" s="500" t="str">
        <f t="shared" si="21"/>
        <v/>
      </c>
      <c r="P185" s="501"/>
      <c r="Q185" s="172"/>
      <c r="R185" s="173"/>
      <c r="S185" s="173"/>
      <c r="T185" s="174"/>
      <c r="U185" s="177"/>
      <c r="V185" s="170"/>
      <c r="W185" s="170"/>
      <c r="X185" s="174"/>
      <c r="Y185" s="182"/>
      <c r="Z185" s="179" t="str">
        <f t="shared" si="20"/>
        <v/>
      </c>
      <c r="AA185" s="171"/>
      <c r="AB185" s="183" t="str">
        <f t="shared" ca="1" si="19"/>
        <v/>
      </c>
      <c r="AC185" s="265"/>
      <c r="AD185" s="249"/>
      <c r="AE185" s="170"/>
      <c r="AF185" s="170"/>
      <c r="AG185" s="170"/>
      <c r="AH185" s="170"/>
      <c r="AI185" s="170"/>
      <c r="AJ185" s="453"/>
      <c r="AK185" s="454"/>
      <c r="AL185" s="453"/>
      <c r="AM185" s="175"/>
      <c r="AN185" s="254"/>
      <c r="AO185" s="175"/>
      <c r="AP185" s="178" t="str">
        <f t="shared" si="18"/>
        <v xml:space="preserve"> </v>
      </c>
    </row>
    <row r="186" spans="1:42" ht="63" customHeight="1">
      <c r="A186" s="188" t="s">
        <v>1285</v>
      </c>
      <c r="B186" s="176"/>
      <c r="C186" s="168"/>
      <c r="D186" s="169"/>
      <c r="E186" s="177"/>
      <c r="F186" s="189" t="str">
        <f>IF(E186="","",VLOOKUP(E186,'Listes déroulantes'!$A$3:$C$39,2))</f>
        <v/>
      </c>
      <c r="G186" s="180"/>
      <c r="H186" s="181"/>
      <c r="I186" s="186"/>
      <c r="J186" s="185"/>
      <c r="K186" s="167"/>
      <c r="L186" s="170"/>
      <c r="M186" s="171"/>
      <c r="N186" s="171"/>
      <c r="O186" s="500" t="str">
        <f t="shared" si="21"/>
        <v/>
      </c>
      <c r="P186" s="501"/>
      <c r="Q186" s="172"/>
      <c r="R186" s="173"/>
      <c r="S186" s="173"/>
      <c r="T186" s="174"/>
      <c r="U186" s="177"/>
      <c r="V186" s="170"/>
      <c r="W186" s="170"/>
      <c r="X186" s="174"/>
      <c r="Y186" s="182"/>
      <c r="Z186" s="179" t="str">
        <f t="shared" si="20"/>
        <v/>
      </c>
      <c r="AA186" s="171"/>
      <c r="AB186" s="183" t="str">
        <f t="shared" ca="1" si="19"/>
        <v/>
      </c>
      <c r="AC186" s="265"/>
      <c r="AD186" s="249"/>
      <c r="AE186" s="170"/>
      <c r="AF186" s="170"/>
      <c r="AG186" s="170"/>
      <c r="AH186" s="170"/>
      <c r="AI186" s="170"/>
      <c r="AJ186" s="453"/>
      <c r="AK186" s="454"/>
      <c r="AL186" s="453"/>
      <c r="AM186" s="175"/>
      <c r="AN186" s="254"/>
      <c r="AO186" s="175"/>
      <c r="AP186" s="178" t="str">
        <f t="shared" si="18"/>
        <v xml:space="preserve"> </v>
      </c>
    </row>
    <row r="187" spans="1:42" ht="63" customHeight="1">
      <c r="A187" s="188" t="s">
        <v>1286</v>
      </c>
      <c r="B187" s="176"/>
      <c r="C187" s="168"/>
      <c r="D187" s="169"/>
      <c r="E187" s="177"/>
      <c r="F187" s="189" t="str">
        <f>IF(E187="","",VLOOKUP(E187,'Listes déroulantes'!$A$3:$C$39,2))</f>
        <v/>
      </c>
      <c r="G187" s="180"/>
      <c r="H187" s="181"/>
      <c r="I187" s="186"/>
      <c r="J187" s="185"/>
      <c r="K187" s="167"/>
      <c r="L187" s="170"/>
      <c r="M187" s="171"/>
      <c r="N187" s="171"/>
      <c r="O187" s="500" t="str">
        <f t="shared" si="21"/>
        <v/>
      </c>
      <c r="P187" s="501"/>
      <c r="Q187" s="172"/>
      <c r="R187" s="173"/>
      <c r="S187" s="173"/>
      <c r="T187" s="174"/>
      <c r="U187" s="177"/>
      <c r="V187" s="170"/>
      <c r="W187" s="170"/>
      <c r="X187" s="174"/>
      <c r="Y187" s="182"/>
      <c r="Z187" s="179" t="str">
        <f t="shared" si="20"/>
        <v/>
      </c>
      <c r="AA187" s="171"/>
      <c r="AB187" s="183" t="str">
        <f t="shared" ca="1" si="19"/>
        <v/>
      </c>
      <c r="AC187" s="265"/>
      <c r="AD187" s="249"/>
      <c r="AE187" s="170"/>
      <c r="AF187" s="170"/>
      <c r="AG187" s="170"/>
      <c r="AH187" s="170"/>
      <c r="AI187" s="170"/>
      <c r="AJ187" s="453"/>
      <c r="AK187" s="454"/>
      <c r="AL187" s="453"/>
      <c r="AM187" s="175"/>
      <c r="AN187" s="254"/>
      <c r="AO187" s="175"/>
      <c r="AP187" s="178" t="str">
        <f t="shared" si="18"/>
        <v xml:space="preserve"> </v>
      </c>
    </row>
    <row r="188" spans="1:42" ht="63" customHeight="1">
      <c r="A188" s="188" t="s">
        <v>1287</v>
      </c>
      <c r="B188" s="176"/>
      <c r="C188" s="168"/>
      <c r="D188" s="169"/>
      <c r="E188" s="177"/>
      <c r="F188" s="189" t="str">
        <f>IF(E188="","",VLOOKUP(E188,'Listes déroulantes'!$A$3:$C$39,2))</f>
        <v/>
      </c>
      <c r="G188" s="180"/>
      <c r="H188" s="181"/>
      <c r="I188" s="186"/>
      <c r="J188" s="185"/>
      <c r="K188" s="167"/>
      <c r="L188" s="170"/>
      <c r="M188" s="171"/>
      <c r="N188" s="171"/>
      <c r="O188" s="500" t="str">
        <f t="shared" si="21"/>
        <v/>
      </c>
      <c r="P188" s="501"/>
      <c r="Q188" s="172"/>
      <c r="R188" s="173"/>
      <c r="S188" s="173"/>
      <c r="T188" s="174"/>
      <c r="U188" s="177"/>
      <c r="V188" s="170"/>
      <c r="W188" s="170"/>
      <c r="X188" s="174"/>
      <c r="Y188" s="182"/>
      <c r="Z188" s="179" t="str">
        <f t="shared" si="20"/>
        <v/>
      </c>
      <c r="AA188" s="171"/>
      <c r="AB188" s="183" t="str">
        <f t="shared" ca="1" si="19"/>
        <v/>
      </c>
      <c r="AC188" s="265"/>
      <c r="AD188" s="249"/>
      <c r="AE188" s="170"/>
      <c r="AF188" s="170"/>
      <c r="AG188" s="170"/>
      <c r="AH188" s="170"/>
      <c r="AI188" s="170"/>
      <c r="AJ188" s="453"/>
      <c r="AK188" s="454"/>
      <c r="AL188" s="453"/>
      <c r="AM188" s="175"/>
      <c r="AN188" s="254"/>
      <c r="AO188" s="175"/>
      <c r="AP188" s="178" t="str">
        <f t="shared" si="18"/>
        <v xml:space="preserve"> </v>
      </c>
    </row>
    <row r="189" spans="1:42" ht="63" customHeight="1">
      <c r="A189" s="188" t="s">
        <v>1288</v>
      </c>
      <c r="B189" s="176"/>
      <c r="C189" s="168"/>
      <c r="D189" s="169"/>
      <c r="E189" s="177"/>
      <c r="F189" s="189" t="str">
        <f>IF(E189="","",VLOOKUP(E189,'Listes déroulantes'!$A$3:$C$39,2))</f>
        <v/>
      </c>
      <c r="G189" s="180"/>
      <c r="H189" s="181"/>
      <c r="I189" s="186"/>
      <c r="J189" s="185"/>
      <c r="K189" s="167"/>
      <c r="L189" s="170"/>
      <c r="M189" s="171"/>
      <c r="N189" s="171"/>
      <c r="O189" s="500" t="str">
        <f t="shared" si="21"/>
        <v/>
      </c>
      <c r="P189" s="501"/>
      <c r="Q189" s="172"/>
      <c r="R189" s="173"/>
      <c r="S189" s="173"/>
      <c r="T189" s="174"/>
      <c r="U189" s="177"/>
      <c r="V189" s="170"/>
      <c r="W189" s="170"/>
      <c r="X189" s="174"/>
      <c r="Y189" s="182"/>
      <c r="Z189" s="179" t="str">
        <f t="shared" si="20"/>
        <v/>
      </c>
      <c r="AA189" s="171"/>
      <c r="AB189" s="183" t="str">
        <f t="shared" ca="1" si="19"/>
        <v/>
      </c>
      <c r="AC189" s="265"/>
      <c r="AD189" s="249"/>
      <c r="AE189" s="170"/>
      <c r="AF189" s="170"/>
      <c r="AG189" s="170"/>
      <c r="AH189" s="170"/>
      <c r="AI189" s="170"/>
      <c r="AJ189" s="453"/>
      <c r="AK189" s="454"/>
      <c r="AL189" s="453"/>
      <c r="AM189" s="175"/>
      <c r="AN189" s="254"/>
      <c r="AO189" s="175"/>
      <c r="AP189" s="178" t="str">
        <f t="shared" si="18"/>
        <v xml:space="preserve"> </v>
      </c>
    </row>
    <row r="190" spans="1:42" ht="63" customHeight="1">
      <c r="A190" s="188" t="s">
        <v>1289</v>
      </c>
      <c r="B190" s="176"/>
      <c r="C190" s="168"/>
      <c r="D190" s="169"/>
      <c r="E190" s="177"/>
      <c r="F190" s="189" t="str">
        <f>IF(E190="","",VLOOKUP(E190,'Listes déroulantes'!$A$3:$C$39,2))</f>
        <v/>
      </c>
      <c r="G190" s="180"/>
      <c r="H190" s="181"/>
      <c r="I190" s="186"/>
      <c r="J190" s="185"/>
      <c r="K190" s="167"/>
      <c r="L190" s="170"/>
      <c r="M190" s="171"/>
      <c r="N190" s="171"/>
      <c r="O190" s="500" t="str">
        <f t="shared" si="21"/>
        <v/>
      </c>
      <c r="P190" s="501"/>
      <c r="Q190" s="172"/>
      <c r="R190" s="173"/>
      <c r="S190" s="173"/>
      <c r="T190" s="174"/>
      <c r="U190" s="177"/>
      <c r="V190" s="170"/>
      <c r="W190" s="170"/>
      <c r="X190" s="253"/>
      <c r="Y190" s="182"/>
      <c r="Z190" s="179" t="str">
        <f t="shared" si="20"/>
        <v/>
      </c>
      <c r="AA190" s="171"/>
      <c r="AB190" s="183" t="str">
        <f t="shared" ca="1" si="19"/>
        <v/>
      </c>
      <c r="AC190" s="265"/>
      <c r="AD190" s="249"/>
      <c r="AE190" s="249"/>
      <c r="AF190" s="249"/>
      <c r="AG190" s="249"/>
      <c r="AH190" s="249"/>
      <c r="AI190" s="249"/>
      <c r="AJ190" s="453"/>
      <c r="AK190" s="454"/>
      <c r="AL190" s="453"/>
      <c r="AM190" s="175"/>
      <c r="AN190" s="254"/>
      <c r="AO190" s="254"/>
      <c r="AP190" s="178" t="str">
        <f t="shared" si="18"/>
        <v xml:space="preserve"> </v>
      </c>
    </row>
    <row r="191" spans="1:42" ht="63" customHeight="1">
      <c r="A191" s="188" t="s">
        <v>1290</v>
      </c>
      <c r="B191" s="176"/>
      <c r="C191" s="168"/>
      <c r="D191" s="169"/>
      <c r="E191" s="177"/>
      <c r="F191" s="189" t="str">
        <f>IF(E191="","",VLOOKUP(E191,'Listes déroulantes'!$A$3:$C$39,2))</f>
        <v/>
      </c>
      <c r="G191" s="180"/>
      <c r="H191" s="181"/>
      <c r="I191" s="186"/>
      <c r="J191" s="185"/>
      <c r="K191" s="167"/>
      <c r="L191" s="170"/>
      <c r="M191" s="171"/>
      <c r="N191" s="171"/>
      <c r="O191" s="500" t="str">
        <f t="shared" si="21"/>
        <v/>
      </c>
      <c r="P191" s="501"/>
      <c r="Q191" s="172"/>
      <c r="R191" s="173"/>
      <c r="S191" s="173"/>
      <c r="T191" s="174"/>
      <c r="U191" s="177"/>
      <c r="V191" s="170"/>
      <c r="W191" s="170"/>
      <c r="X191" s="174"/>
      <c r="Y191" s="182"/>
      <c r="Z191" s="179" t="str">
        <f t="shared" si="20"/>
        <v/>
      </c>
      <c r="AA191" s="171"/>
      <c r="AB191" s="183" t="str">
        <f t="shared" ca="1" si="19"/>
        <v/>
      </c>
      <c r="AC191" s="265"/>
      <c r="AD191" s="249"/>
      <c r="AE191" s="170"/>
      <c r="AF191" s="170"/>
      <c r="AG191" s="170"/>
      <c r="AH191" s="170"/>
      <c r="AI191" s="170"/>
      <c r="AJ191" s="453"/>
      <c r="AK191" s="454"/>
      <c r="AL191" s="453"/>
      <c r="AM191" s="175"/>
      <c r="AN191" s="254"/>
      <c r="AO191" s="175"/>
      <c r="AP191" s="178" t="str">
        <f t="shared" si="18"/>
        <v xml:space="preserve"> </v>
      </c>
    </row>
    <row r="192" spans="1:42" ht="63" customHeight="1">
      <c r="A192" s="188" t="s">
        <v>1291</v>
      </c>
      <c r="B192" s="176"/>
      <c r="C192" s="168"/>
      <c r="D192" s="169"/>
      <c r="E192" s="177"/>
      <c r="F192" s="189" t="str">
        <f>IF(E192="","",VLOOKUP(E192,'Listes déroulantes'!$A$3:$C$39,2))</f>
        <v/>
      </c>
      <c r="G192" s="180"/>
      <c r="H192" s="181"/>
      <c r="I192" s="186"/>
      <c r="J192" s="185"/>
      <c r="K192" s="167"/>
      <c r="L192" s="170"/>
      <c r="M192" s="171"/>
      <c r="N192" s="171"/>
      <c r="O192" s="184" t="str">
        <f t="shared" si="21"/>
        <v/>
      </c>
      <c r="P192" s="499"/>
      <c r="Q192" s="172"/>
      <c r="R192" s="173"/>
      <c r="S192" s="173"/>
      <c r="T192" s="174"/>
      <c r="U192" s="177"/>
      <c r="V192" s="170"/>
      <c r="W192" s="170"/>
      <c r="X192" s="174"/>
      <c r="Y192" s="182"/>
      <c r="Z192" s="179" t="str">
        <f t="shared" si="20"/>
        <v/>
      </c>
      <c r="AA192" s="171"/>
      <c r="AB192" s="183" t="str">
        <f t="shared" ca="1" si="19"/>
        <v/>
      </c>
      <c r="AC192" s="265"/>
      <c r="AD192" s="249"/>
      <c r="AE192" s="170"/>
      <c r="AF192" s="170"/>
      <c r="AG192" s="170"/>
      <c r="AH192" s="170"/>
      <c r="AI192" s="170"/>
      <c r="AJ192" s="453"/>
      <c r="AK192" s="454"/>
      <c r="AL192" s="453"/>
      <c r="AM192" s="175"/>
      <c r="AN192" s="254"/>
      <c r="AO192" s="175"/>
      <c r="AP192" s="178" t="str">
        <f t="shared" si="18"/>
        <v xml:space="preserve"> </v>
      </c>
    </row>
    <row r="193" spans="1:42" ht="63" customHeight="1">
      <c r="A193" s="188" t="s">
        <v>1292</v>
      </c>
      <c r="B193" s="176"/>
      <c r="C193" s="168"/>
      <c r="D193" s="169"/>
      <c r="E193" s="177"/>
      <c r="F193" s="189" t="str">
        <f>IF(E193="","",VLOOKUP(E193,'Listes déroulantes'!$A$3:$C$39,2))</f>
        <v/>
      </c>
      <c r="G193" s="180"/>
      <c r="H193" s="181"/>
      <c r="I193" s="186"/>
      <c r="J193" s="185"/>
      <c r="K193" s="167"/>
      <c r="L193" s="170"/>
      <c r="M193" s="171"/>
      <c r="N193" s="171"/>
      <c r="O193" s="184" t="str">
        <f t="shared" si="21"/>
        <v/>
      </c>
      <c r="P193" s="499"/>
      <c r="Q193" s="172"/>
      <c r="R193" s="173"/>
      <c r="S193" s="173"/>
      <c r="T193" s="174"/>
      <c r="U193" s="177"/>
      <c r="V193" s="170"/>
      <c r="W193" s="170"/>
      <c r="X193" s="174"/>
      <c r="Y193" s="182"/>
      <c r="Z193" s="179" t="str">
        <f t="shared" si="20"/>
        <v/>
      </c>
      <c r="AA193" s="171"/>
      <c r="AB193" s="183" t="str">
        <f t="shared" ca="1" si="19"/>
        <v/>
      </c>
      <c r="AC193" s="265"/>
      <c r="AD193" s="249"/>
      <c r="AE193" s="170"/>
      <c r="AF193" s="170"/>
      <c r="AG193" s="170"/>
      <c r="AH193" s="170"/>
      <c r="AI193" s="170"/>
      <c r="AJ193" s="453"/>
      <c r="AK193" s="454"/>
      <c r="AL193" s="453"/>
      <c r="AM193" s="175"/>
      <c r="AN193" s="254"/>
      <c r="AO193" s="175"/>
      <c r="AP193" s="178" t="str">
        <f t="shared" si="18"/>
        <v xml:space="preserve"> </v>
      </c>
    </row>
    <row r="194" spans="1:42" ht="63" customHeight="1">
      <c r="A194" s="188" t="s">
        <v>1293</v>
      </c>
      <c r="B194" s="176"/>
      <c r="C194" s="168"/>
      <c r="D194" s="169"/>
      <c r="E194" s="177"/>
      <c r="F194" s="189" t="str">
        <f>IF(E194="","",VLOOKUP(E194,'Listes déroulantes'!$A$3:$C$39,2))</f>
        <v/>
      </c>
      <c r="G194" s="180"/>
      <c r="H194" s="181"/>
      <c r="I194" s="186"/>
      <c r="J194" s="185"/>
      <c r="K194" s="167"/>
      <c r="L194" s="170"/>
      <c r="M194" s="171"/>
      <c r="N194" s="171"/>
      <c r="O194" s="184" t="str">
        <f t="shared" si="21"/>
        <v/>
      </c>
      <c r="P194" s="499"/>
      <c r="Q194" s="172"/>
      <c r="R194" s="173"/>
      <c r="S194" s="173"/>
      <c r="T194" s="174"/>
      <c r="U194" s="177"/>
      <c r="V194" s="170"/>
      <c r="W194" s="170"/>
      <c r="X194" s="174"/>
      <c r="Y194" s="182"/>
      <c r="Z194" s="179" t="str">
        <f t="shared" si="20"/>
        <v/>
      </c>
      <c r="AA194" s="171"/>
      <c r="AB194" s="183" t="str">
        <f t="shared" ca="1" si="19"/>
        <v/>
      </c>
      <c r="AC194" s="265"/>
      <c r="AD194" s="249"/>
      <c r="AE194" s="170"/>
      <c r="AF194" s="170"/>
      <c r="AG194" s="170"/>
      <c r="AH194" s="170"/>
      <c r="AI194" s="170"/>
      <c r="AJ194" s="453"/>
      <c r="AK194" s="454"/>
      <c r="AL194" s="453"/>
      <c r="AM194" s="175"/>
      <c r="AN194" s="254"/>
      <c r="AO194" s="175"/>
      <c r="AP194" s="178" t="str">
        <f t="shared" si="18"/>
        <v xml:space="preserve"> </v>
      </c>
    </row>
    <row r="195" spans="1:42" ht="63" customHeight="1">
      <c r="A195" s="188" t="s">
        <v>1294</v>
      </c>
      <c r="B195" s="176"/>
      <c r="C195" s="168"/>
      <c r="D195" s="169"/>
      <c r="E195" s="177"/>
      <c r="F195" s="189" t="str">
        <f>IF(E195="","",VLOOKUP(E195,'Listes déroulantes'!$A$3:$C$39,2))</f>
        <v/>
      </c>
      <c r="G195" s="180"/>
      <c r="H195" s="181"/>
      <c r="I195" s="186"/>
      <c r="J195" s="185"/>
      <c r="K195" s="167"/>
      <c r="L195" s="170"/>
      <c r="M195" s="171"/>
      <c r="N195" s="171"/>
      <c r="O195" s="184" t="str">
        <f t="shared" si="21"/>
        <v/>
      </c>
      <c r="P195" s="499"/>
      <c r="Q195" s="172"/>
      <c r="R195" s="173"/>
      <c r="S195" s="173"/>
      <c r="T195" s="174"/>
      <c r="U195" s="177"/>
      <c r="V195" s="170"/>
      <c r="W195" s="170"/>
      <c r="X195" s="174"/>
      <c r="Y195" s="182"/>
      <c r="Z195" s="179" t="str">
        <f t="shared" si="20"/>
        <v/>
      </c>
      <c r="AA195" s="171"/>
      <c r="AB195" s="183" t="str">
        <f t="shared" ca="1" si="19"/>
        <v/>
      </c>
      <c r="AC195" s="265"/>
      <c r="AD195" s="249"/>
      <c r="AE195" s="170"/>
      <c r="AF195" s="170"/>
      <c r="AG195" s="170"/>
      <c r="AH195" s="170"/>
      <c r="AI195" s="170"/>
      <c r="AJ195" s="453"/>
      <c r="AK195" s="454"/>
      <c r="AL195" s="453"/>
      <c r="AM195" s="175"/>
      <c r="AN195" s="254"/>
      <c r="AO195" s="175"/>
      <c r="AP195" s="178" t="str">
        <f t="shared" si="18"/>
        <v xml:space="preserve"> </v>
      </c>
    </row>
    <row r="196" spans="1:42" ht="63" customHeight="1">
      <c r="A196" s="188" t="s">
        <v>1295</v>
      </c>
      <c r="B196" s="176"/>
      <c r="C196" s="168"/>
      <c r="D196" s="169"/>
      <c r="E196" s="177"/>
      <c r="F196" s="189" t="str">
        <f>IF(E196="","",VLOOKUP(E196,'Listes déroulantes'!$A$3:$C$39,2))</f>
        <v/>
      </c>
      <c r="G196" s="180"/>
      <c r="H196" s="181"/>
      <c r="I196" s="186"/>
      <c r="J196" s="185"/>
      <c r="K196" s="167"/>
      <c r="L196" s="170"/>
      <c r="M196" s="171"/>
      <c r="N196" s="171"/>
      <c r="O196" s="184" t="str">
        <f t="shared" si="21"/>
        <v/>
      </c>
      <c r="P196" s="499"/>
      <c r="Q196" s="172"/>
      <c r="R196" s="173"/>
      <c r="S196" s="173"/>
      <c r="T196" s="174"/>
      <c r="U196" s="177"/>
      <c r="V196" s="170"/>
      <c r="W196" s="170"/>
      <c r="X196" s="174"/>
      <c r="Y196" s="182"/>
      <c r="Z196" s="179" t="str">
        <f t="shared" si="20"/>
        <v/>
      </c>
      <c r="AA196" s="171"/>
      <c r="AB196" s="183" t="str">
        <f t="shared" ca="1" si="19"/>
        <v/>
      </c>
      <c r="AC196" s="265"/>
      <c r="AD196" s="249"/>
      <c r="AE196" s="170"/>
      <c r="AF196" s="170"/>
      <c r="AG196" s="170"/>
      <c r="AH196" s="170"/>
      <c r="AI196" s="170"/>
      <c r="AJ196" s="453"/>
      <c r="AK196" s="454"/>
      <c r="AL196" s="453"/>
      <c r="AM196" s="175"/>
      <c r="AN196" s="254"/>
      <c r="AO196" s="175"/>
      <c r="AP196" s="178" t="str">
        <f t="shared" si="18"/>
        <v xml:space="preserve"> </v>
      </c>
    </row>
    <row r="197" spans="1:42" ht="63" customHeight="1">
      <c r="A197" s="188" t="s">
        <v>1296</v>
      </c>
      <c r="B197" s="176"/>
      <c r="C197" s="168"/>
      <c r="D197" s="169"/>
      <c r="E197" s="177"/>
      <c r="F197" s="189" t="str">
        <f>IF(E197="","",VLOOKUP(E197,'Listes déroulantes'!$A$3:$C$39,2))</f>
        <v/>
      </c>
      <c r="G197" s="180"/>
      <c r="H197" s="181"/>
      <c r="I197" s="186"/>
      <c r="J197" s="185"/>
      <c r="K197" s="167"/>
      <c r="L197" s="170"/>
      <c r="M197" s="171"/>
      <c r="N197" s="171"/>
      <c r="O197" s="184" t="str">
        <f t="shared" si="21"/>
        <v/>
      </c>
      <c r="P197" s="499"/>
      <c r="Q197" s="172"/>
      <c r="R197" s="173"/>
      <c r="S197" s="173"/>
      <c r="T197" s="174"/>
      <c r="U197" s="177"/>
      <c r="V197" s="170"/>
      <c r="W197" s="170"/>
      <c r="X197" s="174"/>
      <c r="Y197" s="182"/>
      <c r="Z197" s="179" t="str">
        <f t="shared" si="20"/>
        <v/>
      </c>
      <c r="AA197" s="171"/>
      <c r="AB197" s="183" t="str">
        <f t="shared" ca="1" si="19"/>
        <v/>
      </c>
      <c r="AC197" s="265"/>
      <c r="AD197" s="249"/>
      <c r="AE197" s="170"/>
      <c r="AF197" s="170"/>
      <c r="AG197" s="170"/>
      <c r="AH197" s="170"/>
      <c r="AI197" s="170"/>
      <c r="AJ197" s="453"/>
      <c r="AK197" s="454"/>
      <c r="AL197" s="453"/>
      <c r="AM197" s="175"/>
      <c r="AN197" s="254"/>
      <c r="AO197" s="175"/>
      <c r="AP197" s="178" t="str">
        <f t="shared" si="18"/>
        <v xml:space="preserve"> </v>
      </c>
    </row>
    <row r="198" spans="1:42" ht="63" customHeight="1">
      <c r="A198" s="188" t="s">
        <v>1297</v>
      </c>
      <c r="B198" s="176"/>
      <c r="C198" s="168"/>
      <c r="D198" s="169"/>
      <c r="E198" s="177"/>
      <c r="F198" s="189" t="str">
        <f>IF(E198="","",VLOOKUP(E198,'Listes déroulantes'!$A$3:$C$39,2))</f>
        <v/>
      </c>
      <c r="G198" s="180"/>
      <c r="H198" s="181"/>
      <c r="I198" s="186"/>
      <c r="J198" s="185"/>
      <c r="K198" s="167"/>
      <c r="L198" s="170"/>
      <c r="M198" s="171"/>
      <c r="N198" s="171"/>
      <c r="O198" s="184" t="str">
        <f t="shared" si="21"/>
        <v/>
      </c>
      <c r="P198" s="499"/>
      <c r="Q198" s="172"/>
      <c r="R198" s="173"/>
      <c r="S198" s="173"/>
      <c r="T198" s="174"/>
      <c r="U198" s="177"/>
      <c r="V198" s="170"/>
      <c r="W198" s="170"/>
      <c r="X198" s="174"/>
      <c r="Y198" s="182"/>
      <c r="Z198" s="179" t="str">
        <f t="shared" si="20"/>
        <v/>
      </c>
      <c r="AA198" s="171"/>
      <c r="AB198" s="183" t="str">
        <f t="shared" ca="1" si="19"/>
        <v/>
      </c>
      <c r="AC198" s="265"/>
      <c r="AD198" s="249"/>
      <c r="AE198" s="170"/>
      <c r="AF198" s="170"/>
      <c r="AG198" s="170"/>
      <c r="AH198" s="170"/>
      <c r="AI198" s="170"/>
      <c r="AJ198" s="453"/>
      <c r="AK198" s="454"/>
      <c r="AL198" s="453"/>
      <c r="AM198" s="175"/>
      <c r="AN198" s="254"/>
      <c r="AO198" s="175"/>
      <c r="AP198" s="178" t="str">
        <f t="shared" si="18"/>
        <v xml:space="preserve"> </v>
      </c>
    </row>
    <row r="199" spans="1:42" ht="63" customHeight="1">
      <c r="A199" s="188" t="s">
        <v>1298</v>
      </c>
      <c r="B199" s="176"/>
      <c r="C199" s="168"/>
      <c r="D199" s="169"/>
      <c r="E199" s="177"/>
      <c r="F199" s="189" t="str">
        <f>IF(E199="","",VLOOKUP(E199,'Listes déroulantes'!$A$3:$C$39,2))</f>
        <v/>
      </c>
      <c r="G199" s="180"/>
      <c r="H199" s="181"/>
      <c r="I199" s="186"/>
      <c r="J199" s="185"/>
      <c r="K199" s="167"/>
      <c r="L199" s="170"/>
      <c r="M199" s="171"/>
      <c r="N199" s="171"/>
      <c r="O199" s="184" t="str">
        <f t="shared" si="21"/>
        <v/>
      </c>
      <c r="P199" s="499"/>
      <c r="Q199" s="172"/>
      <c r="R199" s="173"/>
      <c r="S199" s="173"/>
      <c r="T199" s="174"/>
      <c r="U199" s="177"/>
      <c r="V199" s="170"/>
      <c r="W199" s="170"/>
      <c r="X199" s="174"/>
      <c r="Y199" s="182"/>
      <c r="Z199" s="179" t="str">
        <f t="shared" si="20"/>
        <v/>
      </c>
      <c r="AA199" s="171"/>
      <c r="AB199" s="183" t="str">
        <f t="shared" ca="1" si="19"/>
        <v/>
      </c>
      <c r="AC199" s="265"/>
      <c r="AD199" s="249"/>
      <c r="AE199" s="170"/>
      <c r="AF199" s="170"/>
      <c r="AG199" s="170"/>
      <c r="AH199" s="170"/>
      <c r="AI199" s="170"/>
      <c r="AJ199" s="453"/>
      <c r="AK199" s="454"/>
      <c r="AL199" s="453"/>
      <c r="AM199" s="175"/>
      <c r="AN199" s="254"/>
      <c r="AO199" s="175"/>
      <c r="AP199" s="178" t="str">
        <f t="shared" si="18"/>
        <v xml:space="preserve"> </v>
      </c>
    </row>
    <row r="200" spans="1:42" ht="63" customHeight="1">
      <c r="A200" s="188" t="s">
        <v>1299</v>
      </c>
      <c r="B200" s="176"/>
      <c r="C200" s="168"/>
      <c r="D200" s="169"/>
      <c r="E200" s="177"/>
      <c r="F200" s="189" t="str">
        <f>IF(E200="","",VLOOKUP(E200,'Listes déroulantes'!$A$3:$C$39,2))</f>
        <v/>
      </c>
      <c r="G200" s="180"/>
      <c r="H200" s="181"/>
      <c r="I200" s="186"/>
      <c r="J200" s="185"/>
      <c r="K200" s="167"/>
      <c r="L200" s="170"/>
      <c r="M200" s="171"/>
      <c r="N200" s="171"/>
      <c r="O200" s="184" t="str">
        <f t="shared" si="21"/>
        <v/>
      </c>
      <c r="P200" s="499"/>
      <c r="Q200" s="172"/>
      <c r="R200" s="173"/>
      <c r="S200" s="173"/>
      <c r="T200" s="174"/>
      <c r="U200" s="177"/>
      <c r="V200" s="170"/>
      <c r="W200" s="170"/>
      <c r="X200" s="174"/>
      <c r="Y200" s="182"/>
      <c r="Z200" s="179" t="str">
        <f t="shared" si="20"/>
        <v/>
      </c>
      <c r="AA200" s="171"/>
      <c r="AB200" s="183" t="str">
        <f t="shared" ca="1" si="19"/>
        <v/>
      </c>
      <c r="AC200" s="265"/>
      <c r="AD200" s="249"/>
      <c r="AE200" s="170"/>
      <c r="AF200" s="170"/>
      <c r="AG200" s="170"/>
      <c r="AH200" s="170"/>
      <c r="AI200" s="170"/>
      <c r="AJ200" s="453"/>
      <c r="AK200" s="454"/>
      <c r="AL200" s="453"/>
      <c r="AM200" s="175"/>
      <c r="AN200" s="254"/>
      <c r="AO200" s="175"/>
      <c r="AP200" s="178" t="str">
        <f t="shared" ref="AP200:AP263" si="22">IF(ISBLANK(AM200)," ",IF(AM200&gt;0,IF(AO200&lt;=AM200,AO200/AM200,"erreur"),1))</f>
        <v xml:space="preserve"> </v>
      </c>
    </row>
    <row r="201" spans="1:42" ht="63" customHeight="1">
      <c r="A201" s="188" t="s">
        <v>1300</v>
      </c>
      <c r="B201" s="176"/>
      <c r="C201" s="168"/>
      <c r="D201" s="169"/>
      <c r="E201" s="177"/>
      <c r="F201" s="189" t="str">
        <f>IF(E201="","",VLOOKUP(E201,'Listes déroulantes'!$A$3:$C$39,2))</f>
        <v/>
      </c>
      <c r="G201" s="180"/>
      <c r="H201" s="181"/>
      <c r="I201" s="186"/>
      <c r="J201" s="185"/>
      <c r="K201" s="167"/>
      <c r="L201" s="170"/>
      <c r="M201" s="171"/>
      <c r="N201" s="171"/>
      <c r="O201" s="184" t="str">
        <f t="shared" si="21"/>
        <v/>
      </c>
      <c r="P201" s="499"/>
      <c r="Q201" s="172"/>
      <c r="R201" s="173"/>
      <c r="S201" s="173"/>
      <c r="T201" s="174"/>
      <c r="U201" s="177"/>
      <c r="V201" s="170"/>
      <c r="W201" s="170"/>
      <c r="X201" s="253"/>
      <c r="Y201" s="260"/>
      <c r="Z201" s="179" t="str">
        <f t="shared" si="20"/>
        <v/>
      </c>
      <c r="AA201" s="171"/>
      <c r="AB201" s="183" t="str">
        <f t="shared" ca="1" si="19"/>
        <v/>
      </c>
      <c r="AC201" s="265"/>
      <c r="AD201" s="249"/>
      <c r="AE201" s="249"/>
      <c r="AF201" s="249"/>
      <c r="AG201" s="249"/>
      <c r="AH201" s="249"/>
      <c r="AI201" s="249"/>
      <c r="AJ201" s="453"/>
      <c r="AK201" s="454"/>
      <c r="AL201" s="453"/>
      <c r="AM201" s="175"/>
      <c r="AN201" s="254"/>
      <c r="AO201" s="254"/>
      <c r="AP201" s="178" t="str">
        <f t="shared" si="22"/>
        <v xml:space="preserve"> </v>
      </c>
    </row>
    <row r="202" spans="1:42" ht="63" customHeight="1">
      <c r="A202" s="188" t="s">
        <v>1301</v>
      </c>
      <c r="B202" s="176"/>
      <c r="C202" s="168"/>
      <c r="D202" s="169"/>
      <c r="E202" s="177"/>
      <c r="F202" s="189" t="str">
        <f>IF(E202="","",VLOOKUP(E202,'Listes déroulantes'!$A$3:$C$39,2))</f>
        <v/>
      </c>
      <c r="G202" s="180"/>
      <c r="H202" s="181"/>
      <c r="I202" s="186"/>
      <c r="J202" s="185"/>
      <c r="K202" s="167"/>
      <c r="L202" s="170"/>
      <c r="M202" s="171"/>
      <c r="N202" s="171"/>
      <c r="O202" s="184" t="str">
        <f t="shared" si="21"/>
        <v/>
      </c>
      <c r="P202" s="499"/>
      <c r="Q202" s="172"/>
      <c r="R202" s="173"/>
      <c r="S202" s="173"/>
      <c r="T202" s="174"/>
      <c r="U202" s="177"/>
      <c r="V202" s="170"/>
      <c r="W202" s="170"/>
      <c r="X202" s="174"/>
      <c r="Y202" s="182"/>
      <c r="Z202" s="179" t="str">
        <f t="shared" si="20"/>
        <v/>
      </c>
      <c r="AA202" s="171"/>
      <c r="AB202" s="183" t="str">
        <f t="shared" ca="1" si="19"/>
        <v/>
      </c>
      <c r="AC202" s="265"/>
      <c r="AD202" s="249"/>
      <c r="AE202" s="170"/>
      <c r="AF202" s="170"/>
      <c r="AG202" s="170"/>
      <c r="AH202" s="170"/>
      <c r="AI202" s="170"/>
      <c r="AJ202" s="453"/>
      <c r="AK202" s="454"/>
      <c r="AL202" s="453"/>
      <c r="AM202" s="175"/>
      <c r="AN202" s="254"/>
      <c r="AO202" s="175"/>
      <c r="AP202" s="178" t="str">
        <f t="shared" si="22"/>
        <v xml:space="preserve"> </v>
      </c>
    </row>
    <row r="203" spans="1:42" ht="63" customHeight="1">
      <c r="A203" s="188" t="s">
        <v>1302</v>
      </c>
      <c r="B203" s="176"/>
      <c r="C203" s="168"/>
      <c r="D203" s="169"/>
      <c r="E203" s="177"/>
      <c r="F203" s="189" t="str">
        <f>IF(E203="","",VLOOKUP(E203,'Listes déroulantes'!$A$3:$C$39,2))</f>
        <v/>
      </c>
      <c r="G203" s="180"/>
      <c r="H203" s="181"/>
      <c r="I203" s="186"/>
      <c r="J203" s="185"/>
      <c r="K203" s="167"/>
      <c r="L203" s="170"/>
      <c r="M203" s="171"/>
      <c r="N203" s="171"/>
      <c r="O203" s="184" t="str">
        <f t="shared" si="21"/>
        <v/>
      </c>
      <c r="P203" s="499"/>
      <c r="Q203" s="172"/>
      <c r="R203" s="173"/>
      <c r="S203" s="173"/>
      <c r="T203" s="174"/>
      <c r="U203" s="177"/>
      <c r="V203" s="170"/>
      <c r="W203" s="170"/>
      <c r="X203" s="174"/>
      <c r="Y203" s="182"/>
      <c r="Z203" s="179" t="str">
        <f t="shared" si="20"/>
        <v/>
      </c>
      <c r="AA203" s="171"/>
      <c r="AB203" s="183" t="str">
        <f t="shared" ca="1" si="19"/>
        <v/>
      </c>
      <c r="AC203" s="265"/>
      <c r="AD203" s="249"/>
      <c r="AE203" s="170"/>
      <c r="AF203" s="170"/>
      <c r="AG203" s="170"/>
      <c r="AH203" s="170"/>
      <c r="AI203" s="170"/>
      <c r="AJ203" s="453"/>
      <c r="AK203" s="454"/>
      <c r="AL203" s="453"/>
      <c r="AM203" s="175"/>
      <c r="AN203" s="254"/>
      <c r="AO203" s="175"/>
      <c r="AP203" s="178" t="str">
        <f t="shared" si="22"/>
        <v xml:space="preserve"> </v>
      </c>
    </row>
    <row r="204" spans="1:42" ht="63" customHeight="1">
      <c r="A204" s="188" t="s">
        <v>1303</v>
      </c>
      <c r="B204" s="176"/>
      <c r="C204" s="168"/>
      <c r="D204" s="169"/>
      <c r="E204" s="177"/>
      <c r="F204" s="189" t="str">
        <f>IF(E204="","",VLOOKUP(E204,'Listes déroulantes'!$A$3:$C$39,2))</f>
        <v/>
      </c>
      <c r="G204" s="180"/>
      <c r="H204" s="181"/>
      <c r="I204" s="186"/>
      <c r="J204" s="185"/>
      <c r="K204" s="167"/>
      <c r="L204" s="170"/>
      <c r="M204" s="171"/>
      <c r="N204" s="171"/>
      <c r="O204" s="184" t="str">
        <f t="shared" si="21"/>
        <v/>
      </c>
      <c r="P204" s="499"/>
      <c r="Q204" s="172"/>
      <c r="R204" s="173"/>
      <c r="S204" s="173"/>
      <c r="T204" s="174"/>
      <c r="U204" s="177"/>
      <c r="V204" s="170"/>
      <c r="W204" s="170"/>
      <c r="X204" s="174"/>
      <c r="Y204" s="182"/>
      <c r="Z204" s="179" t="str">
        <f t="shared" si="20"/>
        <v/>
      </c>
      <c r="AA204" s="171"/>
      <c r="AB204" s="183" t="str">
        <f t="shared" ca="1" si="19"/>
        <v/>
      </c>
      <c r="AC204" s="265"/>
      <c r="AD204" s="249"/>
      <c r="AE204" s="170"/>
      <c r="AF204" s="170"/>
      <c r="AG204" s="170"/>
      <c r="AH204" s="170"/>
      <c r="AI204" s="170"/>
      <c r="AJ204" s="453"/>
      <c r="AK204" s="454"/>
      <c r="AL204" s="453"/>
      <c r="AM204" s="175"/>
      <c r="AN204" s="254"/>
      <c r="AO204" s="175"/>
      <c r="AP204" s="178" t="str">
        <f t="shared" si="22"/>
        <v xml:space="preserve"> </v>
      </c>
    </row>
    <row r="205" spans="1:42" ht="63" customHeight="1">
      <c r="A205" s="188" t="s">
        <v>1304</v>
      </c>
      <c r="B205" s="176"/>
      <c r="C205" s="168"/>
      <c r="D205" s="169"/>
      <c r="E205" s="177"/>
      <c r="F205" s="189" t="str">
        <f>IF(E205="","",VLOOKUP(E205,'Listes déroulantes'!$A$3:$C$39,2))</f>
        <v/>
      </c>
      <c r="G205" s="180"/>
      <c r="H205" s="181"/>
      <c r="I205" s="186"/>
      <c r="J205" s="185"/>
      <c r="K205" s="167"/>
      <c r="L205" s="170"/>
      <c r="M205" s="171"/>
      <c r="N205" s="171"/>
      <c r="O205" s="184" t="str">
        <f t="shared" si="21"/>
        <v/>
      </c>
      <c r="P205" s="499"/>
      <c r="Q205" s="172"/>
      <c r="R205" s="173"/>
      <c r="S205" s="173"/>
      <c r="T205" s="174"/>
      <c r="U205" s="177"/>
      <c r="V205" s="170"/>
      <c r="W205" s="170"/>
      <c r="X205" s="174"/>
      <c r="Y205" s="182"/>
      <c r="Z205" s="179" t="str">
        <f t="shared" si="20"/>
        <v/>
      </c>
      <c r="AA205" s="171"/>
      <c r="AB205" s="183" t="str">
        <f t="shared" ca="1" si="19"/>
        <v/>
      </c>
      <c r="AC205" s="265"/>
      <c r="AD205" s="249"/>
      <c r="AE205" s="170"/>
      <c r="AF205" s="170"/>
      <c r="AG205" s="170"/>
      <c r="AH205" s="170"/>
      <c r="AI205" s="170"/>
      <c r="AJ205" s="453"/>
      <c r="AK205" s="454"/>
      <c r="AL205" s="453"/>
      <c r="AM205" s="175"/>
      <c r="AN205" s="254"/>
      <c r="AO205" s="175"/>
      <c r="AP205" s="178" t="str">
        <f t="shared" si="22"/>
        <v xml:space="preserve"> </v>
      </c>
    </row>
    <row r="206" spans="1:42" ht="63" customHeight="1">
      <c r="A206" s="188" t="s">
        <v>1305</v>
      </c>
      <c r="B206" s="176"/>
      <c r="C206" s="168"/>
      <c r="D206" s="169"/>
      <c r="E206" s="177"/>
      <c r="F206" s="189" t="str">
        <f>IF(E206="","",VLOOKUP(E206,'Listes déroulantes'!$A$3:$C$39,2))</f>
        <v/>
      </c>
      <c r="G206" s="180"/>
      <c r="H206" s="181"/>
      <c r="I206" s="186"/>
      <c r="J206" s="185"/>
      <c r="K206" s="167"/>
      <c r="L206" s="170"/>
      <c r="M206" s="171"/>
      <c r="N206" s="171"/>
      <c r="O206" s="184" t="str">
        <f t="shared" si="21"/>
        <v/>
      </c>
      <c r="P206" s="499"/>
      <c r="Q206" s="172"/>
      <c r="R206" s="173"/>
      <c r="S206" s="173"/>
      <c r="T206" s="174"/>
      <c r="U206" s="177"/>
      <c r="V206" s="170"/>
      <c r="W206" s="170"/>
      <c r="X206" s="174"/>
      <c r="Y206" s="182"/>
      <c r="Z206" s="179" t="str">
        <f t="shared" si="20"/>
        <v/>
      </c>
      <c r="AA206" s="171"/>
      <c r="AB206" s="183" t="str">
        <f t="shared" ca="1" si="19"/>
        <v/>
      </c>
      <c r="AC206" s="265"/>
      <c r="AD206" s="249"/>
      <c r="AE206" s="170"/>
      <c r="AF206" s="170"/>
      <c r="AG206" s="170"/>
      <c r="AH206" s="170"/>
      <c r="AI206" s="170"/>
      <c r="AJ206" s="453"/>
      <c r="AK206" s="454"/>
      <c r="AL206" s="453"/>
      <c r="AM206" s="175"/>
      <c r="AN206" s="254"/>
      <c r="AO206" s="175"/>
      <c r="AP206" s="178" t="str">
        <f t="shared" si="22"/>
        <v xml:space="preserve"> </v>
      </c>
    </row>
    <row r="207" spans="1:42" ht="63" customHeight="1">
      <c r="A207" s="188" t="s">
        <v>1306</v>
      </c>
      <c r="B207" s="176"/>
      <c r="C207" s="168"/>
      <c r="D207" s="169"/>
      <c r="E207" s="177"/>
      <c r="F207" s="189" t="str">
        <f>IF(E207="","",VLOOKUP(E207,'Listes déroulantes'!$A$3:$C$39,2))</f>
        <v/>
      </c>
      <c r="G207" s="180"/>
      <c r="H207" s="181"/>
      <c r="I207" s="186"/>
      <c r="J207" s="185"/>
      <c r="K207" s="167"/>
      <c r="L207" s="170"/>
      <c r="M207" s="171"/>
      <c r="N207" s="171"/>
      <c r="O207" s="184" t="str">
        <f t="shared" si="21"/>
        <v/>
      </c>
      <c r="P207" s="499"/>
      <c r="Q207" s="172"/>
      <c r="R207" s="173"/>
      <c r="S207" s="173"/>
      <c r="T207" s="174"/>
      <c r="U207" s="177"/>
      <c r="V207" s="170"/>
      <c r="W207" s="170"/>
      <c r="X207" s="174"/>
      <c r="Y207" s="182"/>
      <c r="Z207" s="179" t="str">
        <f t="shared" si="20"/>
        <v/>
      </c>
      <c r="AA207" s="171"/>
      <c r="AB207" s="183" t="str">
        <f t="shared" ca="1" si="19"/>
        <v/>
      </c>
      <c r="AC207" s="265"/>
      <c r="AD207" s="249"/>
      <c r="AE207" s="170"/>
      <c r="AF207" s="170"/>
      <c r="AG207" s="170"/>
      <c r="AH207" s="170"/>
      <c r="AI207" s="170"/>
      <c r="AJ207" s="453"/>
      <c r="AK207" s="454"/>
      <c r="AL207" s="453"/>
      <c r="AM207" s="175"/>
      <c r="AN207" s="254"/>
      <c r="AO207" s="175"/>
      <c r="AP207" s="178" t="str">
        <f t="shared" si="22"/>
        <v xml:space="preserve"> </v>
      </c>
    </row>
    <row r="208" spans="1:42" ht="63" customHeight="1">
      <c r="A208" s="188" t="s">
        <v>1307</v>
      </c>
      <c r="B208" s="176"/>
      <c r="C208" s="168"/>
      <c r="D208" s="169"/>
      <c r="E208" s="177"/>
      <c r="F208" s="189" t="str">
        <f>IF(E208="","",VLOOKUP(E208,'Listes déroulantes'!$A$3:$C$39,2))</f>
        <v/>
      </c>
      <c r="G208" s="180"/>
      <c r="H208" s="181"/>
      <c r="I208" s="186"/>
      <c r="J208" s="185"/>
      <c r="K208" s="167"/>
      <c r="L208" s="170"/>
      <c r="M208" s="171"/>
      <c r="N208" s="171"/>
      <c r="O208" s="184" t="str">
        <f t="shared" si="21"/>
        <v/>
      </c>
      <c r="P208" s="499"/>
      <c r="Q208" s="172"/>
      <c r="R208" s="173"/>
      <c r="S208" s="173"/>
      <c r="T208" s="174"/>
      <c r="U208" s="177"/>
      <c r="V208" s="170"/>
      <c r="W208" s="170"/>
      <c r="X208" s="174"/>
      <c r="Y208" s="182"/>
      <c r="Z208" s="179" t="str">
        <f t="shared" si="20"/>
        <v/>
      </c>
      <c r="AA208" s="171"/>
      <c r="AB208" s="183" t="str">
        <f t="shared" ca="1" si="19"/>
        <v/>
      </c>
      <c r="AC208" s="265"/>
      <c r="AD208" s="249"/>
      <c r="AE208" s="170"/>
      <c r="AF208" s="170"/>
      <c r="AG208" s="170"/>
      <c r="AH208" s="170"/>
      <c r="AI208" s="170"/>
      <c r="AJ208" s="453"/>
      <c r="AK208" s="454"/>
      <c r="AL208" s="453"/>
      <c r="AM208" s="175"/>
      <c r="AN208" s="254"/>
      <c r="AO208" s="175"/>
      <c r="AP208" s="178" t="str">
        <f t="shared" si="22"/>
        <v xml:space="preserve"> </v>
      </c>
    </row>
    <row r="209" spans="1:42" ht="63" customHeight="1">
      <c r="A209" s="188" t="s">
        <v>1308</v>
      </c>
      <c r="B209" s="176"/>
      <c r="C209" s="168"/>
      <c r="D209" s="169"/>
      <c r="E209" s="177"/>
      <c r="F209" s="189" t="str">
        <f>IF(E209="","",VLOOKUP(E209,'Listes déroulantes'!$A$3:$C$39,2))</f>
        <v/>
      </c>
      <c r="G209" s="180"/>
      <c r="H209" s="181"/>
      <c r="I209" s="186"/>
      <c r="J209" s="185"/>
      <c r="K209" s="167"/>
      <c r="L209" s="170"/>
      <c r="M209" s="171"/>
      <c r="N209" s="171"/>
      <c r="O209" s="184" t="str">
        <f t="shared" si="21"/>
        <v/>
      </c>
      <c r="P209" s="499"/>
      <c r="Q209" s="172"/>
      <c r="R209" s="173"/>
      <c r="S209" s="173"/>
      <c r="T209" s="174"/>
      <c r="U209" s="177"/>
      <c r="V209" s="170"/>
      <c r="W209" s="170"/>
      <c r="X209" s="174"/>
      <c r="Y209" s="182"/>
      <c r="Z209" s="179" t="str">
        <f t="shared" si="20"/>
        <v/>
      </c>
      <c r="AA209" s="171"/>
      <c r="AB209" s="183" t="str">
        <f t="shared" ca="1" si="19"/>
        <v/>
      </c>
      <c r="AC209" s="265"/>
      <c r="AD209" s="249"/>
      <c r="AE209" s="170"/>
      <c r="AF209" s="170"/>
      <c r="AG209" s="170"/>
      <c r="AH209" s="170"/>
      <c r="AI209" s="170"/>
      <c r="AJ209" s="453"/>
      <c r="AK209" s="454"/>
      <c r="AL209" s="453"/>
      <c r="AM209" s="175"/>
      <c r="AN209" s="254"/>
      <c r="AO209" s="175"/>
      <c r="AP209" s="178" t="str">
        <f t="shared" si="22"/>
        <v xml:space="preserve"> </v>
      </c>
    </row>
    <row r="210" spans="1:42" ht="63" customHeight="1">
      <c r="A210" s="188" t="s">
        <v>1309</v>
      </c>
      <c r="B210" s="176"/>
      <c r="C210" s="168"/>
      <c r="D210" s="169"/>
      <c r="E210" s="177"/>
      <c r="F210" s="189" t="str">
        <f>IF(E210="","",VLOOKUP(E210,'Listes déroulantes'!$A$3:$C$39,2))</f>
        <v/>
      </c>
      <c r="G210" s="180"/>
      <c r="H210" s="181"/>
      <c r="I210" s="186"/>
      <c r="J210" s="185"/>
      <c r="K210" s="167"/>
      <c r="L210" s="170"/>
      <c r="M210" s="171"/>
      <c r="N210" s="171"/>
      <c r="O210" s="184" t="str">
        <f t="shared" si="21"/>
        <v/>
      </c>
      <c r="P210" s="499"/>
      <c r="Q210" s="172"/>
      <c r="R210" s="173"/>
      <c r="S210" s="173"/>
      <c r="T210" s="174"/>
      <c r="U210" s="177"/>
      <c r="V210" s="170"/>
      <c r="W210" s="170"/>
      <c r="X210" s="174"/>
      <c r="Y210" s="182"/>
      <c r="Z210" s="179" t="str">
        <f t="shared" si="20"/>
        <v/>
      </c>
      <c r="AA210" s="171"/>
      <c r="AB210" s="183" t="str">
        <f t="shared" ca="1" si="19"/>
        <v/>
      </c>
      <c r="AC210" s="265"/>
      <c r="AD210" s="249"/>
      <c r="AE210" s="170"/>
      <c r="AF210" s="170"/>
      <c r="AG210" s="170"/>
      <c r="AH210" s="170"/>
      <c r="AI210" s="170"/>
      <c r="AJ210" s="453"/>
      <c r="AK210" s="454"/>
      <c r="AL210" s="453"/>
      <c r="AM210" s="175"/>
      <c r="AN210" s="254"/>
      <c r="AO210" s="175"/>
      <c r="AP210" s="178" t="str">
        <f t="shared" si="22"/>
        <v xml:space="preserve"> </v>
      </c>
    </row>
    <row r="211" spans="1:42" ht="63" customHeight="1">
      <c r="A211" s="188" t="s">
        <v>1310</v>
      </c>
      <c r="B211" s="176"/>
      <c r="C211" s="168"/>
      <c r="D211" s="169"/>
      <c r="E211" s="177"/>
      <c r="F211" s="189" t="str">
        <f>IF(E211="","",VLOOKUP(E211,'Listes déroulantes'!$A$3:$C$39,2))</f>
        <v/>
      </c>
      <c r="G211" s="180"/>
      <c r="H211" s="181"/>
      <c r="I211" s="186"/>
      <c r="J211" s="185"/>
      <c r="K211" s="167"/>
      <c r="L211" s="170"/>
      <c r="M211" s="171"/>
      <c r="N211" s="171"/>
      <c r="O211" s="184" t="str">
        <f t="shared" si="21"/>
        <v/>
      </c>
      <c r="P211" s="499"/>
      <c r="Q211" s="172"/>
      <c r="R211" s="173"/>
      <c r="S211" s="173"/>
      <c r="T211" s="174"/>
      <c r="U211" s="177"/>
      <c r="V211" s="170"/>
      <c r="W211" s="170"/>
      <c r="X211" s="174"/>
      <c r="Y211" s="182"/>
      <c r="Z211" s="179" t="str">
        <f t="shared" si="20"/>
        <v/>
      </c>
      <c r="AA211" s="171"/>
      <c r="AB211" s="183" t="str">
        <f t="shared" ref="AB211:AB274" ca="1" si="23">IF(ISBLANK(AA211),IF(Z211&lt;TODAY(),"non",""),IF(AA211&gt;Z211,"non","oui"))</f>
        <v/>
      </c>
      <c r="AC211" s="265"/>
      <c r="AD211" s="249"/>
      <c r="AE211" s="170"/>
      <c r="AF211" s="170"/>
      <c r="AG211" s="170"/>
      <c r="AH211" s="170"/>
      <c r="AI211" s="170"/>
      <c r="AJ211" s="453"/>
      <c r="AK211" s="454"/>
      <c r="AL211" s="453"/>
      <c r="AM211" s="175"/>
      <c r="AN211" s="254"/>
      <c r="AO211" s="175"/>
      <c r="AP211" s="178" t="str">
        <f t="shared" si="22"/>
        <v xml:space="preserve"> </v>
      </c>
    </row>
    <row r="212" spans="1:42" ht="63" customHeight="1">
      <c r="A212" s="188" t="s">
        <v>1311</v>
      </c>
      <c r="B212" s="176"/>
      <c r="C212" s="168"/>
      <c r="D212" s="169"/>
      <c r="E212" s="177"/>
      <c r="F212" s="189" t="str">
        <f>IF(E212="","",VLOOKUP(E212,'Listes déroulantes'!$A$3:$C$39,2))</f>
        <v/>
      </c>
      <c r="G212" s="180"/>
      <c r="H212" s="181"/>
      <c r="I212" s="186"/>
      <c r="J212" s="185"/>
      <c r="K212" s="167"/>
      <c r="L212" s="170"/>
      <c r="M212" s="171"/>
      <c r="N212" s="171"/>
      <c r="O212" s="184" t="str">
        <f t="shared" si="21"/>
        <v/>
      </c>
      <c r="P212" s="499"/>
      <c r="Q212" s="172"/>
      <c r="R212" s="173"/>
      <c r="S212" s="173"/>
      <c r="T212" s="174"/>
      <c r="U212" s="177"/>
      <c r="V212" s="170"/>
      <c r="W212" s="170"/>
      <c r="X212" s="174"/>
      <c r="Y212" s="182"/>
      <c r="Z212" s="179" t="str">
        <f t="shared" si="20"/>
        <v/>
      </c>
      <c r="AA212" s="171"/>
      <c r="AB212" s="183" t="str">
        <f t="shared" ca="1" si="23"/>
        <v/>
      </c>
      <c r="AC212" s="265"/>
      <c r="AD212" s="249"/>
      <c r="AE212" s="249"/>
      <c r="AF212" s="249"/>
      <c r="AG212" s="249"/>
      <c r="AH212" s="249"/>
      <c r="AI212" s="249"/>
      <c r="AJ212" s="453"/>
      <c r="AK212" s="454"/>
      <c r="AL212" s="453"/>
      <c r="AM212" s="175"/>
      <c r="AN212" s="254"/>
      <c r="AO212" s="254"/>
      <c r="AP212" s="178" t="str">
        <f t="shared" si="22"/>
        <v xml:space="preserve"> </v>
      </c>
    </row>
    <row r="213" spans="1:42" ht="63" customHeight="1">
      <c r="A213" s="188" t="s">
        <v>1312</v>
      </c>
      <c r="B213" s="176"/>
      <c r="C213" s="168"/>
      <c r="D213" s="169"/>
      <c r="E213" s="177"/>
      <c r="F213" s="189" t="str">
        <f>IF(E213="","",VLOOKUP(E213,'Listes déroulantes'!$A$3:$C$39,2))</f>
        <v/>
      </c>
      <c r="G213" s="180"/>
      <c r="H213" s="181"/>
      <c r="I213" s="186"/>
      <c r="J213" s="185"/>
      <c r="K213" s="167"/>
      <c r="L213" s="170"/>
      <c r="M213" s="171"/>
      <c r="N213" s="171"/>
      <c r="O213" s="184" t="str">
        <f t="shared" si="21"/>
        <v/>
      </c>
      <c r="P213" s="499"/>
      <c r="Q213" s="172"/>
      <c r="R213" s="173"/>
      <c r="S213" s="173"/>
      <c r="T213" s="174"/>
      <c r="U213" s="177"/>
      <c r="V213" s="170"/>
      <c r="W213" s="170"/>
      <c r="X213" s="174"/>
      <c r="Y213" s="182"/>
      <c r="Z213" s="179" t="str">
        <f t="shared" si="20"/>
        <v/>
      </c>
      <c r="AA213" s="171"/>
      <c r="AB213" s="183" t="str">
        <f t="shared" ca="1" si="23"/>
        <v/>
      </c>
      <c r="AC213" s="265"/>
      <c r="AD213" s="249"/>
      <c r="AE213" s="170"/>
      <c r="AF213" s="170"/>
      <c r="AG213" s="170"/>
      <c r="AH213" s="170"/>
      <c r="AI213" s="170"/>
      <c r="AJ213" s="453"/>
      <c r="AK213" s="454"/>
      <c r="AL213" s="453"/>
      <c r="AM213" s="175"/>
      <c r="AN213" s="254"/>
      <c r="AO213" s="175"/>
      <c r="AP213" s="178" t="str">
        <f t="shared" si="22"/>
        <v xml:space="preserve"> </v>
      </c>
    </row>
    <row r="214" spans="1:42" ht="63" customHeight="1">
      <c r="A214" s="188" t="s">
        <v>1313</v>
      </c>
      <c r="B214" s="176"/>
      <c r="C214" s="168"/>
      <c r="D214" s="169"/>
      <c r="E214" s="177"/>
      <c r="F214" s="189" t="str">
        <f>IF(E214="","",VLOOKUP(E214,'Listes déroulantes'!$A$3:$C$39,2))</f>
        <v/>
      </c>
      <c r="G214" s="180"/>
      <c r="H214" s="181"/>
      <c r="I214" s="186"/>
      <c r="J214" s="185"/>
      <c r="K214" s="167"/>
      <c r="L214" s="170"/>
      <c r="M214" s="171"/>
      <c r="N214" s="171"/>
      <c r="O214" s="184" t="str">
        <f t="shared" si="21"/>
        <v/>
      </c>
      <c r="P214" s="499"/>
      <c r="Q214" s="172"/>
      <c r="R214" s="173"/>
      <c r="S214" s="173"/>
      <c r="T214" s="174"/>
      <c r="U214" s="177"/>
      <c r="V214" s="170"/>
      <c r="W214" s="170"/>
      <c r="X214" s="174"/>
      <c r="Y214" s="182"/>
      <c r="Z214" s="179" t="str">
        <f t="shared" si="20"/>
        <v/>
      </c>
      <c r="AA214" s="171"/>
      <c r="AB214" s="183" t="str">
        <f t="shared" ca="1" si="23"/>
        <v/>
      </c>
      <c r="AC214" s="265"/>
      <c r="AD214" s="249"/>
      <c r="AE214" s="170"/>
      <c r="AF214" s="170"/>
      <c r="AG214" s="170"/>
      <c r="AH214" s="170"/>
      <c r="AI214" s="170"/>
      <c r="AJ214" s="453"/>
      <c r="AK214" s="454"/>
      <c r="AL214" s="453"/>
      <c r="AM214" s="175"/>
      <c r="AN214" s="254"/>
      <c r="AO214" s="175"/>
      <c r="AP214" s="178" t="str">
        <f t="shared" si="22"/>
        <v xml:space="preserve"> </v>
      </c>
    </row>
    <row r="215" spans="1:42" ht="63" customHeight="1">
      <c r="A215" s="188" t="s">
        <v>1314</v>
      </c>
      <c r="B215" s="176"/>
      <c r="C215" s="168"/>
      <c r="D215" s="169"/>
      <c r="E215" s="177"/>
      <c r="F215" s="189" t="str">
        <f>IF(E215="","",VLOOKUP(E215,'Listes déroulantes'!$A$3:$C$39,2))</f>
        <v/>
      </c>
      <c r="G215" s="180"/>
      <c r="H215" s="181"/>
      <c r="I215" s="186"/>
      <c r="J215" s="185"/>
      <c r="K215" s="167"/>
      <c r="L215" s="170"/>
      <c r="M215" s="171"/>
      <c r="N215" s="171"/>
      <c r="O215" s="184" t="str">
        <f t="shared" si="21"/>
        <v/>
      </c>
      <c r="P215" s="499"/>
      <c r="Q215" s="172"/>
      <c r="R215" s="173"/>
      <c r="S215" s="173"/>
      <c r="T215" s="174"/>
      <c r="U215" s="177"/>
      <c r="V215" s="170"/>
      <c r="W215" s="170"/>
      <c r="X215" s="174"/>
      <c r="Y215" s="182"/>
      <c r="Z215" s="179" t="str">
        <f t="shared" si="20"/>
        <v/>
      </c>
      <c r="AA215" s="171"/>
      <c r="AB215" s="183" t="str">
        <f t="shared" ca="1" si="23"/>
        <v/>
      </c>
      <c r="AC215" s="265"/>
      <c r="AD215" s="249"/>
      <c r="AE215" s="170"/>
      <c r="AF215" s="170"/>
      <c r="AG215" s="170"/>
      <c r="AH215" s="170"/>
      <c r="AI215" s="170"/>
      <c r="AJ215" s="453"/>
      <c r="AK215" s="454"/>
      <c r="AL215" s="453"/>
      <c r="AM215" s="175"/>
      <c r="AN215" s="254"/>
      <c r="AO215" s="175"/>
      <c r="AP215" s="178" t="str">
        <f t="shared" si="22"/>
        <v xml:space="preserve"> </v>
      </c>
    </row>
    <row r="216" spans="1:42" ht="63" customHeight="1">
      <c r="A216" s="188" t="s">
        <v>1315</v>
      </c>
      <c r="B216" s="176"/>
      <c r="C216" s="168"/>
      <c r="D216" s="169"/>
      <c r="E216" s="177"/>
      <c r="F216" s="189" t="str">
        <f>IF(E216="","",VLOOKUP(E216,'Listes déroulantes'!$A$3:$C$39,2))</f>
        <v/>
      </c>
      <c r="G216" s="180"/>
      <c r="H216" s="181"/>
      <c r="I216" s="186"/>
      <c r="J216" s="185"/>
      <c r="K216" s="167"/>
      <c r="L216" s="170"/>
      <c r="M216" s="171"/>
      <c r="N216" s="171"/>
      <c r="O216" s="184" t="str">
        <f t="shared" si="21"/>
        <v/>
      </c>
      <c r="P216" s="499"/>
      <c r="Q216" s="172"/>
      <c r="R216" s="173"/>
      <c r="S216" s="173"/>
      <c r="T216" s="174"/>
      <c r="U216" s="177"/>
      <c r="V216" s="170"/>
      <c r="W216" s="170"/>
      <c r="X216" s="174"/>
      <c r="Y216" s="182"/>
      <c r="Z216" s="179" t="str">
        <f t="shared" si="20"/>
        <v/>
      </c>
      <c r="AA216" s="171"/>
      <c r="AB216" s="183" t="str">
        <f t="shared" ca="1" si="23"/>
        <v/>
      </c>
      <c r="AC216" s="265"/>
      <c r="AD216" s="249"/>
      <c r="AE216" s="170"/>
      <c r="AF216" s="170"/>
      <c r="AG216" s="170"/>
      <c r="AH216" s="170"/>
      <c r="AI216" s="170"/>
      <c r="AJ216" s="453"/>
      <c r="AK216" s="454"/>
      <c r="AL216" s="453"/>
      <c r="AM216" s="175"/>
      <c r="AN216" s="254"/>
      <c r="AO216" s="175"/>
      <c r="AP216" s="178" t="str">
        <f t="shared" si="22"/>
        <v xml:space="preserve"> </v>
      </c>
    </row>
    <row r="217" spans="1:42" ht="63" customHeight="1">
      <c r="A217" s="188" t="s">
        <v>1316</v>
      </c>
      <c r="B217" s="176"/>
      <c r="C217" s="168"/>
      <c r="D217" s="169"/>
      <c r="E217" s="177"/>
      <c r="F217" s="189" t="str">
        <f>IF(E217="","",VLOOKUP(E217,'Listes déroulantes'!$A$3:$C$39,2))</f>
        <v/>
      </c>
      <c r="G217" s="180"/>
      <c r="H217" s="181"/>
      <c r="I217" s="186"/>
      <c r="J217" s="185"/>
      <c r="K217" s="167"/>
      <c r="L217" s="170"/>
      <c r="M217" s="171"/>
      <c r="N217" s="171"/>
      <c r="O217" s="184" t="str">
        <f t="shared" si="21"/>
        <v/>
      </c>
      <c r="P217" s="499"/>
      <c r="Q217" s="172"/>
      <c r="R217" s="173"/>
      <c r="S217" s="173"/>
      <c r="T217" s="174"/>
      <c r="U217" s="177"/>
      <c r="V217" s="170"/>
      <c r="W217" s="170"/>
      <c r="X217" s="174"/>
      <c r="Y217" s="182"/>
      <c r="Z217" s="179" t="str">
        <f t="shared" si="20"/>
        <v/>
      </c>
      <c r="AA217" s="171"/>
      <c r="AB217" s="183" t="str">
        <f t="shared" ca="1" si="23"/>
        <v/>
      </c>
      <c r="AC217" s="265"/>
      <c r="AD217" s="249"/>
      <c r="AE217" s="170"/>
      <c r="AF217" s="170"/>
      <c r="AG217" s="170"/>
      <c r="AH217" s="170"/>
      <c r="AI217" s="170"/>
      <c r="AJ217" s="453"/>
      <c r="AK217" s="454"/>
      <c r="AL217" s="453"/>
      <c r="AM217" s="175"/>
      <c r="AN217" s="254"/>
      <c r="AO217" s="175"/>
      <c r="AP217" s="178" t="str">
        <f t="shared" si="22"/>
        <v xml:space="preserve"> </v>
      </c>
    </row>
    <row r="218" spans="1:42" ht="63" customHeight="1">
      <c r="A218" s="188" t="s">
        <v>1317</v>
      </c>
      <c r="B218" s="176"/>
      <c r="C218" s="168"/>
      <c r="D218" s="169"/>
      <c r="E218" s="177"/>
      <c r="F218" s="189" t="str">
        <f>IF(E218="","",VLOOKUP(E218,'Listes déroulantes'!$A$3:$C$39,2))</f>
        <v/>
      </c>
      <c r="G218" s="180"/>
      <c r="H218" s="181"/>
      <c r="I218" s="186"/>
      <c r="J218" s="185"/>
      <c r="K218" s="167"/>
      <c r="L218" s="170"/>
      <c r="M218" s="171"/>
      <c r="N218" s="171"/>
      <c r="O218" s="184" t="str">
        <f t="shared" si="21"/>
        <v/>
      </c>
      <c r="P218" s="499"/>
      <c r="Q218" s="172"/>
      <c r="R218" s="173"/>
      <c r="S218" s="173"/>
      <c r="T218" s="174"/>
      <c r="U218" s="177"/>
      <c r="V218" s="170"/>
      <c r="W218" s="170"/>
      <c r="X218" s="174"/>
      <c r="Y218" s="182"/>
      <c r="Z218" s="179" t="str">
        <f t="shared" si="20"/>
        <v/>
      </c>
      <c r="AA218" s="171"/>
      <c r="AB218" s="183" t="str">
        <f t="shared" ca="1" si="23"/>
        <v/>
      </c>
      <c r="AC218" s="265"/>
      <c r="AD218" s="249"/>
      <c r="AE218" s="170"/>
      <c r="AF218" s="170"/>
      <c r="AG218" s="170"/>
      <c r="AH218" s="170"/>
      <c r="AI218" s="170"/>
      <c r="AJ218" s="453"/>
      <c r="AK218" s="454"/>
      <c r="AL218" s="453"/>
      <c r="AM218" s="175"/>
      <c r="AN218" s="254"/>
      <c r="AO218" s="175"/>
      <c r="AP218" s="178" t="str">
        <f t="shared" si="22"/>
        <v xml:space="preserve"> </v>
      </c>
    </row>
    <row r="219" spans="1:42" ht="63" customHeight="1">
      <c r="A219" s="188" t="s">
        <v>1318</v>
      </c>
      <c r="B219" s="176"/>
      <c r="C219" s="168"/>
      <c r="D219" s="169"/>
      <c r="E219" s="177"/>
      <c r="F219" s="189" t="str">
        <f>IF(E219="","",VLOOKUP(E219,'Listes déroulantes'!$A$3:$C$39,2))</f>
        <v/>
      </c>
      <c r="G219" s="180"/>
      <c r="H219" s="181"/>
      <c r="I219" s="186"/>
      <c r="J219" s="185"/>
      <c r="K219" s="167"/>
      <c r="L219" s="170"/>
      <c r="M219" s="171"/>
      <c r="N219" s="171"/>
      <c r="O219" s="184" t="str">
        <f t="shared" si="21"/>
        <v/>
      </c>
      <c r="P219" s="499"/>
      <c r="Q219" s="172"/>
      <c r="R219" s="173"/>
      <c r="S219" s="173"/>
      <c r="T219" s="174"/>
      <c r="U219" s="177"/>
      <c r="V219" s="170"/>
      <c r="W219" s="170"/>
      <c r="X219" s="174"/>
      <c r="Y219" s="182"/>
      <c r="Z219" s="179" t="str">
        <f t="shared" si="20"/>
        <v/>
      </c>
      <c r="AA219" s="171"/>
      <c r="AB219" s="183" t="str">
        <f t="shared" ca="1" si="23"/>
        <v/>
      </c>
      <c r="AC219" s="265"/>
      <c r="AD219" s="249"/>
      <c r="AE219" s="170"/>
      <c r="AF219" s="170"/>
      <c r="AG219" s="170"/>
      <c r="AH219" s="170"/>
      <c r="AI219" s="170"/>
      <c r="AJ219" s="453"/>
      <c r="AK219" s="454"/>
      <c r="AL219" s="453"/>
      <c r="AM219" s="175"/>
      <c r="AN219" s="254"/>
      <c r="AO219" s="175"/>
      <c r="AP219" s="178" t="str">
        <f t="shared" si="22"/>
        <v xml:space="preserve"> </v>
      </c>
    </row>
    <row r="220" spans="1:42" ht="63" customHeight="1">
      <c r="A220" s="188" t="s">
        <v>1319</v>
      </c>
      <c r="B220" s="176"/>
      <c r="C220" s="168"/>
      <c r="D220" s="169"/>
      <c r="E220" s="177"/>
      <c r="F220" s="189" t="str">
        <f>IF(E220="","",VLOOKUP(E220,'Listes déroulantes'!$A$3:$C$39,2))</f>
        <v/>
      </c>
      <c r="G220" s="180"/>
      <c r="H220" s="181"/>
      <c r="I220" s="186"/>
      <c r="J220" s="185"/>
      <c r="K220" s="167"/>
      <c r="L220" s="170"/>
      <c r="M220" s="171"/>
      <c r="N220" s="171"/>
      <c r="O220" s="184" t="str">
        <f t="shared" si="21"/>
        <v/>
      </c>
      <c r="P220" s="499"/>
      <c r="Q220" s="172"/>
      <c r="R220" s="173"/>
      <c r="S220" s="173"/>
      <c r="T220" s="174"/>
      <c r="U220" s="177"/>
      <c r="V220" s="170"/>
      <c r="W220" s="170"/>
      <c r="X220" s="174"/>
      <c r="Y220" s="182"/>
      <c r="Z220" s="179" t="str">
        <f t="shared" si="20"/>
        <v/>
      </c>
      <c r="AA220" s="171"/>
      <c r="AB220" s="183" t="str">
        <f t="shared" ca="1" si="23"/>
        <v/>
      </c>
      <c r="AC220" s="265"/>
      <c r="AD220" s="249"/>
      <c r="AE220" s="170"/>
      <c r="AF220" s="170"/>
      <c r="AG220" s="170"/>
      <c r="AH220" s="170"/>
      <c r="AI220" s="170"/>
      <c r="AJ220" s="453"/>
      <c r="AK220" s="454"/>
      <c r="AL220" s="453"/>
      <c r="AM220" s="175"/>
      <c r="AN220" s="254"/>
      <c r="AO220" s="175"/>
      <c r="AP220" s="178" t="str">
        <f t="shared" si="22"/>
        <v xml:space="preserve"> </v>
      </c>
    </row>
    <row r="221" spans="1:42" ht="63" customHeight="1">
      <c r="A221" s="188" t="s">
        <v>1320</v>
      </c>
      <c r="B221" s="176"/>
      <c r="C221" s="168"/>
      <c r="D221" s="169"/>
      <c r="E221" s="177"/>
      <c r="F221" s="189" t="str">
        <f>IF(E221="","",VLOOKUP(E221,'Listes déroulantes'!$A$3:$C$39,2))</f>
        <v/>
      </c>
      <c r="G221" s="180"/>
      <c r="H221" s="181"/>
      <c r="I221" s="186"/>
      <c r="J221" s="185"/>
      <c r="K221" s="167"/>
      <c r="L221" s="170"/>
      <c r="M221" s="171"/>
      <c r="N221" s="171"/>
      <c r="O221" s="184" t="str">
        <f t="shared" si="21"/>
        <v/>
      </c>
      <c r="P221" s="499"/>
      <c r="Q221" s="172"/>
      <c r="R221" s="173"/>
      <c r="S221" s="173"/>
      <c r="T221" s="174"/>
      <c r="U221" s="177"/>
      <c r="V221" s="170"/>
      <c r="W221" s="170"/>
      <c r="X221" s="174"/>
      <c r="Y221" s="182"/>
      <c r="Z221" s="179" t="str">
        <f t="shared" si="20"/>
        <v/>
      </c>
      <c r="AA221" s="171"/>
      <c r="AB221" s="183" t="str">
        <f t="shared" ca="1" si="23"/>
        <v/>
      </c>
      <c r="AC221" s="265"/>
      <c r="AD221" s="249"/>
      <c r="AE221" s="170"/>
      <c r="AF221" s="170"/>
      <c r="AG221" s="170"/>
      <c r="AH221" s="170"/>
      <c r="AI221" s="170"/>
      <c r="AJ221" s="453"/>
      <c r="AK221" s="454"/>
      <c r="AL221" s="453"/>
      <c r="AM221" s="175"/>
      <c r="AN221" s="254"/>
      <c r="AO221" s="175"/>
      <c r="AP221" s="178" t="str">
        <f t="shared" si="22"/>
        <v xml:space="preserve"> </v>
      </c>
    </row>
    <row r="222" spans="1:42" ht="63" customHeight="1">
      <c r="A222" s="188" t="s">
        <v>1321</v>
      </c>
      <c r="B222" s="176"/>
      <c r="C222" s="168"/>
      <c r="D222" s="169"/>
      <c r="E222" s="177"/>
      <c r="F222" s="189" t="str">
        <f>IF(E222="","",VLOOKUP(E222,'Listes déroulantes'!$A$3:$C$39,2))</f>
        <v/>
      </c>
      <c r="G222" s="180"/>
      <c r="H222" s="181"/>
      <c r="I222" s="186"/>
      <c r="J222" s="185"/>
      <c r="K222" s="167"/>
      <c r="L222" s="170"/>
      <c r="M222" s="171"/>
      <c r="N222" s="171"/>
      <c r="O222" s="184" t="str">
        <f t="shared" si="21"/>
        <v/>
      </c>
      <c r="P222" s="499"/>
      <c r="Q222" s="172"/>
      <c r="R222" s="173"/>
      <c r="S222" s="173"/>
      <c r="T222" s="174"/>
      <c r="U222" s="177"/>
      <c r="V222" s="170"/>
      <c r="W222" s="170"/>
      <c r="X222" s="174"/>
      <c r="Y222" s="182"/>
      <c r="Z222" s="179" t="str">
        <f t="shared" ref="Z222:Z285" si="24">IF(ISBLANK(I222),"",I222+7)</f>
        <v/>
      </c>
      <c r="AA222" s="171"/>
      <c r="AB222" s="183" t="str">
        <f t="shared" ca="1" si="23"/>
        <v/>
      </c>
      <c r="AC222" s="265"/>
      <c r="AD222" s="249"/>
      <c r="AE222" s="170"/>
      <c r="AF222" s="170"/>
      <c r="AG222" s="170"/>
      <c r="AH222" s="170"/>
      <c r="AI222" s="170"/>
      <c r="AJ222" s="453"/>
      <c r="AK222" s="454"/>
      <c r="AL222" s="453"/>
      <c r="AM222" s="175"/>
      <c r="AN222" s="254"/>
      <c r="AO222" s="175"/>
      <c r="AP222" s="178" t="str">
        <f t="shared" si="22"/>
        <v xml:space="preserve"> </v>
      </c>
    </row>
    <row r="223" spans="1:42" ht="63" customHeight="1">
      <c r="A223" s="188" t="s">
        <v>1322</v>
      </c>
      <c r="B223" s="176"/>
      <c r="C223" s="168"/>
      <c r="D223" s="169"/>
      <c r="E223" s="177"/>
      <c r="F223" s="189" t="str">
        <f>IF(E223="","",VLOOKUP(E223,'Listes déroulantes'!$A$3:$C$39,2))</f>
        <v/>
      </c>
      <c r="G223" s="180"/>
      <c r="H223" s="181"/>
      <c r="I223" s="186"/>
      <c r="J223" s="185"/>
      <c r="K223" s="167"/>
      <c r="L223" s="170"/>
      <c r="M223" s="171"/>
      <c r="N223" s="171"/>
      <c r="O223" s="184" t="str">
        <f t="shared" si="21"/>
        <v/>
      </c>
      <c r="P223" s="499"/>
      <c r="Q223" s="172"/>
      <c r="R223" s="173"/>
      <c r="S223" s="173"/>
      <c r="T223" s="174"/>
      <c r="U223" s="177"/>
      <c r="V223" s="170"/>
      <c r="W223" s="170"/>
      <c r="X223" s="174"/>
      <c r="Y223" s="182"/>
      <c r="Z223" s="179" t="str">
        <f t="shared" si="24"/>
        <v/>
      </c>
      <c r="AA223" s="171"/>
      <c r="AB223" s="183" t="str">
        <f t="shared" ca="1" si="23"/>
        <v/>
      </c>
      <c r="AC223" s="265"/>
      <c r="AD223" s="249"/>
      <c r="AE223" s="249"/>
      <c r="AF223" s="249"/>
      <c r="AG223" s="249"/>
      <c r="AH223" s="249"/>
      <c r="AI223" s="249"/>
      <c r="AJ223" s="453"/>
      <c r="AK223" s="454"/>
      <c r="AL223" s="453"/>
      <c r="AM223" s="175"/>
      <c r="AN223" s="254"/>
      <c r="AO223" s="254"/>
      <c r="AP223" s="178" t="str">
        <f t="shared" si="22"/>
        <v xml:space="preserve"> </v>
      </c>
    </row>
    <row r="224" spans="1:42" ht="63" customHeight="1">
      <c r="A224" s="188" t="s">
        <v>1323</v>
      </c>
      <c r="B224" s="176"/>
      <c r="C224" s="168"/>
      <c r="D224" s="169"/>
      <c r="E224" s="177"/>
      <c r="F224" s="189" t="str">
        <f>IF(E224="","",VLOOKUP(E224,'Listes déroulantes'!$A$3:$C$39,2))</f>
        <v/>
      </c>
      <c r="G224" s="180"/>
      <c r="H224" s="181"/>
      <c r="I224" s="186"/>
      <c r="J224" s="185"/>
      <c r="K224" s="167"/>
      <c r="L224" s="170"/>
      <c r="M224" s="171"/>
      <c r="N224" s="171"/>
      <c r="O224" s="184" t="str">
        <f t="shared" si="21"/>
        <v/>
      </c>
      <c r="P224" s="499"/>
      <c r="Q224" s="172"/>
      <c r="R224" s="173"/>
      <c r="S224" s="173"/>
      <c r="T224" s="174"/>
      <c r="U224" s="177"/>
      <c r="V224" s="170"/>
      <c r="W224" s="170"/>
      <c r="X224" s="174"/>
      <c r="Y224" s="182"/>
      <c r="Z224" s="179" t="str">
        <f t="shared" si="24"/>
        <v/>
      </c>
      <c r="AA224" s="171"/>
      <c r="AB224" s="183" t="str">
        <f t="shared" ca="1" si="23"/>
        <v/>
      </c>
      <c r="AC224" s="265"/>
      <c r="AD224" s="249"/>
      <c r="AE224" s="170"/>
      <c r="AF224" s="170"/>
      <c r="AG224" s="170"/>
      <c r="AH224" s="170"/>
      <c r="AI224" s="170"/>
      <c r="AJ224" s="453"/>
      <c r="AK224" s="454"/>
      <c r="AL224" s="453"/>
      <c r="AM224" s="175"/>
      <c r="AN224" s="254"/>
      <c r="AO224" s="175"/>
      <c r="AP224" s="178" t="str">
        <f t="shared" si="22"/>
        <v xml:space="preserve"> </v>
      </c>
    </row>
    <row r="225" spans="1:42" ht="63" customHeight="1">
      <c r="A225" s="188" t="s">
        <v>1324</v>
      </c>
      <c r="B225" s="176"/>
      <c r="C225" s="168"/>
      <c r="D225" s="169"/>
      <c r="E225" s="177"/>
      <c r="F225" s="189" t="str">
        <f>IF(E225="","",VLOOKUP(E225,'Listes déroulantes'!$A$3:$C$39,2))</f>
        <v/>
      </c>
      <c r="G225" s="180"/>
      <c r="H225" s="181"/>
      <c r="I225" s="186"/>
      <c r="J225" s="185"/>
      <c r="K225" s="167"/>
      <c r="L225" s="170"/>
      <c r="M225" s="171"/>
      <c r="N225" s="171"/>
      <c r="O225" s="184" t="str">
        <f t="shared" si="21"/>
        <v/>
      </c>
      <c r="P225" s="499"/>
      <c r="Q225" s="172"/>
      <c r="R225" s="173"/>
      <c r="S225" s="173"/>
      <c r="T225" s="174"/>
      <c r="U225" s="177"/>
      <c r="V225" s="170"/>
      <c r="W225" s="170"/>
      <c r="X225" s="174"/>
      <c r="Y225" s="182"/>
      <c r="Z225" s="179" t="str">
        <f t="shared" si="24"/>
        <v/>
      </c>
      <c r="AA225" s="171"/>
      <c r="AB225" s="183" t="str">
        <f t="shared" ca="1" si="23"/>
        <v/>
      </c>
      <c r="AC225" s="265"/>
      <c r="AD225" s="249"/>
      <c r="AE225" s="170"/>
      <c r="AF225" s="170"/>
      <c r="AG225" s="170"/>
      <c r="AH225" s="170"/>
      <c r="AI225" s="170"/>
      <c r="AJ225" s="453"/>
      <c r="AK225" s="454"/>
      <c r="AL225" s="453"/>
      <c r="AM225" s="175"/>
      <c r="AN225" s="254"/>
      <c r="AO225" s="175"/>
      <c r="AP225" s="178" t="str">
        <f t="shared" si="22"/>
        <v xml:space="preserve"> </v>
      </c>
    </row>
    <row r="226" spans="1:42" ht="63" customHeight="1">
      <c r="A226" s="188" t="s">
        <v>1325</v>
      </c>
      <c r="B226" s="176"/>
      <c r="C226" s="168"/>
      <c r="D226" s="169"/>
      <c r="E226" s="177"/>
      <c r="F226" s="189" t="str">
        <f>IF(E226="","",VLOOKUP(E226,'Listes déroulantes'!$A$3:$C$39,2))</f>
        <v/>
      </c>
      <c r="G226" s="180"/>
      <c r="H226" s="181"/>
      <c r="I226" s="186"/>
      <c r="J226" s="185"/>
      <c r="K226" s="167"/>
      <c r="L226" s="170"/>
      <c r="M226" s="171"/>
      <c r="N226" s="171"/>
      <c r="O226" s="184" t="str">
        <f t="shared" si="21"/>
        <v/>
      </c>
      <c r="P226" s="499"/>
      <c r="Q226" s="172"/>
      <c r="R226" s="173"/>
      <c r="S226" s="173"/>
      <c r="T226" s="174"/>
      <c r="U226" s="177"/>
      <c r="V226" s="170"/>
      <c r="W226" s="170"/>
      <c r="X226" s="174"/>
      <c r="Y226" s="182"/>
      <c r="Z226" s="179" t="str">
        <f t="shared" si="24"/>
        <v/>
      </c>
      <c r="AA226" s="171"/>
      <c r="AB226" s="183" t="str">
        <f t="shared" ca="1" si="23"/>
        <v/>
      </c>
      <c r="AC226" s="265"/>
      <c r="AD226" s="249"/>
      <c r="AE226" s="170"/>
      <c r="AF226" s="170"/>
      <c r="AG226" s="170"/>
      <c r="AH226" s="170"/>
      <c r="AI226" s="170"/>
      <c r="AJ226" s="453"/>
      <c r="AK226" s="454"/>
      <c r="AL226" s="453"/>
      <c r="AM226" s="175"/>
      <c r="AN226" s="254"/>
      <c r="AO226" s="175"/>
      <c r="AP226" s="178" t="str">
        <f t="shared" si="22"/>
        <v xml:space="preserve"> </v>
      </c>
    </row>
    <row r="227" spans="1:42" ht="63" customHeight="1">
      <c r="A227" s="188" t="s">
        <v>1326</v>
      </c>
      <c r="B227" s="176"/>
      <c r="C227" s="168"/>
      <c r="D227" s="169"/>
      <c r="E227" s="177"/>
      <c r="F227" s="189" t="str">
        <f>IF(E227="","",VLOOKUP(E227,'Listes déroulantes'!$A$3:$C$39,2))</f>
        <v/>
      </c>
      <c r="G227" s="180"/>
      <c r="H227" s="181"/>
      <c r="I227" s="186"/>
      <c r="J227" s="185"/>
      <c r="K227" s="167"/>
      <c r="L227" s="170"/>
      <c r="M227" s="171"/>
      <c r="N227" s="171"/>
      <c r="O227" s="184" t="str">
        <f t="shared" si="21"/>
        <v/>
      </c>
      <c r="P227" s="499"/>
      <c r="Q227" s="172"/>
      <c r="R227" s="173"/>
      <c r="S227" s="173"/>
      <c r="T227" s="174"/>
      <c r="U227" s="177"/>
      <c r="V227" s="170"/>
      <c r="W227" s="170"/>
      <c r="X227" s="174"/>
      <c r="Y227" s="182"/>
      <c r="Z227" s="179" t="str">
        <f t="shared" si="24"/>
        <v/>
      </c>
      <c r="AA227" s="171"/>
      <c r="AB227" s="183" t="str">
        <f t="shared" ca="1" si="23"/>
        <v/>
      </c>
      <c r="AC227" s="265"/>
      <c r="AD227" s="249"/>
      <c r="AE227" s="170"/>
      <c r="AF227" s="170"/>
      <c r="AG227" s="170"/>
      <c r="AH227" s="170"/>
      <c r="AI227" s="170"/>
      <c r="AJ227" s="453"/>
      <c r="AK227" s="454"/>
      <c r="AL227" s="453"/>
      <c r="AM227" s="175"/>
      <c r="AN227" s="254"/>
      <c r="AO227" s="175"/>
      <c r="AP227" s="178" t="str">
        <f t="shared" si="22"/>
        <v xml:space="preserve"> </v>
      </c>
    </row>
    <row r="228" spans="1:42" ht="63" customHeight="1">
      <c r="A228" s="188" t="s">
        <v>1327</v>
      </c>
      <c r="B228" s="176"/>
      <c r="C228" s="168"/>
      <c r="D228" s="169"/>
      <c r="E228" s="177"/>
      <c r="F228" s="189" t="str">
        <f>IF(E228="","",VLOOKUP(E228,'Listes déroulantes'!$A$3:$C$39,2))</f>
        <v/>
      </c>
      <c r="G228" s="180"/>
      <c r="H228" s="181"/>
      <c r="I228" s="186"/>
      <c r="J228" s="185"/>
      <c r="K228" s="167"/>
      <c r="L228" s="170"/>
      <c r="M228" s="171"/>
      <c r="N228" s="171"/>
      <c r="O228" s="184" t="str">
        <f t="shared" si="21"/>
        <v/>
      </c>
      <c r="P228" s="499"/>
      <c r="Q228" s="172"/>
      <c r="R228" s="173"/>
      <c r="S228" s="173"/>
      <c r="T228" s="174"/>
      <c r="U228" s="177"/>
      <c r="V228" s="170"/>
      <c r="W228" s="170"/>
      <c r="X228" s="174"/>
      <c r="Y228" s="182"/>
      <c r="Z228" s="179" t="str">
        <f t="shared" si="24"/>
        <v/>
      </c>
      <c r="AA228" s="171"/>
      <c r="AB228" s="183" t="str">
        <f t="shared" ca="1" si="23"/>
        <v/>
      </c>
      <c r="AC228" s="265"/>
      <c r="AD228" s="249"/>
      <c r="AE228" s="170"/>
      <c r="AF228" s="170"/>
      <c r="AG228" s="170"/>
      <c r="AH228" s="170"/>
      <c r="AI228" s="170"/>
      <c r="AJ228" s="453"/>
      <c r="AK228" s="454"/>
      <c r="AL228" s="453"/>
      <c r="AM228" s="175"/>
      <c r="AN228" s="254"/>
      <c r="AO228" s="175"/>
      <c r="AP228" s="178" t="str">
        <f t="shared" si="22"/>
        <v xml:space="preserve"> </v>
      </c>
    </row>
    <row r="229" spans="1:42" ht="63" customHeight="1">
      <c r="A229" s="188" t="s">
        <v>1328</v>
      </c>
      <c r="B229" s="176"/>
      <c r="C229" s="168"/>
      <c r="D229" s="169"/>
      <c r="E229" s="177"/>
      <c r="F229" s="189" t="str">
        <f>IF(E229="","",VLOOKUP(E229,'Listes déroulantes'!$A$3:$C$39,2))</f>
        <v/>
      </c>
      <c r="G229" s="180"/>
      <c r="H229" s="181"/>
      <c r="I229" s="186"/>
      <c r="J229" s="185"/>
      <c r="K229" s="167"/>
      <c r="L229" s="170"/>
      <c r="M229" s="171"/>
      <c r="N229" s="171"/>
      <c r="O229" s="184" t="str">
        <f t="shared" si="21"/>
        <v/>
      </c>
      <c r="P229" s="499"/>
      <c r="Q229" s="172"/>
      <c r="R229" s="173"/>
      <c r="S229" s="173"/>
      <c r="T229" s="174"/>
      <c r="U229" s="177"/>
      <c r="V229" s="170"/>
      <c r="W229" s="170"/>
      <c r="X229" s="174"/>
      <c r="Y229" s="182"/>
      <c r="Z229" s="179" t="str">
        <f t="shared" si="24"/>
        <v/>
      </c>
      <c r="AA229" s="171"/>
      <c r="AB229" s="183" t="str">
        <f t="shared" ca="1" si="23"/>
        <v/>
      </c>
      <c r="AC229" s="265"/>
      <c r="AD229" s="249"/>
      <c r="AE229" s="170"/>
      <c r="AF229" s="170"/>
      <c r="AG229" s="170"/>
      <c r="AH229" s="170"/>
      <c r="AI229" s="170"/>
      <c r="AJ229" s="453"/>
      <c r="AK229" s="454"/>
      <c r="AL229" s="453"/>
      <c r="AM229" s="175"/>
      <c r="AN229" s="254"/>
      <c r="AO229" s="175"/>
      <c r="AP229" s="178" t="str">
        <f t="shared" si="22"/>
        <v xml:space="preserve"> </v>
      </c>
    </row>
    <row r="230" spans="1:42" ht="63" customHeight="1">
      <c r="A230" s="188" t="s">
        <v>1329</v>
      </c>
      <c r="B230" s="176"/>
      <c r="C230" s="168"/>
      <c r="D230" s="169"/>
      <c r="E230" s="177"/>
      <c r="F230" s="189" t="str">
        <f>IF(E230="","",VLOOKUP(E230,'Listes déroulantes'!$A$3:$C$39,2))</f>
        <v/>
      </c>
      <c r="G230" s="180"/>
      <c r="H230" s="181"/>
      <c r="I230" s="186"/>
      <c r="J230" s="185"/>
      <c r="K230" s="167"/>
      <c r="L230" s="170"/>
      <c r="M230" s="171"/>
      <c r="N230" s="171"/>
      <c r="O230" s="184" t="str">
        <f t="shared" si="21"/>
        <v/>
      </c>
      <c r="P230" s="499"/>
      <c r="Q230" s="172"/>
      <c r="R230" s="173"/>
      <c r="S230" s="173"/>
      <c r="T230" s="174"/>
      <c r="U230" s="177"/>
      <c r="V230" s="170"/>
      <c r="W230" s="170"/>
      <c r="X230" s="174"/>
      <c r="Y230" s="182"/>
      <c r="Z230" s="179" t="str">
        <f t="shared" si="24"/>
        <v/>
      </c>
      <c r="AA230" s="171"/>
      <c r="AB230" s="183" t="str">
        <f t="shared" ca="1" si="23"/>
        <v/>
      </c>
      <c r="AC230" s="265"/>
      <c r="AD230" s="249"/>
      <c r="AE230" s="170"/>
      <c r="AF230" s="170"/>
      <c r="AG230" s="170"/>
      <c r="AH230" s="170"/>
      <c r="AI230" s="170"/>
      <c r="AJ230" s="453"/>
      <c r="AK230" s="454"/>
      <c r="AL230" s="453"/>
      <c r="AM230" s="175"/>
      <c r="AN230" s="254"/>
      <c r="AO230" s="175"/>
      <c r="AP230" s="178" t="str">
        <f t="shared" si="22"/>
        <v xml:space="preserve"> </v>
      </c>
    </row>
    <row r="231" spans="1:42" ht="63" customHeight="1">
      <c r="A231" s="188" t="s">
        <v>1330</v>
      </c>
      <c r="B231" s="176"/>
      <c r="C231" s="168"/>
      <c r="D231" s="169"/>
      <c r="E231" s="177"/>
      <c r="F231" s="189" t="str">
        <f>IF(E231="","",VLOOKUP(E231,'Listes déroulantes'!$A$3:$C$39,2))</f>
        <v/>
      </c>
      <c r="G231" s="180"/>
      <c r="H231" s="181"/>
      <c r="I231" s="186"/>
      <c r="J231" s="185"/>
      <c r="K231" s="167"/>
      <c r="L231" s="170"/>
      <c r="M231" s="171"/>
      <c r="N231" s="171"/>
      <c r="O231" s="184" t="str">
        <f t="shared" si="21"/>
        <v/>
      </c>
      <c r="P231" s="499"/>
      <c r="Q231" s="172"/>
      <c r="R231" s="173"/>
      <c r="S231" s="173"/>
      <c r="T231" s="174"/>
      <c r="U231" s="177"/>
      <c r="V231" s="170"/>
      <c r="W231" s="170"/>
      <c r="X231" s="174"/>
      <c r="Y231" s="182"/>
      <c r="Z231" s="179" t="str">
        <f t="shared" si="24"/>
        <v/>
      </c>
      <c r="AA231" s="171"/>
      <c r="AB231" s="183" t="str">
        <f t="shared" ca="1" si="23"/>
        <v/>
      </c>
      <c r="AC231" s="265"/>
      <c r="AD231" s="249"/>
      <c r="AE231" s="249"/>
      <c r="AF231" s="249"/>
      <c r="AG231" s="249"/>
      <c r="AH231" s="249"/>
      <c r="AI231" s="249"/>
      <c r="AJ231" s="453"/>
      <c r="AK231" s="454"/>
      <c r="AL231" s="453"/>
      <c r="AM231" s="175"/>
      <c r="AN231" s="254"/>
      <c r="AO231" s="254"/>
      <c r="AP231" s="178" t="str">
        <f t="shared" si="22"/>
        <v xml:space="preserve"> </v>
      </c>
    </row>
    <row r="232" spans="1:42" ht="63" customHeight="1">
      <c r="A232" s="188" t="s">
        <v>1331</v>
      </c>
      <c r="B232" s="176"/>
      <c r="C232" s="168"/>
      <c r="D232" s="169"/>
      <c r="E232" s="177"/>
      <c r="F232" s="189" t="str">
        <f>IF(E232="","",VLOOKUP(E232,'Listes déroulantes'!$A$3:$C$39,2))</f>
        <v/>
      </c>
      <c r="G232" s="180"/>
      <c r="H232" s="181"/>
      <c r="I232" s="186"/>
      <c r="J232" s="185"/>
      <c r="K232" s="167"/>
      <c r="L232" s="170"/>
      <c r="M232" s="171"/>
      <c r="N232" s="171"/>
      <c r="O232" s="184" t="str">
        <f t="shared" si="21"/>
        <v/>
      </c>
      <c r="P232" s="499"/>
      <c r="Q232" s="172"/>
      <c r="R232" s="173"/>
      <c r="S232" s="173"/>
      <c r="T232" s="174"/>
      <c r="U232" s="177"/>
      <c r="V232" s="170"/>
      <c r="W232" s="170"/>
      <c r="X232" s="174"/>
      <c r="Y232" s="182"/>
      <c r="Z232" s="179" t="str">
        <f t="shared" si="24"/>
        <v/>
      </c>
      <c r="AA232" s="171"/>
      <c r="AB232" s="183" t="str">
        <f t="shared" ca="1" si="23"/>
        <v/>
      </c>
      <c r="AC232" s="265"/>
      <c r="AD232" s="249"/>
      <c r="AE232" s="249"/>
      <c r="AF232" s="249"/>
      <c r="AG232" s="249"/>
      <c r="AH232" s="249"/>
      <c r="AI232" s="249"/>
      <c r="AJ232" s="453"/>
      <c r="AK232" s="454"/>
      <c r="AL232" s="453"/>
      <c r="AM232" s="175"/>
      <c r="AN232" s="254"/>
      <c r="AO232" s="254"/>
      <c r="AP232" s="178" t="str">
        <f t="shared" si="22"/>
        <v xml:space="preserve"> </v>
      </c>
    </row>
    <row r="233" spans="1:42" ht="63" customHeight="1">
      <c r="A233" s="188" t="s">
        <v>1332</v>
      </c>
      <c r="B233" s="176"/>
      <c r="C233" s="168"/>
      <c r="D233" s="169"/>
      <c r="E233" s="177"/>
      <c r="F233" s="189" t="str">
        <f>IF(E233="","",VLOOKUP(E233,'Listes déroulantes'!$A$3:$C$39,2))</f>
        <v/>
      </c>
      <c r="G233" s="180"/>
      <c r="H233" s="181"/>
      <c r="I233" s="186"/>
      <c r="J233" s="185"/>
      <c r="K233" s="167"/>
      <c r="L233" s="170"/>
      <c r="M233" s="171"/>
      <c r="N233" s="171"/>
      <c r="O233" s="184" t="str">
        <f t="shared" si="21"/>
        <v/>
      </c>
      <c r="P233" s="499"/>
      <c r="Q233" s="172"/>
      <c r="R233" s="173"/>
      <c r="S233" s="173"/>
      <c r="T233" s="174"/>
      <c r="U233" s="177"/>
      <c r="V233" s="170"/>
      <c r="W233" s="170"/>
      <c r="X233" s="174"/>
      <c r="Y233" s="182"/>
      <c r="Z233" s="179" t="str">
        <f t="shared" si="24"/>
        <v/>
      </c>
      <c r="AA233" s="171"/>
      <c r="AB233" s="183" t="str">
        <f t="shared" ca="1" si="23"/>
        <v/>
      </c>
      <c r="AC233" s="265"/>
      <c r="AD233" s="249"/>
      <c r="AE233" s="249"/>
      <c r="AF233" s="249"/>
      <c r="AG233" s="249"/>
      <c r="AH233" s="249"/>
      <c r="AI233" s="249"/>
      <c r="AJ233" s="453"/>
      <c r="AK233" s="454"/>
      <c r="AL233" s="453"/>
      <c r="AM233" s="175"/>
      <c r="AN233" s="254"/>
      <c r="AO233" s="254"/>
      <c r="AP233" s="178" t="str">
        <f t="shared" si="22"/>
        <v xml:space="preserve"> </v>
      </c>
    </row>
    <row r="234" spans="1:42" ht="63" customHeight="1">
      <c r="A234" s="188" t="s">
        <v>1333</v>
      </c>
      <c r="B234" s="176"/>
      <c r="C234" s="168"/>
      <c r="D234" s="169"/>
      <c r="E234" s="177"/>
      <c r="F234" s="189" t="str">
        <f>IF(E234="","",VLOOKUP(E234,'Listes déroulantes'!$A$3:$C$39,2))</f>
        <v/>
      </c>
      <c r="G234" s="180"/>
      <c r="H234" s="181"/>
      <c r="I234" s="186"/>
      <c r="J234" s="185"/>
      <c r="K234" s="167"/>
      <c r="L234" s="170"/>
      <c r="M234" s="171"/>
      <c r="N234" s="171"/>
      <c r="O234" s="184" t="str">
        <f t="shared" ref="O234:O297" si="25">IF(L234="avec arrêt",(N234-M234)+1,"")</f>
        <v/>
      </c>
      <c r="P234" s="499"/>
      <c r="Q234" s="172"/>
      <c r="R234" s="173"/>
      <c r="S234" s="173"/>
      <c r="T234" s="174"/>
      <c r="U234" s="177"/>
      <c r="V234" s="170"/>
      <c r="W234" s="170"/>
      <c r="X234" s="174"/>
      <c r="Y234" s="182"/>
      <c r="Z234" s="179" t="str">
        <f t="shared" si="24"/>
        <v/>
      </c>
      <c r="AA234" s="171"/>
      <c r="AB234" s="183" t="str">
        <f t="shared" ca="1" si="23"/>
        <v/>
      </c>
      <c r="AC234" s="265"/>
      <c r="AD234" s="249"/>
      <c r="AE234" s="249"/>
      <c r="AF234" s="249"/>
      <c r="AG234" s="249"/>
      <c r="AH234" s="249"/>
      <c r="AI234" s="249"/>
      <c r="AJ234" s="453"/>
      <c r="AK234" s="454"/>
      <c r="AL234" s="453"/>
      <c r="AM234" s="175"/>
      <c r="AN234" s="254"/>
      <c r="AO234" s="254"/>
      <c r="AP234" s="178" t="str">
        <f t="shared" si="22"/>
        <v xml:space="preserve"> </v>
      </c>
    </row>
    <row r="235" spans="1:42" ht="63" customHeight="1">
      <c r="A235" s="188" t="s">
        <v>1334</v>
      </c>
      <c r="B235" s="176"/>
      <c r="C235" s="168"/>
      <c r="D235" s="169"/>
      <c r="E235" s="177"/>
      <c r="F235" s="189" t="str">
        <f>IF(E235="","",VLOOKUP(E235,'Listes déroulantes'!$A$3:$C$39,2))</f>
        <v/>
      </c>
      <c r="G235" s="180"/>
      <c r="H235" s="181"/>
      <c r="I235" s="186"/>
      <c r="J235" s="185"/>
      <c r="K235" s="167"/>
      <c r="L235" s="170"/>
      <c r="M235" s="171"/>
      <c r="N235" s="171"/>
      <c r="O235" s="184" t="str">
        <f t="shared" si="25"/>
        <v/>
      </c>
      <c r="P235" s="499"/>
      <c r="Q235" s="172"/>
      <c r="R235" s="173"/>
      <c r="S235" s="173"/>
      <c r="T235" s="174"/>
      <c r="U235" s="177"/>
      <c r="V235" s="170"/>
      <c r="W235" s="170"/>
      <c r="X235" s="253"/>
      <c r="Y235" s="182"/>
      <c r="Z235" s="179" t="str">
        <f t="shared" si="24"/>
        <v/>
      </c>
      <c r="AA235" s="171"/>
      <c r="AB235" s="183" t="str">
        <f t="shared" ca="1" si="23"/>
        <v/>
      </c>
      <c r="AC235" s="265"/>
      <c r="AD235" s="249"/>
      <c r="AE235" s="249"/>
      <c r="AF235" s="249"/>
      <c r="AG235" s="249"/>
      <c r="AH235" s="249"/>
      <c r="AI235" s="249"/>
      <c r="AJ235" s="453"/>
      <c r="AK235" s="454"/>
      <c r="AL235" s="453"/>
      <c r="AM235" s="175"/>
      <c r="AN235" s="254"/>
      <c r="AO235" s="254"/>
      <c r="AP235" s="178" t="str">
        <f t="shared" si="22"/>
        <v xml:space="preserve"> </v>
      </c>
    </row>
    <row r="236" spans="1:42" ht="63" customHeight="1">
      <c r="A236" s="188" t="s">
        <v>1335</v>
      </c>
      <c r="B236" s="176"/>
      <c r="C236" s="168"/>
      <c r="D236" s="169"/>
      <c r="E236" s="177"/>
      <c r="F236" s="189" t="str">
        <f>IF(E236="","",VLOOKUP(E236,'Listes déroulantes'!$A$3:$C$39,2))</f>
        <v/>
      </c>
      <c r="G236" s="180"/>
      <c r="H236" s="181"/>
      <c r="I236" s="186"/>
      <c r="J236" s="185"/>
      <c r="K236" s="167"/>
      <c r="L236" s="170"/>
      <c r="M236" s="171"/>
      <c r="N236" s="171"/>
      <c r="O236" s="184" t="str">
        <f t="shared" si="25"/>
        <v/>
      </c>
      <c r="P236" s="499"/>
      <c r="Q236" s="172"/>
      <c r="R236" s="173"/>
      <c r="S236" s="173"/>
      <c r="T236" s="174"/>
      <c r="U236" s="177"/>
      <c r="V236" s="170"/>
      <c r="W236" s="170"/>
      <c r="X236" s="174"/>
      <c r="Y236" s="182"/>
      <c r="Z236" s="179" t="str">
        <f t="shared" si="24"/>
        <v/>
      </c>
      <c r="AA236" s="171"/>
      <c r="AB236" s="183" t="str">
        <f t="shared" ca="1" si="23"/>
        <v/>
      </c>
      <c r="AC236" s="265"/>
      <c r="AD236" s="249"/>
      <c r="AE236" s="249"/>
      <c r="AF236" s="249"/>
      <c r="AG236" s="249"/>
      <c r="AH236" s="249"/>
      <c r="AI236" s="249"/>
      <c r="AJ236" s="453"/>
      <c r="AK236" s="454"/>
      <c r="AL236" s="453"/>
      <c r="AM236" s="175"/>
      <c r="AN236" s="254"/>
      <c r="AO236" s="254"/>
      <c r="AP236" s="178" t="str">
        <f t="shared" si="22"/>
        <v xml:space="preserve"> </v>
      </c>
    </row>
    <row r="237" spans="1:42" ht="63" customHeight="1">
      <c r="A237" s="188" t="s">
        <v>1336</v>
      </c>
      <c r="B237" s="176"/>
      <c r="C237" s="168"/>
      <c r="D237" s="169"/>
      <c r="E237" s="177"/>
      <c r="F237" s="189" t="str">
        <f>IF(E237="","",VLOOKUP(E237,'Listes déroulantes'!$A$3:$C$39,2))</f>
        <v/>
      </c>
      <c r="G237" s="180"/>
      <c r="H237" s="181"/>
      <c r="I237" s="186"/>
      <c r="J237" s="185"/>
      <c r="K237" s="167"/>
      <c r="L237" s="170"/>
      <c r="M237" s="171"/>
      <c r="N237" s="171"/>
      <c r="O237" s="184" t="str">
        <f t="shared" si="25"/>
        <v/>
      </c>
      <c r="P237" s="499"/>
      <c r="Q237" s="172"/>
      <c r="R237" s="173"/>
      <c r="S237" s="173"/>
      <c r="T237" s="174"/>
      <c r="U237" s="177"/>
      <c r="V237" s="170"/>
      <c r="W237" s="170"/>
      <c r="X237" s="174"/>
      <c r="Y237" s="182"/>
      <c r="Z237" s="179" t="str">
        <f t="shared" si="24"/>
        <v/>
      </c>
      <c r="AA237" s="171"/>
      <c r="AB237" s="183" t="str">
        <f t="shared" ca="1" si="23"/>
        <v/>
      </c>
      <c r="AC237" s="265"/>
      <c r="AD237" s="249"/>
      <c r="AE237" s="249"/>
      <c r="AF237" s="249"/>
      <c r="AG237" s="249"/>
      <c r="AH237" s="249"/>
      <c r="AI237" s="249"/>
      <c r="AJ237" s="453"/>
      <c r="AK237" s="454"/>
      <c r="AL237" s="453"/>
      <c r="AM237" s="175"/>
      <c r="AN237" s="254"/>
      <c r="AO237" s="254"/>
      <c r="AP237" s="178" t="str">
        <f t="shared" si="22"/>
        <v xml:space="preserve"> </v>
      </c>
    </row>
    <row r="238" spans="1:42" ht="63" customHeight="1">
      <c r="A238" s="188" t="s">
        <v>1337</v>
      </c>
      <c r="B238" s="176"/>
      <c r="C238" s="168"/>
      <c r="D238" s="169"/>
      <c r="E238" s="177"/>
      <c r="F238" s="189" t="str">
        <f>IF(E238="","",VLOOKUP(E238,'Listes déroulantes'!$A$3:$C$39,2))</f>
        <v/>
      </c>
      <c r="G238" s="180"/>
      <c r="H238" s="181"/>
      <c r="I238" s="186"/>
      <c r="J238" s="185"/>
      <c r="K238" s="167"/>
      <c r="L238" s="170"/>
      <c r="M238" s="171"/>
      <c r="N238" s="171"/>
      <c r="O238" s="184" t="str">
        <f t="shared" si="25"/>
        <v/>
      </c>
      <c r="P238" s="499"/>
      <c r="Q238" s="172"/>
      <c r="R238" s="173"/>
      <c r="S238" s="173"/>
      <c r="T238" s="174"/>
      <c r="U238" s="177"/>
      <c r="V238" s="170"/>
      <c r="W238" s="170"/>
      <c r="X238" s="174"/>
      <c r="Y238" s="182"/>
      <c r="Z238" s="179" t="str">
        <f t="shared" si="24"/>
        <v/>
      </c>
      <c r="AA238" s="171"/>
      <c r="AB238" s="183" t="str">
        <f t="shared" ca="1" si="23"/>
        <v/>
      </c>
      <c r="AC238" s="265"/>
      <c r="AD238" s="249"/>
      <c r="AE238" s="249"/>
      <c r="AF238" s="249"/>
      <c r="AG238" s="249"/>
      <c r="AH238" s="249"/>
      <c r="AI238" s="249"/>
      <c r="AJ238" s="453"/>
      <c r="AK238" s="454"/>
      <c r="AL238" s="453"/>
      <c r="AM238" s="175"/>
      <c r="AN238" s="254"/>
      <c r="AO238" s="254"/>
      <c r="AP238" s="178" t="str">
        <f t="shared" si="22"/>
        <v xml:space="preserve"> </v>
      </c>
    </row>
    <row r="239" spans="1:42" ht="63" customHeight="1">
      <c r="A239" s="188" t="s">
        <v>1338</v>
      </c>
      <c r="B239" s="176"/>
      <c r="C239" s="168"/>
      <c r="D239" s="169"/>
      <c r="E239" s="177"/>
      <c r="F239" s="189" t="str">
        <f>IF(E239="","",VLOOKUP(E239,'Listes déroulantes'!$A$3:$C$39,2))</f>
        <v/>
      </c>
      <c r="G239" s="180"/>
      <c r="H239" s="181"/>
      <c r="I239" s="186"/>
      <c r="J239" s="185"/>
      <c r="K239" s="167"/>
      <c r="L239" s="170"/>
      <c r="M239" s="171"/>
      <c r="N239" s="171"/>
      <c r="O239" s="184" t="str">
        <f t="shared" si="25"/>
        <v/>
      </c>
      <c r="P239" s="499"/>
      <c r="Q239" s="172"/>
      <c r="R239" s="173"/>
      <c r="S239" s="173"/>
      <c r="T239" s="174"/>
      <c r="U239" s="177"/>
      <c r="V239" s="170"/>
      <c r="W239" s="170"/>
      <c r="X239" s="174"/>
      <c r="Y239" s="182"/>
      <c r="Z239" s="179" t="str">
        <f t="shared" si="24"/>
        <v/>
      </c>
      <c r="AA239" s="171"/>
      <c r="AB239" s="183" t="str">
        <f t="shared" ca="1" si="23"/>
        <v/>
      </c>
      <c r="AC239" s="265"/>
      <c r="AD239" s="249"/>
      <c r="AE239" s="249"/>
      <c r="AF239" s="249"/>
      <c r="AG239" s="249"/>
      <c r="AH239" s="249"/>
      <c r="AI239" s="249"/>
      <c r="AJ239" s="453"/>
      <c r="AK239" s="454"/>
      <c r="AL239" s="453"/>
      <c r="AM239" s="175"/>
      <c r="AN239" s="254"/>
      <c r="AO239" s="254"/>
      <c r="AP239" s="178" t="str">
        <f t="shared" si="22"/>
        <v xml:space="preserve"> </v>
      </c>
    </row>
    <row r="240" spans="1:42" ht="63" customHeight="1">
      <c r="A240" s="188" t="s">
        <v>1339</v>
      </c>
      <c r="B240" s="176"/>
      <c r="C240" s="168"/>
      <c r="D240" s="169"/>
      <c r="E240" s="177"/>
      <c r="F240" s="189" t="str">
        <f>IF(E240="","",VLOOKUP(E240,'Listes déroulantes'!$A$3:$C$39,2))</f>
        <v/>
      </c>
      <c r="G240" s="180"/>
      <c r="H240" s="181"/>
      <c r="I240" s="186"/>
      <c r="J240" s="185"/>
      <c r="K240" s="167"/>
      <c r="L240" s="170"/>
      <c r="M240" s="171"/>
      <c r="N240" s="171"/>
      <c r="O240" s="184" t="str">
        <f t="shared" si="25"/>
        <v/>
      </c>
      <c r="P240" s="499"/>
      <c r="Q240" s="172"/>
      <c r="R240" s="173"/>
      <c r="S240" s="173"/>
      <c r="T240" s="174"/>
      <c r="U240" s="177"/>
      <c r="V240" s="170"/>
      <c r="W240" s="170"/>
      <c r="X240" s="174"/>
      <c r="Y240" s="182"/>
      <c r="Z240" s="179" t="str">
        <f t="shared" si="24"/>
        <v/>
      </c>
      <c r="AA240" s="171"/>
      <c r="AB240" s="183" t="str">
        <f t="shared" ca="1" si="23"/>
        <v/>
      </c>
      <c r="AC240" s="265"/>
      <c r="AD240" s="249"/>
      <c r="AE240" s="249"/>
      <c r="AF240" s="249"/>
      <c r="AG240" s="249"/>
      <c r="AH240" s="249"/>
      <c r="AI240" s="249"/>
      <c r="AJ240" s="453"/>
      <c r="AK240" s="454"/>
      <c r="AL240" s="453"/>
      <c r="AM240" s="175"/>
      <c r="AN240" s="254"/>
      <c r="AO240" s="254"/>
      <c r="AP240" s="178" t="str">
        <f t="shared" si="22"/>
        <v xml:space="preserve"> </v>
      </c>
    </row>
    <row r="241" spans="1:42" ht="63" customHeight="1">
      <c r="A241" s="188" t="s">
        <v>1340</v>
      </c>
      <c r="B241" s="176"/>
      <c r="C241" s="168"/>
      <c r="D241" s="169"/>
      <c r="E241" s="177"/>
      <c r="F241" s="189" t="str">
        <f>IF(E241="","",VLOOKUP(E241,'Listes déroulantes'!$A$3:$C$39,2))</f>
        <v/>
      </c>
      <c r="G241" s="180"/>
      <c r="H241" s="181"/>
      <c r="I241" s="186"/>
      <c r="J241" s="185"/>
      <c r="K241" s="167"/>
      <c r="L241" s="170"/>
      <c r="M241" s="171"/>
      <c r="N241" s="171"/>
      <c r="O241" s="184" t="str">
        <f t="shared" si="25"/>
        <v/>
      </c>
      <c r="P241" s="499"/>
      <c r="Q241" s="172"/>
      <c r="R241" s="173"/>
      <c r="S241" s="173"/>
      <c r="T241" s="174"/>
      <c r="U241" s="177"/>
      <c r="V241" s="170"/>
      <c r="W241" s="170"/>
      <c r="X241" s="253"/>
      <c r="Y241" s="182"/>
      <c r="Z241" s="179" t="str">
        <f t="shared" si="24"/>
        <v/>
      </c>
      <c r="AA241" s="171"/>
      <c r="AB241" s="183" t="str">
        <f t="shared" ca="1" si="23"/>
        <v/>
      </c>
      <c r="AC241" s="265"/>
      <c r="AD241" s="249"/>
      <c r="AE241" s="249"/>
      <c r="AF241" s="249"/>
      <c r="AG241" s="249"/>
      <c r="AH241" s="249"/>
      <c r="AI241" s="249"/>
      <c r="AJ241" s="453"/>
      <c r="AK241" s="454"/>
      <c r="AL241" s="453"/>
      <c r="AM241" s="175"/>
      <c r="AN241" s="254"/>
      <c r="AO241" s="254"/>
      <c r="AP241" s="178" t="str">
        <f t="shared" si="22"/>
        <v xml:space="preserve"> </v>
      </c>
    </row>
    <row r="242" spans="1:42" ht="63" customHeight="1">
      <c r="A242" s="188" t="s">
        <v>1341</v>
      </c>
      <c r="B242" s="176"/>
      <c r="C242" s="168"/>
      <c r="D242" s="169"/>
      <c r="E242" s="177"/>
      <c r="F242" s="189" t="str">
        <f>IF(E242="","",VLOOKUP(E242,'Listes déroulantes'!$A$3:$C$39,2))</f>
        <v/>
      </c>
      <c r="G242" s="180"/>
      <c r="H242" s="181"/>
      <c r="I242" s="186"/>
      <c r="J242" s="185"/>
      <c r="K242" s="167"/>
      <c r="L242" s="170"/>
      <c r="M242" s="171"/>
      <c r="N242" s="171"/>
      <c r="O242" s="184" t="str">
        <f t="shared" si="25"/>
        <v/>
      </c>
      <c r="P242" s="499"/>
      <c r="Q242" s="172"/>
      <c r="R242" s="173"/>
      <c r="S242" s="173"/>
      <c r="T242" s="174"/>
      <c r="U242" s="177"/>
      <c r="V242" s="170"/>
      <c r="W242" s="170"/>
      <c r="X242" s="174"/>
      <c r="Y242" s="182"/>
      <c r="Z242" s="179" t="str">
        <f t="shared" si="24"/>
        <v/>
      </c>
      <c r="AA242" s="171"/>
      <c r="AB242" s="183" t="str">
        <f t="shared" ca="1" si="23"/>
        <v/>
      </c>
      <c r="AC242" s="265"/>
      <c r="AD242" s="249"/>
      <c r="AE242" s="249"/>
      <c r="AF242" s="249"/>
      <c r="AG242" s="249"/>
      <c r="AH242" s="249"/>
      <c r="AI242" s="249"/>
      <c r="AJ242" s="453"/>
      <c r="AK242" s="454"/>
      <c r="AL242" s="453"/>
      <c r="AM242" s="175"/>
      <c r="AN242" s="254"/>
      <c r="AO242" s="254"/>
      <c r="AP242" s="178" t="str">
        <f t="shared" si="22"/>
        <v xml:space="preserve"> </v>
      </c>
    </row>
    <row r="243" spans="1:42" ht="63" customHeight="1">
      <c r="A243" s="188" t="s">
        <v>1342</v>
      </c>
      <c r="B243" s="176"/>
      <c r="C243" s="168"/>
      <c r="D243" s="169"/>
      <c r="E243" s="177"/>
      <c r="F243" s="189" t="str">
        <f>IF(E243="","",VLOOKUP(E243,'Listes déroulantes'!$A$3:$C$39,2))</f>
        <v/>
      </c>
      <c r="G243" s="180"/>
      <c r="H243" s="181"/>
      <c r="I243" s="186"/>
      <c r="J243" s="185"/>
      <c r="K243" s="167"/>
      <c r="L243" s="170"/>
      <c r="M243" s="171"/>
      <c r="N243" s="171"/>
      <c r="O243" s="184" t="str">
        <f t="shared" si="25"/>
        <v/>
      </c>
      <c r="P243" s="499"/>
      <c r="Q243" s="172"/>
      <c r="R243" s="173"/>
      <c r="S243" s="173"/>
      <c r="T243" s="174"/>
      <c r="U243" s="177"/>
      <c r="V243" s="170"/>
      <c r="W243" s="170"/>
      <c r="X243" s="253"/>
      <c r="Y243" s="260"/>
      <c r="Z243" s="179" t="str">
        <f t="shared" si="24"/>
        <v/>
      </c>
      <c r="AA243" s="171"/>
      <c r="AB243" s="183" t="str">
        <f t="shared" ca="1" si="23"/>
        <v/>
      </c>
      <c r="AC243" s="265"/>
      <c r="AD243" s="249"/>
      <c r="AE243" s="249"/>
      <c r="AF243" s="249"/>
      <c r="AG243" s="249"/>
      <c r="AH243" s="249"/>
      <c r="AI243" s="249"/>
      <c r="AJ243" s="453"/>
      <c r="AK243" s="454"/>
      <c r="AL243" s="453"/>
      <c r="AM243" s="175"/>
      <c r="AN243" s="254"/>
      <c r="AO243" s="254"/>
      <c r="AP243" s="178" t="str">
        <f t="shared" si="22"/>
        <v xml:space="preserve"> </v>
      </c>
    </row>
    <row r="244" spans="1:42" ht="63" customHeight="1">
      <c r="A244" s="188" t="s">
        <v>1343</v>
      </c>
      <c r="B244" s="176"/>
      <c r="C244" s="168"/>
      <c r="D244" s="169"/>
      <c r="E244" s="177"/>
      <c r="F244" s="189" t="str">
        <f>IF(E244="","",VLOOKUP(E244,'Listes déroulantes'!$A$3:$C$39,2))</f>
        <v/>
      </c>
      <c r="G244" s="180"/>
      <c r="H244" s="181"/>
      <c r="I244" s="186"/>
      <c r="J244" s="185"/>
      <c r="K244" s="167"/>
      <c r="L244" s="170"/>
      <c r="M244" s="171"/>
      <c r="N244" s="171"/>
      <c r="O244" s="184" t="str">
        <f t="shared" si="25"/>
        <v/>
      </c>
      <c r="P244" s="499"/>
      <c r="Q244" s="172"/>
      <c r="R244" s="173"/>
      <c r="S244" s="173"/>
      <c r="T244" s="174"/>
      <c r="U244" s="177"/>
      <c r="V244" s="170"/>
      <c r="W244" s="170"/>
      <c r="X244" s="174"/>
      <c r="Y244" s="182"/>
      <c r="Z244" s="179" t="str">
        <f t="shared" si="24"/>
        <v/>
      </c>
      <c r="AA244" s="171"/>
      <c r="AB244" s="183" t="str">
        <f t="shared" ca="1" si="23"/>
        <v/>
      </c>
      <c r="AC244" s="265"/>
      <c r="AD244" s="249"/>
      <c r="AE244" s="249"/>
      <c r="AF244" s="249"/>
      <c r="AG244" s="249"/>
      <c r="AH244" s="249"/>
      <c r="AI244" s="249"/>
      <c r="AJ244" s="453"/>
      <c r="AK244" s="454"/>
      <c r="AL244" s="453"/>
      <c r="AM244" s="175"/>
      <c r="AN244" s="254"/>
      <c r="AO244" s="254"/>
      <c r="AP244" s="178" t="str">
        <f t="shared" si="22"/>
        <v xml:space="preserve"> </v>
      </c>
    </row>
    <row r="245" spans="1:42" ht="63" customHeight="1">
      <c r="A245" s="188" t="s">
        <v>1344</v>
      </c>
      <c r="B245" s="176"/>
      <c r="C245" s="168"/>
      <c r="D245" s="169"/>
      <c r="E245" s="177"/>
      <c r="F245" s="189" t="str">
        <f>IF(E245="","",VLOOKUP(E245,'Listes déroulantes'!$A$3:$C$39,2))</f>
        <v/>
      </c>
      <c r="G245" s="180"/>
      <c r="H245" s="181"/>
      <c r="I245" s="186"/>
      <c r="J245" s="185"/>
      <c r="K245" s="167"/>
      <c r="L245" s="170"/>
      <c r="M245" s="171"/>
      <c r="N245" s="171"/>
      <c r="O245" s="184" t="str">
        <f t="shared" si="25"/>
        <v/>
      </c>
      <c r="P245" s="499"/>
      <c r="Q245" s="172"/>
      <c r="R245" s="173"/>
      <c r="S245" s="173"/>
      <c r="T245" s="174"/>
      <c r="U245" s="177"/>
      <c r="V245" s="170"/>
      <c r="W245" s="170"/>
      <c r="X245" s="174"/>
      <c r="Y245" s="182"/>
      <c r="Z245" s="179" t="str">
        <f t="shared" si="24"/>
        <v/>
      </c>
      <c r="AA245" s="171"/>
      <c r="AB245" s="183" t="str">
        <f t="shared" ca="1" si="23"/>
        <v/>
      </c>
      <c r="AC245" s="265"/>
      <c r="AD245" s="249"/>
      <c r="AE245" s="249"/>
      <c r="AF245" s="249"/>
      <c r="AG245" s="249"/>
      <c r="AH245" s="249"/>
      <c r="AI245" s="249"/>
      <c r="AJ245" s="453"/>
      <c r="AK245" s="454"/>
      <c r="AL245" s="453"/>
      <c r="AM245" s="175"/>
      <c r="AN245" s="254"/>
      <c r="AO245" s="254"/>
      <c r="AP245" s="178" t="str">
        <f t="shared" si="22"/>
        <v xml:space="preserve"> </v>
      </c>
    </row>
    <row r="246" spans="1:42" ht="63" customHeight="1">
      <c r="A246" s="188" t="s">
        <v>1345</v>
      </c>
      <c r="B246" s="176"/>
      <c r="C246" s="168"/>
      <c r="D246" s="169"/>
      <c r="E246" s="177"/>
      <c r="F246" s="189" t="str">
        <f>IF(E246="","",VLOOKUP(E246,'Listes déroulantes'!$A$3:$C$39,2))</f>
        <v/>
      </c>
      <c r="G246" s="180"/>
      <c r="H246" s="181"/>
      <c r="I246" s="186"/>
      <c r="J246" s="185"/>
      <c r="K246" s="167"/>
      <c r="L246" s="170"/>
      <c r="M246" s="171"/>
      <c r="N246" s="171"/>
      <c r="O246" s="184" t="str">
        <f t="shared" si="25"/>
        <v/>
      </c>
      <c r="P246" s="499"/>
      <c r="Q246" s="172"/>
      <c r="R246" s="173"/>
      <c r="S246" s="173"/>
      <c r="T246" s="174"/>
      <c r="U246" s="177"/>
      <c r="V246" s="170"/>
      <c r="W246" s="170"/>
      <c r="X246" s="174"/>
      <c r="Y246" s="182"/>
      <c r="Z246" s="179" t="str">
        <f t="shared" si="24"/>
        <v/>
      </c>
      <c r="AA246" s="171"/>
      <c r="AB246" s="183" t="str">
        <f t="shared" ca="1" si="23"/>
        <v/>
      </c>
      <c r="AC246" s="265"/>
      <c r="AD246" s="249"/>
      <c r="AE246" s="249"/>
      <c r="AF246" s="249"/>
      <c r="AG246" s="249"/>
      <c r="AH246" s="249"/>
      <c r="AI246" s="249"/>
      <c r="AJ246" s="453"/>
      <c r="AK246" s="454"/>
      <c r="AL246" s="453"/>
      <c r="AM246" s="175"/>
      <c r="AN246" s="254"/>
      <c r="AO246" s="254"/>
      <c r="AP246" s="178" t="str">
        <f t="shared" si="22"/>
        <v xml:space="preserve"> </v>
      </c>
    </row>
    <row r="247" spans="1:42" ht="63" customHeight="1">
      <c r="A247" s="188" t="s">
        <v>1346</v>
      </c>
      <c r="B247" s="176"/>
      <c r="C247" s="168"/>
      <c r="D247" s="169"/>
      <c r="E247" s="177"/>
      <c r="F247" s="189" t="str">
        <f>IF(E247="","",VLOOKUP(E247,'Listes déroulantes'!$A$3:$C$39,2))</f>
        <v/>
      </c>
      <c r="G247" s="180"/>
      <c r="H247" s="181"/>
      <c r="I247" s="186"/>
      <c r="J247" s="185"/>
      <c r="K247" s="167"/>
      <c r="L247" s="170"/>
      <c r="M247" s="171"/>
      <c r="N247" s="171"/>
      <c r="O247" s="184" t="str">
        <f t="shared" si="25"/>
        <v/>
      </c>
      <c r="P247" s="499"/>
      <c r="Q247" s="172"/>
      <c r="R247" s="173"/>
      <c r="S247" s="173"/>
      <c r="T247" s="174"/>
      <c r="U247" s="177"/>
      <c r="V247" s="170"/>
      <c r="W247" s="170"/>
      <c r="X247" s="174"/>
      <c r="Y247" s="182"/>
      <c r="Z247" s="179" t="str">
        <f t="shared" si="24"/>
        <v/>
      </c>
      <c r="AA247" s="171"/>
      <c r="AB247" s="183" t="str">
        <f t="shared" ca="1" si="23"/>
        <v/>
      </c>
      <c r="AC247" s="265"/>
      <c r="AD247" s="249"/>
      <c r="AE247" s="249"/>
      <c r="AF247" s="249"/>
      <c r="AG247" s="249"/>
      <c r="AH247" s="249"/>
      <c r="AI247" s="249"/>
      <c r="AJ247" s="453"/>
      <c r="AK247" s="454"/>
      <c r="AL247" s="453"/>
      <c r="AM247" s="175"/>
      <c r="AN247" s="254"/>
      <c r="AO247" s="254"/>
      <c r="AP247" s="178" t="str">
        <f t="shared" si="22"/>
        <v xml:space="preserve"> </v>
      </c>
    </row>
    <row r="248" spans="1:42" ht="63" customHeight="1">
      <c r="A248" s="188" t="s">
        <v>1347</v>
      </c>
      <c r="B248" s="176"/>
      <c r="C248" s="168"/>
      <c r="D248" s="169"/>
      <c r="E248" s="177"/>
      <c r="F248" s="189" t="str">
        <f>IF(E248="","",VLOOKUP(E248,'Listes déroulantes'!$A$3:$C$39,2))</f>
        <v/>
      </c>
      <c r="G248" s="180"/>
      <c r="H248" s="181"/>
      <c r="I248" s="186"/>
      <c r="J248" s="185"/>
      <c r="K248" s="167"/>
      <c r="L248" s="170"/>
      <c r="M248" s="171"/>
      <c r="N248" s="171"/>
      <c r="O248" s="184" t="str">
        <f t="shared" si="25"/>
        <v/>
      </c>
      <c r="P248" s="499"/>
      <c r="Q248" s="172"/>
      <c r="R248" s="173"/>
      <c r="S248" s="173"/>
      <c r="T248" s="174"/>
      <c r="U248" s="177"/>
      <c r="V248" s="170"/>
      <c r="W248" s="170"/>
      <c r="X248" s="174"/>
      <c r="Y248" s="182"/>
      <c r="Z248" s="179" t="str">
        <f t="shared" si="24"/>
        <v/>
      </c>
      <c r="AA248" s="171"/>
      <c r="AB248" s="183" t="str">
        <f t="shared" ca="1" si="23"/>
        <v/>
      </c>
      <c r="AC248" s="265"/>
      <c r="AD248" s="249"/>
      <c r="AE248" s="249"/>
      <c r="AF248" s="249"/>
      <c r="AG248" s="249"/>
      <c r="AH248" s="249"/>
      <c r="AI248" s="249"/>
      <c r="AJ248" s="453"/>
      <c r="AK248" s="454"/>
      <c r="AL248" s="453"/>
      <c r="AM248" s="175"/>
      <c r="AN248" s="254"/>
      <c r="AO248" s="254"/>
      <c r="AP248" s="178" t="str">
        <f t="shared" si="22"/>
        <v xml:space="preserve"> </v>
      </c>
    </row>
    <row r="249" spans="1:42" ht="63" customHeight="1">
      <c r="A249" s="188" t="s">
        <v>1348</v>
      </c>
      <c r="B249" s="176"/>
      <c r="C249" s="168"/>
      <c r="D249" s="169"/>
      <c r="E249" s="177"/>
      <c r="F249" s="189" t="str">
        <f>IF(E249="","",VLOOKUP(E249,'Listes déroulantes'!$A$3:$C$39,2))</f>
        <v/>
      </c>
      <c r="G249" s="180"/>
      <c r="H249" s="181"/>
      <c r="I249" s="186"/>
      <c r="J249" s="185"/>
      <c r="K249" s="167"/>
      <c r="L249" s="170"/>
      <c r="M249" s="171"/>
      <c r="N249" s="171"/>
      <c r="O249" s="184" t="str">
        <f t="shared" si="25"/>
        <v/>
      </c>
      <c r="P249" s="499"/>
      <c r="Q249" s="172"/>
      <c r="R249" s="173"/>
      <c r="S249" s="173"/>
      <c r="T249" s="174"/>
      <c r="U249" s="177"/>
      <c r="V249" s="170"/>
      <c r="W249" s="170"/>
      <c r="X249" s="174"/>
      <c r="Y249" s="182"/>
      <c r="Z249" s="179" t="str">
        <f t="shared" si="24"/>
        <v/>
      </c>
      <c r="AA249" s="171"/>
      <c r="AB249" s="183" t="str">
        <f t="shared" ca="1" si="23"/>
        <v/>
      </c>
      <c r="AC249" s="265"/>
      <c r="AD249" s="249"/>
      <c r="AE249" s="249"/>
      <c r="AF249" s="249"/>
      <c r="AG249" s="249"/>
      <c r="AH249" s="249"/>
      <c r="AI249" s="249"/>
      <c r="AJ249" s="453"/>
      <c r="AK249" s="454"/>
      <c r="AL249" s="453"/>
      <c r="AM249" s="175"/>
      <c r="AN249" s="254"/>
      <c r="AO249" s="254"/>
      <c r="AP249" s="178" t="str">
        <f t="shared" si="22"/>
        <v xml:space="preserve"> </v>
      </c>
    </row>
    <row r="250" spans="1:42" ht="63" customHeight="1">
      <c r="A250" s="188" t="s">
        <v>1349</v>
      </c>
      <c r="B250" s="176"/>
      <c r="C250" s="168"/>
      <c r="D250" s="169"/>
      <c r="E250" s="177"/>
      <c r="F250" s="189" t="str">
        <f>IF(E250="","",VLOOKUP(E250,'Listes déroulantes'!$A$3:$C$39,2))</f>
        <v/>
      </c>
      <c r="G250" s="180"/>
      <c r="H250" s="181"/>
      <c r="I250" s="186"/>
      <c r="J250" s="185"/>
      <c r="K250" s="167"/>
      <c r="L250" s="170"/>
      <c r="M250" s="171"/>
      <c r="N250" s="171"/>
      <c r="O250" s="184" t="str">
        <f t="shared" si="25"/>
        <v/>
      </c>
      <c r="P250" s="499"/>
      <c r="Q250" s="172"/>
      <c r="R250" s="173"/>
      <c r="S250" s="173"/>
      <c r="T250" s="174"/>
      <c r="U250" s="177"/>
      <c r="V250" s="170"/>
      <c r="W250" s="170"/>
      <c r="X250" s="174"/>
      <c r="Y250" s="182"/>
      <c r="Z250" s="179" t="str">
        <f t="shared" si="24"/>
        <v/>
      </c>
      <c r="AA250" s="171"/>
      <c r="AB250" s="183" t="str">
        <f t="shared" ca="1" si="23"/>
        <v/>
      </c>
      <c r="AC250" s="265"/>
      <c r="AD250" s="249"/>
      <c r="AE250" s="249"/>
      <c r="AF250" s="249"/>
      <c r="AG250" s="249"/>
      <c r="AH250" s="249"/>
      <c r="AI250" s="249"/>
      <c r="AJ250" s="453"/>
      <c r="AK250" s="454"/>
      <c r="AL250" s="453"/>
      <c r="AM250" s="175"/>
      <c r="AN250" s="254"/>
      <c r="AO250" s="254"/>
      <c r="AP250" s="178" t="str">
        <f t="shared" si="22"/>
        <v xml:space="preserve"> </v>
      </c>
    </row>
    <row r="251" spans="1:42" ht="63" customHeight="1">
      <c r="A251" s="188" t="s">
        <v>1350</v>
      </c>
      <c r="B251" s="176"/>
      <c r="C251" s="168"/>
      <c r="D251" s="169"/>
      <c r="E251" s="177"/>
      <c r="F251" s="189" t="str">
        <f>IF(E251="","",VLOOKUP(E251,'Listes déroulantes'!$A$3:$C$39,2))</f>
        <v/>
      </c>
      <c r="G251" s="180"/>
      <c r="H251" s="181"/>
      <c r="I251" s="186"/>
      <c r="J251" s="185"/>
      <c r="K251" s="167"/>
      <c r="L251" s="170"/>
      <c r="M251" s="171"/>
      <c r="N251" s="171"/>
      <c r="O251" s="184" t="str">
        <f t="shared" si="25"/>
        <v/>
      </c>
      <c r="P251" s="499"/>
      <c r="Q251" s="172"/>
      <c r="R251" s="173"/>
      <c r="S251" s="173"/>
      <c r="T251" s="174"/>
      <c r="U251" s="177"/>
      <c r="V251" s="170"/>
      <c r="W251" s="170"/>
      <c r="X251" s="174"/>
      <c r="Y251" s="182"/>
      <c r="Z251" s="179" t="str">
        <f t="shared" si="24"/>
        <v/>
      </c>
      <c r="AA251" s="171"/>
      <c r="AB251" s="183" t="str">
        <f t="shared" ca="1" si="23"/>
        <v/>
      </c>
      <c r="AC251" s="265"/>
      <c r="AD251" s="249"/>
      <c r="AE251" s="249"/>
      <c r="AF251" s="249"/>
      <c r="AG251" s="249"/>
      <c r="AH251" s="249"/>
      <c r="AI251" s="249"/>
      <c r="AJ251" s="453"/>
      <c r="AK251" s="454"/>
      <c r="AL251" s="453"/>
      <c r="AM251" s="175"/>
      <c r="AN251" s="254"/>
      <c r="AO251" s="254"/>
      <c r="AP251" s="178" t="str">
        <f t="shared" si="22"/>
        <v xml:space="preserve"> </v>
      </c>
    </row>
    <row r="252" spans="1:42" ht="63" customHeight="1">
      <c r="A252" s="188" t="s">
        <v>1351</v>
      </c>
      <c r="B252" s="176"/>
      <c r="C252" s="168"/>
      <c r="D252" s="169"/>
      <c r="E252" s="177"/>
      <c r="F252" s="189" t="str">
        <f>IF(E252="","",VLOOKUP(E252,'Listes déroulantes'!$A$3:$C$39,2))</f>
        <v/>
      </c>
      <c r="G252" s="180"/>
      <c r="H252" s="181"/>
      <c r="I252" s="186"/>
      <c r="J252" s="185"/>
      <c r="K252" s="167"/>
      <c r="L252" s="170"/>
      <c r="M252" s="171"/>
      <c r="N252" s="171"/>
      <c r="O252" s="184" t="str">
        <f t="shared" si="25"/>
        <v/>
      </c>
      <c r="P252" s="499"/>
      <c r="Q252" s="172"/>
      <c r="R252" s="173"/>
      <c r="S252" s="173"/>
      <c r="T252" s="174"/>
      <c r="U252" s="177"/>
      <c r="V252" s="170"/>
      <c r="W252" s="170"/>
      <c r="X252" s="174"/>
      <c r="Y252" s="182"/>
      <c r="Z252" s="179" t="str">
        <f t="shared" si="24"/>
        <v/>
      </c>
      <c r="AA252" s="171"/>
      <c r="AB252" s="183" t="str">
        <f t="shared" ca="1" si="23"/>
        <v/>
      </c>
      <c r="AC252" s="265"/>
      <c r="AD252" s="249"/>
      <c r="AE252" s="249"/>
      <c r="AF252" s="249"/>
      <c r="AG252" s="249"/>
      <c r="AH252" s="249"/>
      <c r="AI252" s="249"/>
      <c r="AJ252" s="453"/>
      <c r="AK252" s="454"/>
      <c r="AL252" s="453"/>
      <c r="AM252" s="175"/>
      <c r="AN252" s="254"/>
      <c r="AO252" s="254"/>
      <c r="AP252" s="178" t="str">
        <f t="shared" si="22"/>
        <v xml:space="preserve"> </v>
      </c>
    </row>
    <row r="253" spans="1:42" ht="63" customHeight="1">
      <c r="A253" s="188" t="s">
        <v>1352</v>
      </c>
      <c r="B253" s="176"/>
      <c r="C253" s="168"/>
      <c r="D253" s="169"/>
      <c r="E253" s="177"/>
      <c r="F253" s="189" t="str">
        <f>IF(E253="","",VLOOKUP(E253,'Listes déroulantes'!$A$3:$C$39,2))</f>
        <v/>
      </c>
      <c r="G253" s="180"/>
      <c r="H253" s="181"/>
      <c r="I253" s="186"/>
      <c r="J253" s="185"/>
      <c r="K253" s="167"/>
      <c r="L253" s="170"/>
      <c r="M253" s="171"/>
      <c r="N253" s="171"/>
      <c r="O253" s="184" t="str">
        <f t="shared" si="25"/>
        <v/>
      </c>
      <c r="P253" s="499"/>
      <c r="Q253" s="172"/>
      <c r="R253" s="173"/>
      <c r="S253" s="173"/>
      <c r="T253" s="174"/>
      <c r="U253" s="177"/>
      <c r="V253" s="170"/>
      <c r="W253" s="170"/>
      <c r="X253" s="174"/>
      <c r="Y253" s="182"/>
      <c r="Z253" s="179" t="str">
        <f t="shared" si="24"/>
        <v/>
      </c>
      <c r="AA253" s="171"/>
      <c r="AB253" s="183" t="str">
        <f t="shared" ca="1" si="23"/>
        <v/>
      </c>
      <c r="AC253" s="265"/>
      <c r="AD253" s="249"/>
      <c r="AE253" s="249"/>
      <c r="AF253" s="249"/>
      <c r="AG253" s="249"/>
      <c r="AH253" s="249"/>
      <c r="AI253" s="249"/>
      <c r="AJ253" s="453"/>
      <c r="AK253" s="454"/>
      <c r="AL253" s="453"/>
      <c r="AM253" s="175"/>
      <c r="AN253" s="254"/>
      <c r="AO253" s="254"/>
      <c r="AP253" s="178" t="str">
        <f t="shared" si="22"/>
        <v xml:space="preserve"> </v>
      </c>
    </row>
    <row r="254" spans="1:42" ht="63" customHeight="1">
      <c r="A254" s="188" t="s">
        <v>1353</v>
      </c>
      <c r="B254" s="176"/>
      <c r="C254" s="168"/>
      <c r="D254" s="169"/>
      <c r="E254" s="177"/>
      <c r="F254" s="189" t="str">
        <f>IF(E254="","",VLOOKUP(E254,'Listes déroulantes'!$A$3:$C$39,2))</f>
        <v/>
      </c>
      <c r="G254" s="180"/>
      <c r="H254" s="181"/>
      <c r="I254" s="186"/>
      <c r="J254" s="185"/>
      <c r="K254" s="167"/>
      <c r="L254" s="170"/>
      <c r="M254" s="171"/>
      <c r="N254" s="171"/>
      <c r="O254" s="184" t="str">
        <f t="shared" si="25"/>
        <v/>
      </c>
      <c r="P254" s="499"/>
      <c r="Q254" s="172"/>
      <c r="R254" s="173"/>
      <c r="S254" s="173"/>
      <c r="T254" s="174"/>
      <c r="U254" s="177"/>
      <c r="V254" s="170"/>
      <c r="W254" s="170"/>
      <c r="X254" s="174"/>
      <c r="Y254" s="182"/>
      <c r="Z254" s="179" t="str">
        <f t="shared" si="24"/>
        <v/>
      </c>
      <c r="AA254" s="171"/>
      <c r="AB254" s="183" t="str">
        <f t="shared" ca="1" si="23"/>
        <v/>
      </c>
      <c r="AC254" s="265"/>
      <c r="AD254" s="249"/>
      <c r="AE254" s="249"/>
      <c r="AF254" s="249"/>
      <c r="AG254" s="249"/>
      <c r="AH254" s="249"/>
      <c r="AI254" s="249"/>
      <c r="AJ254" s="453"/>
      <c r="AK254" s="454"/>
      <c r="AL254" s="453"/>
      <c r="AM254" s="175"/>
      <c r="AN254" s="254"/>
      <c r="AO254" s="254"/>
      <c r="AP254" s="178" t="str">
        <f t="shared" si="22"/>
        <v xml:space="preserve"> </v>
      </c>
    </row>
    <row r="255" spans="1:42" ht="63" customHeight="1">
      <c r="A255" s="188" t="s">
        <v>1354</v>
      </c>
      <c r="B255" s="176"/>
      <c r="C255" s="168"/>
      <c r="D255" s="169"/>
      <c r="E255" s="177"/>
      <c r="F255" s="189" t="str">
        <f>IF(E255="","",VLOOKUP(E255,'Listes déroulantes'!$A$3:$C$39,2))</f>
        <v/>
      </c>
      <c r="G255" s="180"/>
      <c r="H255" s="181"/>
      <c r="I255" s="186"/>
      <c r="J255" s="185"/>
      <c r="K255" s="167"/>
      <c r="L255" s="170"/>
      <c r="M255" s="171"/>
      <c r="N255" s="171"/>
      <c r="O255" s="184" t="str">
        <f t="shared" si="25"/>
        <v/>
      </c>
      <c r="P255" s="499"/>
      <c r="Q255" s="172"/>
      <c r="R255" s="173"/>
      <c r="S255" s="173"/>
      <c r="T255" s="174"/>
      <c r="U255" s="177"/>
      <c r="V255" s="170"/>
      <c r="W255" s="170"/>
      <c r="X255" s="174"/>
      <c r="Y255" s="182"/>
      <c r="Z255" s="179" t="str">
        <f t="shared" si="24"/>
        <v/>
      </c>
      <c r="AA255" s="171"/>
      <c r="AB255" s="183" t="str">
        <f t="shared" ca="1" si="23"/>
        <v/>
      </c>
      <c r="AC255" s="265"/>
      <c r="AD255" s="249"/>
      <c r="AE255" s="249"/>
      <c r="AF255" s="249"/>
      <c r="AG255" s="249"/>
      <c r="AH255" s="249"/>
      <c r="AI255" s="249"/>
      <c r="AJ255" s="453"/>
      <c r="AK255" s="454"/>
      <c r="AL255" s="453"/>
      <c r="AM255" s="175"/>
      <c r="AN255" s="254"/>
      <c r="AO255" s="254"/>
      <c r="AP255" s="178" t="str">
        <f t="shared" si="22"/>
        <v xml:space="preserve"> </v>
      </c>
    </row>
    <row r="256" spans="1:42" ht="63" customHeight="1">
      <c r="A256" s="188" t="s">
        <v>1355</v>
      </c>
      <c r="B256" s="176"/>
      <c r="C256" s="168"/>
      <c r="D256" s="169"/>
      <c r="E256" s="177"/>
      <c r="F256" s="189" t="str">
        <f>IF(E256="","",VLOOKUP(E256,'Listes déroulantes'!$A$3:$C$39,2))</f>
        <v/>
      </c>
      <c r="G256" s="180"/>
      <c r="H256" s="181"/>
      <c r="I256" s="186"/>
      <c r="J256" s="185"/>
      <c r="K256" s="167"/>
      <c r="L256" s="170"/>
      <c r="M256" s="171"/>
      <c r="N256" s="171"/>
      <c r="O256" s="184" t="str">
        <f t="shared" si="25"/>
        <v/>
      </c>
      <c r="P256" s="499"/>
      <c r="Q256" s="172"/>
      <c r="R256" s="173"/>
      <c r="S256" s="173"/>
      <c r="T256" s="174"/>
      <c r="U256" s="177"/>
      <c r="V256" s="170"/>
      <c r="W256" s="170"/>
      <c r="X256" s="174"/>
      <c r="Y256" s="182"/>
      <c r="Z256" s="179" t="str">
        <f t="shared" si="24"/>
        <v/>
      </c>
      <c r="AA256" s="171"/>
      <c r="AB256" s="183" t="str">
        <f t="shared" ca="1" si="23"/>
        <v/>
      </c>
      <c r="AC256" s="265"/>
      <c r="AD256" s="249"/>
      <c r="AE256" s="249"/>
      <c r="AF256" s="249"/>
      <c r="AG256" s="249"/>
      <c r="AH256" s="249"/>
      <c r="AI256" s="249"/>
      <c r="AJ256" s="453"/>
      <c r="AK256" s="454"/>
      <c r="AL256" s="453"/>
      <c r="AM256" s="175"/>
      <c r="AN256" s="254"/>
      <c r="AO256" s="254"/>
      <c r="AP256" s="178" t="str">
        <f t="shared" si="22"/>
        <v xml:space="preserve"> </v>
      </c>
    </row>
    <row r="257" spans="1:42" ht="63" customHeight="1">
      <c r="A257" s="188" t="s">
        <v>1356</v>
      </c>
      <c r="B257" s="176"/>
      <c r="C257" s="168"/>
      <c r="D257" s="169"/>
      <c r="E257" s="177"/>
      <c r="F257" s="189" t="str">
        <f>IF(E257="","",VLOOKUP(E257,'Listes déroulantes'!$A$3:$C$39,2))</f>
        <v/>
      </c>
      <c r="G257" s="180"/>
      <c r="H257" s="181"/>
      <c r="I257" s="186"/>
      <c r="J257" s="185"/>
      <c r="K257" s="167"/>
      <c r="L257" s="170"/>
      <c r="M257" s="171"/>
      <c r="N257" s="171"/>
      <c r="O257" s="184" t="str">
        <f t="shared" si="25"/>
        <v/>
      </c>
      <c r="P257" s="499"/>
      <c r="Q257" s="172"/>
      <c r="R257" s="173"/>
      <c r="S257" s="173"/>
      <c r="T257" s="174"/>
      <c r="U257" s="177"/>
      <c r="V257" s="170"/>
      <c r="W257" s="170"/>
      <c r="X257" s="174"/>
      <c r="Y257" s="182"/>
      <c r="Z257" s="179" t="str">
        <f t="shared" si="24"/>
        <v/>
      </c>
      <c r="AA257" s="171"/>
      <c r="AB257" s="183" t="str">
        <f t="shared" ca="1" si="23"/>
        <v/>
      </c>
      <c r="AC257" s="265"/>
      <c r="AD257" s="249"/>
      <c r="AE257" s="249"/>
      <c r="AF257" s="249"/>
      <c r="AG257" s="249"/>
      <c r="AH257" s="249"/>
      <c r="AI257" s="249"/>
      <c r="AJ257" s="453"/>
      <c r="AK257" s="454"/>
      <c r="AL257" s="453"/>
      <c r="AM257" s="175"/>
      <c r="AN257" s="254"/>
      <c r="AO257" s="254"/>
      <c r="AP257" s="178" t="str">
        <f t="shared" si="22"/>
        <v xml:space="preserve"> </v>
      </c>
    </row>
    <row r="258" spans="1:42" ht="63" customHeight="1">
      <c r="A258" s="188" t="s">
        <v>1357</v>
      </c>
      <c r="B258" s="176"/>
      <c r="C258" s="168"/>
      <c r="D258" s="169"/>
      <c r="E258" s="177"/>
      <c r="F258" s="189" t="str">
        <f>IF(E258="","",VLOOKUP(E258,'Listes déroulantes'!$A$3:$C$39,2))</f>
        <v/>
      </c>
      <c r="G258" s="180"/>
      <c r="H258" s="181"/>
      <c r="I258" s="186"/>
      <c r="J258" s="185"/>
      <c r="K258" s="167"/>
      <c r="L258" s="170"/>
      <c r="M258" s="171"/>
      <c r="N258" s="171"/>
      <c r="O258" s="184" t="str">
        <f t="shared" si="25"/>
        <v/>
      </c>
      <c r="P258" s="499"/>
      <c r="Q258" s="172"/>
      <c r="R258" s="173"/>
      <c r="S258" s="173"/>
      <c r="T258" s="174"/>
      <c r="U258" s="177"/>
      <c r="V258" s="170"/>
      <c r="W258" s="170"/>
      <c r="X258" s="174"/>
      <c r="Y258" s="182"/>
      <c r="Z258" s="179" t="str">
        <f t="shared" si="24"/>
        <v/>
      </c>
      <c r="AA258" s="171"/>
      <c r="AB258" s="183" t="str">
        <f t="shared" ca="1" si="23"/>
        <v/>
      </c>
      <c r="AC258" s="265"/>
      <c r="AD258" s="249"/>
      <c r="AE258" s="249"/>
      <c r="AF258" s="249"/>
      <c r="AG258" s="249"/>
      <c r="AH258" s="249"/>
      <c r="AI258" s="249"/>
      <c r="AJ258" s="453"/>
      <c r="AK258" s="454"/>
      <c r="AL258" s="453"/>
      <c r="AM258" s="175"/>
      <c r="AN258" s="254"/>
      <c r="AO258" s="254"/>
      <c r="AP258" s="178" t="str">
        <f t="shared" si="22"/>
        <v xml:space="preserve"> </v>
      </c>
    </row>
    <row r="259" spans="1:42" ht="63" customHeight="1">
      <c r="A259" s="188" t="s">
        <v>1358</v>
      </c>
      <c r="B259" s="176"/>
      <c r="C259" s="168"/>
      <c r="D259" s="169"/>
      <c r="E259" s="177"/>
      <c r="F259" s="189" t="str">
        <f>IF(E259="","",VLOOKUP(E259,'Listes déroulantes'!$A$3:$C$39,2))</f>
        <v/>
      </c>
      <c r="G259" s="180"/>
      <c r="H259" s="181"/>
      <c r="I259" s="186"/>
      <c r="J259" s="185"/>
      <c r="K259" s="167"/>
      <c r="L259" s="170"/>
      <c r="M259" s="171"/>
      <c r="N259" s="171"/>
      <c r="O259" s="184" t="str">
        <f t="shared" si="25"/>
        <v/>
      </c>
      <c r="P259" s="499"/>
      <c r="Q259" s="172"/>
      <c r="R259" s="173"/>
      <c r="S259" s="173"/>
      <c r="T259" s="174"/>
      <c r="U259" s="177"/>
      <c r="V259" s="170"/>
      <c r="W259" s="170"/>
      <c r="X259" s="174"/>
      <c r="Y259" s="182"/>
      <c r="Z259" s="179" t="str">
        <f t="shared" si="24"/>
        <v/>
      </c>
      <c r="AA259" s="171"/>
      <c r="AB259" s="183" t="str">
        <f t="shared" ca="1" si="23"/>
        <v/>
      </c>
      <c r="AC259" s="265"/>
      <c r="AD259" s="249"/>
      <c r="AE259" s="249"/>
      <c r="AF259" s="249"/>
      <c r="AG259" s="249"/>
      <c r="AH259" s="249"/>
      <c r="AI259" s="249"/>
      <c r="AJ259" s="453"/>
      <c r="AK259" s="454"/>
      <c r="AL259" s="453"/>
      <c r="AM259" s="175"/>
      <c r="AN259" s="254"/>
      <c r="AO259" s="254"/>
      <c r="AP259" s="178" t="str">
        <f t="shared" si="22"/>
        <v xml:space="preserve"> </v>
      </c>
    </row>
    <row r="260" spans="1:42" ht="63" customHeight="1">
      <c r="A260" s="188" t="s">
        <v>1359</v>
      </c>
      <c r="B260" s="176"/>
      <c r="C260" s="168"/>
      <c r="D260" s="169"/>
      <c r="E260" s="177"/>
      <c r="F260" s="189" t="str">
        <f>IF(E260="","",VLOOKUP(E260,'Listes déroulantes'!$A$3:$C$39,2))</f>
        <v/>
      </c>
      <c r="G260" s="180"/>
      <c r="H260" s="181"/>
      <c r="I260" s="186"/>
      <c r="J260" s="185"/>
      <c r="K260" s="167"/>
      <c r="L260" s="170"/>
      <c r="M260" s="171"/>
      <c r="N260" s="171"/>
      <c r="O260" s="184" t="str">
        <f t="shared" si="25"/>
        <v/>
      </c>
      <c r="P260" s="499"/>
      <c r="Q260" s="172"/>
      <c r="R260" s="173"/>
      <c r="S260" s="173"/>
      <c r="T260" s="174"/>
      <c r="U260" s="177"/>
      <c r="V260" s="170"/>
      <c r="W260" s="170"/>
      <c r="X260" s="174"/>
      <c r="Y260" s="182"/>
      <c r="Z260" s="179" t="str">
        <f t="shared" si="24"/>
        <v/>
      </c>
      <c r="AA260" s="171"/>
      <c r="AB260" s="183" t="str">
        <f t="shared" ca="1" si="23"/>
        <v/>
      </c>
      <c r="AC260" s="265"/>
      <c r="AD260" s="249"/>
      <c r="AE260" s="249"/>
      <c r="AF260" s="249"/>
      <c r="AG260" s="249"/>
      <c r="AH260" s="249"/>
      <c r="AI260" s="249"/>
      <c r="AJ260" s="453"/>
      <c r="AK260" s="454"/>
      <c r="AL260" s="453"/>
      <c r="AM260" s="175"/>
      <c r="AN260" s="254"/>
      <c r="AO260" s="254"/>
      <c r="AP260" s="178" t="str">
        <f t="shared" si="22"/>
        <v xml:space="preserve"> </v>
      </c>
    </row>
    <row r="261" spans="1:42" ht="63" customHeight="1">
      <c r="A261" s="188" t="s">
        <v>1360</v>
      </c>
      <c r="B261" s="176"/>
      <c r="C261" s="168"/>
      <c r="D261" s="169"/>
      <c r="E261" s="177"/>
      <c r="F261" s="189" t="str">
        <f>IF(E261="","",VLOOKUP(E261,'Listes déroulantes'!$A$3:$C$39,2))</f>
        <v/>
      </c>
      <c r="G261" s="180"/>
      <c r="H261" s="181"/>
      <c r="I261" s="186"/>
      <c r="J261" s="185"/>
      <c r="K261" s="167"/>
      <c r="L261" s="170"/>
      <c r="M261" s="171"/>
      <c r="N261" s="171"/>
      <c r="O261" s="184" t="str">
        <f t="shared" si="25"/>
        <v/>
      </c>
      <c r="P261" s="499"/>
      <c r="Q261" s="172"/>
      <c r="R261" s="173"/>
      <c r="S261" s="173"/>
      <c r="T261" s="174"/>
      <c r="U261" s="177"/>
      <c r="V261" s="170"/>
      <c r="W261" s="170"/>
      <c r="X261" s="174"/>
      <c r="Y261" s="182"/>
      <c r="Z261" s="179" t="str">
        <f t="shared" si="24"/>
        <v/>
      </c>
      <c r="AA261" s="171"/>
      <c r="AB261" s="183" t="str">
        <f t="shared" ca="1" si="23"/>
        <v/>
      </c>
      <c r="AC261" s="265"/>
      <c r="AD261" s="249"/>
      <c r="AE261" s="249"/>
      <c r="AF261" s="249"/>
      <c r="AG261" s="249"/>
      <c r="AH261" s="249"/>
      <c r="AI261" s="249"/>
      <c r="AJ261" s="453"/>
      <c r="AK261" s="454"/>
      <c r="AL261" s="453"/>
      <c r="AM261" s="175"/>
      <c r="AN261" s="254"/>
      <c r="AO261" s="254"/>
      <c r="AP261" s="178" t="str">
        <f t="shared" si="22"/>
        <v xml:space="preserve"> </v>
      </c>
    </row>
    <row r="262" spans="1:42" ht="63" customHeight="1">
      <c r="A262" s="188" t="s">
        <v>1361</v>
      </c>
      <c r="B262" s="176"/>
      <c r="C262" s="168"/>
      <c r="D262" s="169"/>
      <c r="E262" s="177"/>
      <c r="F262" s="189" t="str">
        <f>IF(E262="","",VLOOKUP(E262,'Listes déroulantes'!$A$3:$C$39,2))</f>
        <v/>
      </c>
      <c r="G262" s="180"/>
      <c r="H262" s="181"/>
      <c r="I262" s="186"/>
      <c r="J262" s="185"/>
      <c r="K262" s="167"/>
      <c r="L262" s="170"/>
      <c r="M262" s="171"/>
      <c r="N262" s="171"/>
      <c r="O262" s="184" t="str">
        <f t="shared" si="25"/>
        <v/>
      </c>
      <c r="P262" s="499"/>
      <c r="Q262" s="172"/>
      <c r="R262" s="173"/>
      <c r="S262" s="173"/>
      <c r="T262" s="174"/>
      <c r="U262" s="177"/>
      <c r="V262" s="170"/>
      <c r="W262" s="170"/>
      <c r="X262" s="174"/>
      <c r="Y262" s="182"/>
      <c r="Z262" s="179" t="str">
        <f t="shared" si="24"/>
        <v/>
      </c>
      <c r="AA262" s="171"/>
      <c r="AB262" s="183" t="str">
        <f t="shared" ca="1" si="23"/>
        <v/>
      </c>
      <c r="AC262" s="265"/>
      <c r="AD262" s="249"/>
      <c r="AE262" s="249"/>
      <c r="AF262" s="249"/>
      <c r="AG262" s="249"/>
      <c r="AH262" s="249"/>
      <c r="AI262" s="249"/>
      <c r="AJ262" s="453"/>
      <c r="AK262" s="454"/>
      <c r="AL262" s="453"/>
      <c r="AM262" s="175"/>
      <c r="AN262" s="254"/>
      <c r="AO262" s="254"/>
      <c r="AP262" s="178" t="str">
        <f t="shared" si="22"/>
        <v xml:space="preserve"> </v>
      </c>
    </row>
    <row r="263" spans="1:42" ht="63" customHeight="1">
      <c r="A263" s="188" t="s">
        <v>1362</v>
      </c>
      <c r="B263" s="176"/>
      <c r="C263" s="168"/>
      <c r="D263" s="169"/>
      <c r="E263" s="177"/>
      <c r="F263" s="189" t="str">
        <f>IF(E263="","",VLOOKUP(E263,'Listes déroulantes'!$A$3:$C$39,2))</f>
        <v/>
      </c>
      <c r="G263" s="180"/>
      <c r="H263" s="181"/>
      <c r="I263" s="186"/>
      <c r="J263" s="185"/>
      <c r="K263" s="167"/>
      <c r="L263" s="170"/>
      <c r="M263" s="171"/>
      <c r="N263" s="171"/>
      <c r="O263" s="184" t="str">
        <f t="shared" si="25"/>
        <v/>
      </c>
      <c r="P263" s="499"/>
      <c r="Q263" s="172"/>
      <c r="R263" s="173"/>
      <c r="S263" s="173"/>
      <c r="T263" s="174"/>
      <c r="U263" s="177"/>
      <c r="V263" s="170"/>
      <c r="W263" s="170"/>
      <c r="X263" s="174"/>
      <c r="Y263" s="182"/>
      <c r="Z263" s="179" t="str">
        <f t="shared" si="24"/>
        <v/>
      </c>
      <c r="AA263" s="171"/>
      <c r="AB263" s="183" t="str">
        <f t="shared" ca="1" si="23"/>
        <v/>
      </c>
      <c r="AC263" s="265"/>
      <c r="AD263" s="249"/>
      <c r="AE263" s="249"/>
      <c r="AF263" s="249"/>
      <c r="AG263" s="249"/>
      <c r="AH263" s="249"/>
      <c r="AI263" s="249"/>
      <c r="AJ263" s="453"/>
      <c r="AK263" s="454"/>
      <c r="AL263" s="453"/>
      <c r="AM263" s="175"/>
      <c r="AN263" s="254"/>
      <c r="AO263" s="254"/>
      <c r="AP263" s="178" t="str">
        <f t="shared" si="22"/>
        <v xml:space="preserve"> </v>
      </c>
    </row>
    <row r="264" spans="1:42" ht="63" customHeight="1">
      <c r="A264" s="188" t="s">
        <v>1363</v>
      </c>
      <c r="B264" s="176"/>
      <c r="C264" s="168"/>
      <c r="D264" s="169"/>
      <c r="E264" s="177"/>
      <c r="F264" s="189" t="str">
        <f>IF(E264="","",VLOOKUP(E264,'Listes déroulantes'!$A$3:$C$39,2))</f>
        <v/>
      </c>
      <c r="G264" s="180"/>
      <c r="H264" s="181"/>
      <c r="I264" s="186"/>
      <c r="J264" s="185"/>
      <c r="K264" s="167"/>
      <c r="L264" s="170"/>
      <c r="M264" s="171"/>
      <c r="N264" s="171"/>
      <c r="O264" s="184" t="str">
        <f t="shared" si="25"/>
        <v/>
      </c>
      <c r="P264" s="499"/>
      <c r="Q264" s="172"/>
      <c r="R264" s="173"/>
      <c r="S264" s="173"/>
      <c r="T264" s="174"/>
      <c r="U264" s="177"/>
      <c r="V264" s="170"/>
      <c r="W264" s="170"/>
      <c r="X264" s="174"/>
      <c r="Y264" s="182"/>
      <c r="Z264" s="179" t="str">
        <f t="shared" si="24"/>
        <v/>
      </c>
      <c r="AA264" s="171"/>
      <c r="AB264" s="183" t="str">
        <f t="shared" ca="1" si="23"/>
        <v/>
      </c>
      <c r="AC264" s="265"/>
      <c r="AD264" s="249"/>
      <c r="AE264" s="249"/>
      <c r="AF264" s="249"/>
      <c r="AG264" s="249"/>
      <c r="AH264" s="249"/>
      <c r="AI264" s="249"/>
      <c r="AJ264" s="453"/>
      <c r="AK264" s="454"/>
      <c r="AL264" s="453"/>
      <c r="AM264" s="175"/>
      <c r="AN264" s="254"/>
      <c r="AO264" s="254"/>
      <c r="AP264" s="178" t="str">
        <f t="shared" ref="AP264:AP297" si="26">IF(ISBLANK(AM264)," ",IF(AM264&gt;0,IF(AO264&lt;=AM264,AO264/AM264,"erreur"),1))</f>
        <v xml:space="preserve"> </v>
      </c>
    </row>
    <row r="265" spans="1:42" ht="63" customHeight="1">
      <c r="A265" s="188" t="s">
        <v>1364</v>
      </c>
      <c r="B265" s="176"/>
      <c r="C265" s="168"/>
      <c r="D265" s="169"/>
      <c r="E265" s="177"/>
      <c r="F265" s="189" t="str">
        <f>IF(E265="","",VLOOKUP(E265,'Listes déroulantes'!$A$3:$C$39,2))</f>
        <v/>
      </c>
      <c r="G265" s="180"/>
      <c r="H265" s="181"/>
      <c r="I265" s="186"/>
      <c r="J265" s="185"/>
      <c r="K265" s="167"/>
      <c r="L265" s="170"/>
      <c r="M265" s="171"/>
      <c r="N265" s="171"/>
      <c r="O265" s="184" t="str">
        <f t="shared" si="25"/>
        <v/>
      </c>
      <c r="P265" s="499"/>
      <c r="Q265" s="172"/>
      <c r="R265" s="173"/>
      <c r="S265" s="173"/>
      <c r="T265" s="174"/>
      <c r="U265" s="177"/>
      <c r="V265" s="170"/>
      <c r="W265" s="170"/>
      <c r="X265" s="174"/>
      <c r="Y265" s="182"/>
      <c r="Z265" s="179" t="str">
        <f t="shared" si="24"/>
        <v/>
      </c>
      <c r="AA265" s="171"/>
      <c r="AB265" s="183" t="str">
        <f t="shared" ca="1" si="23"/>
        <v/>
      </c>
      <c r="AC265" s="265"/>
      <c r="AD265" s="249"/>
      <c r="AE265" s="249"/>
      <c r="AF265" s="249"/>
      <c r="AG265" s="249"/>
      <c r="AH265" s="249"/>
      <c r="AI265" s="249"/>
      <c r="AJ265" s="453"/>
      <c r="AK265" s="454"/>
      <c r="AL265" s="453"/>
      <c r="AM265" s="175"/>
      <c r="AN265" s="254"/>
      <c r="AO265" s="254"/>
      <c r="AP265" s="178" t="str">
        <f t="shared" si="26"/>
        <v xml:space="preserve"> </v>
      </c>
    </row>
    <row r="266" spans="1:42" ht="63" customHeight="1">
      <c r="A266" s="188" t="s">
        <v>1365</v>
      </c>
      <c r="B266" s="176"/>
      <c r="C266" s="168"/>
      <c r="D266" s="169"/>
      <c r="E266" s="177"/>
      <c r="F266" s="189" t="str">
        <f>IF(E266="","",VLOOKUP(E266,'Listes déroulantes'!$A$3:$C$39,2))</f>
        <v/>
      </c>
      <c r="G266" s="180"/>
      <c r="H266" s="181"/>
      <c r="I266" s="186"/>
      <c r="J266" s="185"/>
      <c r="K266" s="167"/>
      <c r="L266" s="170"/>
      <c r="M266" s="171"/>
      <c r="N266" s="171"/>
      <c r="O266" s="184" t="str">
        <f t="shared" si="25"/>
        <v/>
      </c>
      <c r="P266" s="499"/>
      <c r="Q266" s="172"/>
      <c r="R266" s="173"/>
      <c r="S266" s="173"/>
      <c r="T266" s="174"/>
      <c r="U266" s="177"/>
      <c r="V266" s="170"/>
      <c r="W266" s="170"/>
      <c r="X266" s="174"/>
      <c r="Y266" s="182"/>
      <c r="Z266" s="179" t="str">
        <f t="shared" si="24"/>
        <v/>
      </c>
      <c r="AA266" s="171"/>
      <c r="AB266" s="183" t="str">
        <f t="shared" ca="1" si="23"/>
        <v/>
      </c>
      <c r="AC266" s="265"/>
      <c r="AD266" s="249"/>
      <c r="AE266" s="249"/>
      <c r="AF266" s="249"/>
      <c r="AG266" s="249"/>
      <c r="AH266" s="249"/>
      <c r="AI266" s="249"/>
      <c r="AJ266" s="453"/>
      <c r="AK266" s="454"/>
      <c r="AL266" s="453"/>
      <c r="AM266" s="175"/>
      <c r="AN266" s="254"/>
      <c r="AO266" s="254"/>
      <c r="AP266" s="178" t="str">
        <f t="shared" si="26"/>
        <v xml:space="preserve"> </v>
      </c>
    </row>
    <row r="267" spans="1:42" ht="63" customHeight="1">
      <c r="A267" s="188" t="s">
        <v>1366</v>
      </c>
      <c r="B267" s="176"/>
      <c r="C267" s="168"/>
      <c r="D267" s="169"/>
      <c r="E267" s="177"/>
      <c r="F267" s="189" t="str">
        <f>IF(E267="","",VLOOKUP(E267,'Listes déroulantes'!$A$3:$C$39,2))</f>
        <v/>
      </c>
      <c r="G267" s="180"/>
      <c r="H267" s="181"/>
      <c r="I267" s="186"/>
      <c r="J267" s="185"/>
      <c r="K267" s="167"/>
      <c r="L267" s="170"/>
      <c r="M267" s="171"/>
      <c r="N267" s="171"/>
      <c r="O267" s="184" t="str">
        <f t="shared" si="25"/>
        <v/>
      </c>
      <c r="P267" s="499"/>
      <c r="Q267" s="172"/>
      <c r="R267" s="173"/>
      <c r="S267" s="173"/>
      <c r="T267" s="174"/>
      <c r="U267" s="177"/>
      <c r="V267" s="170"/>
      <c r="W267" s="170"/>
      <c r="X267" s="174"/>
      <c r="Y267" s="182"/>
      <c r="Z267" s="179" t="str">
        <f t="shared" si="24"/>
        <v/>
      </c>
      <c r="AA267" s="171"/>
      <c r="AB267" s="183" t="str">
        <f t="shared" ca="1" si="23"/>
        <v/>
      </c>
      <c r="AC267" s="265"/>
      <c r="AD267" s="249"/>
      <c r="AE267" s="249"/>
      <c r="AF267" s="249"/>
      <c r="AG267" s="249"/>
      <c r="AH267" s="249"/>
      <c r="AI267" s="249"/>
      <c r="AJ267" s="453"/>
      <c r="AK267" s="454"/>
      <c r="AL267" s="453"/>
      <c r="AM267" s="175"/>
      <c r="AN267" s="254"/>
      <c r="AO267" s="254"/>
      <c r="AP267" s="178" t="str">
        <f t="shared" si="26"/>
        <v xml:space="preserve"> </v>
      </c>
    </row>
    <row r="268" spans="1:42" ht="63" customHeight="1">
      <c r="A268" s="188" t="s">
        <v>1367</v>
      </c>
      <c r="B268" s="176"/>
      <c r="C268" s="168"/>
      <c r="D268" s="169"/>
      <c r="E268" s="177"/>
      <c r="F268" s="189" t="str">
        <f>IF(E268="","",VLOOKUP(E268,'Listes déroulantes'!$A$3:$C$39,2))</f>
        <v/>
      </c>
      <c r="G268" s="180"/>
      <c r="H268" s="181"/>
      <c r="I268" s="186"/>
      <c r="J268" s="185"/>
      <c r="K268" s="167"/>
      <c r="L268" s="170"/>
      <c r="M268" s="171"/>
      <c r="N268" s="171"/>
      <c r="O268" s="184" t="str">
        <f t="shared" si="25"/>
        <v/>
      </c>
      <c r="P268" s="499"/>
      <c r="Q268" s="172"/>
      <c r="R268" s="173"/>
      <c r="S268" s="173"/>
      <c r="T268" s="174"/>
      <c r="U268" s="177"/>
      <c r="V268" s="170"/>
      <c r="W268" s="170"/>
      <c r="X268" s="174"/>
      <c r="Y268" s="182"/>
      <c r="Z268" s="179" t="str">
        <f t="shared" si="24"/>
        <v/>
      </c>
      <c r="AA268" s="171"/>
      <c r="AB268" s="183" t="str">
        <f t="shared" ca="1" si="23"/>
        <v/>
      </c>
      <c r="AC268" s="265"/>
      <c r="AD268" s="249"/>
      <c r="AE268" s="249"/>
      <c r="AF268" s="249"/>
      <c r="AG268" s="249"/>
      <c r="AH268" s="249"/>
      <c r="AI268" s="249"/>
      <c r="AJ268" s="453"/>
      <c r="AK268" s="454"/>
      <c r="AL268" s="453"/>
      <c r="AM268" s="175"/>
      <c r="AN268" s="254"/>
      <c r="AO268" s="254"/>
      <c r="AP268" s="178" t="str">
        <f t="shared" si="26"/>
        <v xml:space="preserve"> </v>
      </c>
    </row>
    <row r="269" spans="1:42" ht="63" customHeight="1">
      <c r="A269" s="188" t="s">
        <v>1368</v>
      </c>
      <c r="B269" s="176"/>
      <c r="C269" s="168"/>
      <c r="D269" s="169"/>
      <c r="E269" s="177"/>
      <c r="F269" s="189" t="str">
        <f>IF(E269="","",VLOOKUP(E269,'Listes déroulantes'!$A$3:$C$39,2))</f>
        <v/>
      </c>
      <c r="G269" s="180"/>
      <c r="H269" s="181"/>
      <c r="I269" s="186"/>
      <c r="J269" s="185"/>
      <c r="K269" s="167"/>
      <c r="L269" s="170"/>
      <c r="M269" s="171"/>
      <c r="N269" s="171"/>
      <c r="O269" s="184" t="str">
        <f t="shared" si="25"/>
        <v/>
      </c>
      <c r="P269" s="499"/>
      <c r="Q269" s="172"/>
      <c r="R269" s="173"/>
      <c r="S269" s="173"/>
      <c r="T269" s="174"/>
      <c r="U269" s="177"/>
      <c r="V269" s="170"/>
      <c r="W269" s="170"/>
      <c r="X269" s="174"/>
      <c r="Y269" s="182"/>
      <c r="Z269" s="179" t="str">
        <f t="shared" si="24"/>
        <v/>
      </c>
      <c r="AA269" s="171"/>
      <c r="AB269" s="183" t="str">
        <f t="shared" ca="1" si="23"/>
        <v/>
      </c>
      <c r="AC269" s="265"/>
      <c r="AD269" s="249"/>
      <c r="AE269" s="249"/>
      <c r="AF269" s="249"/>
      <c r="AG269" s="249"/>
      <c r="AH269" s="249"/>
      <c r="AI269" s="249"/>
      <c r="AJ269" s="453"/>
      <c r="AK269" s="454"/>
      <c r="AL269" s="453"/>
      <c r="AM269" s="175"/>
      <c r="AN269" s="254"/>
      <c r="AO269" s="254"/>
      <c r="AP269" s="178" t="str">
        <f t="shared" si="26"/>
        <v xml:space="preserve"> </v>
      </c>
    </row>
    <row r="270" spans="1:42" ht="63" customHeight="1">
      <c r="A270" s="188" t="s">
        <v>1369</v>
      </c>
      <c r="B270" s="176"/>
      <c r="C270" s="168"/>
      <c r="D270" s="169"/>
      <c r="E270" s="177"/>
      <c r="F270" s="189" t="str">
        <f>IF(E270="","",VLOOKUP(E270,'Listes déroulantes'!$A$3:$C$39,2))</f>
        <v/>
      </c>
      <c r="G270" s="180"/>
      <c r="H270" s="181"/>
      <c r="I270" s="186"/>
      <c r="J270" s="185"/>
      <c r="K270" s="167"/>
      <c r="L270" s="170"/>
      <c r="M270" s="171"/>
      <c r="N270" s="171"/>
      <c r="O270" s="184" t="str">
        <f t="shared" si="25"/>
        <v/>
      </c>
      <c r="P270" s="499"/>
      <c r="Q270" s="172"/>
      <c r="R270" s="173"/>
      <c r="S270" s="173"/>
      <c r="T270" s="174"/>
      <c r="U270" s="177"/>
      <c r="V270" s="170"/>
      <c r="W270" s="170"/>
      <c r="X270" s="174"/>
      <c r="Y270" s="182"/>
      <c r="Z270" s="179" t="str">
        <f t="shared" si="24"/>
        <v/>
      </c>
      <c r="AA270" s="171"/>
      <c r="AB270" s="183" t="str">
        <f t="shared" ca="1" si="23"/>
        <v/>
      </c>
      <c r="AC270" s="265"/>
      <c r="AD270" s="249"/>
      <c r="AE270" s="249"/>
      <c r="AF270" s="249"/>
      <c r="AG270" s="249"/>
      <c r="AH270" s="249"/>
      <c r="AI270" s="249"/>
      <c r="AJ270" s="453"/>
      <c r="AK270" s="454"/>
      <c r="AL270" s="453"/>
      <c r="AM270" s="175"/>
      <c r="AN270" s="254"/>
      <c r="AO270" s="254"/>
      <c r="AP270" s="178" t="str">
        <f t="shared" si="26"/>
        <v xml:space="preserve"> </v>
      </c>
    </row>
    <row r="271" spans="1:42" ht="63" customHeight="1">
      <c r="A271" s="188" t="s">
        <v>1370</v>
      </c>
      <c r="B271" s="176"/>
      <c r="C271" s="168"/>
      <c r="D271" s="169"/>
      <c r="E271" s="177"/>
      <c r="F271" s="189" t="str">
        <f>IF(E271="","",VLOOKUP(E271,'Listes déroulantes'!$A$3:$C$39,2))</f>
        <v/>
      </c>
      <c r="G271" s="180"/>
      <c r="H271" s="181"/>
      <c r="I271" s="186"/>
      <c r="J271" s="185"/>
      <c r="K271" s="167"/>
      <c r="L271" s="170"/>
      <c r="M271" s="171"/>
      <c r="N271" s="171"/>
      <c r="O271" s="184" t="str">
        <f t="shared" si="25"/>
        <v/>
      </c>
      <c r="P271" s="499"/>
      <c r="Q271" s="172"/>
      <c r="R271" s="173"/>
      <c r="S271" s="173"/>
      <c r="T271" s="174"/>
      <c r="U271" s="177"/>
      <c r="V271" s="170"/>
      <c r="W271" s="170"/>
      <c r="X271" s="174"/>
      <c r="Y271" s="182"/>
      <c r="Z271" s="179" t="str">
        <f t="shared" si="24"/>
        <v/>
      </c>
      <c r="AA271" s="171"/>
      <c r="AB271" s="183" t="str">
        <f t="shared" ca="1" si="23"/>
        <v/>
      </c>
      <c r="AC271" s="265"/>
      <c r="AD271" s="249"/>
      <c r="AE271" s="249"/>
      <c r="AF271" s="249"/>
      <c r="AG271" s="249"/>
      <c r="AH271" s="249"/>
      <c r="AI271" s="249"/>
      <c r="AJ271" s="453"/>
      <c r="AK271" s="454"/>
      <c r="AL271" s="453"/>
      <c r="AM271" s="175"/>
      <c r="AN271" s="254"/>
      <c r="AO271" s="254"/>
      <c r="AP271" s="178" t="str">
        <f t="shared" si="26"/>
        <v xml:space="preserve"> </v>
      </c>
    </row>
    <row r="272" spans="1:42" ht="63" customHeight="1">
      <c r="A272" s="188" t="s">
        <v>1371</v>
      </c>
      <c r="B272" s="176"/>
      <c r="C272" s="168"/>
      <c r="D272" s="169"/>
      <c r="E272" s="177"/>
      <c r="F272" s="189" t="str">
        <f>IF(E272="","",VLOOKUP(E272,'Listes déroulantes'!$A$3:$C$39,2))</f>
        <v/>
      </c>
      <c r="G272" s="180"/>
      <c r="H272" s="181"/>
      <c r="I272" s="186"/>
      <c r="J272" s="185"/>
      <c r="K272" s="167"/>
      <c r="L272" s="170"/>
      <c r="M272" s="171"/>
      <c r="N272" s="171"/>
      <c r="O272" s="184" t="str">
        <f t="shared" si="25"/>
        <v/>
      </c>
      <c r="P272" s="499"/>
      <c r="Q272" s="172"/>
      <c r="R272" s="173"/>
      <c r="S272" s="173"/>
      <c r="T272" s="174"/>
      <c r="U272" s="177"/>
      <c r="V272" s="170"/>
      <c r="W272" s="170"/>
      <c r="X272" s="174"/>
      <c r="Y272" s="182"/>
      <c r="Z272" s="179" t="str">
        <f t="shared" si="24"/>
        <v/>
      </c>
      <c r="AA272" s="171"/>
      <c r="AB272" s="183" t="str">
        <f t="shared" ca="1" si="23"/>
        <v/>
      </c>
      <c r="AC272" s="265"/>
      <c r="AD272" s="249"/>
      <c r="AE272" s="249"/>
      <c r="AF272" s="249"/>
      <c r="AG272" s="249"/>
      <c r="AH272" s="249"/>
      <c r="AI272" s="249"/>
      <c r="AJ272" s="453"/>
      <c r="AK272" s="454"/>
      <c r="AL272" s="453"/>
      <c r="AM272" s="175"/>
      <c r="AN272" s="254"/>
      <c r="AO272" s="254"/>
      <c r="AP272" s="178" t="str">
        <f t="shared" si="26"/>
        <v xml:space="preserve"> </v>
      </c>
    </row>
    <row r="273" spans="1:42" ht="63" customHeight="1">
      <c r="A273" s="188" t="s">
        <v>1372</v>
      </c>
      <c r="B273" s="176"/>
      <c r="C273" s="168"/>
      <c r="D273" s="169"/>
      <c r="E273" s="177"/>
      <c r="F273" s="189" t="str">
        <f>IF(E273="","",VLOOKUP(E273,'Listes déroulantes'!$A$3:$C$39,2))</f>
        <v/>
      </c>
      <c r="G273" s="180"/>
      <c r="H273" s="181"/>
      <c r="I273" s="186"/>
      <c r="J273" s="185"/>
      <c r="K273" s="167"/>
      <c r="L273" s="170"/>
      <c r="M273" s="171"/>
      <c r="N273" s="171"/>
      <c r="O273" s="184" t="str">
        <f t="shared" si="25"/>
        <v/>
      </c>
      <c r="P273" s="499"/>
      <c r="Q273" s="172"/>
      <c r="R273" s="173"/>
      <c r="S273" s="173"/>
      <c r="T273" s="174"/>
      <c r="U273" s="177"/>
      <c r="V273" s="170"/>
      <c r="W273" s="170"/>
      <c r="X273" s="174"/>
      <c r="Y273" s="182"/>
      <c r="Z273" s="179" t="str">
        <f t="shared" si="24"/>
        <v/>
      </c>
      <c r="AA273" s="171"/>
      <c r="AB273" s="183" t="str">
        <f t="shared" ca="1" si="23"/>
        <v/>
      </c>
      <c r="AC273" s="265"/>
      <c r="AD273" s="249"/>
      <c r="AE273" s="249"/>
      <c r="AF273" s="249"/>
      <c r="AG273" s="249"/>
      <c r="AH273" s="249"/>
      <c r="AI273" s="249"/>
      <c r="AJ273" s="453"/>
      <c r="AK273" s="454"/>
      <c r="AL273" s="453"/>
      <c r="AM273" s="175"/>
      <c r="AN273" s="254"/>
      <c r="AO273" s="254"/>
      <c r="AP273" s="178" t="str">
        <f t="shared" si="26"/>
        <v xml:space="preserve"> </v>
      </c>
    </row>
    <row r="274" spans="1:42" ht="63" customHeight="1">
      <c r="A274" s="188" t="s">
        <v>1373</v>
      </c>
      <c r="B274" s="176"/>
      <c r="C274" s="168"/>
      <c r="D274" s="169"/>
      <c r="E274" s="177"/>
      <c r="F274" s="189" t="str">
        <f>IF(E274="","",VLOOKUP(E274,'Listes déroulantes'!$A$3:$C$39,2))</f>
        <v/>
      </c>
      <c r="G274" s="180"/>
      <c r="H274" s="181"/>
      <c r="I274" s="186"/>
      <c r="J274" s="185"/>
      <c r="K274" s="167"/>
      <c r="L274" s="170"/>
      <c r="M274" s="171"/>
      <c r="N274" s="171"/>
      <c r="O274" s="184" t="str">
        <f t="shared" si="25"/>
        <v/>
      </c>
      <c r="P274" s="499"/>
      <c r="Q274" s="172"/>
      <c r="R274" s="173"/>
      <c r="S274" s="173"/>
      <c r="T274" s="174"/>
      <c r="U274" s="177"/>
      <c r="V274" s="170"/>
      <c r="W274" s="170"/>
      <c r="X274" s="174"/>
      <c r="Y274" s="182"/>
      <c r="Z274" s="179" t="str">
        <f t="shared" si="24"/>
        <v/>
      </c>
      <c r="AA274" s="171"/>
      <c r="AB274" s="183" t="str">
        <f t="shared" ca="1" si="23"/>
        <v/>
      </c>
      <c r="AC274" s="265"/>
      <c r="AD274" s="249"/>
      <c r="AE274" s="249"/>
      <c r="AF274" s="249"/>
      <c r="AG274" s="249"/>
      <c r="AH274" s="249"/>
      <c r="AI274" s="249"/>
      <c r="AJ274" s="453"/>
      <c r="AK274" s="454"/>
      <c r="AL274" s="453"/>
      <c r="AM274" s="175"/>
      <c r="AN274" s="254"/>
      <c r="AO274" s="254"/>
      <c r="AP274" s="178" t="str">
        <f t="shared" si="26"/>
        <v xml:space="preserve"> </v>
      </c>
    </row>
    <row r="275" spans="1:42" ht="63" customHeight="1">
      <c r="A275" s="188" t="s">
        <v>1374</v>
      </c>
      <c r="B275" s="176"/>
      <c r="C275" s="168"/>
      <c r="D275" s="169"/>
      <c r="E275" s="177"/>
      <c r="F275" s="189" t="str">
        <f>IF(E275="","",VLOOKUP(E275,'Listes déroulantes'!$A$3:$C$39,2))</f>
        <v/>
      </c>
      <c r="G275" s="180"/>
      <c r="H275" s="181"/>
      <c r="I275" s="186"/>
      <c r="J275" s="185"/>
      <c r="K275" s="167"/>
      <c r="L275" s="170"/>
      <c r="M275" s="171"/>
      <c r="N275" s="171"/>
      <c r="O275" s="184" t="str">
        <f t="shared" si="25"/>
        <v/>
      </c>
      <c r="P275" s="499"/>
      <c r="Q275" s="172"/>
      <c r="R275" s="173"/>
      <c r="S275" s="173"/>
      <c r="T275" s="174"/>
      <c r="U275" s="177"/>
      <c r="V275" s="170"/>
      <c r="W275" s="170"/>
      <c r="X275" s="174"/>
      <c r="Y275" s="182"/>
      <c r="Z275" s="179" t="str">
        <f t="shared" si="24"/>
        <v/>
      </c>
      <c r="AA275" s="171"/>
      <c r="AB275" s="183" t="str">
        <f t="shared" ref="AB275:AB297" ca="1" si="27">IF(ISBLANK(AA275),IF(Z275&lt;TODAY(),"non",""),IF(AA275&gt;Z275,"non","oui"))</f>
        <v/>
      </c>
      <c r="AC275" s="265"/>
      <c r="AD275" s="249"/>
      <c r="AE275" s="249"/>
      <c r="AF275" s="249"/>
      <c r="AG275" s="249"/>
      <c r="AH275" s="249"/>
      <c r="AI275" s="249"/>
      <c r="AJ275" s="453"/>
      <c r="AK275" s="454"/>
      <c r="AL275" s="453"/>
      <c r="AM275" s="175"/>
      <c r="AN275" s="254"/>
      <c r="AO275" s="254"/>
      <c r="AP275" s="178" t="str">
        <f t="shared" si="26"/>
        <v xml:space="preserve"> </v>
      </c>
    </row>
    <row r="276" spans="1:42" ht="63" customHeight="1">
      <c r="A276" s="188" t="s">
        <v>1375</v>
      </c>
      <c r="B276" s="176"/>
      <c r="C276" s="168"/>
      <c r="D276" s="169"/>
      <c r="E276" s="177"/>
      <c r="F276" s="189" t="str">
        <f>IF(E276="","",VLOOKUP(E276,'Listes déroulantes'!$A$3:$C$39,2))</f>
        <v/>
      </c>
      <c r="G276" s="180"/>
      <c r="H276" s="181"/>
      <c r="I276" s="186"/>
      <c r="J276" s="185"/>
      <c r="K276" s="167"/>
      <c r="L276" s="170"/>
      <c r="M276" s="171"/>
      <c r="N276" s="171"/>
      <c r="O276" s="184" t="str">
        <f t="shared" si="25"/>
        <v/>
      </c>
      <c r="P276" s="499"/>
      <c r="Q276" s="172"/>
      <c r="R276" s="173"/>
      <c r="S276" s="173"/>
      <c r="T276" s="174"/>
      <c r="U276" s="177"/>
      <c r="V276" s="170"/>
      <c r="W276" s="170"/>
      <c r="X276" s="174"/>
      <c r="Y276" s="182"/>
      <c r="Z276" s="179" t="str">
        <f t="shared" si="24"/>
        <v/>
      </c>
      <c r="AA276" s="171"/>
      <c r="AB276" s="183" t="str">
        <f t="shared" ca="1" si="27"/>
        <v/>
      </c>
      <c r="AC276" s="265"/>
      <c r="AD276" s="249"/>
      <c r="AE276" s="249"/>
      <c r="AF276" s="249"/>
      <c r="AG276" s="249"/>
      <c r="AH276" s="249"/>
      <c r="AI276" s="249"/>
      <c r="AJ276" s="453"/>
      <c r="AK276" s="454"/>
      <c r="AL276" s="453"/>
      <c r="AM276" s="175"/>
      <c r="AN276" s="254"/>
      <c r="AO276" s="254"/>
      <c r="AP276" s="178" t="str">
        <f t="shared" si="26"/>
        <v xml:space="preserve"> </v>
      </c>
    </row>
    <row r="277" spans="1:42" ht="63" customHeight="1">
      <c r="A277" s="188" t="s">
        <v>1376</v>
      </c>
      <c r="B277" s="176"/>
      <c r="C277" s="168"/>
      <c r="D277" s="169"/>
      <c r="E277" s="177"/>
      <c r="F277" s="189" t="str">
        <f>IF(E277="","",VLOOKUP(E277,'Listes déroulantes'!$A$3:$C$39,2))</f>
        <v/>
      </c>
      <c r="G277" s="180"/>
      <c r="H277" s="181"/>
      <c r="I277" s="186"/>
      <c r="J277" s="185"/>
      <c r="K277" s="167"/>
      <c r="L277" s="170"/>
      <c r="M277" s="171"/>
      <c r="N277" s="171"/>
      <c r="O277" s="184" t="str">
        <f t="shared" si="25"/>
        <v/>
      </c>
      <c r="P277" s="499"/>
      <c r="Q277" s="172"/>
      <c r="R277" s="173"/>
      <c r="S277" s="173"/>
      <c r="T277" s="174"/>
      <c r="U277" s="177"/>
      <c r="V277" s="170"/>
      <c r="W277" s="170"/>
      <c r="X277" s="174"/>
      <c r="Y277" s="182"/>
      <c r="Z277" s="179" t="str">
        <f t="shared" si="24"/>
        <v/>
      </c>
      <c r="AA277" s="171"/>
      <c r="AB277" s="183" t="str">
        <f t="shared" ca="1" si="27"/>
        <v/>
      </c>
      <c r="AC277" s="265"/>
      <c r="AD277" s="249"/>
      <c r="AE277" s="249"/>
      <c r="AF277" s="249"/>
      <c r="AG277" s="249"/>
      <c r="AH277" s="249"/>
      <c r="AI277" s="249"/>
      <c r="AJ277" s="453"/>
      <c r="AK277" s="454"/>
      <c r="AL277" s="453"/>
      <c r="AM277" s="175"/>
      <c r="AN277" s="254"/>
      <c r="AO277" s="254"/>
      <c r="AP277" s="178" t="str">
        <f t="shared" si="26"/>
        <v xml:space="preserve"> </v>
      </c>
    </row>
    <row r="278" spans="1:42" ht="63" customHeight="1">
      <c r="A278" s="188" t="s">
        <v>1377</v>
      </c>
      <c r="B278" s="176"/>
      <c r="C278" s="168"/>
      <c r="D278" s="169"/>
      <c r="E278" s="177"/>
      <c r="F278" s="189" t="str">
        <f>IF(E278="","",VLOOKUP(E278,'Listes déroulantes'!$A$3:$C$39,2))</f>
        <v/>
      </c>
      <c r="G278" s="180"/>
      <c r="H278" s="181"/>
      <c r="I278" s="186"/>
      <c r="J278" s="185"/>
      <c r="K278" s="167"/>
      <c r="L278" s="170"/>
      <c r="M278" s="171"/>
      <c r="N278" s="171"/>
      <c r="O278" s="184" t="str">
        <f t="shared" si="25"/>
        <v/>
      </c>
      <c r="P278" s="499"/>
      <c r="Q278" s="172"/>
      <c r="R278" s="173"/>
      <c r="S278" s="173"/>
      <c r="T278" s="174"/>
      <c r="U278" s="177"/>
      <c r="V278" s="170"/>
      <c r="W278" s="170"/>
      <c r="X278" s="174"/>
      <c r="Y278" s="182"/>
      <c r="Z278" s="179" t="str">
        <f t="shared" si="24"/>
        <v/>
      </c>
      <c r="AA278" s="171"/>
      <c r="AB278" s="183" t="str">
        <f t="shared" ca="1" si="27"/>
        <v/>
      </c>
      <c r="AC278" s="265"/>
      <c r="AD278" s="249"/>
      <c r="AE278" s="249"/>
      <c r="AF278" s="249"/>
      <c r="AG278" s="249"/>
      <c r="AH278" s="249"/>
      <c r="AI278" s="249"/>
      <c r="AJ278" s="453"/>
      <c r="AK278" s="454"/>
      <c r="AL278" s="453"/>
      <c r="AM278" s="175"/>
      <c r="AN278" s="254"/>
      <c r="AO278" s="254"/>
      <c r="AP278" s="178" t="str">
        <f t="shared" si="26"/>
        <v xml:space="preserve"> </v>
      </c>
    </row>
    <row r="279" spans="1:42" ht="63" customHeight="1">
      <c r="A279" s="188" t="s">
        <v>1378</v>
      </c>
      <c r="B279" s="176"/>
      <c r="C279" s="168"/>
      <c r="D279" s="169"/>
      <c r="E279" s="177"/>
      <c r="F279" s="189" t="str">
        <f>IF(E279="","",VLOOKUP(E279,'Listes déroulantes'!$A$3:$C$39,2))</f>
        <v/>
      </c>
      <c r="G279" s="180"/>
      <c r="H279" s="181"/>
      <c r="I279" s="186"/>
      <c r="J279" s="185"/>
      <c r="K279" s="167"/>
      <c r="L279" s="170"/>
      <c r="M279" s="171"/>
      <c r="N279" s="171"/>
      <c r="O279" s="184" t="str">
        <f t="shared" si="25"/>
        <v/>
      </c>
      <c r="P279" s="499"/>
      <c r="Q279" s="172"/>
      <c r="R279" s="173"/>
      <c r="S279" s="173"/>
      <c r="T279" s="174"/>
      <c r="U279" s="177"/>
      <c r="V279" s="170"/>
      <c r="W279" s="170"/>
      <c r="X279" s="174"/>
      <c r="Y279" s="182"/>
      <c r="Z279" s="179" t="str">
        <f t="shared" si="24"/>
        <v/>
      </c>
      <c r="AA279" s="171"/>
      <c r="AB279" s="183" t="str">
        <f t="shared" ca="1" si="27"/>
        <v/>
      </c>
      <c r="AC279" s="265"/>
      <c r="AD279" s="249"/>
      <c r="AE279" s="249"/>
      <c r="AF279" s="249"/>
      <c r="AG279" s="249"/>
      <c r="AH279" s="249"/>
      <c r="AI279" s="249"/>
      <c r="AJ279" s="453"/>
      <c r="AK279" s="454"/>
      <c r="AL279" s="453"/>
      <c r="AM279" s="175"/>
      <c r="AN279" s="254"/>
      <c r="AO279" s="254"/>
      <c r="AP279" s="178" t="str">
        <f t="shared" si="26"/>
        <v xml:space="preserve"> </v>
      </c>
    </row>
    <row r="280" spans="1:42" ht="63" customHeight="1">
      <c r="A280" s="188" t="s">
        <v>1379</v>
      </c>
      <c r="B280" s="176"/>
      <c r="C280" s="168"/>
      <c r="D280" s="169"/>
      <c r="E280" s="177"/>
      <c r="F280" s="189" t="str">
        <f>IF(E280="","",VLOOKUP(E280,'Listes déroulantes'!$A$3:$C$39,2))</f>
        <v/>
      </c>
      <c r="G280" s="180"/>
      <c r="H280" s="181"/>
      <c r="I280" s="186"/>
      <c r="J280" s="185"/>
      <c r="K280" s="167"/>
      <c r="L280" s="170"/>
      <c r="M280" s="171"/>
      <c r="N280" s="171"/>
      <c r="O280" s="184" t="str">
        <f t="shared" si="25"/>
        <v/>
      </c>
      <c r="P280" s="499"/>
      <c r="Q280" s="172"/>
      <c r="R280" s="173"/>
      <c r="S280" s="173"/>
      <c r="T280" s="174"/>
      <c r="U280" s="177"/>
      <c r="V280" s="170"/>
      <c r="W280" s="170"/>
      <c r="X280" s="174"/>
      <c r="Y280" s="182"/>
      <c r="Z280" s="179" t="str">
        <f t="shared" si="24"/>
        <v/>
      </c>
      <c r="AA280" s="171"/>
      <c r="AB280" s="183" t="str">
        <f t="shared" ca="1" si="27"/>
        <v/>
      </c>
      <c r="AC280" s="265"/>
      <c r="AD280" s="249"/>
      <c r="AE280" s="249"/>
      <c r="AF280" s="249"/>
      <c r="AG280" s="249"/>
      <c r="AH280" s="249"/>
      <c r="AI280" s="249"/>
      <c r="AJ280" s="453"/>
      <c r="AK280" s="454"/>
      <c r="AL280" s="453"/>
      <c r="AM280" s="175"/>
      <c r="AN280" s="254"/>
      <c r="AO280" s="254"/>
      <c r="AP280" s="178" t="str">
        <f t="shared" si="26"/>
        <v xml:space="preserve"> </v>
      </c>
    </row>
    <row r="281" spans="1:42" ht="63" customHeight="1">
      <c r="A281" s="188" t="s">
        <v>1380</v>
      </c>
      <c r="B281" s="176"/>
      <c r="C281" s="168"/>
      <c r="D281" s="169"/>
      <c r="E281" s="177"/>
      <c r="F281" s="189" t="str">
        <f>IF(E281="","",VLOOKUP(E281,'Listes déroulantes'!$A$3:$C$39,2))</f>
        <v/>
      </c>
      <c r="G281" s="180"/>
      <c r="H281" s="181"/>
      <c r="I281" s="186"/>
      <c r="J281" s="185"/>
      <c r="K281" s="167"/>
      <c r="L281" s="170"/>
      <c r="M281" s="171"/>
      <c r="N281" s="171"/>
      <c r="O281" s="184" t="str">
        <f t="shared" si="25"/>
        <v/>
      </c>
      <c r="P281" s="499"/>
      <c r="Q281" s="172"/>
      <c r="R281" s="173"/>
      <c r="S281" s="173"/>
      <c r="T281" s="174"/>
      <c r="U281" s="177"/>
      <c r="V281" s="170"/>
      <c r="W281" s="170"/>
      <c r="X281" s="174"/>
      <c r="Y281" s="182"/>
      <c r="Z281" s="179" t="str">
        <f t="shared" si="24"/>
        <v/>
      </c>
      <c r="AA281" s="171"/>
      <c r="AB281" s="183" t="str">
        <f t="shared" ca="1" si="27"/>
        <v/>
      </c>
      <c r="AC281" s="265"/>
      <c r="AD281" s="249"/>
      <c r="AE281" s="249"/>
      <c r="AF281" s="249"/>
      <c r="AG281" s="249"/>
      <c r="AH281" s="249"/>
      <c r="AI281" s="249"/>
      <c r="AJ281" s="453"/>
      <c r="AK281" s="454"/>
      <c r="AL281" s="453"/>
      <c r="AM281" s="175"/>
      <c r="AN281" s="254"/>
      <c r="AO281" s="254"/>
      <c r="AP281" s="178" t="str">
        <f t="shared" si="26"/>
        <v xml:space="preserve"> </v>
      </c>
    </row>
    <row r="282" spans="1:42" ht="63" customHeight="1">
      <c r="A282" s="188" t="s">
        <v>1381</v>
      </c>
      <c r="B282" s="176"/>
      <c r="C282" s="168"/>
      <c r="D282" s="169"/>
      <c r="E282" s="177"/>
      <c r="F282" s="189" t="str">
        <f>IF(E282="","",VLOOKUP(E282,'Listes déroulantes'!$A$3:$C$39,2))</f>
        <v/>
      </c>
      <c r="G282" s="180"/>
      <c r="H282" s="181"/>
      <c r="I282" s="186"/>
      <c r="J282" s="185"/>
      <c r="K282" s="167"/>
      <c r="L282" s="170"/>
      <c r="M282" s="171"/>
      <c r="N282" s="171"/>
      <c r="O282" s="184" t="str">
        <f t="shared" si="25"/>
        <v/>
      </c>
      <c r="P282" s="499"/>
      <c r="Q282" s="172"/>
      <c r="R282" s="173"/>
      <c r="S282" s="173"/>
      <c r="T282" s="174"/>
      <c r="U282" s="177"/>
      <c r="V282" s="170"/>
      <c r="W282" s="170"/>
      <c r="X282" s="174"/>
      <c r="Y282" s="182"/>
      <c r="Z282" s="179" t="str">
        <f t="shared" si="24"/>
        <v/>
      </c>
      <c r="AA282" s="171"/>
      <c r="AB282" s="183" t="str">
        <f t="shared" ca="1" si="27"/>
        <v/>
      </c>
      <c r="AC282" s="265"/>
      <c r="AD282" s="249"/>
      <c r="AE282" s="249"/>
      <c r="AF282" s="249"/>
      <c r="AG282" s="249"/>
      <c r="AH282" s="249"/>
      <c r="AI282" s="249"/>
      <c r="AJ282" s="453"/>
      <c r="AK282" s="454"/>
      <c r="AL282" s="453"/>
      <c r="AM282" s="175"/>
      <c r="AN282" s="254"/>
      <c r="AO282" s="254"/>
      <c r="AP282" s="178" t="str">
        <f t="shared" si="26"/>
        <v xml:space="preserve"> </v>
      </c>
    </row>
    <row r="283" spans="1:42" ht="63" customHeight="1">
      <c r="A283" s="188" t="s">
        <v>1382</v>
      </c>
      <c r="B283" s="176"/>
      <c r="C283" s="168"/>
      <c r="D283" s="169"/>
      <c r="E283" s="177"/>
      <c r="F283" s="189" t="str">
        <f>IF(E283="","",VLOOKUP(E283,'Listes déroulantes'!$A$3:$C$39,2))</f>
        <v/>
      </c>
      <c r="G283" s="180"/>
      <c r="H283" s="181"/>
      <c r="I283" s="186"/>
      <c r="J283" s="185"/>
      <c r="K283" s="167"/>
      <c r="L283" s="170"/>
      <c r="M283" s="171"/>
      <c r="N283" s="171"/>
      <c r="O283" s="184" t="str">
        <f t="shared" si="25"/>
        <v/>
      </c>
      <c r="P283" s="499"/>
      <c r="Q283" s="172"/>
      <c r="R283" s="173"/>
      <c r="S283" s="173"/>
      <c r="T283" s="174"/>
      <c r="U283" s="177"/>
      <c r="V283" s="170"/>
      <c r="W283" s="170"/>
      <c r="X283" s="174"/>
      <c r="Y283" s="182"/>
      <c r="Z283" s="179" t="str">
        <f t="shared" si="24"/>
        <v/>
      </c>
      <c r="AA283" s="171"/>
      <c r="AB283" s="183" t="str">
        <f t="shared" ca="1" si="27"/>
        <v/>
      </c>
      <c r="AC283" s="265"/>
      <c r="AD283" s="249"/>
      <c r="AE283" s="249"/>
      <c r="AF283" s="249"/>
      <c r="AG283" s="249"/>
      <c r="AH283" s="249"/>
      <c r="AI283" s="249"/>
      <c r="AJ283" s="453"/>
      <c r="AK283" s="454"/>
      <c r="AL283" s="453"/>
      <c r="AM283" s="175"/>
      <c r="AN283" s="254"/>
      <c r="AO283" s="254"/>
      <c r="AP283" s="178" t="str">
        <f t="shared" si="26"/>
        <v xml:space="preserve"> </v>
      </c>
    </row>
    <row r="284" spans="1:42" ht="63" customHeight="1">
      <c r="A284" s="188" t="s">
        <v>1383</v>
      </c>
      <c r="B284" s="176"/>
      <c r="C284" s="168"/>
      <c r="D284" s="169"/>
      <c r="E284" s="177"/>
      <c r="F284" s="189" t="str">
        <f>IF(E284="","",VLOOKUP(E284,'Listes déroulantes'!$A$3:$C$39,2))</f>
        <v/>
      </c>
      <c r="G284" s="180"/>
      <c r="H284" s="181"/>
      <c r="I284" s="186"/>
      <c r="J284" s="185"/>
      <c r="K284" s="167"/>
      <c r="L284" s="170"/>
      <c r="M284" s="171"/>
      <c r="N284" s="171"/>
      <c r="O284" s="184" t="str">
        <f t="shared" si="25"/>
        <v/>
      </c>
      <c r="P284" s="499"/>
      <c r="Q284" s="172"/>
      <c r="R284" s="173"/>
      <c r="S284" s="173"/>
      <c r="T284" s="174"/>
      <c r="U284" s="177"/>
      <c r="V284" s="170"/>
      <c r="W284" s="170"/>
      <c r="X284" s="174"/>
      <c r="Y284" s="182"/>
      <c r="Z284" s="179" t="str">
        <f t="shared" si="24"/>
        <v/>
      </c>
      <c r="AA284" s="171"/>
      <c r="AB284" s="183" t="str">
        <f t="shared" ca="1" si="27"/>
        <v/>
      </c>
      <c r="AC284" s="265"/>
      <c r="AD284" s="249"/>
      <c r="AE284" s="249"/>
      <c r="AF284" s="249"/>
      <c r="AG284" s="249"/>
      <c r="AH284" s="249"/>
      <c r="AI284" s="249"/>
      <c r="AJ284" s="453"/>
      <c r="AK284" s="454"/>
      <c r="AL284" s="453"/>
      <c r="AM284" s="175"/>
      <c r="AN284" s="254"/>
      <c r="AO284" s="254"/>
      <c r="AP284" s="178" t="str">
        <f t="shared" si="26"/>
        <v xml:space="preserve"> </v>
      </c>
    </row>
    <row r="285" spans="1:42" ht="63" customHeight="1">
      <c r="A285" s="188" t="s">
        <v>1384</v>
      </c>
      <c r="B285" s="176"/>
      <c r="C285" s="168"/>
      <c r="D285" s="169"/>
      <c r="E285" s="177"/>
      <c r="F285" s="189" t="str">
        <f>IF(E285="","",VLOOKUP(E285,'Listes déroulantes'!$A$3:$C$39,2))</f>
        <v/>
      </c>
      <c r="G285" s="180"/>
      <c r="H285" s="181"/>
      <c r="I285" s="186"/>
      <c r="J285" s="185"/>
      <c r="K285" s="167"/>
      <c r="L285" s="170"/>
      <c r="M285" s="171"/>
      <c r="N285" s="171"/>
      <c r="O285" s="184" t="str">
        <f t="shared" si="25"/>
        <v/>
      </c>
      <c r="P285" s="499"/>
      <c r="Q285" s="172"/>
      <c r="R285" s="173"/>
      <c r="S285" s="173"/>
      <c r="T285" s="174"/>
      <c r="U285" s="177"/>
      <c r="V285" s="170"/>
      <c r="W285" s="170"/>
      <c r="X285" s="174"/>
      <c r="Y285" s="182"/>
      <c r="Z285" s="179" t="str">
        <f t="shared" si="24"/>
        <v/>
      </c>
      <c r="AA285" s="171"/>
      <c r="AB285" s="183" t="str">
        <f t="shared" ca="1" si="27"/>
        <v/>
      </c>
      <c r="AC285" s="265"/>
      <c r="AD285" s="249"/>
      <c r="AE285" s="249"/>
      <c r="AF285" s="249"/>
      <c r="AG285" s="249"/>
      <c r="AH285" s="249"/>
      <c r="AI285" s="249"/>
      <c r="AJ285" s="453"/>
      <c r="AK285" s="454"/>
      <c r="AL285" s="453"/>
      <c r="AM285" s="175"/>
      <c r="AN285" s="254"/>
      <c r="AO285" s="254"/>
      <c r="AP285" s="178" t="str">
        <f t="shared" si="26"/>
        <v xml:space="preserve"> </v>
      </c>
    </row>
    <row r="286" spans="1:42" ht="63" customHeight="1">
      <c r="A286" s="188" t="s">
        <v>1385</v>
      </c>
      <c r="B286" s="176"/>
      <c r="C286" s="168"/>
      <c r="D286" s="169"/>
      <c r="E286" s="177"/>
      <c r="F286" s="189" t="str">
        <f>IF(E286="","",VLOOKUP(E286,'Listes déroulantes'!$A$3:$C$39,2))</f>
        <v/>
      </c>
      <c r="G286" s="180"/>
      <c r="H286" s="181"/>
      <c r="I286" s="186"/>
      <c r="J286" s="185"/>
      <c r="K286" s="167"/>
      <c r="L286" s="170"/>
      <c r="M286" s="171"/>
      <c r="N286" s="171"/>
      <c r="O286" s="184" t="str">
        <f t="shared" si="25"/>
        <v/>
      </c>
      <c r="P286" s="499"/>
      <c r="Q286" s="172"/>
      <c r="R286" s="173"/>
      <c r="S286" s="173"/>
      <c r="T286" s="174"/>
      <c r="U286" s="177"/>
      <c r="V286" s="170"/>
      <c r="W286" s="170"/>
      <c r="X286" s="174"/>
      <c r="Y286" s="182"/>
      <c r="Z286" s="179" t="str">
        <f t="shared" ref="Z286:Z297" si="28">IF(ISBLANK(I286),"",I286+7)</f>
        <v/>
      </c>
      <c r="AA286" s="171"/>
      <c r="AB286" s="183" t="str">
        <f t="shared" ca="1" si="27"/>
        <v/>
      </c>
      <c r="AC286" s="265"/>
      <c r="AD286" s="249"/>
      <c r="AE286" s="249"/>
      <c r="AF286" s="249"/>
      <c r="AG286" s="249"/>
      <c r="AH286" s="249"/>
      <c r="AI286" s="249"/>
      <c r="AJ286" s="453"/>
      <c r="AK286" s="454"/>
      <c r="AL286" s="453"/>
      <c r="AM286" s="175"/>
      <c r="AN286" s="254"/>
      <c r="AO286" s="254"/>
      <c r="AP286" s="178" t="str">
        <f t="shared" si="26"/>
        <v xml:space="preserve"> </v>
      </c>
    </row>
    <row r="287" spans="1:42" ht="63" customHeight="1">
      <c r="A287" s="188" t="s">
        <v>1386</v>
      </c>
      <c r="B287" s="176"/>
      <c r="C287" s="168"/>
      <c r="D287" s="169"/>
      <c r="E287" s="177"/>
      <c r="F287" s="189" t="str">
        <f>IF(E287="","",VLOOKUP(E287,'Listes déroulantes'!$A$3:$C$39,2))</f>
        <v/>
      </c>
      <c r="G287" s="180"/>
      <c r="H287" s="181"/>
      <c r="I287" s="186"/>
      <c r="J287" s="185"/>
      <c r="K287" s="167"/>
      <c r="L287" s="170"/>
      <c r="M287" s="171"/>
      <c r="N287" s="171"/>
      <c r="O287" s="184" t="str">
        <f t="shared" si="25"/>
        <v/>
      </c>
      <c r="P287" s="499"/>
      <c r="Q287" s="172"/>
      <c r="R287" s="173"/>
      <c r="S287" s="173"/>
      <c r="T287" s="174"/>
      <c r="U287" s="177"/>
      <c r="V287" s="170"/>
      <c r="W287" s="170"/>
      <c r="X287" s="174"/>
      <c r="Y287" s="182"/>
      <c r="Z287" s="179" t="str">
        <f t="shared" si="28"/>
        <v/>
      </c>
      <c r="AA287" s="171"/>
      <c r="AB287" s="183" t="str">
        <f t="shared" ca="1" si="27"/>
        <v/>
      </c>
      <c r="AC287" s="265"/>
      <c r="AD287" s="249"/>
      <c r="AE287" s="249"/>
      <c r="AF287" s="249"/>
      <c r="AG287" s="249"/>
      <c r="AH287" s="249"/>
      <c r="AI287" s="249"/>
      <c r="AJ287" s="453"/>
      <c r="AK287" s="454"/>
      <c r="AL287" s="453"/>
      <c r="AM287" s="175"/>
      <c r="AN287" s="254"/>
      <c r="AO287" s="254"/>
      <c r="AP287" s="178" t="str">
        <f t="shared" si="26"/>
        <v xml:space="preserve"> </v>
      </c>
    </row>
    <row r="288" spans="1:42" ht="51" customHeight="1">
      <c r="A288" s="188" t="s">
        <v>1387</v>
      </c>
      <c r="B288" s="246"/>
      <c r="C288" s="168"/>
      <c r="D288" s="169"/>
      <c r="E288" s="177"/>
      <c r="F288" s="189" t="str">
        <f>IF(E288="","",VLOOKUP(E288,'Listes déroulantes'!$A$3:$C$39,2))</f>
        <v/>
      </c>
      <c r="G288" s="180"/>
      <c r="H288" s="181"/>
      <c r="I288" s="186"/>
      <c r="J288" s="185"/>
      <c r="K288" s="167"/>
      <c r="L288" s="170"/>
      <c r="M288" s="171"/>
      <c r="N288" s="171"/>
      <c r="O288" s="184" t="str">
        <f t="shared" si="25"/>
        <v/>
      </c>
      <c r="P288" s="499"/>
      <c r="Q288" s="172"/>
      <c r="R288" s="173"/>
      <c r="S288" s="173"/>
      <c r="T288" s="174"/>
      <c r="U288" s="177"/>
      <c r="V288" s="170"/>
      <c r="W288" s="170"/>
      <c r="X288" s="174"/>
      <c r="Y288" s="182"/>
      <c r="Z288" s="179" t="str">
        <f t="shared" si="28"/>
        <v/>
      </c>
      <c r="AA288" s="171"/>
      <c r="AB288" s="183" t="str">
        <f t="shared" ca="1" si="27"/>
        <v/>
      </c>
      <c r="AC288" s="265"/>
      <c r="AD288" s="249"/>
      <c r="AE288" s="249"/>
      <c r="AF288" s="249"/>
      <c r="AG288" s="249"/>
      <c r="AH288" s="249"/>
      <c r="AI288" s="249"/>
      <c r="AJ288" s="453"/>
      <c r="AK288" s="454"/>
      <c r="AL288" s="453"/>
      <c r="AM288" s="175"/>
      <c r="AN288" s="254"/>
      <c r="AO288" s="254"/>
      <c r="AP288" s="178" t="str">
        <f t="shared" si="26"/>
        <v xml:space="preserve"> </v>
      </c>
    </row>
    <row r="289" spans="1:42" ht="51" customHeight="1">
      <c r="A289" s="188" t="s">
        <v>1388</v>
      </c>
      <c r="B289" s="176"/>
      <c r="C289" s="168"/>
      <c r="D289" s="169"/>
      <c r="E289" s="177"/>
      <c r="F289" s="189" t="str">
        <f>IF(E289="","",VLOOKUP(E289,'Listes déroulantes'!$A$3:$C$39,2))</f>
        <v/>
      </c>
      <c r="G289" s="180"/>
      <c r="H289" s="181"/>
      <c r="I289" s="186"/>
      <c r="J289" s="185"/>
      <c r="K289" s="167"/>
      <c r="L289" s="170"/>
      <c r="M289" s="171"/>
      <c r="N289" s="171"/>
      <c r="O289" s="184" t="str">
        <f t="shared" si="25"/>
        <v/>
      </c>
      <c r="P289" s="499"/>
      <c r="Q289" s="172"/>
      <c r="R289" s="173"/>
      <c r="S289" s="173"/>
      <c r="T289" s="174"/>
      <c r="U289" s="177"/>
      <c r="V289" s="170"/>
      <c r="W289" s="170"/>
      <c r="X289" s="174"/>
      <c r="Y289" s="182"/>
      <c r="Z289" s="179" t="str">
        <f t="shared" si="28"/>
        <v/>
      </c>
      <c r="AA289" s="171"/>
      <c r="AB289" s="183" t="str">
        <f t="shared" ca="1" si="27"/>
        <v/>
      </c>
      <c r="AC289" s="265"/>
      <c r="AD289" s="249"/>
      <c r="AE289" s="249"/>
      <c r="AF289" s="249"/>
      <c r="AG289" s="249"/>
      <c r="AH289" s="249"/>
      <c r="AI289" s="249"/>
      <c r="AJ289" s="453"/>
      <c r="AK289" s="454"/>
      <c r="AL289" s="453"/>
      <c r="AM289" s="175"/>
      <c r="AN289" s="254"/>
      <c r="AO289" s="254"/>
      <c r="AP289" s="178" t="str">
        <f t="shared" si="26"/>
        <v xml:space="preserve"> </v>
      </c>
    </row>
    <row r="290" spans="1:42" ht="67.5" customHeight="1">
      <c r="A290" s="188" t="s">
        <v>1389</v>
      </c>
      <c r="B290" s="176"/>
      <c r="C290" s="168"/>
      <c r="D290" s="169"/>
      <c r="E290" s="177"/>
      <c r="F290" s="189" t="str">
        <f>IF(E290="","",VLOOKUP(E290,'Listes déroulantes'!$A$3:$C$39,2))</f>
        <v/>
      </c>
      <c r="G290" s="180"/>
      <c r="H290" s="181"/>
      <c r="I290" s="186"/>
      <c r="J290" s="185"/>
      <c r="K290" s="167"/>
      <c r="L290" s="170"/>
      <c r="M290" s="171"/>
      <c r="N290" s="171"/>
      <c r="O290" s="184" t="str">
        <f t="shared" si="25"/>
        <v/>
      </c>
      <c r="P290" s="499"/>
      <c r="Q290" s="172"/>
      <c r="R290" s="173"/>
      <c r="S290" s="173"/>
      <c r="T290" s="174"/>
      <c r="U290" s="177"/>
      <c r="V290" s="170"/>
      <c r="W290" s="170"/>
      <c r="X290" s="174"/>
      <c r="Y290" s="182"/>
      <c r="Z290" s="179" t="str">
        <f t="shared" si="28"/>
        <v/>
      </c>
      <c r="AA290" s="171"/>
      <c r="AB290" s="183" t="str">
        <f t="shared" ca="1" si="27"/>
        <v/>
      </c>
      <c r="AC290" s="265"/>
      <c r="AD290" s="249"/>
      <c r="AE290" s="249"/>
      <c r="AF290" s="249"/>
      <c r="AG290" s="249"/>
      <c r="AH290" s="249"/>
      <c r="AI290" s="249"/>
      <c r="AJ290" s="453"/>
      <c r="AK290" s="454"/>
      <c r="AL290" s="453"/>
      <c r="AM290" s="175"/>
      <c r="AN290" s="254"/>
      <c r="AO290" s="254"/>
      <c r="AP290" s="178" t="str">
        <f t="shared" si="26"/>
        <v xml:space="preserve"> </v>
      </c>
    </row>
    <row r="291" spans="1:42" ht="66" customHeight="1">
      <c r="A291" s="188" t="s">
        <v>1390</v>
      </c>
      <c r="B291" s="176"/>
      <c r="C291" s="168"/>
      <c r="D291" s="169"/>
      <c r="E291" s="177"/>
      <c r="F291" s="189" t="str">
        <f>IF(E291="","",VLOOKUP(E291,'Listes déroulantes'!$A$3:$C$39,2))</f>
        <v/>
      </c>
      <c r="G291" s="180"/>
      <c r="H291" s="181"/>
      <c r="I291" s="186"/>
      <c r="J291" s="185"/>
      <c r="K291" s="167"/>
      <c r="L291" s="170"/>
      <c r="M291" s="171"/>
      <c r="N291" s="171"/>
      <c r="O291" s="184" t="str">
        <f t="shared" si="25"/>
        <v/>
      </c>
      <c r="P291" s="499"/>
      <c r="Q291" s="172"/>
      <c r="R291" s="173"/>
      <c r="S291" s="173"/>
      <c r="T291" s="174"/>
      <c r="U291" s="177"/>
      <c r="V291" s="170"/>
      <c r="W291" s="170"/>
      <c r="X291" s="174"/>
      <c r="Y291" s="182"/>
      <c r="Z291" s="179" t="str">
        <f t="shared" si="28"/>
        <v/>
      </c>
      <c r="AA291" s="171"/>
      <c r="AB291" s="183" t="str">
        <f t="shared" ca="1" si="27"/>
        <v/>
      </c>
      <c r="AC291" s="265"/>
      <c r="AD291" s="249"/>
      <c r="AE291" s="249"/>
      <c r="AF291" s="249"/>
      <c r="AG291" s="249"/>
      <c r="AH291" s="249"/>
      <c r="AI291" s="249"/>
      <c r="AJ291" s="453"/>
      <c r="AK291" s="454"/>
      <c r="AL291" s="453"/>
      <c r="AM291" s="175"/>
      <c r="AN291" s="254"/>
      <c r="AO291" s="254"/>
      <c r="AP291" s="178" t="str">
        <f t="shared" si="26"/>
        <v xml:space="preserve"> </v>
      </c>
    </row>
    <row r="292" spans="1:42" ht="66" customHeight="1">
      <c r="A292" s="188" t="s">
        <v>1391</v>
      </c>
      <c r="B292" s="176"/>
      <c r="C292" s="168"/>
      <c r="D292" s="169"/>
      <c r="E292" s="177"/>
      <c r="F292" s="189" t="str">
        <f>IF(E292="","",VLOOKUP(E292,'Listes déroulantes'!$A$3:$C$39,2))</f>
        <v/>
      </c>
      <c r="G292" s="180"/>
      <c r="H292" s="181"/>
      <c r="I292" s="186"/>
      <c r="J292" s="185"/>
      <c r="K292" s="167"/>
      <c r="L292" s="170"/>
      <c r="M292" s="171"/>
      <c r="N292" s="171"/>
      <c r="O292" s="184" t="str">
        <f t="shared" si="25"/>
        <v/>
      </c>
      <c r="P292" s="499"/>
      <c r="Q292" s="172"/>
      <c r="R292" s="173"/>
      <c r="S292" s="173"/>
      <c r="T292" s="174"/>
      <c r="U292" s="177"/>
      <c r="V292" s="170"/>
      <c r="W292" s="170"/>
      <c r="X292" s="174"/>
      <c r="Y292" s="182"/>
      <c r="Z292" s="179" t="str">
        <f t="shared" si="28"/>
        <v/>
      </c>
      <c r="AA292" s="171"/>
      <c r="AB292" s="183" t="str">
        <f t="shared" ca="1" si="27"/>
        <v/>
      </c>
      <c r="AC292" s="265"/>
      <c r="AD292" s="249"/>
      <c r="AE292" s="249"/>
      <c r="AF292" s="249"/>
      <c r="AG292" s="249"/>
      <c r="AH292" s="249"/>
      <c r="AI292" s="249"/>
      <c r="AJ292" s="453"/>
      <c r="AK292" s="454"/>
      <c r="AL292" s="453"/>
      <c r="AM292" s="175"/>
      <c r="AN292" s="254"/>
      <c r="AO292" s="254"/>
      <c r="AP292" s="178" t="str">
        <f t="shared" si="26"/>
        <v xml:space="preserve"> </v>
      </c>
    </row>
    <row r="293" spans="1:42" ht="75" customHeight="1">
      <c r="A293" s="188" t="s">
        <v>1392</v>
      </c>
      <c r="B293" s="176"/>
      <c r="C293" s="168"/>
      <c r="D293" s="169"/>
      <c r="E293" s="177"/>
      <c r="F293" s="189" t="str">
        <f>IF(E293="","",VLOOKUP(E293,'Listes déroulantes'!$A$3:$C$39,2))</f>
        <v/>
      </c>
      <c r="G293" s="180"/>
      <c r="H293" s="181"/>
      <c r="I293" s="186"/>
      <c r="J293" s="185"/>
      <c r="K293" s="167"/>
      <c r="L293" s="170"/>
      <c r="M293" s="171"/>
      <c r="N293" s="171"/>
      <c r="O293" s="184" t="str">
        <f t="shared" si="25"/>
        <v/>
      </c>
      <c r="P293" s="499"/>
      <c r="Q293" s="172"/>
      <c r="R293" s="173"/>
      <c r="S293" s="173"/>
      <c r="T293" s="174"/>
      <c r="U293" s="177"/>
      <c r="V293" s="170"/>
      <c r="W293" s="170"/>
      <c r="X293" s="174"/>
      <c r="Y293" s="182"/>
      <c r="Z293" s="179" t="str">
        <f t="shared" si="28"/>
        <v/>
      </c>
      <c r="AA293" s="171"/>
      <c r="AB293" s="183" t="str">
        <f t="shared" ca="1" si="27"/>
        <v/>
      </c>
      <c r="AC293" s="265"/>
      <c r="AD293" s="249"/>
      <c r="AE293" s="249"/>
      <c r="AF293" s="249"/>
      <c r="AG293" s="249"/>
      <c r="AH293" s="249"/>
      <c r="AI293" s="249"/>
      <c r="AJ293" s="453"/>
      <c r="AK293" s="454"/>
      <c r="AL293" s="453"/>
      <c r="AM293" s="175"/>
      <c r="AN293" s="254"/>
      <c r="AO293" s="254"/>
      <c r="AP293" s="178" t="str">
        <f t="shared" si="26"/>
        <v xml:space="preserve"> </v>
      </c>
    </row>
    <row r="294" spans="1:42" ht="75" customHeight="1">
      <c r="A294" s="188" t="s">
        <v>1393</v>
      </c>
      <c r="B294" s="176"/>
      <c r="C294" s="168"/>
      <c r="D294" s="169"/>
      <c r="E294" s="177"/>
      <c r="F294" s="189" t="str">
        <f>IF(E294="","",VLOOKUP(E294,'Listes déroulantes'!$A$3:$C$39,2))</f>
        <v/>
      </c>
      <c r="G294" s="180"/>
      <c r="H294" s="181"/>
      <c r="I294" s="186"/>
      <c r="J294" s="185"/>
      <c r="K294" s="167"/>
      <c r="L294" s="170"/>
      <c r="M294" s="171"/>
      <c r="N294" s="171"/>
      <c r="O294" s="184" t="str">
        <f t="shared" si="25"/>
        <v/>
      </c>
      <c r="P294" s="499"/>
      <c r="Q294" s="172"/>
      <c r="R294" s="173"/>
      <c r="S294" s="173"/>
      <c r="T294" s="174"/>
      <c r="U294" s="177"/>
      <c r="V294" s="170"/>
      <c r="W294" s="170"/>
      <c r="X294" s="174"/>
      <c r="Y294" s="182"/>
      <c r="Z294" s="179" t="str">
        <f t="shared" si="28"/>
        <v/>
      </c>
      <c r="AA294" s="171"/>
      <c r="AB294" s="183" t="str">
        <f t="shared" ca="1" si="27"/>
        <v/>
      </c>
      <c r="AC294" s="265"/>
      <c r="AD294" s="249"/>
      <c r="AE294" s="249"/>
      <c r="AF294" s="249"/>
      <c r="AG294" s="249"/>
      <c r="AH294" s="249"/>
      <c r="AI294" s="249"/>
      <c r="AJ294" s="453"/>
      <c r="AK294" s="454"/>
      <c r="AL294" s="453"/>
      <c r="AM294" s="175"/>
      <c r="AN294" s="254"/>
      <c r="AO294" s="254"/>
      <c r="AP294" s="178" t="str">
        <f t="shared" si="26"/>
        <v xml:space="preserve"> </v>
      </c>
    </row>
    <row r="295" spans="1:42" ht="75" customHeight="1">
      <c r="A295" s="188" t="s">
        <v>1394</v>
      </c>
      <c r="B295" s="176"/>
      <c r="C295" s="168"/>
      <c r="D295" s="169"/>
      <c r="E295" s="177"/>
      <c r="F295" s="189" t="str">
        <f>IF(E295="","",VLOOKUP(E295,'Listes déroulantes'!$A$3:$C$39,2))</f>
        <v/>
      </c>
      <c r="G295" s="180"/>
      <c r="H295" s="181"/>
      <c r="I295" s="186"/>
      <c r="J295" s="185"/>
      <c r="K295" s="167"/>
      <c r="L295" s="170"/>
      <c r="M295" s="171"/>
      <c r="N295" s="171"/>
      <c r="O295" s="184" t="str">
        <f t="shared" si="25"/>
        <v/>
      </c>
      <c r="P295" s="499"/>
      <c r="Q295" s="172"/>
      <c r="R295" s="173"/>
      <c r="S295" s="173"/>
      <c r="T295" s="174"/>
      <c r="U295" s="177"/>
      <c r="V295" s="170"/>
      <c r="W295" s="170"/>
      <c r="X295" s="174"/>
      <c r="Y295" s="182"/>
      <c r="Z295" s="179" t="str">
        <f t="shared" si="28"/>
        <v/>
      </c>
      <c r="AA295" s="171"/>
      <c r="AB295" s="183" t="str">
        <f t="shared" ca="1" si="27"/>
        <v/>
      </c>
      <c r="AC295" s="265"/>
      <c r="AD295" s="249"/>
      <c r="AE295" s="249"/>
      <c r="AF295" s="249"/>
      <c r="AG295" s="249"/>
      <c r="AH295" s="249"/>
      <c r="AI295" s="249"/>
      <c r="AJ295" s="453"/>
      <c r="AK295" s="454"/>
      <c r="AL295" s="453"/>
      <c r="AM295" s="175"/>
      <c r="AN295" s="254"/>
      <c r="AO295" s="254"/>
      <c r="AP295" s="178" t="str">
        <f t="shared" si="26"/>
        <v xml:space="preserve"> </v>
      </c>
    </row>
    <row r="296" spans="1:42" ht="75" customHeight="1">
      <c r="A296" s="188" t="s">
        <v>1395</v>
      </c>
      <c r="B296" s="176"/>
      <c r="C296" s="168"/>
      <c r="D296" s="169"/>
      <c r="E296" s="177"/>
      <c r="F296" s="189" t="str">
        <f>IF(E296="","",VLOOKUP(E296,'Listes déroulantes'!$A$3:$C$39,2))</f>
        <v/>
      </c>
      <c r="G296" s="180"/>
      <c r="H296" s="181"/>
      <c r="I296" s="186"/>
      <c r="J296" s="185"/>
      <c r="K296" s="167"/>
      <c r="L296" s="170"/>
      <c r="M296" s="171"/>
      <c r="N296" s="171"/>
      <c r="O296" s="184" t="str">
        <f t="shared" si="25"/>
        <v/>
      </c>
      <c r="P296" s="499"/>
      <c r="Q296" s="172"/>
      <c r="R296" s="173"/>
      <c r="S296" s="173"/>
      <c r="T296" s="174"/>
      <c r="U296" s="177"/>
      <c r="V296" s="170"/>
      <c r="W296" s="170"/>
      <c r="X296" s="174"/>
      <c r="Y296" s="182"/>
      <c r="Z296" s="179" t="str">
        <f t="shared" si="28"/>
        <v/>
      </c>
      <c r="AA296" s="171"/>
      <c r="AB296" s="183" t="str">
        <f t="shared" ca="1" si="27"/>
        <v/>
      </c>
      <c r="AC296" s="265"/>
      <c r="AD296" s="249"/>
      <c r="AE296" s="249"/>
      <c r="AF296" s="249"/>
      <c r="AG296" s="249"/>
      <c r="AH296" s="249"/>
      <c r="AI296" s="249"/>
      <c r="AJ296" s="453"/>
      <c r="AK296" s="454"/>
      <c r="AL296" s="453"/>
      <c r="AM296" s="175"/>
      <c r="AN296" s="254"/>
      <c r="AO296" s="254"/>
      <c r="AP296" s="178" t="str">
        <f t="shared" si="26"/>
        <v xml:space="preserve"> </v>
      </c>
    </row>
    <row r="297" spans="1:42" ht="71.25" customHeight="1">
      <c r="A297" s="188" t="s">
        <v>1396</v>
      </c>
      <c r="B297" s="176"/>
      <c r="C297" s="168"/>
      <c r="D297" s="169"/>
      <c r="E297" s="177"/>
      <c r="F297" s="189" t="str">
        <f>IF(E297="","",VLOOKUP(E297,'Listes déroulantes'!$A$3:$C$39,2))</f>
        <v/>
      </c>
      <c r="G297" s="180"/>
      <c r="H297" s="181"/>
      <c r="I297" s="186"/>
      <c r="J297" s="185"/>
      <c r="K297" s="167"/>
      <c r="L297" s="170"/>
      <c r="M297" s="171"/>
      <c r="N297" s="171"/>
      <c r="O297" s="184" t="str">
        <f t="shared" si="25"/>
        <v/>
      </c>
      <c r="P297" s="499"/>
      <c r="Q297" s="172"/>
      <c r="R297" s="173"/>
      <c r="S297" s="173"/>
      <c r="T297" s="174"/>
      <c r="U297" s="177"/>
      <c r="V297" s="170"/>
      <c r="W297" s="170"/>
      <c r="X297" s="174"/>
      <c r="Y297" s="182"/>
      <c r="Z297" s="179" t="str">
        <f t="shared" si="28"/>
        <v/>
      </c>
      <c r="AA297" s="171"/>
      <c r="AB297" s="183" t="str">
        <f t="shared" ca="1" si="27"/>
        <v/>
      </c>
      <c r="AC297" s="265"/>
      <c r="AD297" s="249"/>
      <c r="AE297" s="249"/>
      <c r="AF297" s="249"/>
      <c r="AG297" s="249"/>
      <c r="AH297" s="249"/>
      <c r="AI297" s="249"/>
      <c r="AJ297" s="453"/>
      <c r="AK297" s="454"/>
      <c r="AL297" s="453"/>
      <c r="AM297" s="175"/>
      <c r="AN297" s="254"/>
      <c r="AO297" s="254"/>
      <c r="AP297" s="178" t="str">
        <f t="shared" si="26"/>
        <v xml:space="preserve"> </v>
      </c>
    </row>
  </sheetData>
  <autoFilter ref="A6:AP297" xr:uid="{00000000-0009-0000-0000-000002000000}">
    <sortState ref="A7:AM333">
      <sortCondition ref="I6:I333"/>
    </sortState>
  </autoFilter>
  <dataConsolidate>
    <dataRefs count="1">
      <dataRef ref="G13:G16" sheet="Listes déroulantes"/>
    </dataRefs>
  </dataConsolidate>
  <mergeCells count="7">
    <mergeCell ref="D5:F5"/>
    <mergeCell ref="B2:D3"/>
    <mergeCell ref="AA5:AR5"/>
    <mergeCell ref="G5:J5"/>
    <mergeCell ref="K5:Q5"/>
    <mergeCell ref="S5:V5"/>
    <mergeCell ref="W5:Z5"/>
  </mergeCells>
  <phoneticPr fontId="8" type="noConversion"/>
  <conditionalFormatting sqref="L7:L297">
    <cfRule type="cellIs" dxfId="105" priority="55" stopIfTrue="1" operator="equal">
      <formula>"avec arrêt"</formula>
    </cfRule>
  </conditionalFormatting>
  <conditionalFormatting sqref="M7:M297">
    <cfRule type="expression" dxfId="104" priority="73" stopIfTrue="1">
      <formula>L7="avec arrêt"</formula>
    </cfRule>
    <cfRule type="expression" dxfId="103" priority="74" stopIfTrue="1">
      <formula>L7="décès"</formula>
    </cfRule>
  </conditionalFormatting>
  <conditionalFormatting sqref="N7:N297">
    <cfRule type="expression" dxfId="102" priority="75" stopIfTrue="1">
      <formula>L7="avec arrêt"</formula>
    </cfRule>
    <cfRule type="expression" dxfId="101" priority="76" stopIfTrue="1">
      <formula>L7="décès"</formula>
    </cfRule>
  </conditionalFormatting>
  <conditionalFormatting sqref="O7:P297">
    <cfRule type="cellIs" dxfId="100" priority="77" stopIfTrue="1" operator="notEqual">
      <formula>""</formula>
    </cfRule>
    <cfRule type="expression" dxfId="99" priority="78" stopIfTrue="1">
      <formula>L7="sans arrêt"</formula>
    </cfRule>
    <cfRule type="expression" dxfId="98" priority="79" stopIfTrue="1">
      <formula>L7="décès"</formula>
    </cfRule>
  </conditionalFormatting>
  <conditionalFormatting sqref="O7:P297">
    <cfRule type="cellIs" dxfId="97" priority="49" operator="equal">
      <formula>0</formula>
    </cfRule>
  </conditionalFormatting>
  <conditionalFormatting sqref="AO7:AO71">
    <cfRule type="expression" dxfId="96" priority="43">
      <formula>$AM7=""</formula>
    </cfRule>
    <cfRule type="expression" dxfId="95" priority="44">
      <formula>$AM7=$AO7</formula>
    </cfRule>
    <cfRule type="expression" dxfId="94" priority="45">
      <formula>$AM7&gt;$AO7</formula>
    </cfRule>
  </conditionalFormatting>
  <conditionalFormatting sqref="F7:F297">
    <cfRule type="containsText" dxfId="93" priority="33" operator="containsText" text="TRAIN">
      <formula>NOT(ISERROR(SEARCH("TRAIN",F7)))</formula>
    </cfRule>
    <cfRule type="containsText" dxfId="92" priority="41" operator="containsText" text="TER EST">
      <formula>NOT(ISERROR(SEARCH("TER EST",F7)))</formula>
    </cfRule>
    <cfRule type="containsText" dxfId="91" priority="42" operator="containsText" text="TER OUEST">
      <formula>NOT(ISERROR(SEARCH("TER OUEST",F7)))</formula>
    </cfRule>
  </conditionalFormatting>
  <conditionalFormatting sqref="F7:F297">
    <cfRule type="containsText" dxfId="90" priority="40" operator="containsText" text="SIEGE">
      <formula>NOT(ISERROR(SEARCH("SIEGE",F7)))</formula>
    </cfRule>
  </conditionalFormatting>
  <conditionalFormatting sqref="M7:M297">
    <cfRule type="expression" dxfId="89" priority="39">
      <formula>L7="sans arrêt"</formula>
    </cfRule>
  </conditionalFormatting>
  <conditionalFormatting sqref="N7:N297">
    <cfRule type="expression" dxfId="88" priority="37">
      <formula>L7="sans arrêt"</formula>
    </cfRule>
    <cfRule type="expression" dxfId="87" priority="38">
      <formula>M7="sans arrêt"</formula>
    </cfRule>
  </conditionalFormatting>
  <conditionalFormatting sqref="F7:F79">
    <cfRule type="containsText" dxfId="86" priority="32" operator="containsText" text="EMI">
      <formula>NOT(ISERROR(SEARCH("EMI",F7)))</formula>
    </cfRule>
  </conditionalFormatting>
  <conditionalFormatting sqref="AN7:AN64 AL7:AL64 AB7:AI64">
    <cfRule type="containsText" dxfId="85" priority="47" operator="containsText" text="non">
      <formula>NOT(ISERROR(SEARCH("non",AB7)))</formula>
    </cfRule>
    <cfRule type="containsText" dxfId="84" priority="48" operator="containsText" text="oui">
      <formula>NOT(ISERROR(SEARCH("oui",AB7)))</formula>
    </cfRule>
    <cfRule type="containsBlanks" dxfId="83" priority="80">
      <formula>LEN(TRIM(AB7))=0</formula>
    </cfRule>
  </conditionalFormatting>
  <dataValidations count="8">
    <dataValidation type="list" allowBlank="1" showInputMessage="1" showErrorMessage="1" sqref="G72:H297 AJ74:AJ297 AD72:AI297 AK72:AL297 U7:U297" xr:uid="{00000000-0002-0000-0200-000000000000}">
      <formula1>ouinon</formula1>
    </dataValidation>
    <dataValidation type="list" allowBlank="1" showInputMessage="1" showErrorMessage="1" sqref="S79:S297" xr:uid="{00000000-0002-0000-0200-000001000000}">
      <formula1>lésion</formula1>
    </dataValidation>
    <dataValidation type="list" allowBlank="1" showInputMessage="1" showErrorMessage="1" sqref="V7:V297" xr:uid="{00000000-0002-0000-0200-000003000000}">
      <formula1>jour</formula1>
    </dataValidation>
    <dataValidation type="list" allowBlank="1" showInputMessage="1" showErrorMessage="1" sqref="W7:W297" xr:uid="{00000000-0002-0000-0200-000004000000}">
      <formula1>heure</formula1>
    </dataValidation>
    <dataValidation type="list" allowBlank="1" showInputMessage="1" showErrorMessage="1" sqref="Q7:Q297" xr:uid="{00000000-0002-0000-0200-000005000000}">
      <formula1>elmat</formula1>
    </dataValidation>
    <dataValidation type="list" allowBlank="1" showInputMessage="1" showErrorMessage="1" sqref="R7:R297" xr:uid="{00000000-0002-0000-0200-000006000000}">
      <formula1>INDIRECT("Elmat_"&amp;LEFT(Q7,2))</formula1>
    </dataValidation>
    <dataValidation type="list" allowBlank="1" showInputMessage="1" showErrorMessage="1" sqref="T7:T297" xr:uid="{00000000-0002-0000-0200-000007000000}">
      <formula1>siège</formula1>
    </dataValidation>
    <dataValidation type="list" allowBlank="1" showInputMessage="1" showErrorMessage="1" sqref="K2:K4 K6:K1048576 M5" xr:uid="{00000000-0002-0000-0200-000002000000}">
      <formula1>type</formula1>
    </dataValidation>
  </dataValidations>
  <hyperlinks>
    <hyperlink ref="B2:D3" location="'Tableau de bord'!D17" tooltip="Retour au Tableau de Bord" display="RETOUR AU TABLEAU DE BORD" xr:uid="{00000000-0004-0000-0200-000000000000}"/>
  </hyperlinks>
  <pageMargins left="0" right="0" top="0" bottom="0" header="0" footer="0"/>
  <pageSetup paperSize="8" scale="75" orientation="landscape" r:id="rId1"/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5" operator="containsText" id="{E93F87AC-431E-4ADC-943D-AF577600A412}">
            <xm:f>NOT(ISERROR(SEARCH("Non concerné",AD7)))</xm:f>
            <xm:f>"Non concerné"</xm:f>
            <x14:dxf>
              <fill>
                <patternFill>
                  <bgColor theme="0" tint="-0.14996795556505021"/>
                </patternFill>
              </fill>
            </x14:dxf>
          </x14:cfRule>
          <xm:sqref>AD7:AD71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 xr:uid="{00000000-0002-0000-0200-000008000000}">
          <x14:formula1>
            <xm:f>'Listes déroulantes'!$H$2:$H$4</xm:f>
          </x14:formula1>
          <xm:sqref>AD49:AD71 AL66:AL71 AK7:AK71 AE7:AI71 AN7:AN75 G7:H71</xm:sqref>
        </x14:dataValidation>
        <x14:dataValidation type="list" allowBlank="1" showInputMessage="1" showErrorMessage="1" xr:uid="{00000000-0002-0000-0200-000009000000}">
          <x14:formula1>
            <xm:f>'Listes déroulantes'!$A$3:$A$33</xm:f>
          </x14:formula1>
          <xm:sqref>E72:E154</xm:sqref>
        </x14:dataValidation>
        <x14:dataValidation type="list" allowBlank="1" showInputMessage="1" showErrorMessage="1" xr:uid="{00000000-0002-0000-0200-00000A000000}">
          <x14:formula1>
            <xm:f>'Listes déroulantes'!$A$3:$A$40</xm:f>
          </x14:formula1>
          <xm:sqref>E155:E297</xm:sqref>
        </x14:dataValidation>
        <x14:dataValidation type="list" allowBlank="1" showInputMessage="1" showErrorMessage="1" xr:uid="{00000000-0002-0000-0200-00000C000000}">
          <x14:formula1>
            <xm:f>'Listes déroulantes'!$G$13:$G$17</xm:f>
          </x14:formula1>
          <xm:sqref>AC7:AC72</xm:sqref>
        </x14:dataValidation>
        <x14:dataValidation type="list" allowBlank="1" showInputMessage="1" showErrorMessage="1" xr:uid="{00000000-0002-0000-0200-00000D000000}">
          <x14:formula1>
            <xm:f>'Listes déroulantes'!$H$21:$H$24</xm:f>
          </x14:formula1>
          <xm:sqref>AD7:AD48</xm:sqref>
        </x14:dataValidation>
        <x14:dataValidation type="list" allowBlank="1" showInputMessage="1" showErrorMessage="1" xr:uid="{00000000-0002-0000-0200-00000E000000}">
          <x14:formula1>
            <xm:f>'Listes déroulantes'!$F$32:$F$62</xm:f>
          </x14:formula1>
          <xm:sqref>S7:S78</xm:sqref>
        </x14:dataValidation>
        <x14:dataValidation type="list" allowBlank="1" showInputMessage="1" showErrorMessage="1" xr:uid="{00000000-0002-0000-0200-00000F000000}">
          <x14:formula1>
            <xm:f>'Listes déroulantes'!$A$3:$A$44</xm:f>
          </x14:formula1>
          <xm:sqref>E7:E71</xm:sqref>
        </x14:dataValidation>
        <x14:dataValidation type="list" allowBlank="1" showDropDown="1" showInputMessage="1" showErrorMessage="1" xr:uid="{00000000-0002-0000-0200-000010000000}">
          <x14:formula1>
            <xm:f>'Listes déroulantes'!$H$2:$H$4</xm:f>
          </x14:formula1>
          <xm:sqref>AL7:AL65</xm:sqref>
        </x14:dataValidation>
        <x14:dataValidation type="list" allowBlank="1" showInputMessage="1" showErrorMessage="1" xr:uid="{00000000-0002-0000-0200-00000B000000}">
          <x14:formula1>
            <xm:f>'Listes déroulantes'!$G$2:$G$5</xm:f>
          </x14:formula1>
          <xm:sqref>L2:L4 L6:L1048576 N5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/>
  <dimension ref="A1:AB54"/>
  <sheetViews>
    <sheetView workbookViewId="0">
      <selection activeCell="A25" sqref="A25"/>
    </sheetView>
  </sheetViews>
  <sheetFormatPr baseColWidth="10" defaultRowHeight="15"/>
  <cols>
    <col min="1" max="1" width="36.5703125" customWidth="1"/>
    <col min="2" max="2" width="19.5703125" style="267" customWidth="1"/>
    <col min="3" max="6" width="35.5703125" customWidth="1"/>
  </cols>
  <sheetData>
    <row r="1" spans="1:28" ht="33">
      <c r="A1" s="575" t="s">
        <v>847</v>
      </c>
      <c r="B1" s="575"/>
      <c r="C1" s="575"/>
      <c r="D1" s="575"/>
      <c r="E1" s="575"/>
      <c r="F1" s="575"/>
    </row>
    <row r="2" spans="1:28">
      <c r="A2" s="333"/>
      <c r="B2" s="333"/>
      <c r="C2" s="333"/>
      <c r="D2" s="333"/>
      <c r="E2" s="333"/>
      <c r="F2" s="333"/>
    </row>
    <row r="3" spans="1:28">
      <c r="A3" s="334" t="s">
        <v>848</v>
      </c>
      <c r="B3" s="334" t="s">
        <v>18</v>
      </c>
      <c r="C3" s="334" t="s">
        <v>849</v>
      </c>
      <c r="D3" s="334" t="s">
        <v>850</v>
      </c>
      <c r="E3" s="334" t="s">
        <v>851</v>
      </c>
      <c r="F3" s="334" t="s">
        <v>852</v>
      </c>
      <c r="AB3" s="333" t="s">
        <v>853</v>
      </c>
    </row>
    <row r="4" spans="1:28">
      <c r="A4" s="23" t="s">
        <v>1015</v>
      </c>
      <c r="B4" s="18" t="s">
        <v>1000</v>
      </c>
      <c r="C4" s="335"/>
      <c r="D4" s="335"/>
      <c r="E4" s="335"/>
      <c r="F4" s="335"/>
      <c r="AB4" s="333" t="s">
        <v>854</v>
      </c>
    </row>
    <row r="5" spans="1:28">
      <c r="A5" s="23" t="s">
        <v>1002</v>
      </c>
      <c r="B5" s="18" t="s">
        <v>1000</v>
      </c>
      <c r="C5" s="335"/>
      <c r="D5" s="335"/>
      <c r="E5" s="335"/>
      <c r="F5" s="335"/>
    </row>
    <row r="6" spans="1:28">
      <c r="A6" s="23" t="s">
        <v>1016</v>
      </c>
      <c r="B6" s="18" t="s">
        <v>1000</v>
      </c>
      <c r="C6" s="335"/>
      <c r="D6" s="335"/>
      <c r="E6" s="335"/>
      <c r="F6" s="335"/>
    </row>
    <row r="7" spans="1:28">
      <c r="A7" s="23" t="s">
        <v>1017</v>
      </c>
      <c r="B7" s="18" t="s">
        <v>1000</v>
      </c>
      <c r="C7" s="335"/>
      <c r="D7" s="335"/>
      <c r="E7" s="335"/>
      <c r="F7" s="335"/>
    </row>
    <row r="8" spans="1:28">
      <c r="A8" s="23" t="s">
        <v>1018</v>
      </c>
      <c r="B8" s="18" t="s">
        <v>1000</v>
      </c>
      <c r="C8" s="335"/>
      <c r="D8" s="335"/>
      <c r="E8" s="335"/>
      <c r="F8" s="335"/>
    </row>
    <row r="9" spans="1:28">
      <c r="A9" s="23" t="s">
        <v>1019</v>
      </c>
      <c r="B9" s="18" t="s">
        <v>1000</v>
      </c>
      <c r="C9" s="335"/>
      <c r="D9" s="335"/>
      <c r="E9" s="335"/>
      <c r="F9" s="335"/>
    </row>
    <row r="10" spans="1:28">
      <c r="A10" s="23" t="s">
        <v>996</v>
      </c>
      <c r="B10" s="101" t="s">
        <v>999</v>
      </c>
      <c r="C10" s="335"/>
      <c r="D10" s="335"/>
      <c r="E10" s="335"/>
      <c r="F10" s="335"/>
    </row>
    <row r="11" spans="1:28">
      <c r="A11" s="23" t="s">
        <v>1006</v>
      </c>
      <c r="B11" s="101" t="s">
        <v>999</v>
      </c>
      <c r="C11" s="335"/>
      <c r="D11" s="335"/>
      <c r="E11" s="335"/>
      <c r="F11" s="335"/>
    </row>
    <row r="12" spans="1:28">
      <c r="A12" s="23" t="s">
        <v>1007</v>
      </c>
      <c r="B12" s="101" t="s">
        <v>999</v>
      </c>
      <c r="C12" s="335"/>
      <c r="D12" s="335"/>
      <c r="E12" s="335"/>
      <c r="F12" s="335"/>
    </row>
    <row r="13" spans="1:28">
      <c r="A13" s="23" t="s">
        <v>1012</v>
      </c>
      <c r="B13" s="101" t="s">
        <v>999</v>
      </c>
      <c r="C13" s="335"/>
      <c r="D13" s="335"/>
      <c r="E13" s="335"/>
      <c r="F13" s="335"/>
    </row>
    <row r="14" spans="1:28">
      <c r="A14" s="23" t="s">
        <v>1013</v>
      </c>
      <c r="B14" s="101" t="s">
        <v>999</v>
      </c>
      <c r="C14" s="335"/>
      <c r="D14" s="335"/>
      <c r="E14" s="335"/>
      <c r="F14" s="335"/>
    </row>
    <row r="15" spans="1:28">
      <c r="A15" s="23" t="s">
        <v>1014</v>
      </c>
      <c r="B15" s="101" t="s">
        <v>999</v>
      </c>
      <c r="C15" s="335"/>
      <c r="D15" s="335"/>
      <c r="E15" s="335"/>
      <c r="F15" s="335"/>
      <c r="G15" s="336"/>
    </row>
    <row r="16" spans="1:28">
      <c r="A16" s="23" t="s">
        <v>839</v>
      </c>
      <c r="B16" s="330" t="s">
        <v>838</v>
      </c>
      <c r="C16" s="335"/>
      <c r="D16" s="335"/>
      <c r="E16" s="335"/>
      <c r="F16" s="335"/>
      <c r="G16" s="336"/>
    </row>
    <row r="17" spans="1:7">
      <c r="A17" s="23" t="s">
        <v>840</v>
      </c>
      <c r="B17" s="330" t="s">
        <v>838</v>
      </c>
      <c r="C17" s="335"/>
      <c r="D17" s="335"/>
      <c r="E17" s="335"/>
      <c r="F17" s="335"/>
      <c r="G17" s="336"/>
    </row>
    <row r="18" spans="1:7">
      <c r="A18" s="23" t="s">
        <v>841</v>
      </c>
      <c r="B18" s="330" t="s">
        <v>838</v>
      </c>
      <c r="C18" s="335"/>
      <c r="D18" s="335"/>
      <c r="E18" s="335"/>
      <c r="F18" s="335"/>
      <c r="G18" s="336"/>
    </row>
    <row r="19" spans="1:7">
      <c r="A19" s="23" t="s">
        <v>903</v>
      </c>
      <c r="B19" s="330" t="s">
        <v>838</v>
      </c>
      <c r="C19" s="335"/>
      <c r="D19" s="335"/>
      <c r="E19" s="335"/>
      <c r="F19" s="335"/>
      <c r="G19" s="336"/>
    </row>
    <row r="20" spans="1:7">
      <c r="A20" s="23" t="s">
        <v>842</v>
      </c>
      <c r="B20" s="330" t="s">
        <v>838</v>
      </c>
      <c r="C20" s="335"/>
      <c r="D20" s="335"/>
      <c r="E20" s="335"/>
      <c r="F20" s="335"/>
      <c r="G20" s="336"/>
    </row>
    <row r="21" spans="1:7">
      <c r="A21" s="23" t="s">
        <v>843</v>
      </c>
      <c r="B21" s="330" t="s">
        <v>838</v>
      </c>
      <c r="C21" s="335"/>
      <c r="D21" s="335"/>
      <c r="E21" s="335"/>
      <c r="F21" s="335"/>
      <c r="G21" s="336"/>
    </row>
    <row r="22" spans="1:7">
      <c r="A22" s="23" t="s">
        <v>844</v>
      </c>
      <c r="B22" s="330" t="s">
        <v>838</v>
      </c>
      <c r="C22" s="335"/>
      <c r="D22" s="335"/>
      <c r="E22" s="335"/>
      <c r="F22" s="335"/>
      <c r="G22" s="336"/>
    </row>
    <row r="23" spans="1:7">
      <c r="A23" s="23" t="s">
        <v>1020</v>
      </c>
      <c r="B23" s="330" t="s">
        <v>838</v>
      </c>
      <c r="C23" s="335"/>
      <c r="D23" s="335"/>
      <c r="E23" s="335"/>
      <c r="F23" s="335"/>
      <c r="G23" s="336"/>
    </row>
    <row r="24" spans="1:7">
      <c r="A24" s="332" t="s">
        <v>1011</v>
      </c>
      <c r="B24" s="331" t="s">
        <v>846</v>
      </c>
      <c r="C24" s="335"/>
      <c r="D24" s="335"/>
      <c r="E24" s="335"/>
      <c r="F24" s="335"/>
      <c r="G24" s="336"/>
    </row>
    <row r="25" spans="1:7">
      <c r="A25" s="332" t="s">
        <v>1010</v>
      </c>
      <c r="B25" s="331" t="s">
        <v>846</v>
      </c>
      <c r="C25" s="335"/>
      <c r="D25" s="335"/>
      <c r="E25" s="335"/>
      <c r="F25" s="335"/>
      <c r="G25" s="336"/>
    </row>
    <row r="26" spans="1:7">
      <c r="A26" s="340" t="s">
        <v>855</v>
      </c>
      <c r="B26" s="341"/>
      <c r="C26" s="341">
        <f>COUNTIF(C4:C24, "Challenge validé")</f>
        <v>0</v>
      </c>
      <c r="D26" s="341">
        <f>COUNTIF(D4:D24, "Challenge validé")</f>
        <v>0</v>
      </c>
      <c r="E26" s="341">
        <f>COUNTIF(E4:E24, "Challenge validé")</f>
        <v>0</v>
      </c>
      <c r="F26" s="341">
        <f>COUNTIF(F4:F24, "Challenge validé")</f>
        <v>0</v>
      </c>
      <c r="G26" s="336"/>
    </row>
    <row r="27" spans="1:7">
      <c r="D27" s="336"/>
      <c r="E27" s="337"/>
      <c r="F27" s="338"/>
      <c r="G27" s="336"/>
    </row>
    <row r="28" spans="1:7">
      <c r="D28" s="336"/>
      <c r="E28" s="337"/>
      <c r="F28" s="338"/>
      <c r="G28" s="336"/>
    </row>
    <row r="29" spans="1:7">
      <c r="D29" s="336"/>
      <c r="E29" s="337"/>
      <c r="F29" s="338"/>
      <c r="G29" s="336"/>
    </row>
    <row r="30" spans="1:7">
      <c r="D30" s="336"/>
      <c r="E30" s="337"/>
      <c r="F30" s="338"/>
      <c r="G30" s="336"/>
    </row>
    <row r="31" spans="1:7">
      <c r="D31" s="336"/>
      <c r="E31" s="337"/>
      <c r="F31" s="338"/>
      <c r="G31" s="336"/>
    </row>
    <row r="32" spans="1:7">
      <c r="D32" s="336"/>
      <c r="E32" s="337"/>
      <c r="F32" s="339"/>
      <c r="G32" s="336"/>
    </row>
    <row r="33" spans="4:7">
      <c r="D33" s="336"/>
      <c r="E33" s="337"/>
      <c r="F33" s="339"/>
      <c r="G33" s="336"/>
    </row>
    <row r="34" spans="4:7">
      <c r="D34" s="336"/>
      <c r="E34" s="337"/>
      <c r="F34" s="339"/>
      <c r="G34" s="336"/>
    </row>
    <row r="35" spans="4:7">
      <c r="D35" s="336"/>
      <c r="E35" s="337"/>
      <c r="F35" s="339"/>
      <c r="G35" s="336"/>
    </row>
    <row r="36" spans="4:7">
      <c r="D36" s="336"/>
      <c r="E36" s="337"/>
      <c r="F36" s="339"/>
      <c r="G36" s="336"/>
    </row>
    <row r="37" spans="4:7">
      <c r="D37" s="336"/>
      <c r="E37" s="337"/>
      <c r="F37" s="339"/>
      <c r="G37" s="336"/>
    </row>
    <row r="38" spans="4:7">
      <c r="D38" s="336"/>
      <c r="E38" s="337"/>
      <c r="F38" s="339"/>
      <c r="G38" s="336"/>
    </row>
    <row r="39" spans="4:7">
      <c r="D39" s="336"/>
      <c r="E39" s="337"/>
      <c r="F39" s="339"/>
      <c r="G39" s="336"/>
    </row>
    <row r="40" spans="4:7">
      <c r="D40" s="336"/>
      <c r="E40" s="337"/>
      <c r="F40" s="339"/>
      <c r="G40" s="336"/>
    </row>
    <row r="41" spans="4:7">
      <c r="D41" s="336"/>
      <c r="E41" s="337"/>
      <c r="F41" s="339"/>
      <c r="G41" s="336"/>
    </row>
    <row r="42" spans="4:7">
      <c r="D42" s="336"/>
      <c r="E42" s="337"/>
      <c r="F42" s="339"/>
      <c r="G42" s="336"/>
    </row>
    <row r="43" spans="4:7">
      <c r="D43" s="336"/>
      <c r="E43" s="337"/>
      <c r="F43" s="339"/>
      <c r="G43" s="336"/>
    </row>
    <row r="44" spans="4:7">
      <c r="D44" s="336"/>
      <c r="E44" s="337"/>
      <c r="F44" s="338"/>
      <c r="G44" s="336"/>
    </row>
    <row r="45" spans="4:7">
      <c r="D45" s="336"/>
      <c r="E45" s="337"/>
      <c r="F45" s="338"/>
      <c r="G45" s="336"/>
    </row>
    <row r="46" spans="4:7">
      <c r="D46" s="336"/>
      <c r="E46" s="337"/>
      <c r="F46" s="338"/>
      <c r="G46" s="336"/>
    </row>
    <row r="47" spans="4:7">
      <c r="D47" s="336"/>
      <c r="E47" s="336"/>
      <c r="F47" s="336"/>
      <c r="G47" s="336"/>
    </row>
    <row r="48" spans="4:7">
      <c r="D48" s="336"/>
      <c r="E48" s="336"/>
      <c r="F48" s="336"/>
      <c r="G48" s="336"/>
    </row>
    <row r="49" spans="4:7">
      <c r="D49" s="336"/>
      <c r="E49" s="336"/>
      <c r="F49" s="336"/>
      <c r="G49" s="336"/>
    </row>
    <row r="50" spans="4:7">
      <c r="D50" s="336"/>
      <c r="E50" s="336"/>
      <c r="F50" s="336"/>
      <c r="G50" s="336"/>
    </row>
    <row r="51" spans="4:7">
      <c r="D51" s="336"/>
      <c r="E51" s="336"/>
      <c r="F51" s="336"/>
      <c r="G51" s="336"/>
    </row>
    <row r="52" spans="4:7">
      <c r="D52" s="336"/>
      <c r="E52" s="336"/>
      <c r="F52" s="336"/>
      <c r="G52" s="336"/>
    </row>
    <row r="53" spans="4:7">
      <c r="D53" s="336"/>
      <c r="E53" s="336"/>
      <c r="F53" s="336"/>
      <c r="G53" s="336"/>
    </row>
    <row r="54" spans="4:7">
      <c r="D54" s="336"/>
      <c r="E54" s="336"/>
      <c r="F54" s="336"/>
    </row>
  </sheetData>
  <mergeCells count="1">
    <mergeCell ref="A1:F1"/>
  </mergeCells>
  <conditionalFormatting sqref="C4:F25">
    <cfRule type="cellIs" dxfId="81" priority="1" operator="equal">
      <formula>"Challenge non atteint"</formula>
    </cfRule>
    <cfRule type="cellIs" dxfId="80" priority="2" operator="equal">
      <formula>"Challenge validé"</formula>
    </cfRule>
  </conditionalFormatting>
  <dataValidations count="1">
    <dataValidation type="list" allowBlank="1" showInputMessage="1" showErrorMessage="1" sqref="C4:F25" xr:uid="{00000000-0002-0000-0300-000000000000}">
      <formula1>$AB$3:$AB$4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8">
    <tabColor theme="7" tint="-0.249977111117893"/>
  </sheetPr>
  <dimension ref="A1:AA58"/>
  <sheetViews>
    <sheetView zoomScale="85" zoomScaleNormal="85" workbookViewId="0">
      <pane ySplit="1" topLeftCell="A2" activePane="bottomLeft" state="frozen"/>
      <selection pane="bottomLeft" activeCell="H49" sqref="H49"/>
    </sheetView>
  </sheetViews>
  <sheetFormatPr baseColWidth="10" defaultRowHeight="15"/>
  <cols>
    <col min="1" max="1" width="17.42578125" customWidth="1"/>
    <col min="2" max="2" width="15.28515625" customWidth="1"/>
    <col min="3" max="3" width="17.28515625" customWidth="1"/>
    <col min="4" max="4" width="14.140625" customWidth="1"/>
    <col min="5" max="5" width="24" customWidth="1"/>
    <col min="6" max="6" width="21.85546875" customWidth="1"/>
    <col min="7" max="8" width="19.7109375" customWidth="1"/>
    <col min="9" max="9" width="15.7109375" customWidth="1"/>
    <col min="10" max="10" width="15.140625" customWidth="1"/>
    <col min="11" max="11" width="16.85546875" customWidth="1"/>
    <col min="12" max="12" width="17.42578125" customWidth="1"/>
    <col min="13" max="14" width="16.85546875" style="267" customWidth="1"/>
  </cols>
  <sheetData>
    <row r="1" spans="1:27" s="80" customFormat="1" ht="33.75" customHeight="1" thickBot="1">
      <c r="A1" s="164" t="s">
        <v>558</v>
      </c>
      <c r="B1" s="165" t="s">
        <v>18</v>
      </c>
      <c r="C1" s="576" t="s">
        <v>559</v>
      </c>
      <c r="D1" s="577"/>
      <c r="E1" s="166" t="s">
        <v>560</v>
      </c>
      <c r="F1" s="83" t="s">
        <v>582</v>
      </c>
      <c r="G1" s="84" t="s">
        <v>583</v>
      </c>
      <c r="H1" s="82" t="s">
        <v>609</v>
      </c>
      <c r="I1" s="82" t="s">
        <v>561</v>
      </c>
      <c r="J1" s="86" t="s">
        <v>562</v>
      </c>
      <c r="K1" s="85" t="s">
        <v>563</v>
      </c>
      <c r="L1" s="111" t="s">
        <v>610</v>
      </c>
      <c r="M1" s="85" t="s">
        <v>828</v>
      </c>
      <c r="N1" s="85" t="s">
        <v>829</v>
      </c>
    </row>
    <row r="2" spans="1:27" ht="26.25" customHeight="1" thickBot="1">
      <c r="A2" s="468" t="s">
        <v>914</v>
      </c>
      <c r="B2" s="470" t="s">
        <v>846</v>
      </c>
      <c r="C2" s="288">
        <v>587097</v>
      </c>
      <c r="D2" s="287">
        <v>620962791</v>
      </c>
      <c r="E2" s="472" t="s">
        <v>912</v>
      </c>
      <c r="F2" s="450"/>
      <c r="G2" s="294"/>
      <c r="H2" s="294"/>
      <c r="I2" s="407"/>
      <c r="J2" s="272"/>
      <c r="K2" s="272"/>
      <c r="L2" s="284" t="s">
        <v>612</v>
      </c>
      <c r="M2" s="284"/>
      <c r="N2" s="284"/>
    </row>
    <row r="3" spans="1:27" ht="26.25" customHeight="1" thickBot="1">
      <c r="A3" s="273" t="s">
        <v>872</v>
      </c>
      <c r="B3" s="470" t="s">
        <v>846</v>
      </c>
      <c r="C3" s="268"/>
      <c r="D3" s="269"/>
      <c r="E3" s="297" t="s">
        <v>912</v>
      </c>
      <c r="F3" s="396"/>
      <c r="G3" s="466"/>
      <c r="H3" s="294"/>
      <c r="I3" s="407"/>
      <c r="J3" s="272"/>
      <c r="K3" s="272"/>
      <c r="L3" s="284" t="s">
        <v>611</v>
      </c>
      <c r="N3" s="284"/>
    </row>
    <row r="4" spans="1:27" ht="26.25" customHeight="1" thickBot="1">
      <c r="A4" s="273" t="s">
        <v>871</v>
      </c>
      <c r="B4" s="470" t="s">
        <v>846</v>
      </c>
      <c r="C4" s="268"/>
      <c r="D4" s="269"/>
      <c r="E4" s="297" t="s">
        <v>912</v>
      </c>
      <c r="F4" s="396"/>
      <c r="G4" s="466"/>
      <c r="H4" s="294"/>
      <c r="I4" s="407"/>
      <c r="J4" s="272"/>
      <c r="K4" s="272"/>
      <c r="L4" s="284" t="s">
        <v>611</v>
      </c>
      <c r="N4" s="284"/>
      <c r="AA4" t="s">
        <v>611</v>
      </c>
    </row>
    <row r="5" spans="1:27" ht="26.25" customHeight="1" thickBot="1">
      <c r="A5" s="469" t="s">
        <v>771</v>
      </c>
      <c r="B5" s="296" t="s">
        <v>999</v>
      </c>
      <c r="C5" s="268">
        <v>587468</v>
      </c>
      <c r="D5" s="269">
        <v>0</v>
      </c>
      <c r="E5" s="274" t="s">
        <v>772</v>
      </c>
      <c r="F5" s="283"/>
      <c r="G5" s="283"/>
      <c r="H5" s="284"/>
      <c r="I5" s="284"/>
      <c r="J5" s="285"/>
      <c r="K5" s="284"/>
      <c r="L5" s="284" t="s">
        <v>611</v>
      </c>
      <c r="M5" s="284"/>
      <c r="N5" s="284"/>
    </row>
    <row r="6" spans="1:27" ht="26.25" customHeight="1" thickBot="1">
      <c r="A6" s="273" t="s">
        <v>764</v>
      </c>
      <c r="B6" s="296" t="s">
        <v>999</v>
      </c>
      <c r="C6" s="268">
        <v>587022</v>
      </c>
      <c r="D6" s="269">
        <v>603745203</v>
      </c>
      <c r="E6" s="473" t="s">
        <v>1095</v>
      </c>
      <c r="F6" s="324"/>
      <c r="G6" s="324"/>
      <c r="H6" s="286"/>
      <c r="I6" s="286"/>
      <c r="J6" s="285"/>
      <c r="K6" s="284"/>
      <c r="L6" s="284" t="s">
        <v>612</v>
      </c>
      <c r="M6" s="284"/>
      <c r="N6" s="284"/>
    </row>
    <row r="7" spans="1:27" ht="26.25" customHeight="1">
      <c r="A7" s="279" t="s">
        <v>0</v>
      </c>
      <c r="B7" s="296" t="s">
        <v>999</v>
      </c>
      <c r="C7" s="268">
        <v>586101</v>
      </c>
      <c r="D7" s="269" t="s">
        <v>821</v>
      </c>
      <c r="E7" s="277" t="s">
        <v>774</v>
      </c>
      <c r="F7" s="283"/>
      <c r="G7" s="324"/>
      <c r="H7" s="286"/>
      <c r="I7" s="324"/>
      <c r="J7" s="285"/>
      <c r="K7" s="284"/>
      <c r="L7" s="284" t="s">
        <v>612</v>
      </c>
      <c r="N7" s="284"/>
    </row>
    <row r="8" spans="1:27" ht="26.25" customHeight="1">
      <c r="A8" s="279" t="s">
        <v>856</v>
      </c>
      <c r="B8" s="270" t="s">
        <v>999</v>
      </c>
      <c r="C8" s="268" t="s">
        <v>822</v>
      </c>
      <c r="D8" s="269" t="s">
        <v>821</v>
      </c>
      <c r="E8" s="277" t="s">
        <v>555</v>
      </c>
      <c r="F8" s="283"/>
      <c r="G8" s="284"/>
      <c r="H8" s="285"/>
      <c r="I8" s="284"/>
      <c r="J8" s="312"/>
      <c r="K8" s="284"/>
      <c r="L8" s="284" t="s">
        <v>612</v>
      </c>
      <c r="M8" s="284"/>
      <c r="N8" s="284"/>
    </row>
    <row r="9" spans="1:27" s="267" customFormat="1" ht="26.25" customHeight="1">
      <c r="A9" s="279" t="s">
        <v>856</v>
      </c>
      <c r="B9" s="270" t="s">
        <v>999</v>
      </c>
      <c r="C9" s="268" t="s">
        <v>822</v>
      </c>
      <c r="D9" s="269" t="s">
        <v>821</v>
      </c>
      <c r="E9" s="280" t="s">
        <v>556</v>
      </c>
      <c r="F9" s="283"/>
      <c r="G9" s="284"/>
      <c r="H9" s="285"/>
      <c r="I9" s="284"/>
      <c r="J9" s="312"/>
      <c r="K9" s="284"/>
      <c r="L9" s="284" t="s">
        <v>612</v>
      </c>
      <c r="M9" s="284"/>
      <c r="N9" s="284"/>
    </row>
    <row r="10" spans="1:27" ht="26.25" customHeight="1">
      <c r="A10" s="281" t="s">
        <v>764</v>
      </c>
      <c r="B10" s="270" t="s">
        <v>999</v>
      </c>
      <c r="C10" s="268">
        <v>586852</v>
      </c>
      <c r="D10" s="269" t="s">
        <v>761</v>
      </c>
      <c r="E10" s="275" t="s">
        <v>773</v>
      </c>
      <c r="F10" s="283"/>
      <c r="G10" s="284"/>
      <c r="H10" s="284"/>
      <c r="I10" s="284"/>
      <c r="J10" s="285"/>
      <c r="K10" s="284"/>
      <c r="L10" s="284" t="s">
        <v>612</v>
      </c>
      <c r="M10" s="284"/>
      <c r="N10" s="284"/>
    </row>
    <row r="11" spans="1:27" ht="26.25" customHeight="1">
      <c r="A11" s="279" t="s">
        <v>856</v>
      </c>
      <c r="B11" s="270" t="s">
        <v>999</v>
      </c>
      <c r="C11" s="268">
        <v>588611</v>
      </c>
      <c r="D11" s="269">
        <v>622896285</v>
      </c>
      <c r="E11" s="277" t="s">
        <v>577</v>
      </c>
      <c r="F11" s="283"/>
      <c r="G11" s="283"/>
      <c r="H11" s="283"/>
      <c r="I11" s="283"/>
      <c r="J11" s="285"/>
      <c r="K11" s="284"/>
      <c r="L11" s="284" t="s">
        <v>611</v>
      </c>
      <c r="M11" s="284"/>
      <c r="N11" s="284"/>
    </row>
    <row r="12" spans="1:27" ht="26.25" customHeight="1">
      <c r="A12" s="279" t="s">
        <v>856</v>
      </c>
      <c r="B12" s="270" t="s">
        <v>999</v>
      </c>
      <c r="C12" s="268">
        <v>588611</v>
      </c>
      <c r="D12" s="269">
        <v>622896285</v>
      </c>
      <c r="E12" s="280" t="s">
        <v>576</v>
      </c>
      <c r="F12" s="283"/>
      <c r="G12" s="284"/>
      <c r="H12" s="284"/>
      <c r="I12" s="284"/>
      <c r="J12" s="285"/>
      <c r="K12" s="284"/>
      <c r="L12" s="284" t="s">
        <v>611</v>
      </c>
      <c r="M12" s="284"/>
      <c r="N12" s="284"/>
    </row>
    <row r="13" spans="1:27" s="267" customFormat="1" ht="26.25" customHeight="1">
      <c r="A13" s="279" t="s">
        <v>1083</v>
      </c>
      <c r="B13" s="270" t="s">
        <v>999</v>
      </c>
      <c r="C13" s="268"/>
      <c r="D13" s="269"/>
      <c r="E13" s="280" t="s">
        <v>1096</v>
      </c>
      <c r="F13" s="283"/>
      <c r="G13" s="284"/>
      <c r="H13" s="284"/>
      <c r="I13" s="284"/>
      <c r="J13" s="285"/>
      <c r="K13" s="284"/>
      <c r="L13" s="284" t="s">
        <v>612</v>
      </c>
      <c r="M13" s="284"/>
      <c r="N13" s="284"/>
    </row>
    <row r="14" spans="1:27" s="187" customFormat="1" ht="26.25" customHeight="1">
      <c r="A14" s="281" t="s">
        <v>272</v>
      </c>
      <c r="B14" s="270" t="s">
        <v>1000</v>
      </c>
      <c r="C14" s="268">
        <v>586873</v>
      </c>
      <c r="D14" s="269" t="s">
        <v>615</v>
      </c>
      <c r="E14" s="275" t="s">
        <v>923</v>
      </c>
      <c r="F14" s="324"/>
      <c r="G14" s="286"/>
      <c r="H14" s="286"/>
      <c r="I14" s="286"/>
      <c r="J14" s="285"/>
      <c r="K14" s="284"/>
      <c r="L14" s="284" t="s">
        <v>612</v>
      </c>
      <c r="M14" s="284"/>
      <c r="N14" s="284"/>
    </row>
    <row r="15" spans="1:27" ht="26.25" customHeight="1">
      <c r="A15" s="281" t="s">
        <v>613</v>
      </c>
      <c r="B15" s="270" t="s">
        <v>1000</v>
      </c>
      <c r="C15" s="268">
        <v>586873</v>
      </c>
      <c r="D15" s="269" t="s">
        <v>615</v>
      </c>
      <c r="E15" s="275" t="s">
        <v>1033</v>
      </c>
      <c r="F15" s="324"/>
      <c r="G15" s="286"/>
      <c r="H15" s="286"/>
      <c r="I15" s="286"/>
      <c r="J15" s="285"/>
      <c r="K15" s="284"/>
      <c r="L15" s="284" t="s">
        <v>612</v>
      </c>
      <c r="M15" s="284"/>
      <c r="N15" s="284"/>
    </row>
    <row r="16" spans="1:27" ht="26.25" customHeight="1">
      <c r="A16" s="278" t="s">
        <v>2</v>
      </c>
      <c r="B16" s="270" t="s">
        <v>1000</v>
      </c>
      <c r="C16" s="268">
        <v>586852</v>
      </c>
      <c r="D16" s="269">
        <v>623540627</v>
      </c>
      <c r="E16" s="277" t="s">
        <v>608</v>
      </c>
      <c r="F16" s="283"/>
      <c r="G16" s="284"/>
      <c r="H16" s="284"/>
      <c r="I16" s="284"/>
      <c r="J16" s="285"/>
      <c r="K16" s="284"/>
      <c r="L16" s="284" t="s">
        <v>612</v>
      </c>
      <c r="M16" s="284"/>
      <c r="N16" s="284"/>
    </row>
    <row r="17" spans="1:14" ht="26.25" customHeight="1">
      <c r="A17" s="278" t="s">
        <v>915</v>
      </c>
      <c r="B17" s="270" t="s">
        <v>1000</v>
      </c>
      <c r="C17" s="268">
        <v>586501</v>
      </c>
      <c r="D17" s="295" t="s">
        <v>765</v>
      </c>
      <c r="E17" s="277" t="s">
        <v>554</v>
      </c>
      <c r="F17" s="283"/>
      <c r="G17" s="284"/>
      <c r="H17" s="284"/>
      <c r="I17" s="284"/>
      <c r="J17" s="285"/>
      <c r="K17" s="284"/>
      <c r="L17" s="284" t="s">
        <v>612</v>
      </c>
      <c r="M17" s="284"/>
      <c r="N17" s="284"/>
    </row>
    <row r="18" spans="1:14" ht="26.25" customHeight="1">
      <c r="A18" s="279" t="s">
        <v>767</v>
      </c>
      <c r="B18" s="270" t="s">
        <v>1000</v>
      </c>
      <c r="C18" s="268">
        <v>585540</v>
      </c>
      <c r="D18" s="269">
        <v>611391969</v>
      </c>
      <c r="E18" s="274" t="s">
        <v>782</v>
      </c>
      <c r="F18" s="283"/>
      <c r="G18" s="284"/>
      <c r="H18" s="284"/>
      <c r="I18" s="284"/>
      <c r="J18" s="285"/>
      <c r="K18" s="284"/>
      <c r="L18" s="284" t="s">
        <v>612</v>
      </c>
      <c r="M18" s="284"/>
      <c r="N18" s="284"/>
    </row>
    <row r="19" spans="1:14" s="267" customFormat="1" ht="26.25" customHeight="1">
      <c r="A19" s="279" t="s">
        <v>767</v>
      </c>
      <c r="B19" s="270" t="s">
        <v>1000</v>
      </c>
      <c r="C19" s="268">
        <v>585540</v>
      </c>
      <c r="D19" s="269">
        <v>611391969</v>
      </c>
      <c r="E19" s="274" t="s">
        <v>783</v>
      </c>
      <c r="F19" s="283"/>
      <c r="G19" s="284"/>
      <c r="H19" s="284"/>
      <c r="I19" s="284"/>
      <c r="J19" s="285"/>
      <c r="K19" s="284"/>
      <c r="L19" s="284" t="s">
        <v>612</v>
      </c>
      <c r="M19" s="284"/>
      <c r="N19" s="284"/>
    </row>
    <row r="20" spans="1:14" ht="26.25" customHeight="1">
      <c r="A20" s="282" t="s">
        <v>915</v>
      </c>
      <c r="B20" s="270" t="s">
        <v>1000</v>
      </c>
      <c r="C20" s="268">
        <v>587401</v>
      </c>
      <c r="D20" s="269">
        <v>489247401</v>
      </c>
      <c r="E20" s="277" t="s">
        <v>575</v>
      </c>
      <c r="F20" s="283"/>
      <c r="G20" s="284"/>
      <c r="H20" s="284"/>
      <c r="I20" s="284"/>
      <c r="J20" s="285"/>
      <c r="K20" s="284"/>
      <c r="L20" s="284" t="s">
        <v>611</v>
      </c>
      <c r="M20" s="284"/>
      <c r="N20" s="284"/>
    </row>
    <row r="21" spans="1:14" ht="26.25" customHeight="1">
      <c r="A21" s="282" t="s">
        <v>915</v>
      </c>
      <c r="B21" s="270" t="s">
        <v>1000</v>
      </c>
      <c r="C21" s="268">
        <v>587401</v>
      </c>
      <c r="D21" s="269">
        <v>489247401</v>
      </c>
      <c r="E21" s="277" t="s">
        <v>574</v>
      </c>
      <c r="F21" s="283"/>
      <c r="G21" s="284"/>
      <c r="H21" s="284"/>
      <c r="I21" s="284"/>
      <c r="J21" s="285"/>
      <c r="K21" s="284"/>
      <c r="L21" s="284" t="s">
        <v>611</v>
      </c>
      <c r="M21" s="284"/>
      <c r="N21" s="284"/>
    </row>
    <row r="22" spans="1:14" ht="26.25" customHeight="1">
      <c r="A22" s="464" t="s">
        <v>1034</v>
      </c>
      <c r="B22" s="270" t="s">
        <v>1000</v>
      </c>
      <c r="C22" s="268">
        <v>587401</v>
      </c>
      <c r="D22" s="269">
        <v>489247401</v>
      </c>
      <c r="E22" s="277" t="s">
        <v>573</v>
      </c>
      <c r="F22" s="283"/>
      <c r="G22" s="284"/>
      <c r="H22" s="284"/>
      <c r="I22" s="284"/>
      <c r="J22" s="285"/>
      <c r="K22" s="284"/>
      <c r="L22" s="284" t="s">
        <v>611</v>
      </c>
      <c r="M22" s="284"/>
      <c r="N22" s="284"/>
    </row>
    <row r="23" spans="1:14" ht="26.25" customHeight="1">
      <c r="A23" s="279" t="s">
        <v>915</v>
      </c>
      <c r="B23" s="270" t="s">
        <v>1000</v>
      </c>
      <c r="C23" s="268">
        <v>587401</v>
      </c>
      <c r="D23" s="269">
        <v>489247401</v>
      </c>
      <c r="E23" s="277" t="s">
        <v>579</v>
      </c>
      <c r="F23" s="283"/>
      <c r="G23" s="284"/>
      <c r="H23" s="284"/>
      <c r="I23" s="284"/>
      <c r="J23" s="285"/>
      <c r="K23" s="284"/>
      <c r="L23" s="284" t="s">
        <v>611</v>
      </c>
      <c r="M23" s="284"/>
      <c r="N23" s="284"/>
    </row>
    <row r="24" spans="1:14" ht="26.25" customHeight="1">
      <c r="A24" s="464" t="s">
        <v>915</v>
      </c>
      <c r="B24" s="270" t="s">
        <v>1000</v>
      </c>
      <c r="C24" s="268">
        <v>587401</v>
      </c>
      <c r="D24" s="269">
        <v>489247401</v>
      </c>
      <c r="E24" s="277" t="s">
        <v>913</v>
      </c>
      <c r="F24" s="283"/>
      <c r="G24" s="284"/>
      <c r="H24" s="284"/>
      <c r="I24" s="284"/>
      <c r="J24" s="285"/>
      <c r="K24" s="284"/>
      <c r="L24" s="284" t="s">
        <v>611</v>
      </c>
      <c r="M24" s="284"/>
      <c r="N24" s="284"/>
    </row>
    <row r="25" spans="1:14" ht="26.25" customHeight="1">
      <c r="A25" s="464" t="s">
        <v>1034</v>
      </c>
      <c r="B25" s="270" t="s">
        <v>1000</v>
      </c>
      <c r="C25" s="268">
        <v>588611</v>
      </c>
      <c r="D25" s="269">
        <v>622896285</v>
      </c>
      <c r="E25" s="277" t="s">
        <v>578</v>
      </c>
      <c r="F25" s="283"/>
      <c r="G25" s="284"/>
      <c r="H25" s="284"/>
      <c r="I25" s="284"/>
      <c r="J25" s="285"/>
      <c r="K25" s="284"/>
      <c r="L25" s="284" t="s">
        <v>611</v>
      </c>
      <c r="M25" s="284"/>
      <c r="N25" s="284"/>
    </row>
    <row r="26" spans="1:14" s="267" customFormat="1" ht="26.25" customHeight="1">
      <c r="A26" s="464" t="str">
        <f t="shared" ref="A26:D26" si="0">A25</f>
        <v>MORETTI</v>
      </c>
      <c r="B26" s="270" t="str">
        <f t="shared" si="0"/>
        <v>TER OUEST</v>
      </c>
      <c r="C26" s="268">
        <f t="shared" si="0"/>
        <v>588611</v>
      </c>
      <c r="D26" s="269">
        <f t="shared" si="0"/>
        <v>622896285</v>
      </c>
      <c r="E26" s="277" t="s">
        <v>1098</v>
      </c>
      <c r="F26" s="283"/>
      <c r="G26" s="284"/>
      <c r="H26" s="284"/>
      <c r="I26" s="284"/>
      <c r="J26" s="285"/>
      <c r="K26" s="284"/>
      <c r="L26" s="284" t="str">
        <f>$L$14</f>
        <v>Filière 27</v>
      </c>
      <c r="M26" s="284"/>
      <c r="N26" s="284"/>
    </row>
    <row r="27" spans="1:14" ht="26.25" customHeight="1">
      <c r="A27" s="320" t="s">
        <v>1035</v>
      </c>
      <c r="B27" s="270" t="s">
        <v>1000</v>
      </c>
      <c r="C27" s="268">
        <v>586701</v>
      </c>
      <c r="D27" s="269">
        <v>601000761</v>
      </c>
      <c r="E27" s="276" t="s">
        <v>570</v>
      </c>
      <c r="F27" s="283"/>
      <c r="G27" s="284"/>
      <c r="H27" s="284"/>
      <c r="I27" s="284"/>
      <c r="J27" s="285"/>
      <c r="K27" s="284"/>
      <c r="L27" s="284" t="s">
        <v>611</v>
      </c>
      <c r="M27" s="284"/>
      <c r="N27" s="284"/>
    </row>
    <row r="28" spans="1:14" ht="27" customHeight="1">
      <c r="A28" s="320" t="s">
        <v>1035</v>
      </c>
      <c r="B28" s="270" t="s">
        <v>1000</v>
      </c>
      <c r="C28" s="289">
        <v>586701</v>
      </c>
      <c r="D28" s="290">
        <v>601000761</v>
      </c>
      <c r="E28" s="465" t="s">
        <v>571</v>
      </c>
      <c r="F28" s="283"/>
      <c r="G28" s="284"/>
      <c r="H28" s="292"/>
      <c r="I28" s="292"/>
      <c r="J28" s="293"/>
      <c r="K28" s="292"/>
      <c r="L28" s="292" t="s">
        <v>611</v>
      </c>
      <c r="M28" s="292"/>
      <c r="N28" s="292"/>
    </row>
    <row r="29" spans="1:14" ht="27" customHeight="1">
      <c r="A29" s="320" t="s">
        <v>1035</v>
      </c>
      <c r="B29" s="270" t="s">
        <v>1000</v>
      </c>
      <c r="C29" s="268">
        <v>586701</v>
      </c>
      <c r="D29" s="269">
        <v>601000761</v>
      </c>
      <c r="E29" s="277" t="s">
        <v>581</v>
      </c>
      <c r="F29" s="283"/>
      <c r="G29" s="284"/>
      <c r="H29" s="284"/>
      <c r="I29" s="284"/>
      <c r="J29" s="285"/>
      <c r="K29" s="284"/>
      <c r="L29" s="284" t="s">
        <v>611</v>
      </c>
      <c r="M29" s="272"/>
      <c r="N29" s="272"/>
    </row>
    <row r="30" spans="1:14" ht="27" customHeight="1">
      <c r="A30" s="281" t="s">
        <v>1035</v>
      </c>
      <c r="B30" s="270" t="s">
        <v>1000</v>
      </c>
      <c r="C30" s="268">
        <v>586701</v>
      </c>
      <c r="D30" s="269">
        <v>601000761</v>
      </c>
      <c r="E30" s="277" t="s">
        <v>572</v>
      </c>
      <c r="F30" s="283"/>
      <c r="G30" s="284"/>
      <c r="H30" s="284"/>
      <c r="I30" s="284"/>
      <c r="J30" s="285"/>
      <c r="K30" s="284"/>
      <c r="L30" s="284" t="s">
        <v>611</v>
      </c>
      <c r="M30" s="272"/>
      <c r="N30" s="272"/>
    </row>
    <row r="31" spans="1:14" ht="27" customHeight="1">
      <c r="A31" s="281" t="s">
        <v>1035</v>
      </c>
      <c r="B31" s="270" t="s">
        <v>1000</v>
      </c>
      <c r="C31" s="289">
        <v>586701</v>
      </c>
      <c r="D31" s="290">
        <v>601000761</v>
      </c>
      <c r="E31" s="291" t="s">
        <v>580</v>
      </c>
      <c r="F31" s="283"/>
      <c r="G31" s="284"/>
      <c r="H31" s="292"/>
      <c r="I31" s="292"/>
      <c r="J31" s="293"/>
      <c r="K31" s="292"/>
      <c r="L31" s="292" t="s">
        <v>611</v>
      </c>
      <c r="M31" s="323"/>
      <c r="N31" s="323"/>
    </row>
    <row r="32" spans="1:14" s="267" customFormat="1" ht="27" customHeight="1">
      <c r="A32" s="281" t="s">
        <v>1035</v>
      </c>
      <c r="B32" s="270" t="s">
        <v>1000</v>
      </c>
      <c r="C32" s="471">
        <v>586701</v>
      </c>
      <c r="D32" s="323" t="s">
        <v>617</v>
      </c>
      <c r="E32" s="321" t="s">
        <v>618</v>
      </c>
      <c r="F32" s="283"/>
      <c r="G32" s="322"/>
      <c r="H32" s="323"/>
      <c r="I32" s="323"/>
      <c r="J32" s="323"/>
      <c r="K32" s="323"/>
      <c r="L32" s="292" t="s">
        <v>611</v>
      </c>
      <c r="M32" s="323"/>
      <c r="N32" s="323"/>
    </row>
    <row r="33" spans="1:14" s="267" customFormat="1" ht="27" customHeight="1">
      <c r="A33" s="271" t="s">
        <v>272</v>
      </c>
      <c r="B33" s="270" t="s">
        <v>1000</v>
      </c>
      <c r="C33" s="289">
        <v>587468</v>
      </c>
      <c r="D33" s="290">
        <v>634411097</v>
      </c>
      <c r="E33" s="321" t="s">
        <v>924</v>
      </c>
      <c r="F33" s="283"/>
      <c r="G33" s="322"/>
      <c r="H33" s="491"/>
      <c r="I33" s="323"/>
      <c r="J33" s="323"/>
      <c r="K33" s="323"/>
      <c r="L33" s="292" t="s">
        <v>611</v>
      </c>
      <c r="M33" s="323"/>
      <c r="N33" s="323"/>
    </row>
    <row r="34" spans="1:14" s="267" customFormat="1" ht="27" customHeight="1">
      <c r="A34" s="271" t="s">
        <v>272</v>
      </c>
      <c r="B34" s="270" t="s">
        <v>1000</v>
      </c>
      <c r="C34" s="289">
        <v>587468</v>
      </c>
      <c r="D34" s="290">
        <v>634411097</v>
      </c>
      <c r="E34" s="321" t="s">
        <v>925</v>
      </c>
      <c r="F34" s="283"/>
      <c r="G34" s="322"/>
      <c r="H34" s="491"/>
      <c r="I34" s="323"/>
      <c r="J34" s="323"/>
      <c r="K34" s="323"/>
      <c r="L34" s="292" t="s">
        <v>611</v>
      </c>
      <c r="M34" s="323"/>
      <c r="N34" s="323"/>
    </row>
    <row r="35" spans="1:14" s="267" customFormat="1" ht="27" customHeight="1">
      <c r="A35" s="271" t="s">
        <v>1097</v>
      </c>
      <c r="B35" s="270" t="s">
        <v>1000</v>
      </c>
      <c r="C35" s="289">
        <v>587468</v>
      </c>
      <c r="D35" s="290">
        <v>634411097</v>
      </c>
      <c r="E35" s="321" t="s">
        <v>926</v>
      </c>
      <c r="F35" s="283"/>
      <c r="G35" s="322"/>
      <c r="H35" s="323"/>
      <c r="I35" s="323"/>
      <c r="J35" s="323"/>
      <c r="K35" s="323"/>
      <c r="L35" s="292" t="s">
        <v>611</v>
      </c>
      <c r="M35" s="323"/>
      <c r="N35" s="323"/>
    </row>
    <row r="36" spans="1:14" s="267" customFormat="1" ht="27" customHeight="1">
      <c r="A36" s="271" t="s">
        <v>272</v>
      </c>
      <c r="B36" s="270" t="s">
        <v>1000</v>
      </c>
      <c r="C36" s="289">
        <v>587468</v>
      </c>
      <c r="D36" s="290">
        <v>634411097</v>
      </c>
      <c r="E36" s="321" t="s">
        <v>927</v>
      </c>
      <c r="F36" s="283"/>
      <c r="G36" s="322"/>
      <c r="H36" s="323"/>
      <c r="I36" s="323"/>
      <c r="J36" s="323"/>
      <c r="K36" s="323"/>
      <c r="L36" s="292" t="s">
        <v>611</v>
      </c>
      <c r="M36" s="323"/>
      <c r="N36" s="323"/>
    </row>
    <row r="37" spans="1:14" s="267" customFormat="1" ht="27" customHeight="1">
      <c r="A37" s="463" t="s">
        <v>2</v>
      </c>
      <c r="B37" s="270" t="s">
        <v>1000</v>
      </c>
      <c r="C37" s="289">
        <v>587468</v>
      </c>
      <c r="D37" s="290">
        <v>634411097</v>
      </c>
      <c r="E37" s="321" t="s">
        <v>928</v>
      </c>
      <c r="F37" s="283"/>
      <c r="G37" s="322"/>
      <c r="H37" s="323"/>
      <c r="I37" s="323"/>
      <c r="J37" s="323"/>
      <c r="K37" s="323"/>
      <c r="L37" s="292" t="s">
        <v>611</v>
      </c>
      <c r="M37" s="323"/>
      <c r="N37" s="323"/>
    </row>
    <row r="38" spans="1:14" ht="27" customHeight="1">
      <c r="A38" s="278" t="s">
        <v>2</v>
      </c>
      <c r="B38" s="270" t="s">
        <v>1000</v>
      </c>
      <c r="C38" s="268">
        <v>587468</v>
      </c>
      <c r="D38" s="269">
        <v>634411097</v>
      </c>
      <c r="E38" s="297" t="s">
        <v>929</v>
      </c>
      <c r="F38" s="283"/>
      <c r="G38" s="294"/>
      <c r="H38" s="272"/>
      <c r="I38" s="272"/>
      <c r="J38" s="272"/>
      <c r="K38" s="272"/>
      <c r="L38" s="284" t="s">
        <v>611</v>
      </c>
      <c r="M38" s="272"/>
      <c r="N38" s="272"/>
    </row>
    <row r="39" spans="1:14" s="267" customFormat="1" ht="27" customHeight="1">
      <c r="A39" s="278" t="s">
        <v>272</v>
      </c>
      <c r="B39" s="270" t="s">
        <v>1000</v>
      </c>
      <c r="C39" s="268">
        <v>587468</v>
      </c>
      <c r="D39" s="269">
        <v>634411097</v>
      </c>
      <c r="E39" s="297" t="s">
        <v>930</v>
      </c>
      <c r="F39" s="283"/>
      <c r="G39" s="467"/>
      <c r="H39" s="407"/>
      <c r="I39" s="272"/>
      <c r="J39" s="272"/>
      <c r="K39" s="272"/>
      <c r="L39" s="292" t="s">
        <v>611</v>
      </c>
      <c r="M39" s="272"/>
      <c r="N39" s="272"/>
    </row>
    <row r="40" spans="1:14" s="267" customFormat="1" ht="27" customHeight="1">
      <c r="A40" s="281" t="s">
        <v>915</v>
      </c>
      <c r="B40" s="270" t="s">
        <v>1000</v>
      </c>
      <c r="C40" s="268">
        <v>587468</v>
      </c>
      <c r="D40" s="269">
        <v>634411097</v>
      </c>
      <c r="E40" s="297" t="s">
        <v>931</v>
      </c>
      <c r="F40" s="283"/>
      <c r="G40" s="467"/>
      <c r="H40" s="272"/>
      <c r="I40" s="272"/>
      <c r="J40" s="272"/>
      <c r="K40" s="272"/>
      <c r="L40" s="292" t="s">
        <v>611</v>
      </c>
      <c r="M40" s="272"/>
      <c r="N40" s="272"/>
    </row>
    <row r="41" spans="1:14" ht="27" customHeight="1">
      <c r="A41" s="278" t="s">
        <v>1032</v>
      </c>
      <c r="B41" s="394" t="s">
        <v>838</v>
      </c>
      <c r="C41" s="393">
        <v>587120</v>
      </c>
      <c r="D41" s="393" t="s">
        <v>941</v>
      </c>
      <c r="E41" s="277" t="s">
        <v>939</v>
      </c>
      <c r="F41" s="283"/>
      <c r="G41" s="407"/>
      <c r="H41" s="272"/>
      <c r="I41" s="407"/>
      <c r="J41" s="272"/>
      <c r="K41" s="272"/>
      <c r="L41" s="292" t="s">
        <v>611</v>
      </c>
      <c r="M41" s="272"/>
      <c r="N41" s="272"/>
    </row>
    <row r="42" spans="1:14" ht="27" customHeight="1">
      <c r="A42" s="392" t="s">
        <v>869</v>
      </c>
      <c r="B42" s="394" t="s">
        <v>838</v>
      </c>
      <c r="C42" s="393">
        <v>587304</v>
      </c>
      <c r="D42" s="393" t="s">
        <v>940</v>
      </c>
      <c r="E42" s="277" t="s">
        <v>939</v>
      </c>
      <c r="F42" s="396"/>
      <c r="G42" s="396"/>
      <c r="H42" s="407"/>
      <c r="I42" s="272"/>
      <c r="J42" s="272"/>
      <c r="K42" s="272"/>
      <c r="L42" s="292" t="s">
        <v>611</v>
      </c>
      <c r="M42" s="272"/>
      <c r="N42" s="272"/>
    </row>
    <row r="43" spans="1:14" ht="27" customHeight="1">
      <c r="A43" s="392" t="s">
        <v>864</v>
      </c>
      <c r="B43" s="394" t="s">
        <v>838</v>
      </c>
      <c r="C43" s="393">
        <v>587121</v>
      </c>
      <c r="D43" s="393" t="s">
        <v>942</v>
      </c>
      <c r="E43" s="277" t="s">
        <v>939</v>
      </c>
      <c r="F43" s="396"/>
      <c r="G43" s="396"/>
      <c r="H43" s="407"/>
      <c r="I43" s="272"/>
      <c r="J43" s="272"/>
      <c r="K43" s="272"/>
      <c r="L43" s="292" t="s">
        <v>611</v>
      </c>
      <c r="M43" s="272"/>
      <c r="N43" s="272"/>
    </row>
    <row r="44" spans="1:14" ht="27" customHeight="1">
      <c r="A44" s="392" t="s">
        <v>870</v>
      </c>
      <c r="B44" s="394" t="s">
        <v>838</v>
      </c>
      <c r="C44" s="393">
        <v>587121</v>
      </c>
      <c r="D44" s="436" t="s">
        <v>943</v>
      </c>
      <c r="E44" s="277" t="s">
        <v>939</v>
      </c>
      <c r="F44" s="396"/>
      <c r="G44" s="396"/>
      <c r="H44" s="407"/>
      <c r="I44" s="272"/>
      <c r="J44" s="272"/>
      <c r="K44" s="272"/>
      <c r="L44" s="292" t="s">
        <v>611</v>
      </c>
      <c r="M44" s="272"/>
      <c r="N44" s="272"/>
    </row>
    <row r="45" spans="1:14" ht="27" customHeight="1">
      <c r="A45" s="392" t="s">
        <v>865</v>
      </c>
      <c r="B45" s="394" t="s">
        <v>838</v>
      </c>
      <c r="C45" s="393">
        <v>587124</v>
      </c>
      <c r="D45" s="393" t="s">
        <v>944</v>
      </c>
      <c r="E45" s="277" t="s">
        <v>939</v>
      </c>
      <c r="F45" s="396"/>
      <c r="G45" s="396"/>
      <c r="H45" s="407"/>
      <c r="I45" s="272"/>
      <c r="J45" s="272"/>
      <c r="K45" s="272"/>
      <c r="L45" s="292" t="s">
        <v>611</v>
      </c>
      <c r="M45" s="272"/>
      <c r="N45" s="272"/>
    </row>
    <row r="46" spans="1:14" ht="27" customHeight="1">
      <c r="A46" s="392" t="s">
        <v>902</v>
      </c>
      <c r="B46" s="394" t="s">
        <v>838</v>
      </c>
      <c r="C46" s="272"/>
      <c r="D46" s="393" t="s">
        <v>945</v>
      </c>
      <c r="E46" s="277" t="s">
        <v>939</v>
      </c>
      <c r="F46" s="396"/>
      <c r="G46" s="396"/>
      <c r="H46" s="407"/>
      <c r="I46" s="272"/>
      <c r="J46" s="272"/>
      <c r="K46" s="272"/>
      <c r="L46" s="292" t="s">
        <v>611</v>
      </c>
      <c r="M46" s="272"/>
      <c r="N46" s="272"/>
    </row>
    <row r="47" spans="1:14" ht="27" customHeight="1">
      <c r="A47" s="392" t="s">
        <v>868</v>
      </c>
      <c r="B47" s="394" t="s">
        <v>838</v>
      </c>
      <c r="C47" s="393">
        <v>587032</v>
      </c>
      <c r="D47" s="393" t="s">
        <v>946</v>
      </c>
      <c r="E47" s="277" t="s">
        <v>939</v>
      </c>
      <c r="F47" s="396"/>
      <c r="G47" s="396"/>
      <c r="H47" s="407"/>
      <c r="I47" s="272"/>
      <c r="J47" s="272"/>
      <c r="K47" s="272"/>
      <c r="L47" s="292" t="s">
        <v>611</v>
      </c>
      <c r="M47" s="272"/>
      <c r="N47" s="272"/>
    </row>
    <row r="48" spans="1:14" ht="27" customHeight="1">
      <c r="A48" s="392" t="s">
        <v>867</v>
      </c>
      <c r="B48" s="394" t="s">
        <v>838</v>
      </c>
      <c r="C48" s="272"/>
      <c r="D48" s="272"/>
      <c r="E48" s="277" t="s">
        <v>939</v>
      </c>
      <c r="F48" s="396"/>
      <c r="G48" s="396"/>
      <c r="H48" s="407"/>
      <c r="I48" s="272"/>
      <c r="J48" s="272"/>
      <c r="K48" s="272"/>
      <c r="L48" s="292" t="s">
        <v>611</v>
      </c>
      <c r="M48" s="272"/>
      <c r="N48" s="272"/>
    </row>
    <row r="49" spans="1:14" ht="27" customHeight="1">
      <c r="A49" s="392" t="s">
        <v>938</v>
      </c>
      <c r="B49" s="394" t="s">
        <v>838</v>
      </c>
      <c r="C49" s="393">
        <v>587121</v>
      </c>
      <c r="D49" s="393" t="s">
        <v>947</v>
      </c>
      <c r="E49" s="277" t="s">
        <v>939</v>
      </c>
      <c r="F49" s="396"/>
      <c r="G49" s="396"/>
      <c r="H49" s="407"/>
      <c r="I49" s="272"/>
      <c r="J49" s="272"/>
      <c r="K49" s="272"/>
      <c r="L49" s="292" t="s">
        <v>611</v>
      </c>
      <c r="M49" s="272"/>
      <c r="N49" s="272"/>
    </row>
    <row r="50" spans="1:14" ht="27" customHeight="1">
      <c r="A50" s="91"/>
      <c r="B50" s="272"/>
      <c r="C50" s="272"/>
      <c r="D50" s="272"/>
      <c r="E50" s="326"/>
      <c r="F50" s="325"/>
      <c r="G50" s="272"/>
      <c r="H50" s="272"/>
      <c r="I50" s="272"/>
      <c r="J50" s="272"/>
      <c r="K50" s="272"/>
      <c r="L50" s="272"/>
      <c r="M50" s="272"/>
      <c r="N50" s="272"/>
    </row>
    <row r="51" spans="1:14" ht="27" customHeight="1">
      <c r="A51" s="91"/>
      <c r="B51" s="272"/>
      <c r="C51" s="272"/>
      <c r="D51" s="272"/>
      <c r="E51" s="326"/>
      <c r="F51" s="325"/>
      <c r="G51" s="272"/>
      <c r="H51" s="272"/>
      <c r="I51" s="272"/>
      <c r="J51" s="272"/>
      <c r="K51" s="272"/>
      <c r="L51" s="272"/>
      <c r="M51" s="272"/>
      <c r="N51" s="272"/>
    </row>
    <row r="52" spans="1:14" ht="27" customHeight="1">
      <c r="A52" s="91"/>
      <c r="B52" s="272"/>
      <c r="C52" s="272"/>
      <c r="D52" s="272"/>
      <c r="E52" s="326"/>
      <c r="F52" s="325"/>
      <c r="G52" s="272"/>
      <c r="H52" s="272"/>
      <c r="I52" s="272"/>
      <c r="J52" s="272"/>
      <c r="K52" s="272"/>
      <c r="L52" s="272"/>
      <c r="M52" s="272"/>
      <c r="N52" s="272"/>
    </row>
    <row r="53" spans="1:14" ht="27" customHeight="1">
      <c r="A53" s="91"/>
      <c r="B53" s="272"/>
      <c r="C53" s="272"/>
      <c r="D53" s="272"/>
      <c r="E53" s="326"/>
      <c r="F53" s="325"/>
      <c r="G53" s="272"/>
      <c r="H53" s="272"/>
      <c r="I53" s="272"/>
      <c r="J53" s="272"/>
      <c r="K53" s="272"/>
      <c r="L53" s="272"/>
      <c r="M53" s="272"/>
      <c r="N53" s="272"/>
    </row>
    <row r="54" spans="1:14" ht="27" customHeight="1">
      <c r="A54" s="91"/>
      <c r="B54" s="272"/>
      <c r="C54" s="272"/>
      <c r="D54" s="272"/>
      <c r="E54" s="326"/>
      <c r="F54" s="325"/>
      <c r="G54" s="272"/>
      <c r="H54" s="272"/>
      <c r="I54" s="272"/>
      <c r="J54" s="272"/>
      <c r="K54" s="272"/>
      <c r="L54" s="272"/>
      <c r="M54" s="272"/>
      <c r="N54" s="272"/>
    </row>
    <row r="55" spans="1:14" ht="27" customHeight="1">
      <c r="A55" s="91"/>
      <c r="B55" s="272"/>
      <c r="C55" s="272"/>
      <c r="D55" s="272"/>
      <c r="E55" s="326"/>
      <c r="F55" s="325"/>
      <c r="G55" s="272"/>
      <c r="H55" s="272"/>
      <c r="I55" s="272"/>
      <c r="J55" s="272"/>
      <c r="K55" s="272"/>
      <c r="L55" s="272"/>
      <c r="M55" s="272"/>
      <c r="N55" s="272"/>
    </row>
    <row r="56" spans="1:14" ht="27" customHeight="1">
      <c r="A56" s="91"/>
      <c r="B56" s="272"/>
      <c r="C56" s="272"/>
      <c r="D56" s="272"/>
      <c r="E56" s="326"/>
      <c r="F56" s="325"/>
      <c r="G56" s="272"/>
      <c r="H56" s="272"/>
      <c r="I56" s="272"/>
      <c r="J56" s="272"/>
      <c r="K56" s="272"/>
      <c r="L56" s="272"/>
      <c r="M56" s="272"/>
      <c r="N56" s="272"/>
    </row>
    <row r="57" spans="1:14" ht="27" customHeight="1">
      <c r="A57" s="91"/>
      <c r="B57" s="272"/>
      <c r="C57" s="272"/>
      <c r="D57" s="272"/>
      <c r="E57" s="326"/>
      <c r="F57" s="325"/>
      <c r="G57" s="272"/>
      <c r="H57" s="272"/>
      <c r="I57" s="272"/>
      <c r="J57" s="272"/>
      <c r="K57" s="272"/>
      <c r="L57" s="272"/>
      <c r="M57" s="272"/>
      <c r="N57" s="272"/>
    </row>
    <row r="58" spans="1:14" ht="27" customHeight="1" thickBot="1">
      <c r="A58" s="327"/>
      <c r="B58" s="328"/>
      <c r="C58" s="328"/>
      <c r="D58" s="328"/>
      <c r="E58" s="329"/>
      <c r="F58" s="325"/>
      <c r="G58" s="272"/>
      <c r="H58" s="272"/>
      <c r="I58" s="272"/>
      <c r="J58" s="272"/>
      <c r="K58" s="272"/>
      <c r="L58" s="272"/>
      <c r="M58" s="272"/>
      <c r="N58" s="272"/>
    </row>
  </sheetData>
  <autoFilter ref="A1:L49" xr:uid="{00000000-0009-0000-0000-000004000000}">
    <filterColumn colId="2" showButton="0"/>
    <sortState ref="A2:L49">
      <sortCondition ref="B1:B49"/>
    </sortState>
  </autoFilter>
  <sortState ref="A2:I33">
    <sortCondition ref="A2"/>
  </sortState>
  <mergeCells count="1">
    <mergeCell ref="C1:D1"/>
  </mergeCells>
  <conditionalFormatting sqref="B2:B40">
    <cfRule type="cellIs" dxfId="79" priority="16" stopIfTrue="1" operator="equal">
      <formula>"TER OUEST"</formula>
    </cfRule>
    <cfRule type="cellIs" dxfId="78" priority="17" stopIfTrue="1" operator="equal">
      <formula>"TER EST"</formula>
    </cfRule>
    <cfRule type="cellIs" dxfId="77" priority="18" stopIfTrue="1" operator="equal">
      <formula>"SIEGE"</formula>
    </cfRule>
  </conditionalFormatting>
  <conditionalFormatting sqref="L2:L40">
    <cfRule type="cellIs" dxfId="76" priority="14" operator="equal">
      <formula>"Filière 27"</formula>
    </cfRule>
    <cfRule type="cellIs" dxfId="75" priority="15" operator="equal">
      <formula>"Filière 26"</formula>
    </cfRule>
  </conditionalFormatting>
  <conditionalFormatting sqref="L41:L49">
    <cfRule type="cellIs" dxfId="74" priority="1" operator="equal">
      <formula>"Filière 27"</formula>
    </cfRule>
    <cfRule type="cellIs" dxfId="73" priority="2" operator="equal">
      <formula>"Filière 26"</formula>
    </cfRule>
  </conditionalFormatting>
  <dataValidations count="2">
    <dataValidation type="list" allowBlank="1" showInputMessage="1" showErrorMessage="1" sqref="B2:B37" xr:uid="{00000000-0002-0000-0400-000000000000}">
      <formula1>UO</formula1>
    </dataValidation>
    <dataValidation type="list" allowBlank="1" showInputMessage="1" showErrorMessage="1" sqref="L2:L49" xr:uid="{00000000-0002-0000-0400-000001000000}">
      <formula1>$AA$4:$AA$4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9">
    <tabColor theme="9" tint="-0.249977111117893"/>
    <pageSetUpPr fitToPage="1"/>
  </sheetPr>
  <dimension ref="A1:T35"/>
  <sheetViews>
    <sheetView showGridLines="0" zoomScale="75" zoomScaleNormal="75" zoomScaleSheetLayoutView="75" workbookViewId="0">
      <selection activeCell="P23" sqref="P23"/>
    </sheetView>
  </sheetViews>
  <sheetFormatPr baseColWidth="10" defaultRowHeight="26.1" customHeight="1"/>
  <cols>
    <col min="1" max="1" width="5.7109375" style="51" customWidth="1"/>
    <col min="2" max="2" width="5.7109375" style="54" customWidth="1"/>
    <col min="3" max="3" width="41.28515625" style="49" customWidth="1"/>
    <col min="4" max="15" width="8" style="51" customWidth="1"/>
    <col min="16" max="16" width="23.140625" style="483" customWidth="1"/>
    <col min="17" max="17" width="18.28515625" style="49" customWidth="1"/>
    <col min="18" max="18" width="18" style="49" customWidth="1"/>
    <col min="19" max="19" width="23.7109375" style="49" customWidth="1"/>
    <col min="20" max="16384" width="11.42578125" style="49"/>
  </cols>
  <sheetData>
    <row r="1" spans="1:20" ht="9" customHeight="1">
      <c r="E1" s="72"/>
      <c r="F1" s="73"/>
      <c r="G1" s="73"/>
      <c r="H1" s="73"/>
      <c r="I1" s="74"/>
      <c r="J1" s="72"/>
    </row>
    <row r="2" spans="1:20" ht="42" customHeight="1" thickBot="1">
      <c r="A2" s="582" t="s">
        <v>287</v>
      </c>
      <c r="B2" s="582"/>
      <c r="C2" s="582"/>
      <c r="D2" s="582"/>
      <c r="E2" s="582"/>
      <c r="F2" s="582"/>
      <c r="G2" s="582"/>
      <c r="H2" s="582"/>
      <c r="I2" s="582"/>
      <c r="J2" s="582"/>
      <c r="K2" s="582"/>
      <c r="L2" s="582"/>
      <c r="M2" s="582"/>
      <c r="N2" s="582"/>
      <c r="O2" s="582"/>
      <c r="P2" s="582"/>
      <c r="Q2" s="65" t="s">
        <v>299</v>
      </c>
    </row>
    <row r="3" spans="1:20" ht="45" customHeight="1" thickBot="1">
      <c r="C3" s="99" t="s">
        <v>933</v>
      </c>
      <c r="M3" s="55"/>
    </row>
    <row r="4" spans="1:20" ht="39" customHeight="1">
      <c r="A4" s="50">
        <v>1</v>
      </c>
      <c r="B4" s="578" t="s">
        <v>1041</v>
      </c>
      <c r="C4" s="579"/>
      <c r="D4" s="50" t="s">
        <v>288</v>
      </c>
      <c r="E4" s="50" t="s">
        <v>289</v>
      </c>
      <c r="F4" s="50" t="s">
        <v>290</v>
      </c>
      <c r="G4" s="50" t="s">
        <v>291</v>
      </c>
      <c r="H4" s="50" t="s">
        <v>290</v>
      </c>
      <c r="I4" s="50" t="s">
        <v>288</v>
      </c>
      <c r="J4" s="50" t="s">
        <v>288</v>
      </c>
      <c r="K4" s="50" t="s">
        <v>291</v>
      </c>
      <c r="L4" s="50" t="s">
        <v>292</v>
      </c>
      <c r="M4" s="50" t="s">
        <v>293</v>
      </c>
      <c r="N4" s="50" t="s">
        <v>294</v>
      </c>
      <c r="O4" s="50" t="s">
        <v>295</v>
      </c>
      <c r="P4" s="484"/>
      <c r="Q4" s="96" t="s">
        <v>585</v>
      </c>
      <c r="R4" s="97" t="s">
        <v>586</v>
      </c>
      <c r="S4" s="98" t="s">
        <v>557</v>
      </c>
    </row>
    <row r="5" spans="1:20" ht="99" customHeight="1">
      <c r="B5" s="52" t="s">
        <v>296</v>
      </c>
      <c r="C5" s="474" t="s">
        <v>1045</v>
      </c>
      <c r="D5" s="586" t="s">
        <v>1077</v>
      </c>
      <c r="E5" s="587"/>
      <c r="F5" s="587"/>
      <c r="G5" s="587"/>
      <c r="H5" s="587"/>
      <c r="I5" s="587"/>
      <c r="J5" s="587"/>
      <c r="K5" s="588"/>
      <c r="L5" s="398"/>
      <c r="M5" s="398"/>
      <c r="N5" s="398"/>
      <c r="O5" s="398"/>
      <c r="P5" s="482" t="s">
        <v>285</v>
      </c>
      <c r="Q5" s="192" t="s">
        <v>1075</v>
      </c>
      <c r="R5" s="192" t="s">
        <v>1046</v>
      </c>
      <c r="S5" s="192" t="s">
        <v>1076</v>
      </c>
    </row>
    <row r="6" spans="1:20" ht="117.75" customHeight="1">
      <c r="B6" s="52" t="s">
        <v>297</v>
      </c>
      <c r="C6" s="388" t="s">
        <v>1047</v>
      </c>
      <c r="D6" s="397"/>
      <c r="E6" s="397"/>
      <c r="F6" s="397"/>
      <c r="G6" s="397"/>
      <c r="H6" s="398"/>
      <c r="I6" s="398"/>
      <c r="J6" s="398"/>
      <c r="K6" s="398"/>
      <c r="L6" s="398"/>
      <c r="M6" s="399"/>
      <c r="N6" s="398"/>
      <c r="O6" s="398"/>
      <c r="P6" s="482" t="s">
        <v>283</v>
      </c>
      <c r="Q6" s="192"/>
      <c r="R6" s="192"/>
      <c r="S6" s="192"/>
    </row>
    <row r="7" spans="1:20" ht="57" customHeight="1" thickBot="1">
      <c r="A7" s="55"/>
      <c r="B7" s="69"/>
      <c r="D7" s="67"/>
      <c r="E7" s="67"/>
      <c r="F7" s="67"/>
      <c r="G7" s="67"/>
      <c r="H7" s="67"/>
      <c r="I7" s="67"/>
      <c r="J7" s="67"/>
      <c r="K7" s="67"/>
      <c r="L7" s="67"/>
      <c r="M7" s="67"/>
      <c r="N7" s="67"/>
      <c r="O7" s="67"/>
      <c r="P7" s="485"/>
      <c r="Q7" s="94"/>
      <c r="R7" s="94"/>
      <c r="S7" s="94"/>
    </row>
    <row r="8" spans="1:20" ht="42" customHeight="1">
      <c r="A8" s="50">
        <v>2</v>
      </c>
      <c r="B8" s="578" t="s">
        <v>1042</v>
      </c>
      <c r="C8" s="579"/>
      <c r="D8" s="50" t="s">
        <v>288</v>
      </c>
      <c r="E8" s="50" t="s">
        <v>289</v>
      </c>
      <c r="F8" s="50" t="s">
        <v>290</v>
      </c>
      <c r="G8" s="50" t="s">
        <v>291</v>
      </c>
      <c r="H8" s="50" t="s">
        <v>290</v>
      </c>
      <c r="I8" s="50" t="s">
        <v>288</v>
      </c>
      <c r="J8" s="50" t="s">
        <v>288</v>
      </c>
      <c r="K8" s="50" t="s">
        <v>291</v>
      </c>
      <c r="L8" s="50" t="s">
        <v>292</v>
      </c>
      <c r="M8" s="50" t="s">
        <v>293</v>
      </c>
      <c r="N8" s="50" t="s">
        <v>294</v>
      </c>
      <c r="O8" s="50" t="s">
        <v>295</v>
      </c>
      <c r="P8" s="484"/>
      <c r="Q8" s="92" t="s">
        <v>585</v>
      </c>
      <c r="R8" s="93" t="s">
        <v>586</v>
      </c>
      <c r="S8" s="98" t="s">
        <v>557</v>
      </c>
    </row>
    <row r="9" spans="1:20" ht="87.75" customHeight="1">
      <c r="B9" s="52" t="s">
        <v>296</v>
      </c>
      <c r="C9" s="190" t="s">
        <v>1048</v>
      </c>
      <c r="D9" s="592" t="s">
        <v>1093</v>
      </c>
      <c r="E9" s="593"/>
      <c r="F9" s="593"/>
      <c r="G9" s="593"/>
      <c r="H9" s="593"/>
      <c r="I9" s="593"/>
      <c r="J9" s="593"/>
      <c r="K9" s="593"/>
      <c r="L9" s="594"/>
      <c r="M9" s="595"/>
      <c r="N9" s="400"/>
      <c r="O9" s="400"/>
      <c r="P9" s="482">
        <v>0.8</v>
      </c>
      <c r="Q9" s="193" t="s">
        <v>1049</v>
      </c>
      <c r="R9" s="193" t="s">
        <v>935</v>
      </c>
      <c r="S9" s="193"/>
    </row>
    <row r="10" spans="1:20" ht="104.25" customHeight="1">
      <c r="B10" s="52" t="s">
        <v>297</v>
      </c>
      <c r="C10" s="190" t="s">
        <v>1050</v>
      </c>
      <c r="D10" s="475"/>
      <c r="E10" s="476"/>
      <c r="F10" s="476"/>
      <c r="G10" s="476"/>
      <c r="H10" s="401"/>
      <c r="I10" s="401"/>
      <c r="J10" s="401"/>
      <c r="K10" s="401"/>
      <c r="L10" s="401"/>
      <c r="M10" s="402"/>
      <c r="N10" s="402"/>
      <c r="O10" s="409"/>
      <c r="P10" s="482">
        <v>0.2</v>
      </c>
      <c r="Q10" s="193" t="s">
        <v>1052</v>
      </c>
      <c r="R10" s="391" t="s">
        <v>937</v>
      </c>
      <c r="S10" s="193"/>
    </row>
    <row r="11" spans="1:20" ht="84" customHeight="1">
      <c r="B11" s="52" t="s">
        <v>298</v>
      </c>
      <c r="C11" s="190" t="s">
        <v>1051</v>
      </c>
      <c r="D11" s="589" t="s">
        <v>1094</v>
      </c>
      <c r="E11" s="590"/>
      <c r="F11" s="590"/>
      <c r="G11" s="590"/>
      <c r="H11" s="590"/>
      <c r="I11" s="590"/>
      <c r="J11" s="590"/>
      <c r="K11" s="591"/>
      <c r="L11" s="401"/>
      <c r="M11" s="409"/>
      <c r="N11" s="409"/>
      <c r="O11" s="409"/>
      <c r="P11" s="482" t="s">
        <v>285</v>
      </c>
      <c r="Q11" s="193"/>
      <c r="R11" s="391"/>
      <c r="S11" s="193"/>
    </row>
    <row r="12" spans="1:20" ht="63.75" customHeight="1">
      <c r="B12" s="477" t="s">
        <v>5</v>
      </c>
      <c r="C12" s="190" t="s">
        <v>1053</v>
      </c>
      <c r="D12" s="597" t="s">
        <v>1100</v>
      </c>
      <c r="E12" s="598"/>
      <c r="F12" s="598"/>
      <c r="G12" s="598"/>
      <c r="H12" s="598"/>
      <c r="I12" s="598"/>
      <c r="J12" s="598"/>
      <c r="K12" s="598"/>
      <c r="L12" s="598"/>
      <c r="M12" s="598"/>
      <c r="N12" s="599"/>
      <c r="O12" s="409"/>
      <c r="P12" s="482">
        <v>0.8</v>
      </c>
      <c r="Q12" s="193"/>
      <c r="R12" s="391" t="s">
        <v>937</v>
      </c>
      <c r="S12" s="193"/>
    </row>
    <row r="13" spans="1:20" ht="84.75" customHeight="1">
      <c r="B13" s="477" t="s">
        <v>6</v>
      </c>
      <c r="C13" s="190" t="s">
        <v>1054</v>
      </c>
      <c r="D13" s="409"/>
      <c r="E13" s="409"/>
      <c r="F13" s="409"/>
      <c r="G13" s="409"/>
      <c r="H13" s="409"/>
      <c r="I13" s="409"/>
      <c r="J13" s="409"/>
      <c r="K13" s="409"/>
      <c r="L13" s="409"/>
      <c r="M13" s="409"/>
      <c r="N13" s="409"/>
      <c r="O13" s="409"/>
      <c r="P13" s="482" t="s">
        <v>283</v>
      </c>
      <c r="Q13" s="193"/>
      <c r="R13" s="391"/>
      <c r="S13" s="193"/>
    </row>
    <row r="14" spans="1:20" ht="102" customHeight="1">
      <c r="B14" s="478" t="s">
        <v>1055</v>
      </c>
      <c r="C14" s="190" t="s">
        <v>1057</v>
      </c>
      <c r="D14" s="583" t="s">
        <v>1079</v>
      </c>
      <c r="E14" s="584"/>
      <c r="F14" s="584"/>
      <c r="G14" s="585"/>
      <c r="H14" s="401"/>
      <c r="I14" s="401"/>
      <c r="J14" s="401"/>
      <c r="K14" s="401"/>
      <c r="L14" s="401"/>
      <c r="M14" s="402"/>
      <c r="N14" s="402"/>
      <c r="O14" s="409"/>
      <c r="P14" s="482">
        <v>0.5</v>
      </c>
      <c r="Q14" s="193" t="s">
        <v>1061</v>
      </c>
      <c r="R14" s="391" t="s">
        <v>1060</v>
      </c>
      <c r="S14" s="193" t="s">
        <v>1099</v>
      </c>
    </row>
    <row r="15" spans="1:20" ht="90" customHeight="1">
      <c r="B15" s="478" t="s">
        <v>1056</v>
      </c>
      <c r="C15" s="190" t="s">
        <v>1058</v>
      </c>
      <c r="D15" s="589" t="s">
        <v>1104</v>
      </c>
      <c r="E15" s="590"/>
      <c r="F15" s="590"/>
      <c r="G15" s="590"/>
      <c r="H15" s="590"/>
      <c r="I15" s="590"/>
      <c r="J15" s="590"/>
      <c r="K15" s="590"/>
      <c r="L15" s="600"/>
      <c r="M15" s="601"/>
      <c r="N15" s="492"/>
      <c r="O15" s="409"/>
      <c r="P15" s="482">
        <v>0.8</v>
      </c>
      <c r="Q15" s="193" t="s">
        <v>1059</v>
      </c>
      <c r="R15" s="193" t="s">
        <v>934</v>
      </c>
      <c r="S15" s="193"/>
    </row>
    <row r="16" spans="1:20" ht="81" customHeight="1" thickBot="1">
      <c r="B16" s="49"/>
      <c r="D16" s="49"/>
      <c r="E16" s="49"/>
      <c r="F16" s="49"/>
      <c r="G16" s="49"/>
      <c r="H16" s="49"/>
      <c r="I16" s="49"/>
      <c r="J16" s="49"/>
      <c r="K16" s="49"/>
      <c r="L16" s="49"/>
      <c r="M16" s="49"/>
      <c r="N16" s="49"/>
      <c r="O16" s="49"/>
      <c r="P16" s="486"/>
      <c r="T16" s="75"/>
    </row>
    <row r="17" spans="1:19" ht="51.75" customHeight="1">
      <c r="A17" s="50">
        <v>3</v>
      </c>
      <c r="B17" s="578" t="s">
        <v>1043</v>
      </c>
      <c r="C17" s="579"/>
      <c r="D17" s="50" t="s">
        <v>288</v>
      </c>
      <c r="E17" s="50" t="s">
        <v>289</v>
      </c>
      <c r="F17" s="50" t="s">
        <v>290</v>
      </c>
      <c r="G17" s="50" t="s">
        <v>291</v>
      </c>
      <c r="H17" s="50" t="s">
        <v>290</v>
      </c>
      <c r="I17" s="50" t="s">
        <v>288</v>
      </c>
      <c r="J17" s="50" t="s">
        <v>288</v>
      </c>
      <c r="K17" s="50" t="s">
        <v>291</v>
      </c>
      <c r="L17" s="50" t="s">
        <v>292</v>
      </c>
      <c r="M17" s="50" t="s">
        <v>293</v>
      </c>
      <c r="N17" s="50" t="s">
        <v>294</v>
      </c>
      <c r="O17" s="50" t="s">
        <v>295</v>
      </c>
      <c r="P17" s="487"/>
      <c r="Q17" s="92" t="s">
        <v>585</v>
      </c>
      <c r="R17" s="93" t="s">
        <v>586</v>
      </c>
      <c r="S17" s="98" t="s">
        <v>557</v>
      </c>
    </row>
    <row r="18" spans="1:19" ht="68.25" customHeight="1">
      <c r="B18" s="52" t="s">
        <v>296</v>
      </c>
      <c r="C18" s="190" t="s">
        <v>1063</v>
      </c>
      <c r="D18" s="603"/>
      <c r="E18" s="604"/>
      <c r="F18" s="604"/>
      <c r="G18" s="604"/>
      <c r="H18" s="604"/>
      <c r="I18" s="604"/>
      <c r="J18" s="604"/>
      <c r="K18" s="605"/>
      <c r="L18" s="191"/>
      <c r="M18" s="191"/>
      <c r="N18" s="191"/>
      <c r="O18" s="191"/>
      <c r="P18" s="482" t="s">
        <v>285</v>
      </c>
      <c r="Q18" s="193" t="s">
        <v>584</v>
      </c>
      <c r="R18" s="193" t="s">
        <v>1065</v>
      </c>
      <c r="S18" s="193"/>
    </row>
    <row r="19" spans="1:19" ht="59.25" customHeight="1">
      <c r="B19" s="52" t="s">
        <v>297</v>
      </c>
      <c r="C19" s="190" t="s">
        <v>1064</v>
      </c>
      <c r="D19" s="408"/>
      <c r="E19" s="408"/>
      <c r="F19" s="408"/>
      <c r="G19" s="408"/>
      <c r="H19" s="389"/>
      <c r="I19" s="389"/>
      <c r="J19" s="389"/>
      <c r="K19" s="596" t="s">
        <v>1102</v>
      </c>
      <c r="L19" s="594"/>
      <c r="M19" s="595"/>
      <c r="N19" s="389"/>
      <c r="O19" s="390"/>
      <c r="P19" s="482">
        <v>0.2</v>
      </c>
      <c r="Q19" s="193" t="s">
        <v>584</v>
      </c>
      <c r="R19" s="193" t="s">
        <v>1065</v>
      </c>
      <c r="S19" s="193"/>
    </row>
    <row r="20" spans="1:19" ht="57" customHeight="1">
      <c r="B20" s="52" t="s">
        <v>298</v>
      </c>
      <c r="C20" s="190" t="s">
        <v>1062</v>
      </c>
      <c r="D20" s="389" t="s">
        <v>1067</v>
      </c>
      <c r="E20" s="390"/>
      <c r="F20" s="390"/>
      <c r="G20" s="390"/>
      <c r="H20" s="390"/>
      <c r="I20" s="390"/>
      <c r="J20" s="390"/>
      <c r="K20" s="390"/>
      <c r="L20" s="390"/>
      <c r="M20" s="390"/>
      <c r="N20" s="390"/>
      <c r="O20" s="390"/>
      <c r="P20" s="482">
        <v>0.2</v>
      </c>
      <c r="Q20" s="193" t="s">
        <v>584</v>
      </c>
      <c r="R20" s="193" t="s">
        <v>1066</v>
      </c>
      <c r="S20" s="193"/>
    </row>
    <row r="21" spans="1:19" ht="48" customHeight="1" thickBot="1">
      <c r="B21" s="70"/>
      <c r="C21" s="87"/>
      <c r="D21" s="88"/>
      <c r="E21" s="88"/>
      <c r="F21" s="88"/>
      <c r="G21" s="88"/>
      <c r="H21" s="88"/>
      <c r="I21" s="88"/>
      <c r="J21" s="88"/>
      <c r="K21" s="88"/>
      <c r="L21" s="88"/>
      <c r="M21" s="88"/>
      <c r="N21" s="88"/>
      <c r="O21" s="88"/>
      <c r="P21" s="485"/>
      <c r="Q21" s="95"/>
      <c r="R21" s="94"/>
      <c r="S21" s="94"/>
    </row>
    <row r="22" spans="1:19" ht="48.75" customHeight="1">
      <c r="A22" s="50">
        <v>4</v>
      </c>
      <c r="B22" s="578" t="s">
        <v>1044</v>
      </c>
      <c r="C22" s="579"/>
      <c r="D22" s="50" t="s">
        <v>288</v>
      </c>
      <c r="E22" s="50" t="s">
        <v>289</v>
      </c>
      <c r="F22" s="50" t="s">
        <v>290</v>
      </c>
      <c r="G22" s="50" t="s">
        <v>291</v>
      </c>
      <c r="H22" s="50" t="s">
        <v>290</v>
      </c>
      <c r="I22" s="50" t="s">
        <v>288</v>
      </c>
      <c r="J22" s="50" t="s">
        <v>288</v>
      </c>
      <c r="K22" s="50" t="s">
        <v>291</v>
      </c>
      <c r="L22" s="50" t="s">
        <v>292</v>
      </c>
      <c r="M22" s="50" t="s">
        <v>293</v>
      </c>
      <c r="N22" s="50" t="s">
        <v>294</v>
      </c>
      <c r="O22" s="50" t="s">
        <v>295</v>
      </c>
      <c r="P22" s="487"/>
      <c r="Q22" s="92" t="s">
        <v>585</v>
      </c>
      <c r="R22" s="93" t="s">
        <v>586</v>
      </c>
      <c r="S22" s="98" t="s">
        <v>557</v>
      </c>
    </row>
    <row r="23" spans="1:19" ht="93.75" customHeight="1">
      <c r="B23" s="52" t="s">
        <v>296</v>
      </c>
      <c r="C23" s="190" t="s">
        <v>1068</v>
      </c>
      <c r="D23" s="606" t="s">
        <v>1105</v>
      </c>
      <c r="E23" s="607"/>
      <c r="F23" s="607"/>
      <c r="G23" s="607"/>
      <c r="H23" s="607"/>
      <c r="I23" s="607"/>
      <c r="J23" s="607"/>
      <c r="K23" s="607"/>
      <c r="L23" s="594"/>
      <c r="M23" s="595"/>
      <c r="N23" s="403"/>
      <c r="O23" s="400"/>
      <c r="P23" s="482">
        <v>0.8</v>
      </c>
      <c r="Q23" s="193" t="s">
        <v>1101</v>
      </c>
      <c r="R23" s="193" t="s">
        <v>1069</v>
      </c>
      <c r="S23" s="193"/>
    </row>
    <row r="24" spans="1:19" ht="54.75" customHeight="1">
      <c r="B24" s="52" t="s">
        <v>297</v>
      </c>
      <c r="C24" s="190" t="s">
        <v>1070</v>
      </c>
      <c r="D24" s="592" t="s">
        <v>1103</v>
      </c>
      <c r="E24" s="602"/>
      <c r="F24" s="602"/>
      <c r="G24" s="602"/>
      <c r="H24" s="594"/>
      <c r="I24" s="594"/>
      <c r="J24" s="594"/>
      <c r="K24" s="594"/>
      <c r="L24" s="594"/>
      <c r="M24" s="595"/>
      <c r="N24" s="400"/>
      <c r="O24" s="400"/>
      <c r="P24" s="482">
        <v>0.2</v>
      </c>
      <c r="Q24" s="193" t="s">
        <v>936</v>
      </c>
      <c r="R24" s="391" t="s">
        <v>1071</v>
      </c>
      <c r="S24" s="193"/>
    </row>
    <row r="25" spans="1:19" ht="63.75" customHeight="1">
      <c r="B25" s="52" t="s">
        <v>298</v>
      </c>
      <c r="C25" s="479" t="s">
        <v>1072</v>
      </c>
      <c r="D25" s="310"/>
      <c r="E25" s="311"/>
      <c r="F25" s="311"/>
      <c r="G25" s="311"/>
      <c r="H25" s="311"/>
      <c r="I25" s="311"/>
      <c r="J25" s="311"/>
      <c r="K25" s="311"/>
      <c r="L25" s="311"/>
      <c r="M25" s="311"/>
      <c r="N25" s="311"/>
      <c r="O25" s="311"/>
      <c r="P25" s="482" t="s">
        <v>283</v>
      </c>
      <c r="Q25" s="193" t="s">
        <v>1074</v>
      </c>
      <c r="R25" s="193" t="s">
        <v>1073</v>
      </c>
      <c r="S25" s="193"/>
    </row>
    <row r="26" spans="1:19" ht="47.25" customHeight="1" thickBot="1">
      <c r="B26" s="70"/>
      <c r="C26" s="87"/>
      <c r="D26" s="67"/>
      <c r="E26" s="67"/>
      <c r="F26" s="67"/>
      <c r="G26" s="67"/>
      <c r="H26" s="88"/>
      <c r="I26" s="67"/>
      <c r="J26" s="67"/>
      <c r="K26" s="67"/>
      <c r="L26" s="67"/>
      <c r="M26" s="89"/>
      <c r="N26" s="67"/>
      <c r="O26" s="67"/>
      <c r="P26" s="485"/>
      <c r="Q26" s="95"/>
      <c r="R26" s="94"/>
      <c r="S26" s="94"/>
    </row>
    <row r="27" spans="1:19" ht="60.75" customHeight="1">
      <c r="A27" s="50">
        <v>5</v>
      </c>
      <c r="B27" s="578"/>
      <c r="C27" s="579"/>
      <c r="D27" s="50" t="s">
        <v>288</v>
      </c>
      <c r="E27" s="50" t="s">
        <v>289</v>
      </c>
      <c r="F27" s="50" t="s">
        <v>290</v>
      </c>
      <c r="G27" s="50" t="s">
        <v>291</v>
      </c>
      <c r="H27" s="50" t="s">
        <v>290</v>
      </c>
      <c r="I27" s="50" t="s">
        <v>288</v>
      </c>
      <c r="J27" s="50" t="s">
        <v>288</v>
      </c>
      <c r="K27" s="50" t="s">
        <v>291</v>
      </c>
      <c r="L27" s="50" t="s">
        <v>292</v>
      </c>
      <c r="M27" s="50" t="s">
        <v>293</v>
      </c>
      <c r="N27" s="50" t="s">
        <v>294</v>
      </c>
      <c r="O27" s="50" t="s">
        <v>295</v>
      </c>
      <c r="P27" s="484"/>
      <c r="Q27" s="92" t="s">
        <v>585</v>
      </c>
      <c r="R27" s="93" t="s">
        <v>586</v>
      </c>
      <c r="S27" s="98" t="s">
        <v>557</v>
      </c>
    </row>
    <row r="29" spans="1:19" ht="26.1" customHeight="1">
      <c r="G29" s="55"/>
      <c r="M29" s="580">
        <f>O29/15</f>
        <v>0.2</v>
      </c>
      <c r="N29" s="581"/>
      <c r="O29" s="53">
        <f>COUNTIF($P$5:$P$27, P29)</f>
        <v>3</v>
      </c>
      <c r="P29" s="488" t="s">
        <v>285</v>
      </c>
    </row>
    <row r="30" spans="1:19" ht="26.1" customHeight="1">
      <c r="M30" s="580">
        <f>O30/15</f>
        <v>0.26666666666666666</v>
      </c>
      <c r="N30" s="581"/>
      <c r="O30" s="53">
        <f>COUNTIF($P$5:$P$27, P30)</f>
        <v>4</v>
      </c>
      <c r="P30" s="488">
        <v>0.2</v>
      </c>
    </row>
    <row r="31" spans="1:19" ht="26.1" customHeight="1">
      <c r="M31" s="580">
        <f t="shared" ref="M31:M32" si="0">O31/15</f>
        <v>6.6666666666666666E-2</v>
      </c>
      <c r="N31" s="581"/>
      <c r="O31" s="53">
        <f t="shared" ref="O31:O32" si="1">COUNTIF($P$5:$P$27, P31)</f>
        <v>1</v>
      </c>
      <c r="P31" s="488">
        <v>0.5</v>
      </c>
    </row>
    <row r="32" spans="1:19" ht="26.1" customHeight="1">
      <c r="M32" s="580">
        <f t="shared" si="0"/>
        <v>0.26666666666666666</v>
      </c>
      <c r="N32" s="581"/>
      <c r="O32" s="53">
        <f t="shared" si="1"/>
        <v>4</v>
      </c>
      <c r="P32" s="488">
        <v>0.8</v>
      </c>
    </row>
    <row r="33" spans="7:16" ht="26.1" customHeight="1">
      <c r="G33" s="56"/>
      <c r="H33" s="56"/>
      <c r="M33" s="580">
        <f>O33/15</f>
        <v>0.2</v>
      </c>
      <c r="N33" s="581"/>
      <c r="O33" s="53">
        <f>COUNTIF($P$5:$P$27, P33)</f>
        <v>3</v>
      </c>
      <c r="P33" s="489" t="s">
        <v>283</v>
      </c>
    </row>
    <row r="34" spans="7:16" ht="26.1" customHeight="1">
      <c r="G34" s="56"/>
      <c r="H34" s="56"/>
    </row>
    <row r="35" spans="7:16" ht="26.1" customHeight="1">
      <c r="G35" s="56"/>
      <c r="H35" s="56"/>
    </row>
  </sheetData>
  <mergeCells count="21">
    <mergeCell ref="D18:K18"/>
    <mergeCell ref="D23:M23"/>
    <mergeCell ref="M33:N33"/>
    <mergeCell ref="M29:N29"/>
    <mergeCell ref="M30:N30"/>
    <mergeCell ref="B27:C27"/>
    <mergeCell ref="M31:N31"/>
    <mergeCell ref="M32:N32"/>
    <mergeCell ref="A2:P2"/>
    <mergeCell ref="B4:C4"/>
    <mergeCell ref="B8:C8"/>
    <mergeCell ref="B17:C17"/>
    <mergeCell ref="B22:C22"/>
    <mergeCell ref="D14:G14"/>
    <mergeCell ref="D5:K5"/>
    <mergeCell ref="D11:K11"/>
    <mergeCell ref="D9:M9"/>
    <mergeCell ref="K19:M19"/>
    <mergeCell ref="D12:N12"/>
    <mergeCell ref="D15:M15"/>
    <mergeCell ref="D24:M24"/>
  </mergeCells>
  <phoneticPr fontId="10" type="noConversion"/>
  <conditionalFormatting sqref="P27">
    <cfRule type="cellIs" dxfId="72" priority="17" stopIfTrue="1" operator="equal">
      <formula>"TERMINEE"</formula>
    </cfRule>
    <cfRule type="cellIs" dxfId="71" priority="18" stopIfTrue="1" operator="equal">
      <formula>"NON COMMENCEE"</formula>
    </cfRule>
  </conditionalFormatting>
  <conditionalFormatting sqref="P23">
    <cfRule type="cellIs" dxfId="70" priority="13" stopIfTrue="1" operator="equal">
      <formula>"TERMINEE"</formula>
    </cfRule>
    <cfRule type="cellIs" dxfId="69" priority="14" stopIfTrue="1" operator="equal">
      <formula>"NON COMMENCEE"</formula>
    </cfRule>
  </conditionalFormatting>
  <conditionalFormatting sqref="P11">
    <cfRule type="cellIs" dxfId="68" priority="5" stopIfTrue="1" operator="equal">
      <formula>"TERMINEE"</formula>
    </cfRule>
    <cfRule type="cellIs" dxfId="67" priority="6" stopIfTrue="1" operator="equal">
      <formula>"NON COMMENCEE"</formula>
    </cfRule>
  </conditionalFormatting>
  <conditionalFormatting sqref="P13">
    <cfRule type="cellIs" dxfId="66" priority="3" stopIfTrue="1" operator="equal">
      <formula>"TERMINEE"</formula>
    </cfRule>
    <cfRule type="cellIs" dxfId="65" priority="4" stopIfTrue="1" operator="equal">
      <formula>"NON COMMENCEE"</formula>
    </cfRule>
  </conditionalFormatting>
  <conditionalFormatting sqref="P5:P6 P9:P15 P18:P20 P23:P25 P29:P33">
    <cfRule type="cellIs" dxfId="64" priority="45" stopIfTrue="1" operator="equal">
      <formula>"TERMINEE"</formula>
    </cfRule>
    <cfRule type="cellIs" dxfId="63" priority="46" stopIfTrue="1" operator="equal">
      <formula>"NON COMMENCEE"</formula>
    </cfRule>
  </conditionalFormatting>
  <dataValidations count="1">
    <dataValidation type="list" allowBlank="1" showInputMessage="1" showErrorMessage="1" sqref="P26 P21 P7" xr:uid="{00000000-0002-0000-0500-000000000000}">
      <formula1>etat</formula1>
    </dataValidation>
  </dataValidations>
  <hyperlinks>
    <hyperlink ref="Q2" location="'Tableau de bord'!S25" tooltip="Retour au Tableau de Bord" display="RETOUR AU TABLEAU DE BORD" xr:uid="{00000000-0004-0000-0500-000000000000}"/>
    <hyperlink ref="R10" r:id="rId1" xr:uid="{00000000-0004-0000-0500-000001000000}"/>
    <hyperlink ref="R12" r:id="rId2" xr:uid="{00000000-0004-0000-0500-000002000000}"/>
  </hyperlinks>
  <printOptions horizontalCentered="1"/>
  <pageMargins left="0.25" right="0.25" top="0.75" bottom="0.75" header="0.3" footer="0.3"/>
  <pageSetup paperSize="9" scale="75" fitToHeight="0" orientation="landscape" verticalDpi="4" r:id="rId3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500-000001000000}">
          <x14:formula1>
            <xm:f>'Listes déroulantes'!$F$22:$F$26</xm:f>
          </x14:formula1>
          <xm:sqref>P5:P6 P9:P15 P18:P20 P23:P25 P29:P33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0">
    <tabColor theme="9" tint="-0.249977111117893"/>
  </sheetPr>
  <dimension ref="A1:U41"/>
  <sheetViews>
    <sheetView zoomScale="60" zoomScaleNormal="60" workbookViewId="0">
      <selection activeCell="Y9" sqref="Y9"/>
    </sheetView>
  </sheetViews>
  <sheetFormatPr baseColWidth="10" defaultRowHeight="15"/>
  <cols>
    <col min="1" max="2" width="5.7109375" customWidth="1"/>
    <col min="3" max="3" width="41.28515625" customWidth="1"/>
    <col min="4" max="15" width="8" customWidth="1"/>
    <col min="16" max="17" width="23.140625" customWidth="1"/>
    <col min="18" max="18" width="18.28515625" customWidth="1"/>
    <col min="19" max="19" width="18" customWidth="1"/>
    <col min="20" max="20" width="23.7109375" customWidth="1"/>
    <col min="21" max="21" width="22" customWidth="1"/>
  </cols>
  <sheetData>
    <row r="1" spans="1:21" ht="15" customHeight="1">
      <c r="A1" s="51"/>
      <c r="B1" s="54"/>
      <c r="C1" s="49"/>
      <c r="D1" s="51"/>
      <c r="E1" s="72"/>
      <c r="F1" s="73"/>
      <c r="G1" s="73"/>
      <c r="H1" s="73"/>
      <c r="I1" s="74"/>
      <c r="J1" s="72"/>
      <c r="K1" s="51"/>
      <c r="L1" s="51"/>
      <c r="M1" s="51"/>
      <c r="N1" s="51"/>
      <c r="O1" s="51"/>
      <c r="P1" s="51"/>
      <c r="Q1" s="51"/>
      <c r="R1" s="49"/>
      <c r="S1" s="49"/>
      <c r="T1" s="49"/>
    </row>
    <row r="2" spans="1:21" ht="51.75" customHeight="1" thickBot="1">
      <c r="A2" s="610" t="s">
        <v>620</v>
      </c>
      <c r="B2" s="610"/>
      <c r="C2" s="610"/>
      <c r="D2" s="610"/>
      <c r="E2" s="610"/>
      <c r="F2" s="610"/>
      <c r="G2" s="610"/>
      <c r="H2" s="610"/>
      <c r="I2" s="610"/>
      <c r="J2" s="610"/>
      <c r="K2" s="610"/>
      <c r="L2" s="610"/>
      <c r="M2" s="610"/>
      <c r="N2" s="610"/>
      <c r="O2" s="610"/>
      <c r="P2" s="610"/>
      <c r="Q2" s="114"/>
      <c r="R2" s="65" t="s">
        <v>299</v>
      </c>
      <c r="S2" s="49"/>
      <c r="T2" s="49"/>
    </row>
    <row r="3" spans="1:21" ht="51.75" customHeight="1" thickBot="1">
      <c r="A3" s="117"/>
      <c r="B3" s="117"/>
      <c r="C3" s="117"/>
      <c r="D3" s="156"/>
      <c r="E3" s="611" t="s">
        <v>752</v>
      </c>
      <c r="F3" s="612"/>
      <c r="G3" s="122"/>
      <c r="H3" s="157"/>
      <c r="I3" s="611" t="s">
        <v>753</v>
      </c>
      <c r="J3" s="612"/>
      <c r="K3" s="122"/>
      <c r="L3" s="158"/>
      <c r="M3" s="611" t="s">
        <v>754</v>
      </c>
      <c r="N3" s="612"/>
      <c r="O3" s="122"/>
      <c r="P3" s="122"/>
      <c r="Q3" s="122"/>
      <c r="R3" s="118"/>
      <c r="S3" s="49"/>
      <c r="T3" s="49"/>
    </row>
    <row r="4" spans="1:21" ht="43.5" customHeight="1" thickBot="1">
      <c r="A4" s="51"/>
      <c r="B4" s="119"/>
      <c r="C4" s="120"/>
      <c r="D4" s="55"/>
      <c r="E4" s="55"/>
      <c r="F4" s="55"/>
      <c r="G4" s="55"/>
      <c r="H4" s="55"/>
      <c r="I4" s="55"/>
      <c r="J4" s="55"/>
      <c r="K4" s="55"/>
      <c r="L4" s="55"/>
      <c r="M4" s="55"/>
      <c r="N4" s="55"/>
      <c r="O4" s="55"/>
      <c r="P4" s="55"/>
      <c r="Q4" s="55"/>
      <c r="R4" s="121"/>
      <c r="S4" s="49"/>
      <c r="T4" s="49"/>
    </row>
    <row r="5" spans="1:21" ht="41.25" customHeight="1">
      <c r="A5" s="50"/>
      <c r="B5" s="609" t="s">
        <v>751</v>
      </c>
      <c r="C5" s="609"/>
      <c r="D5" s="123" t="s">
        <v>288</v>
      </c>
      <c r="E5" s="123" t="s">
        <v>289</v>
      </c>
      <c r="F5" s="123" t="s">
        <v>290</v>
      </c>
      <c r="G5" s="123" t="s">
        <v>291</v>
      </c>
      <c r="H5" s="123" t="s">
        <v>290</v>
      </c>
      <c r="I5" s="123" t="s">
        <v>288</v>
      </c>
      <c r="J5" s="123" t="s">
        <v>288</v>
      </c>
      <c r="K5" s="123" t="s">
        <v>291</v>
      </c>
      <c r="L5" s="123" t="s">
        <v>292</v>
      </c>
      <c r="M5" s="123" t="s">
        <v>293</v>
      </c>
      <c r="N5" s="123" t="s">
        <v>294</v>
      </c>
      <c r="O5" s="123" t="s">
        <v>295</v>
      </c>
      <c r="P5" s="124" t="s">
        <v>251</v>
      </c>
      <c r="Q5" s="125" t="s">
        <v>628</v>
      </c>
      <c r="R5" s="126" t="s">
        <v>621</v>
      </c>
      <c r="S5" s="127" t="s">
        <v>562</v>
      </c>
      <c r="T5" s="128" t="s">
        <v>755</v>
      </c>
      <c r="U5" s="128" t="s">
        <v>756</v>
      </c>
    </row>
    <row r="6" spans="1:21" ht="78.75" customHeight="1">
      <c r="A6" s="51"/>
      <c r="B6" s="130"/>
      <c r="C6" s="131" t="s">
        <v>619</v>
      </c>
      <c r="D6" s="132"/>
      <c r="E6" s="132"/>
      <c r="F6" s="132"/>
      <c r="G6" s="132"/>
      <c r="H6" s="132"/>
      <c r="I6" s="132"/>
      <c r="J6" s="133"/>
      <c r="K6" s="134"/>
      <c r="L6" s="135"/>
      <c r="M6" s="134"/>
      <c r="N6" s="134"/>
      <c r="O6" s="134"/>
      <c r="P6" s="129" t="s">
        <v>285</v>
      </c>
      <c r="Q6" s="136" t="s">
        <v>629</v>
      </c>
      <c r="R6" s="137" t="s">
        <v>622</v>
      </c>
      <c r="S6" s="137" t="s">
        <v>623</v>
      </c>
      <c r="T6" s="154" t="s">
        <v>763</v>
      </c>
      <c r="U6" s="358" t="s">
        <v>897</v>
      </c>
    </row>
    <row r="7" spans="1:21" ht="64.5" customHeight="1">
      <c r="A7" s="51"/>
      <c r="B7" s="130"/>
      <c r="C7" s="131" t="s">
        <v>624</v>
      </c>
      <c r="D7" s="138"/>
      <c r="E7" s="138"/>
      <c r="F7" s="138"/>
      <c r="G7" s="138"/>
      <c r="H7" s="138"/>
      <c r="I7" s="138"/>
      <c r="J7" s="138"/>
      <c r="K7" s="138"/>
      <c r="L7" s="138"/>
      <c r="M7" s="139"/>
      <c r="N7" s="138"/>
      <c r="O7" s="138"/>
      <c r="P7" s="129" t="s">
        <v>285</v>
      </c>
      <c r="Q7" s="136" t="s">
        <v>630</v>
      </c>
      <c r="R7" s="137" t="s">
        <v>625</v>
      </c>
      <c r="S7" s="137"/>
      <c r="T7" s="154" t="s">
        <v>626</v>
      </c>
      <c r="U7" s="358" t="s">
        <v>896</v>
      </c>
    </row>
    <row r="8" spans="1:21" ht="91.5" customHeight="1">
      <c r="A8" s="51"/>
      <c r="B8" s="140"/>
      <c r="C8" s="136" t="s">
        <v>627</v>
      </c>
      <c r="D8" s="141"/>
      <c r="E8" s="138"/>
      <c r="F8" s="138"/>
      <c r="G8" s="142"/>
      <c r="H8" s="138"/>
      <c r="I8" s="142"/>
      <c r="J8" s="138"/>
      <c r="K8" s="142"/>
      <c r="L8" s="138"/>
      <c r="M8" s="138"/>
      <c r="N8" s="138"/>
      <c r="O8" s="143"/>
      <c r="P8" s="129" t="s">
        <v>285</v>
      </c>
      <c r="Q8" s="136" t="s">
        <v>631</v>
      </c>
      <c r="R8" s="137" t="s">
        <v>632</v>
      </c>
      <c r="S8" s="137" t="s">
        <v>633</v>
      </c>
      <c r="T8" s="154" t="s">
        <v>634</v>
      </c>
      <c r="U8" s="81"/>
    </row>
    <row r="9" spans="1:21" ht="89.25" customHeight="1">
      <c r="A9" s="51"/>
      <c r="B9" s="144"/>
      <c r="C9" s="136" t="s">
        <v>635</v>
      </c>
      <c r="D9" s="142"/>
      <c r="E9" s="142"/>
      <c r="F9" s="142"/>
      <c r="G9" s="142"/>
      <c r="H9" s="145"/>
      <c r="I9" s="138"/>
      <c r="J9" s="138"/>
      <c r="K9" s="138"/>
      <c r="L9" s="138"/>
      <c r="M9" s="142"/>
      <c r="N9" s="142"/>
      <c r="O9" s="142"/>
      <c r="P9" s="129" t="s">
        <v>285</v>
      </c>
      <c r="Q9" s="136" t="s">
        <v>636</v>
      </c>
      <c r="R9" s="137" t="s">
        <v>637</v>
      </c>
      <c r="S9" s="137" t="s">
        <v>953</v>
      </c>
      <c r="T9" s="154" t="s">
        <v>638</v>
      </c>
      <c r="U9" s="358" t="s">
        <v>954</v>
      </c>
    </row>
    <row r="10" spans="1:21" ht="72.75" customHeight="1">
      <c r="A10" s="51"/>
      <c r="B10" s="146"/>
      <c r="C10" s="136" t="s">
        <v>639</v>
      </c>
      <c r="D10" s="141"/>
      <c r="E10" s="138"/>
      <c r="F10" s="138"/>
      <c r="G10" s="138"/>
      <c r="H10" s="138"/>
      <c r="I10" s="138"/>
      <c r="J10" s="138"/>
      <c r="K10" s="138"/>
      <c r="L10" s="138"/>
      <c r="M10" s="138"/>
      <c r="N10" s="138"/>
      <c r="O10" s="138"/>
      <c r="P10" s="129" t="s">
        <v>285</v>
      </c>
      <c r="Q10" s="136" t="s">
        <v>640</v>
      </c>
      <c r="R10" s="137" t="s">
        <v>641</v>
      </c>
      <c r="S10" s="137"/>
      <c r="T10" s="154" t="s">
        <v>642</v>
      </c>
      <c r="U10" s="81"/>
    </row>
    <row r="11" spans="1:21" ht="72.75" customHeight="1">
      <c r="A11" s="51"/>
      <c r="B11" s="146"/>
      <c r="C11" s="136" t="s">
        <v>643</v>
      </c>
      <c r="D11" s="138"/>
      <c r="E11" s="138"/>
      <c r="F11" s="138"/>
      <c r="G11" s="138"/>
      <c r="H11" s="138"/>
      <c r="I11" s="135"/>
      <c r="J11" s="138"/>
      <c r="K11" s="138"/>
      <c r="L11" s="135"/>
      <c r="M11" s="138"/>
      <c r="N11" s="138"/>
      <c r="O11" s="138"/>
      <c r="P11" s="129" t="s">
        <v>285</v>
      </c>
      <c r="Q11" s="136" t="s">
        <v>644</v>
      </c>
      <c r="R11" s="137" t="s">
        <v>645</v>
      </c>
      <c r="S11" s="137" t="s">
        <v>646</v>
      </c>
      <c r="T11" s="154" t="s">
        <v>647</v>
      </c>
      <c r="U11" s="358" t="s">
        <v>893</v>
      </c>
    </row>
    <row r="12" spans="1:21" ht="72.75" customHeight="1">
      <c r="A12" s="51"/>
      <c r="B12" s="147"/>
      <c r="C12" s="136" t="s">
        <v>648</v>
      </c>
      <c r="D12" s="138"/>
      <c r="E12" s="138"/>
      <c r="F12" s="138"/>
      <c r="G12" s="138"/>
      <c r="H12" s="138"/>
      <c r="I12" s="135"/>
      <c r="J12" s="138"/>
      <c r="K12" s="138"/>
      <c r="L12" s="138"/>
      <c r="M12" s="138"/>
      <c r="N12" s="138"/>
      <c r="O12" s="138"/>
      <c r="P12" s="129" t="s">
        <v>285</v>
      </c>
      <c r="Q12" s="136" t="s">
        <v>649</v>
      </c>
      <c r="R12" s="137" t="s">
        <v>650</v>
      </c>
      <c r="S12" s="137"/>
      <c r="T12" s="154" t="s">
        <v>651</v>
      </c>
      <c r="U12" s="209" t="s">
        <v>894</v>
      </c>
    </row>
    <row r="13" spans="1:21" ht="72.75" customHeight="1">
      <c r="A13" s="51"/>
      <c r="B13" s="144"/>
      <c r="C13" s="136" t="s">
        <v>652</v>
      </c>
      <c r="D13" s="138"/>
      <c r="E13" s="138"/>
      <c r="F13" s="138"/>
      <c r="G13" s="138"/>
      <c r="H13" s="138"/>
      <c r="I13" s="138"/>
      <c r="J13" s="138"/>
      <c r="K13" s="138"/>
      <c r="L13" s="135"/>
      <c r="M13" s="138"/>
      <c r="N13" s="138"/>
      <c r="O13" s="138"/>
      <c r="P13" s="129" t="s">
        <v>284</v>
      </c>
      <c r="Q13" s="136" t="s">
        <v>653</v>
      </c>
      <c r="R13" s="137" t="s">
        <v>655</v>
      </c>
      <c r="S13" s="137" t="s">
        <v>654</v>
      </c>
      <c r="T13" s="154" t="s">
        <v>656</v>
      </c>
      <c r="U13" s="81"/>
    </row>
    <row r="14" spans="1:21" ht="72.75" customHeight="1">
      <c r="A14" s="51"/>
      <c r="B14" s="146"/>
      <c r="C14" s="136" t="s">
        <v>657</v>
      </c>
      <c r="D14" s="138"/>
      <c r="E14" s="138"/>
      <c r="F14" s="138"/>
      <c r="G14" s="138"/>
      <c r="H14" s="135"/>
      <c r="I14" s="138"/>
      <c r="J14" s="138"/>
      <c r="K14" s="138"/>
      <c r="L14" s="138"/>
      <c r="M14" s="138"/>
      <c r="N14" s="138"/>
      <c r="O14" s="138"/>
      <c r="P14" s="129" t="s">
        <v>285</v>
      </c>
      <c r="Q14" s="136" t="s">
        <v>658</v>
      </c>
      <c r="R14" s="137" t="s">
        <v>659</v>
      </c>
      <c r="S14" s="137" t="s">
        <v>660</v>
      </c>
      <c r="T14" s="154" t="s">
        <v>661</v>
      </c>
      <c r="U14" s="81"/>
    </row>
    <row r="15" spans="1:21" ht="72.75" customHeight="1">
      <c r="A15" s="51"/>
      <c r="B15" s="144"/>
      <c r="C15" s="136" t="s">
        <v>662</v>
      </c>
      <c r="D15" s="138"/>
      <c r="E15" s="138"/>
      <c r="F15" s="138"/>
      <c r="G15" s="138"/>
      <c r="H15" s="138"/>
      <c r="I15" s="135"/>
      <c r="J15" s="138"/>
      <c r="K15" s="138"/>
      <c r="L15" s="138"/>
      <c r="M15" s="138"/>
      <c r="N15" s="138"/>
      <c r="O15" s="138"/>
      <c r="P15" s="129" t="s">
        <v>285</v>
      </c>
      <c r="Q15" s="136" t="s">
        <v>663</v>
      </c>
      <c r="R15" s="137" t="s">
        <v>664</v>
      </c>
      <c r="S15" s="137" t="s">
        <v>660</v>
      </c>
      <c r="T15" s="154" t="s">
        <v>665</v>
      </c>
      <c r="U15" s="81"/>
    </row>
    <row r="16" spans="1:21" ht="72.75" customHeight="1">
      <c r="A16" s="51"/>
      <c r="B16" s="146"/>
      <c r="C16" s="136" t="s">
        <v>666</v>
      </c>
      <c r="D16" s="138"/>
      <c r="E16" s="138"/>
      <c r="F16" s="138"/>
      <c r="G16" s="138"/>
      <c r="H16" s="138"/>
      <c r="I16" s="135"/>
      <c r="J16" s="138"/>
      <c r="K16" s="138"/>
      <c r="L16" s="138"/>
      <c r="M16" s="138"/>
      <c r="N16" s="138"/>
      <c r="O16" s="138"/>
      <c r="P16" s="129" t="s">
        <v>285</v>
      </c>
      <c r="Q16" s="136" t="s">
        <v>667</v>
      </c>
      <c r="R16" s="137" t="s">
        <v>668</v>
      </c>
      <c r="S16" s="137" t="s">
        <v>660</v>
      </c>
      <c r="T16" s="154"/>
      <c r="U16" s="81"/>
    </row>
    <row r="17" spans="1:21" ht="72.75" customHeight="1">
      <c r="A17" s="51"/>
      <c r="B17" s="144"/>
      <c r="C17" s="136" t="s">
        <v>669</v>
      </c>
      <c r="D17" s="141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129" t="s">
        <v>285</v>
      </c>
      <c r="Q17" s="136" t="s">
        <v>670</v>
      </c>
      <c r="R17" s="137" t="s">
        <v>671</v>
      </c>
      <c r="S17" s="137" t="s">
        <v>672</v>
      </c>
      <c r="T17" s="154" t="s">
        <v>673</v>
      </c>
      <c r="U17" s="81"/>
    </row>
    <row r="18" spans="1:21" ht="72.75" customHeight="1">
      <c r="A18" s="51"/>
      <c r="B18" s="146"/>
      <c r="C18" s="136" t="s">
        <v>674</v>
      </c>
      <c r="D18" s="138"/>
      <c r="E18" s="138"/>
      <c r="F18" s="138"/>
      <c r="G18" s="138"/>
      <c r="H18" s="138"/>
      <c r="I18" s="135"/>
      <c r="J18" s="138"/>
      <c r="K18" s="138"/>
      <c r="L18" s="138"/>
      <c r="M18" s="138"/>
      <c r="N18" s="138"/>
      <c r="O18" s="138"/>
      <c r="P18" s="129" t="s">
        <v>283</v>
      </c>
      <c r="Q18" s="136" t="s">
        <v>675</v>
      </c>
      <c r="R18" s="137" t="s">
        <v>676</v>
      </c>
      <c r="S18" s="137" t="s">
        <v>605</v>
      </c>
      <c r="T18" s="154" t="s">
        <v>677</v>
      </c>
      <c r="U18" s="81"/>
    </row>
    <row r="19" spans="1:21" ht="72.75" customHeight="1">
      <c r="A19" s="51"/>
      <c r="B19" s="146"/>
      <c r="C19" s="136" t="s">
        <v>678</v>
      </c>
      <c r="D19" s="138"/>
      <c r="E19" s="138"/>
      <c r="F19" s="135"/>
      <c r="G19" s="138"/>
      <c r="H19" s="138"/>
      <c r="I19" s="135"/>
      <c r="J19" s="138"/>
      <c r="K19" s="138"/>
      <c r="L19" s="135"/>
      <c r="M19" s="138"/>
      <c r="N19" s="138"/>
      <c r="O19" s="135"/>
      <c r="P19" s="129" t="s">
        <v>284</v>
      </c>
      <c r="Q19" s="136" t="s">
        <v>679</v>
      </c>
      <c r="R19" s="137" t="s">
        <v>680</v>
      </c>
      <c r="S19" s="137" t="s">
        <v>681</v>
      </c>
      <c r="T19" s="154"/>
      <c r="U19" s="81"/>
    </row>
    <row r="20" spans="1:21" ht="72.75" customHeight="1">
      <c r="A20" s="51"/>
      <c r="B20" s="146"/>
      <c r="C20" s="136" t="s">
        <v>682</v>
      </c>
      <c r="D20" s="138"/>
      <c r="E20" s="138"/>
      <c r="F20" s="138"/>
      <c r="G20" s="138"/>
      <c r="H20" s="138"/>
      <c r="I20" s="135"/>
      <c r="J20" s="138"/>
      <c r="K20" s="135"/>
      <c r="L20" s="138"/>
      <c r="M20" s="135"/>
      <c r="N20" s="138"/>
      <c r="O20" s="135"/>
      <c r="P20" s="129" t="s">
        <v>283</v>
      </c>
      <c r="Q20" s="136" t="s">
        <v>684</v>
      </c>
      <c r="R20" s="137" t="s">
        <v>683</v>
      </c>
      <c r="S20" s="137" t="s">
        <v>685</v>
      </c>
      <c r="T20" s="154" t="s">
        <v>686</v>
      </c>
      <c r="U20" s="81"/>
    </row>
    <row r="21" spans="1:21" ht="72.75" customHeight="1">
      <c r="A21" s="51"/>
      <c r="B21" s="146"/>
      <c r="C21" s="136" t="s">
        <v>687</v>
      </c>
      <c r="D21" s="138"/>
      <c r="E21" s="138"/>
      <c r="F21" s="138"/>
      <c r="G21" s="138"/>
      <c r="H21" s="138"/>
      <c r="I21" s="135"/>
      <c r="J21" s="138"/>
      <c r="K21" s="135"/>
      <c r="L21" s="138"/>
      <c r="M21" s="135"/>
      <c r="N21" s="138"/>
      <c r="O21" s="135"/>
      <c r="P21" s="129" t="s">
        <v>285</v>
      </c>
      <c r="Q21" s="136" t="s">
        <v>688</v>
      </c>
      <c r="R21" s="137" t="s">
        <v>683</v>
      </c>
      <c r="S21" s="137" t="s">
        <v>685</v>
      </c>
      <c r="T21" s="154"/>
      <c r="U21" s="81"/>
    </row>
    <row r="22" spans="1:21" ht="72.75" customHeight="1">
      <c r="A22" s="51"/>
      <c r="B22" s="147"/>
      <c r="C22" s="136" t="s">
        <v>689</v>
      </c>
      <c r="D22" s="138"/>
      <c r="E22" s="138"/>
      <c r="F22" s="138"/>
      <c r="G22" s="138"/>
      <c r="H22" s="138"/>
      <c r="I22" s="135"/>
      <c r="J22" s="138"/>
      <c r="K22" s="138"/>
      <c r="L22" s="138"/>
      <c r="M22" s="135"/>
      <c r="N22" s="138"/>
      <c r="O22" s="138"/>
      <c r="P22" s="129" t="s">
        <v>285</v>
      </c>
      <c r="Q22" s="136" t="s">
        <v>690</v>
      </c>
      <c r="R22" s="137" t="s">
        <v>683</v>
      </c>
      <c r="S22" s="137" t="s">
        <v>685</v>
      </c>
      <c r="T22" s="154" t="s">
        <v>691</v>
      </c>
      <c r="U22" s="81"/>
    </row>
    <row r="23" spans="1:21" ht="72.75" customHeight="1">
      <c r="A23" s="51"/>
      <c r="B23" s="146"/>
      <c r="C23" s="136" t="s">
        <v>692</v>
      </c>
      <c r="D23" s="138"/>
      <c r="E23" s="138"/>
      <c r="F23" s="138"/>
      <c r="G23" s="138"/>
      <c r="H23" s="138"/>
      <c r="I23" s="135"/>
      <c r="J23" s="135"/>
      <c r="K23" s="135"/>
      <c r="L23" s="135"/>
      <c r="M23" s="135"/>
      <c r="N23" s="135"/>
      <c r="O23" s="135"/>
      <c r="P23" s="129" t="s">
        <v>284</v>
      </c>
      <c r="Q23" s="136" t="s">
        <v>693</v>
      </c>
      <c r="R23" s="137" t="s">
        <v>694</v>
      </c>
      <c r="S23" s="137" t="s">
        <v>633</v>
      </c>
      <c r="T23" s="154" t="s">
        <v>695</v>
      </c>
      <c r="U23" s="81"/>
    </row>
    <row r="24" spans="1:21" ht="72.75" customHeight="1">
      <c r="A24" s="51"/>
      <c r="B24" s="146"/>
      <c r="C24" s="136" t="s">
        <v>696</v>
      </c>
      <c r="D24" s="141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129" t="s">
        <v>285</v>
      </c>
      <c r="Q24" s="136" t="s">
        <v>697</v>
      </c>
      <c r="R24" s="137" t="s">
        <v>698</v>
      </c>
      <c r="S24" s="137" t="s">
        <v>633</v>
      </c>
      <c r="T24" s="154" t="s">
        <v>699</v>
      </c>
      <c r="U24" s="81"/>
    </row>
    <row r="25" spans="1:21" ht="72.75" customHeight="1">
      <c r="A25" s="51"/>
      <c r="B25" s="144"/>
      <c r="C25" s="136" t="s">
        <v>700</v>
      </c>
      <c r="D25" s="138"/>
      <c r="E25" s="138"/>
      <c r="F25" s="138"/>
      <c r="G25" s="135"/>
      <c r="H25" s="138"/>
      <c r="I25" s="138"/>
      <c r="J25" s="135"/>
      <c r="K25" s="138"/>
      <c r="L25" s="138"/>
      <c r="M25" s="135"/>
      <c r="N25" s="138"/>
      <c r="O25" s="138"/>
      <c r="P25" s="129" t="s">
        <v>285</v>
      </c>
      <c r="Q25" s="136" t="s">
        <v>701</v>
      </c>
      <c r="R25" s="137" t="s">
        <v>702</v>
      </c>
      <c r="S25" s="137" t="s">
        <v>703</v>
      </c>
      <c r="T25" s="154" t="s">
        <v>704</v>
      </c>
      <c r="U25" s="81"/>
    </row>
    <row r="26" spans="1:21" ht="72.75" customHeight="1">
      <c r="A26" s="51"/>
      <c r="B26" s="146"/>
      <c r="C26" s="136" t="s">
        <v>705</v>
      </c>
      <c r="D26" s="138"/>
      <c r="E26" s="138"/>
      <c r="F26" s="138"/>
      <c r="G26" s="135"/>
      <c r="H26" s="138"/>
      <c r="I26" s="138"/>
      <c r="J26" s="135"/>
      <c r="K26" s="138"/>
      <c r="L26" s="138"/>
      <c r="M26" s="135"/>
      <c r="N26" s="138"/>
      <c r="O26" s="138"/>
      <c r="P26" s="129" t="s">
        <v>285</v>
      </c>
      <c r="Q26" s="136" t="s">
        <v>706</v>
      </c>
      <c r="R26" s="137" t="s">
        <v>707</v>
      </c>
      <c r="S26" s="137" t="s">
        <v>703</v>
      </c>
      <c r="T26" s="154" t="s">
        <v>708</v>
      </c>
      <c r="U26" s="81"/>
    </row>
    <row r="27" spans="1:21" ht="117.75" customHeight="1" thickBot="1">
      <c r="A27" s="51"/>
      <c r="B27" s="144"/>
      <c r="C27" s="136" t="s">
        <v>709</v>
      </c>
      <c r="D27" s="148"/>
      <c r="E27" s="148"/>
      <c r="F27" s="148"/>
      <c r="G27" s="148"/>
      <c r="H27" s="149"/>
      <c r="I27" s="148"/>
      <c r="J27" s="148"/>
      <c r="K27" s="148"/>
      <c r="L27" s="150"/>
      <c r="M27" s="151"/>
      <c r="N27" s="148"/>
      <c r="O27" s="148"/>
      <c r="P27" s="129" t="s">
        <v>284</v>
      </c>
      <c r="Q27" s="136" t="s">
        <v>710</v>
      </c>
      <c r="R27" s="137" t="s">
        <v>711</v>
      </c>
      <c r="S27" s="137" t="s">
        <v>712</v>
      </c>
      <c r="T27" s="154" t="s">
        <v>713</v>
      </c>
      <c r="U27" s="358" t="s">
        <v>955</v>
      </c>
    </row>
    <row r="28" spans="1:21" ht="48.75" customHeight="1">
      <c r="A28" s="50"/>
      <c r="B28" s="609" t="s">
        <v>714</v>
      </c>
      <c r="C28" s="609"/>
      <c r="D28" s="123" t="s">
        <v>288</v>
      </c>
      <c r="E28" s="123" t="s">
        <v>289</v>
      </c>
      <c r="F28" s="123" t="s">
        <v>290</v>
      </c>
      <c r="G28" s="123" t="s">
        <v>291</v>
      </c>
      <c r="H28" s="123" t="s">
        <v>290</v>
      </c>
      <c r="I28" s="123" t="s">
        <v>288</v>
      </c>
      <c r="J28" s="123" t="s">
        <v>288</v>
      </c>
      <c r="K28" s="123" t="s">
        <v>291</v>
      </c>
      <c r="L28" s="123" t="s">
        <v>292</v>
      </c>
      <c r="M28" s="123" t="s">
        <v>293</v>
      </c>
      <c r="N28" s="123" t="s">
        <v>294</v>
      </c>
      <c r="O28" s="123" t="s">
        <v>295</v>
      </c>
      <c r="P28" s="124" t="s">
        <v>251</v>
      </c>
      <c r="Q28" s="125" t="s">
        <v>628</v>
      </c>
      <c r="R28" s="126" t="s">
        <v>621</v>
      </c>
      <c r="S28" s="127" t="s">
        <v>562</v>
      </c>
      <c r="T28" s="155" t="s">
        <v>755</v>
      </c>
      <c r="U28" s="155" t="s">
        <v>756</v>
      </c>
    </row>
    <row r="29" spans="1:21" ht="90" customHeight="1">
      <c r="A29" s="51"/>
      <c r="B29" s="144"/>
      <c r="C29" s="136" t="s">
        <v>715</v>
      </c>
      <c r="D29" s="148"/>
      <c r="E29" s="148"/>
      <c r="F29" s="148"/>
      <c r="G29" s="148"/>
      <c r="H29" s="152"/>
      <c r="I29" s="148"/>
      <c r="J29" s="148"/>
      <c r="K29" s="148"/>
      <c r="L29" s="148"/>
      <c r="M29" s="151"/>
      <c r="N29" s="148"/>
      <c r="O29" s="148"/>
      <c r="P29" s="129" t="s">
        <v>285</v>
      </c>
      <c r="Q29" s="136" t="s">
        <v>716</v>
      </c>
      <c r="R29" s="137" t="s">
        <v>717</v>
      </c>
      <c r="S29" s="137" t="s">
        <v>718</v>
      </c>
      <c r="T29" s="154"/>
      <c r="U29" s="81"/>
    </row>
    <row r="30" spans="1:21" ht="90" customHeight="1">
      <c r="A30" s="51"/>
      <c r="B30" s="144"/>
      <c r="C30" s="136" t="s">
        <v>719</v>
      </c>
      <c r="D30" s="148"/>
      <c r="E30" s="148"/>
      <c r="F30" s="148"/>
      <c r="G30" s="148"/>
      <c r="H30" s="152"/>
      <c r="I30" s="148"/>
      <c r="J30" s="148"/>
      <c r="K30" s="148"/>
      <c r="L30" s="148"/>
      <c r="M30" s="151"/>
      <c r="N30" s="148"/>
      <c r="O30" s="148"/>
      <c r="P30" s="129" t="s">
        <v>285</v>
      </c>
      <c r="Q30" s="136" t="s">
        <v>720</v>
      </c>
      <c r="R30" s="137" t="s">
        <v>721</v>
      </c>
      <c r="S30" s="137" t="s">
        <v>722</v>
      </c>
      <c r="T30" s="154"/>
      <c r="U30" s="81"/>
    </row>
    <row r="31" spans="1:21" ht="90" customHeight="1">
      <c r="A31" s="51"/>
      <c r="B31" s="144"/>
      <c r="C31" s="136" t="s">
        <v>723</v>
      </c>
      <c r="D31" s="148"/>
      <c r="E31" s="148"/>
      <c r="F31" s="148"/>
      <c r="G31" s="148"/>
      <c r="H31" s="152"/>
      <c r="I31" s="148"/>
      <c r="J31" s="148"/>
      <c r="K31" s="148"/>
      <c r="L31" s="150"/>
      <c r="M31" s="151"/>
      <c r="N31" s="148"/>
      <c r="O31" s="148"/>
      <c r="P31" s="129" t="s">
        <v>285</v>
      </c>
      <c r="Q31" s="136" t="s">
        <v>724</v>
      </c>
      <c r="R31" s="137" t="s">
        <v>725</v>
      </c>
      <c r="S31" s="137" t="s">
        <v>726</v>
      </c>
      <c r="T31" s="154" t="s">
        <v>727</v>
      </c>
      <c r="U31" s="358" t="s">
        <v>956</v>
      </c>
    </row>
    <row r="32" spans="1:21" ht="90" customHeight="1">
      <c r="A32" s="51"/>
      <c r="B32" s="144"/>
      <c r="C32" s="136" t="s">
        <v>728</v>
      </c>
      <c r="D32" s="148"/>
      <c r="E32" s="148"/>
      <c r="F32" s="148"/>
      <c r="G32" s="148"/>
      <c r="H32" s="149"/>
      <c r="I32" s="150"/>
      <c r="J32" s="148"/>
      <c r="K32" s="148"/>
      <c r="L32" s="150"/>
      <c r="M32" s="151"/>
      <c r="N32" s="148"/>
      <c r="O32" s="148"/>
      <c r="P32" s="129" t="s">
        <v>285</v>
      </c>
      <c r="Q32" s="136" t="s">
        <v>729</v>
      </c>
      <c r="R32" s="137" t="s">
        <v>730</v>
      </c>
      <c r="S32" s="137" t="s">
        <v>731</v>
      </c>
      <c r="T32" s="154" t="s">
        <v>732</v>
      </c>
      <c r="U32" s="358" t="s">
        <v>895</v>
      </c>
    </row>
    <row r="33" spans="1:21" ht="90" customHeight="1">
      <c r="A33" s="51"/>
      <c r="B33" s="146"/>
      <c r="C33" s="136" t="s">
        <v>733</v>
      </c>
      <c r="D33" s="148"/>
      <c r="E33" s="148"/>
      <c r="F33" s="148"/>
      <c r="G33" s="148"/>
      <c r="H33" s="152"/>
      <c r="I33" s="150"/>
      <c r="J33" s="148"/>
      <c r="K33" s="148"/>
      <c r="L33" s="148"/>
      <c r="M33" s="151"/>
      <c r="N33" s="148"/>
      <c r="O33" s="148"/>
      <c r="P33" s="129" t="s">
        <v>285</v>
      </c>
      <c r="Q33" s="136" t="s">
        <v>734</v>
      </c>
      <c r="R33" s="137" t="s">
        <v>735</v>
      </c>
      <c r="S33" s="137" t="s">
        <v>736</v>
      </c>
      <c r="T33" s="154"/>
      <c r="U33" s="81"/>
    </row>
    <row r="34" spans="1:21" ht="90" customHeight="1">
      <c r="A34" s="51"/>
      <c r="B34" s="146"/>
      <c r="C34" s="136" t="s">
        <v>737</v>
      </c>
      <c r="D34" s="148"/>
      <c r="E34" s="148"/>
      <c r="F34" s="148"/>
      <c r="G34" s="148"/>
      <c r="H34" s="152"/>
      <c r="I34" s="150"/>
      <c r="J34" s="148"/>
      <c r="K34" s="148"/>
      <c r="L34" s="148"/>
      <c r="M34" s="151"/>
      <c r="N34" s="148"/>
      <c r="O34" s="148"/>
      <c r="P34" s="129" t="s">
        <v>285</v>
      </c>
      <c r="Q34" s="136" t="s">
        <v>738</v>
      </c>
      <c r="R34" s="137" t="s">
        <v>739</v>
      </c>
      <c r="S34" s="137" t="s">
        <v>736</v>
      </c>
      <c r="T34" s="154"/>
      <c r="U34" s="81"/>
    </row>
    <row r="35" spans="1:21" ht="90" customHeight="1">
      <c r="A35" s="51"/>
      <c r="B35" s="146"/>
      <c r="C35" s="136" t="s">
        <v>740</v>
      </c>
      <c r="D35" s="148"/>
      <c r="E35" s="148"/>
      <c r="F35" s="148"/>
      <c r="G35" s="148"/>
      <c r="H35" s="149"/>
      <c r="I35" s="150"/>
      <c r="J35" s="150"/>
      <c r="K35" s="150"/>
      <c r="L35" s="150"/>
      <c r="M35" s="153"/>
      <c r="N35" s="150"/>
      <c r="O35" s="150"/>
      <c r="P35" s="129" t="s">
        <v>285</v>
      </c>
      <c r="Q35" s="136" t="s">
        <v>741</v>
      </c>
      <c r="R35" s="137" t="s">
        <v>742</v>
      </c>
      <c r="S35" s="137" t="s">
        <v>743</v>
      </c>
      <c r="T35" s="154"/>
      <c r="U35" s="81"/>
    </row>
    <row r="36" spans="1:21" ht="90" customHeight="1">
      <c r="A36" s="51"/>
      <c r="B36" s="146"/>
      <c r="C36" s="136" t="s">
        <v>744</v>
      </c>
      <c r="D36" s="148"/>
      <c r="E36" s="148"/>
      <c r="F36" s="148"/>
      <c r="G36" s="148"/>
      <c r="H36" s="149"/>
      <c r="I36" s="150"/>
      <c r="J36" s="150"/>
      <c r="K36" s="150"/>
      <c r="L36" s="150"/>
      <c r="M36" s="153"/>
      <c r="N36" s="150"/>
      <c r="O36" s="150"/>
      <c r="P36" s="129" t="s">
        <v>285</v>
      </c>
      <c r="Q36" s="136" t="s">
        <v>745</v>
      </c>
      <c r="R36" s="137" t="s">
        <v>746</v>
      </c>
      <c r="S36" s="137" t="s">
        <v>736</v>
      </c>
      <c r="T36" s="154"/>
      <c r="U36" s="81" t="s">
        <v>957</v>
      </c>
    </row>
    <row r="37" spans="1:21" ht="90" customHeight="1">
      <c r="A37" s="51"/>
      <c r="B37" s="146"/>
      <c r="C37" s="136" t="s">
        <v>747</v>
      </c>
      <c r="D37" s="148"/>
      <c r="E37" s="148"/>
      <c r="F37" s="148"/>
      <c r="G37" s="148"/>
      <c r="H37" s="152"/>
      <c r="I37" s="148"/>
      <c r="J37" s="148"/>
      <c r="K37" s="150"/>
      <c r="L37" s="148"/>
      <c r="M37" s="151"/>
      <c r="N37" s="150"/>
      <c r="O37" s="148"/>
      <c r="P37" s="129" t="s">
        <v>284</v>
      </c>
      <c r="Q37" s="136" t="s">
        <v>748</v>
      </c>
      <c r="R37" s="137" t="s">
        <v>749</v>
      </c>
      <c r="S37" s="137" t="s">
        <v>750</v>
      </c>
      <c r="T37" s="154"/>
      <c r="U37" s="81"/>
    </row>
    <row r="38" spans="1:21" ht="58.5" customHeight="1">
      <c r="A38" s="51"/>
      <c r="B38" s="116"/>
      <c r="C38" s="87"/>
      <c r="D38" s="67"/>
      <c r="E38" s="67"/>
      <c r="F38" s="67"/>
      <c r="G38" s="67"/>
      <c r="H38" s="88"/>
      <c r="I38" s="67"/>
      <c r="J38" s="67"/>
      <c r="K38" s="67"/>
      <c r="L38" s="67"/>
      <c r="M38" s="89"/>
      <c r="N38" s="67"/>
      <c r="O38" s="67"/>
      <c r="P38" s="68"/>
      <c r="Q38" s="115"/>
      <c r="R38" s="95"/>
      <c r="S38" s="95"/>
      <c r="T38" s="95"/>
    </row>
    <row r="39" spans="1:21" ht="20.25">
      <c r="A39" s="51"/>
      <c r="B39" s="54"/>
      <c r="C39" s="49"/>
      <c r="D39" s="51"/>
      <c r="E39" s="51"/>
      <c r="F39" s="51"/>
      <c r="G39" s="55"/>
      <c r="H39" s="51"/>
      <c r="I39" s="51"/>
      <c r="J39" s="51"/>
      <c r="K39" s="51"/>
      <c r="L39" s="51"/>
      <c r="M39" s="608">
        <f>O39/23</f>
        <v>0.39130434782608697</v>
      </c>
      <c r="N39" s="608"/>
      <c r="O39" s="53">
        <v>9</v>
      </c>
      <c r="P39" s="53" t="s">
        <v>285</v>
      </c>
      <c r="Q39" s="68"/>
      <c r="R39" s="49"/>
      <c r="S39" s="49"/>
      <c r="T39" s="49"/>
    </row>
    <row r="40" spans="1:21" ht="20.25">
      <c r="A40" s="51"/>
      <c r="B40" s="54"/>
      <c r="C40" s="49"/>
      <c r="D40" s="51"/>
      <c r="E40" s="51"/>
      <c r="F40" s="51"/>
      <c r="G40" s="51"/>
      <c r="H40" s="51"/>
      <c r="I40" s="51"/>
      <c r="J40" s="51"/>
      <c r="K40" s="51"/>
      <c r="L40" s="51"/>
      <c r="M40" s="608">
        <f>O40/23</f>
        <v>0.52173913043478259</v>
      </c>
      <c r="N40" s="608"/>
      <c r="O40" s="53">
        <v>12</v>
      </c>
      <c r="P40" s="53" t="s">
        <v>284</v>
      </c>
      <c r="Q40" s="68"/>
      <c r="R40" s="49"/>
      <c r="S40" s="49"/>
      <c r="T40" s="49"/>
    </row>
    <row r="41" spans="1:21" ht="20.25">
      <c r="A41" s="51"/>
      <c r="B41" s="54"/>
      <c r="C41" s="49"/>
      <c r="D41" s="51"/>
      <c r="E41" s="51"/>
      <c r="F41" s="51"/>
      <c r="G41" s="51"/>
      <c r="H41" s="51"/>
      <c r="I41" s="51"/>
      <c r="J41" s="51"/>
      <c r="K41" s="51"/>
      <c r="L41" s="51"/>
      <c r="M41" s="608">
        <f>O41/23</f>
        <v>8.6956521739130432E-2</v>
      </c>
      <c r="N41" s="608"/>
      <c r="O41" s="53">
        <f>COUNTIF($P$6:$P$28, P41)</f>
        <v>2</v>
      </c>
      <c r="P41" s="71" t="s">
        <v>283</v>
      </c>
      <c r="Q41" s="113"/>
      <c r="R41" s="49"/>
      <c r="S41" s="49"/>
      <c r="T41" s="49"/>
    </row>
  </sheetData>
  <mergeCells count="9">
    <mergeCell ref="M39:N39"/>
    <mergeCell ref="M40:N40"/>
    <mergeCell ref="M41:N41"/>
    <mergeCell ref="B28:C28"/>
    <mergeCell ref="A2:P2"/>
    <mergeCell ref="B5:C5"/>
    <mergeCell ref="E3:F3"/>
    <mergeCell ref="I3:J3"/>
    <mergeCell ref="M3:N3"/>
  </mergeCells>
  <conditionalFormatting sqref="P6:Q27">
    <cfRule type="cellIs" dxfId="62" priority="5" stopIfTrue="1" operator="equal">
      <formula>"TERMINEE"</formula>
    </cfRule>
    <cfRule type="cellIs" dxfId="61" priority="6" stopIfTrue="1" operator="equal">
      <formula>"NON COMMENCEE"</formula>
    </cfRule>
  </conditionalFormatting>
  <conditionalFormatting sqref="P1:Q1 P4:Q4 P39:Q41 P5">
    <cfRule type="cellIs" dxfId="60" priority="13" stopIfTrue="1" operator="equal">
      <formula>"TERMINEE"</formula>
    </cfRule>
    <cfRule type="cellIs" dxfId="59" priority="14" stopIfTrue="1" operator="equal">
      <formula>"NON COMMENCEE"</formula>
    </cfRule>
  </conditionalFormatting>
  <conditionalFormatting sqref="P28">
    <cfRule type="cellIs" dxfId="58" priority="7" stopIfTrue="1" operator="equal">
      <formula>"TERMINEE"</formula>
    </cfRule>
    <cfRule type="cellIs" dxfId="57" priority="8" stopIfTrue="1" operator="equal">
      <formula>"NON COMMENCEE"</formula>
    </cfRule>
  </conditionalFormatting>
  <conditionalFormatting sqref="P29:Q36 P38:Q38">
    <cfRule type="cellIs" dxfId="56" priority="3" stopIfTrue="1" operator="equal">
      <formula>"TERMINEE"</formula>
    </cfRule>
    <cfRule type="cellIs" dxfId="55" priority="4" stopIfTrue="1" operator="equal">
      <formula>"NON COMMENCEE"</formula>
    </cfRule>
  </conditionalFormatting>
  <conditionalFormatting sqref="P37:Q37">
    <cfRule type="cellIs" dxfId="54" priority="1" stopIfTrue="1" operator="equal">
      <formula>"TERMINEE"</formula>
    </cfRule>
    <cfRule type="cellIs" dxfId="53" priority="2" stopIfTrue="1" operator="equal">
      <formula>"NON COMMENCEE"</formula>
    </cfRule>
  </conditionalFormatting>
  <dataValidations count="1">
    <dataValidation type="list" allowBlank="1" showInputMessage="1" showErrorMessage="1" sqref="P39:Q41 P6:P27 P29:P38" xr:uid="{00000000-0002-0000-0600-000000000000}">
      <formula1>etat</formula1>
    </dataValidation>
  </dataValidations>
  <hyperlinks>
    <hyperlink ref="R2" location="'Tableau de bord'!S25" tooltip="Retour au Tableau de Bord" display="RETOUR AU TABLEAU DE BORD" xr:uid="{00000000-0004-0000-0600-000000000000}"/>
  </hyperlinks>
  <pageMargins left="0.7" right="0.7" top="0.75" bottom="0.75" header="0.3" footer="0.3"/>
  <pageSetup paperSize="8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21"/>
  <dimension ref="A1:AD338"/>
  <sheetViews>
    <sheetView zoomScale="90" zoomScaleNormal="90" workbookViewId="0">
      <selection activeCell="J23" sqref="J23:J35"/>
    </sheetView>
  </sheetViews>
  <sheetFormatPr baseColWidth="10" defaultRowHeight="12.75"/>
  <cols>
    <col min="1" max="1" width="40.7109375" style="22" customWidth="1"/>
    <col min="2" max="2" width="22.42578125" style="14" customWidth="1"/>
    <col min="3" max="3" width="21.5703125" style="14" customWidth="1"/>
    <col min="4" max="4" width="20" style="14" customWidth="1"/>
    <col min="5" max="5" width="17.5703125" style="14" customWidth="1"/>
    <col min="6" max="6" width="20.7109375" style="14" customWidth="1"/>
    <col min="7" max="7" width="19.42578125" style="14" customWidth="1"/>
    <col min="8" max="8" width="14.85546875" style="14" customWidth="1"/>
    <col min="9" max="10" width="11.42578125" style="14"/>
    <col min="11" max="11" width="15.7109375" style="14" customWidth="1"/>
    <col min="12" max="30" width="60.7109375" style="14" customWidth="1"/>
    <col min="31" max="16384" width="11.42578125" style="14"/>
  </cols>
  <sheetData>
    <row r="1" spans="1:30">
      <c r="A1" s="342" t="s">
        <v>89</v>
      </c>
      <c r="B1" s="343" t="s">
        <v>18</v>
      </c>
      <c r="C1" s="343" t="s">
        <v>17</v>
      </c>
      <c r="D1" s="14" t="s">
        <v>18</v>
      </c>
      <c r="E1" s="14" t="s">
        <v>17</v>
      </c>
      <c r="F1" s="14" t="s">
        <v>90</v>
      </c>
      <c r="G1" s="14" t="s">
        <v>159</v>
      </c>
      <c r="H1" s="14" t="s">
        <v>92</v>
      </c>
      <c r="I1" s="14" t="s">
        <v>94</v>
      </c>
      <c r="J1" s="14" t="s">
        <v>160</v>
      </c>
      <c r="K1" s="14" t="s">
        <v>27</v>
      </c>
      <c r="L1" s="14" t="s">
        <v>22</v>
      </c>
      <c r="M1" s="14" t="s">
        <v>108</v>
      </c>
      <c r="N1" s="14" t="s">
        <v>109</v>
      </c>
      <c r="O1" s="14" t="s">
        <v>110</v>
      </c>
      <c r="P1" s="14" t="s">
        <v>111</v>
      </c>
      <c r="Q1" s="14" t="s">
        <v>112</v>
      </c>
      <c r="R1" s="14" t="s">
        <v>113</v>
      </c>
      <c r="S1" s="14" t="s">
        <v>114</v>
      </c>
      <c r="T1" s="14" t="s">
        <v>115</v>
      </c>
      <c r="U1" s="14" t="s">
        <v>311</v>
      </c>
      <c r="V1" s="14" t="s">
        <v>316</v>
      </c>
      <c r="W1" s="14" t="s">
        <v>329</v>
      </c>
      <c r="X1" s="14" t="s">
        <v>349</v>
      </c>
      <c r="Y1" s="14" t="s">
        <v>353</v>
      </c>
      <c r="Z1" s="14" t="s">
        <v>356</v>
      </c>
      <c r="AA1" s="14" t="s">
        <v>362</v>
      </c>
      <c r="AB1" s="14" t="s">
        <v>384</v>
      </c>
      <c r="AC1" s="14" t="s">
        <v>394</v>
      </c>
      <c r="AD1" s="14" t="s">
        <v>410</v>
      </c>
    </row>
    <row r="2" spans="1:30">
      <c r="A2" s="23" t="s">
        <v>1021</v>
      </c>
      <c r="B2" s="18" t="s">
        <v>1000</v>
      </c>
      <c r="C2" s="18" t="s">
        <v>1000</v>
      </c>
      <c r="D2" s="18" t="s">
        <v>1000</v>
      </c>
      <c r="E2" s="101" t="s">
        <v>999</v>
      </c>
      <c r="F2" s="14" t="s">
        <v>33</v>
      </c>
      <c r="G2" s="14" t="s">
        <v>34</v>
      </c>
      <c r="H2" s="14" t="s">
        <v>39</v>
      </c>
      <c r="I2" s="14" t="s">
        <v>50</v>
      </c>
      <c r="J2" s="14" t="s">
        <v>116</v>
      </c>
      <c r="K2" s="14" t="s">
        <v>97</v>
      </c>
      <c r="L2" s="15" t="s">
        <v>48</v>
      </c>
      <c r="M2" s="14" t="s">
        <v>55</v>
      </c>
      <c r="N2" s="14" t="s">
        <v>59</v>
      </c>
      <c r="O2" s="14" t="s">
        <v>522</v>
      </c>
      <c r="P2" s="14" t="s">
        <v>189</v>
      </c>
      <c r="Q2" s="14" t="s">
        <v>203</v>
      </c>
      <c r="R2" s="14" t="s">
        <v>213</v>
      </c>
      <c r="S2" s="14" t="s">
        <v>229</v>
      </c>
      <c r="T2" s="14" t="s">
        <v>300</v>
      </c>
      <c r="U2" s="14" t="s">
        <v>313</v>
      </c>
      <c r="V2" s="14" t="s">
        <v>317</v>
      </c>
      <c r="W2" s="14" t="s">
        <v>330</v>
      </c>
      <c r="X2" s="14" t="s">
        <v>350</v>
      </c>
      <c r="Y2" s="14" t="s">
        <v>354</v>
      </c>
      <c r="Z2" s="14" t="s">
        <v>361</v>
      </c>
      <c r="AA2" s="14" t="s">
        <v>363</v>
      </c>
      <c r="AB2" s="14" t="s">
        <v>385</v>
      </c>
      <c r="AC2" s="14" t="s">
        <v>395</v>
      </c>
      <c r="AD2" s="14" t="s">
        <v>411</v>
      </c>
    </row>
    <row r="3" spans="1:30">
      <c r="A3" s="23" t="s">
        <v>1001</v>
      </c>
      <c r="B3" s="18" t="s">
        <v>1000</v>
      </c>
      <c r="C3" s="18" t="s">
        <v>1000</v>
      </c>
      <c r="D3" s="101" t="s">
        <v>999</v>
      </c>
      <c r="E3" s="18" t="s">
        <v>1000</v>
      </c>
      <c r="F3" s="14" t="s">
        <v>42</v>
      </c>
      <c r="G3" s="14" t="s">
        <v>43</v>
      </c>
      <c r="H3" s="14" t="s">
        <v>41</v>
      </c>
      <c r="I3" s="14" t="s">
        <v>63</v>
      </c>
      <c r="J3" s="14" t="s">
        <v>117</v>
      </c>
      <c r="K3" s="14" t="s">
        <v>98</v>
      </c>
      <c r="L3" s="15" t="s">
        <v>58</v>
      </c>
      <c r="M3" s="14" t="s">
        <v>163</v>
      </c>
      <c r="N3" s="14" t="s">
        <v>171</v>
      </c>
      <c r="O3" s="14" t="s">
        <v>523</v>
      </c>
      <c r="P3" s="14" t="s">
        <v>198</v>
      </c>
      <c r="Q3" s="14" t="s">
        <v>204</v>
      </c>
      <c r="R3" s="14" t="s">
        <v>214</v>
      </c>
      <c r="S3" s="14" t="s">
        <v>230</v>
      </c>
      <c r="T3" s="14" t="s">
        <v>301</v>
      </c>
      <c r="U3" s="14" t="s">
        <v>314</v>
      </c>
      <c r="V3" s="14" t="s">
        <v>318</v>
      </c>
      <c r="W3" s="14" t="s">
        <v>331</v>
      </c>
      <c r="X3" s="14" t="s">
        <v>351</v>
      </c>
      <c r="Y3" s="14" t="s">
        <v>69</v>
      </c>
      <c r="Z3" s="14" t="s">
        <v>357</v>
      </c>
      <c r="AA3" s="14" t="s">
        <v>364</v>
      </c>
      <c r="AB3" s="14" t="s">
        <v>386</v>
      </c>
      <c r="AC3" s="14" t="s">
        <v>396</v>
      </c>
    </row>
    <row r="4" spans="1:30">
      <c r="A4" s="23" t="s">
        <v>1002</v>
      </c>
      <c r="B4" s="18" t="s">
        <v>1000</v>
      </c>
      <c r="C4" s="18" t="s">
        <v>1000</v>
      </c>
      <c r="D4" s="330" t="s">
        <v>838</v>
      </c>
      <c r="E4" s="330" t="s">
        <v>838</v>
      </c>
      <c r="F4" s="14" t="s">
        <v>964</v>
      </c>
      <c r="G4" s="14" t="s">
        <v>93</v>
      </c>
      <c r="I4" s="14" t="s">
        <v>46</v>
      </c>
      <c r="J4" s="14" t="s">
        <v>118</v>
      </c>
      <c r="K4" s="14" t="s">
        <v>99</v>
      </c>
      <c r="L4" s="15" t="s">
        <v>68</v>
      </c>
      <c r="M4" s="14" t="s">
        <v>75</v>
      </c>
      <c r="N4" s="14" t="s">
        <v>176</v>
      </c>
      <c r="O4" s="14" t="s">
        <v>524</v>
      </c>
      <c r="P4" s="14" t="s">
        <v>190</v>
      </c>
      <c r="Q4" s="14" t="s">
        <v>206</v>
      </c>
      <c r="R4" s="14" t="s">
        <v>215</v>
      </c>
      <c r="S4" s="14" t="s">
        <v>231</v>
      </c>
      <c r="T4" s="14" t="s">
        <v>302</v>
      </c>
      <c r="U4" s="14" t="s">
        <v>315</v>
      </c>
      <c r="V4" s="14" t="s">
        <v>319</v>
      </c>
      <c r="W4" s="14" t="s">
        <v>332</v>
      </c>
      <c r="X4" s="14" t="s">
        <v>69</v>
      </c>
      <c r="Z4" s="14" t="s">
        <v>358</v>
      </c>
      <c r="AA4" s="14" t="s">
        <v>365</v>
      </c>
      <c r="AB4" s="14" t="s">
        <v>36</v>
      </c>
      <c r="AC4" s="14" t="s">
        <v>397</v>
      </c>
    </row>
    <row r="5" spans="1:30">
      <c r="A5" s="23" t="s">
        <v>1003</v>
      </c>
      <c r="B5" s="18" t="s">
        <v>1000</v>
      </c>
      <c r="C5" s="18" t="s">
        <v>1000</v>
      </c>
      <c r="D5" s="17" t="s">
        <v>264</v>
      </c>
      <c r="F5" s="14" t="s">
        <v>54</v>
      </c>
      <c r="G5" s="14" t="s">
        <v>965</v>
      </c>
      <c r="H5" s="14" t="s">
        <v>249</v>
      </c>
      <c r="I5" s="14" t="s">
        <v>56</v>
      </c>
      <c r="J5" s="14" t="s">
        <v>119</v>
      </c>
      <c r="K5" s="14" t="s">
        <v>44</v>
      </c>
      <c r="L5" s="15" t="s">
        <v>78</v>
      </c>
      <c r="M5" s="14" t="s">
        <v>164</v>
      </c>
      <c r="N5" s="14" t="s">
        <v>177</v>
      </c>
      <c r="O5" s="14" t="s">
        <v>525</v>
      </c>
      <c r="P5" s="14" t="s">
        <v>191</v>
      </c>
      <c r="Q5" s="14" t="s">
        <v>207</v>
      </c>
      <c r="R5" s="14" t="s">
        <v>216</v>
      </c>
      <c r="S5" s="14" t="s">
        <v>232</v>
      </c>
      <c r="T5" s="14" t="s">
        <v>303</v>
      </c>
      <c r="U5" s="14" t="s">
        <v>69</v>
      </c>
      <c r="V5" s="14" t="s">
        <v>320</v>
      </c>
      <c r="W5" s="14" t="s">
        <v>333</v>
      </c>
      <c r="Z5" s="14" t="s">
        <v>359</v>
      </c>
      <c r="AA5" s="14" t="s">
        <v>366</v>
      </c>
      <c r="AB5" s="14" t="s">
        <v>387</v>
      </c>
      <c r="AC5" s="14" t="s">
        <v>398</v>
      </c>
    </row>
    <row r="6" spans="1:30">
      <c r="A6" s="23" t="s">
        <v>989</v>
      </c>
      <c r="B6" s="18" t="s">
        <v>1000</v>
      </c>
      <c r="C6" s="18" t="s">
        <v>1000</v>
      </c>
      <c r="D6" s="331" t="s">
        <v>846</v>
      </c>
      <c r="F6" s="14" t="s">
        <v>91</v>
      </c>
      <c r="H6" s="14" t="s">
        <v>247</v>
      </c>
      <c r="I6" s="14" t="s">
        <v>95</v>
      </c>
      <c r="J6" s="14" t="s">
        <v>120</v>
      </c>
      <c r="K6" s="14" t="s">
        <v>100</v>
      </c>
      <c r="L6" s="15" t="s">
        <v>71</v>
      </c>
      <c r="M6" s="14" t="s">
        <v>165</v>
      </c>
      <c r="N6" s="14" t="s">
        <v>178</v>
      </c>
      <c r="O6" s="14" t="s">
        <v>526</v>
      </c>
      <c r="P6" s="14" t="s">
        <v>192</v>
      </c>
      <c r="Q6" s="14" t="s">
        <v>208</v>
      </c>
      <c r="R6" s="14" t="s">
        <v>217</v>
      </c>
      <c r="S6" s="14" t="s">
        <v>233</v>
      </c>
      <c r="T6" s="14" t="s">
        <v>304</v>
      </c>
      <c r="V6" s="14" t="s">
        <v>321</v>
      </c>
      <c r="W6" s="14" t="s">
        <v>334</v>
      </c>
      <c r="Z6" s="14" t="s">
        <v>360</v>
      </c>
      <c r="AA6" s="14" t="s">
        <v>367</v>
      </c>
      <c r="AB6" s="14" t="s">
        <v>390</v>
      </c>
      <c r="AC6" s="14" t="s">
        <v>399</v>
      </c>
    </row>
    <row r="7" spans="1:30">
      <c r="A7" s="23" t="s">
        <v>1004</v>
      </c>
      <c r="B7" s="18" t="s">
        <v>1000</v>
      </c>
      <c r="C7" s="18" t="s">
        <v>1000</v>
      </c>
      <c r="H7" s="14" t="s">
        <v>549</v>
      </c>
      <c r="I7" s="14" t="s">
        <v>96</v>
      </c>
      <c r="J7" s="14" t="s">
        <v>121</v>
      </c>
      <c r="K7" s="14" t="s">
        <v>101</v>
      </c>
      <c r="L7" s="15" t="s">
        <v>80</v>
      </c>
      <c r="M7" s="14" t="s">
        <v>166</v>
      </c>
      <c r="N7" s="14" t="s">
        <v>179</v>
      </c>
      <c r="O7" s="14" t="s">
        <v>527</v>
      </c>
      <c r="P7" s="14" t="s">
        <v>193</v>
      </c>
      <c r="Q7" s="14" t="s">
        <v>209</v>
      </c>
      <c r="R7" s="14" t="s">
        <v>218</v>
      </c>
      <c r="S7" s="14" t="s">
        <v>234</v>
      </c>
      <c r="T7" s="14" t="s">
        <v>305</v>
      </c>
      <c r="V7" s="14" t="s">
        <v>322</v>
      </c>
      <c r="W7" s="14" t="s">
        <v>335</v>
      </c>
      <c r="Z7" s="14" t="s">
        <v>69</v>
      </c>
      <c r="AA7" s="14" t="s">
        <v>368</v>
      </c>
      <c r="AB7" s="14" t="s">
        <v>388</v>
      </c>
      <c r="AC7" s="14" t="s">
        <v>400</v>
      </c>
    </row>
    <row r="8" spans="1:30">
      <c r="A8" s="23" t="s">
        <v>1005</v>
      </c>
      <c r="B8" s="18" t="s">
        <v>1000</v>
      </c>
      <c r="C8" s="18" t="s">
        <v>1000</v>
      </c>
      <c r="I8" s="14" t="s">
        <v>61</v>
      </c>
      <c r="J8" s="14" t="s">
        <v>122</v>
      </c>
      <c r="K8" s="14" t="s">
        <v>72</v>
      </c>
      <c r="L8" s="15" t="s">
        <v>84</v>
      </c>
      <c r="M8" s="14" t="s">
        <v>167</v>
      </c>
      <c r="N8" s="14" t="s">
        <v>180</v>
      </c>
      <c r="O8" s="14" t="s">
        <v>528</v>
      </c>
      <c r="P8" s="14" t="s">
        <v>194</v>
      </c>
      <c r="Q8" s="14" t="s">
        <v>210</v>
      </c>
      <c r="R8" s="14" t="s">
        <v>219</v>
      </c>
      <c r="S8" s="14" t="s">
        <v>85</v>
      </c>
      <c r="T8" s="14" t="s">
        <v>306</v>
      </c>
      <c r="V8" s="14" t="s">
        <v>323</v>
      </c>
      <c r="W8" s="14" t="s">
        <v>336</v>
      </c>
      <c r="AA8" s="14" t="s">
        <v>369</v>
      </c>
      <c r="AB8" s="14" t="s">
        <v>389</v>
      </c>
      <c r="AC8" s="14" t="s">
        <v>401</v>
      </c>
    </row>
    <row r="9" spans="1:30">
      <c r="A9" s="23" t="s">
        <v>1022</v>
      </c>
      <c r="B9" s="101" t="s">
        <v>999</v>
      </c>
      <c r="C9" s="101" t="s">
        <v>999</v>
      </c>
      <c r="J9" s="14" t="s">
        <v>123</v>
      </c>
      <c r="K9" s="14" t="s">
        <v>57</v>
      </c>
      <c r="L9" s="15" t="s">
        <v>104</v>
      </c>
      <c r="M9" s="14" t="s">
        <v>168</v>
      </c>
      <c r="N9" s="14" t="s">
        <v>181</v>
      </c>
      <c r="O9" s="14" t="s">
        <v>529</v>
      </c>
      <c r="P9" s="14" t="s">
        <v>195</v>
      </c>
      <c r="Q9" s="14" t="s">
        <v>211</v>
      </c>
      <c r="R9" s="14" t="s">
        <v>220</v>
      </c>
      <c r="S9" s="14" t="s">
        <v>69</v>
      </c>
      <c r="T9" s="14" t="s">
        <v>307</v>
      </c>
      <c r="V9" s="14" t="s">
        <v>324</v>
      </c>
      <c r="W9" s="14" t="s">
        <v>337</v>
      </c>
      <c r="AA9" s="14" t="s">
        <v>370</v>
      </c>
      <c r="AB9" s="14" t="s">
        <v>391</v>
      </c>
      <c r="AC9" s="14" t="s">
        <v>402</v>
      </c>
    </row>
    <row r="10" spans="1:30">
      <c r="A10" s="23" t="s">
        <v>1086</v>
      </c>
      <c r="B10" s="101" t="s">
        <v>999</v>
      </c>
      <c r="C10" s="101" t="s">
        <v>999</v>
      </c>
      <c r="J10" s="14" t="s">
        <v>124</v>
      </c>
      <c r="K10" s="14" t="s">
        <v>70</v>
      </c>
      <c r="L10" s="14" t="s">
        <v>312</v>
      </c>
      <c r="M10" s="14" t="s">
        <v>49</v>
      </c>
      <c r="N10" s="14" t="s">
        <v>184</v>
      </c>
      <c r="O10" s="14" t="s">
        <v>530</v>
      </c>
      <c r="P10" s="14" t="s">
        <v>196</v>
      </c>
      <c r="Q10" s="14" t="s">
        <v>212</v>
      </c>
      <c r="R10" s="14" t="s">
        <v>221</v>
      </c>
      <c r="T10" s="14" t="s">
        <v>308</v>
      </c>
      <c r="V10" s="14" t="s">
        <v>325</v>
      </c>
      <c r="W10" s="14" t="s">
        <v>338</v>
      </c>
      <c r="AA10" s="14" t="s">
        <v>371</v>
      </c>
      <c r="AB10" s="14" t="s">
        <v>392</v>
      </c>
      <c r="AC10" s="14" t="s">
        <v>403</v>
      </c>
    </row>
    <row r="11" spans="1:30">
      <c r="A11" s="23" t="s">
        <v>1006</v>
      </c>
      <c r="B11" s="101" t="s">
        <v>999</v>
      </c>
      <c r="C11" s="101" t="s">
        <v>999</v>
      </c>
      <c r="E11" s="48" t="s">
        <v>277</v>
      </c>
      <c r="G11" s="14" t="s">
        <v>917</v>
      </c>
      <c r="J11" s="14" t="s">
        <v>125</v>
      </c>
      <c r="K11" s="14" t="s">
        <v>60</v>
      </c>
      <c r="L11" s="15" t="s">
        <v>105</v>
      </c>
      <c r="M11" s="14" t="s">
        <v>161</v>
      </c>
      <c r="N11" s="14" t="s">
        <v>182</v>
      </c>
      <c r="O11" s="14" t="s">
        <v>531</v>
      </c>
      <c r="P11" s="14" t="s">
        <v>197</v>
      </c>
      <c r="Q11" s="14" t="s">
        <v>205</v>
      </c>
      <c r="R11" s="14" t="s">
        <v>223</v>
      </c>
      <c r="T11" s="14" t="s">
        <v>309</v>
      </c>
      <c r="V11" s="14" t="s">
        <v>326</v>
      </c>
      <c r="W11" s="14" t="s">
        <v>339</v>
      </c>
      <c r="AA11" s="14" t="s">
        <v>372</v>
      </c>
      <c r="AB11" s="14" t="s">
        <v>393</v>
      </c>
      <c r="AC11" s="14" t="s">
        <v>404</v>
      </c>
    </row>
    <row r="12" spans="1:30">
      <c r="A12" s="23" t="s">
        <v>1085</v>
      </c>
      <c r="B12" s="101" t="s">
        <v>999</v>
      </c>
      <c r="C12" s="101" t="s">
        <v>999</v>
      </c>
      <c r="E12" s="48"/>
      <c r="F12" s="48" t="s">
        <v>276</v>
      </c>
      <c r="J12" s="14" t="s">
        <v>126</v>
      </c>
      <c r="K12" s="14" t="s">
        <v>47</v>
      </c>
      <c r="L12" s="14" t="s">
        <v>352</v>
      </c>
      <c r="M12" s="14" t="s">
        <v>162</v>
      </c>
      <c r="N12" s="14" t="s">
        <v>183</v>
      </c>
      <c r="O12" s="14" t="s">
        <v>532</v>
      </c>
      <c r="P12" s="14" t="s">
        <v>199</v>
      </c>
      <c r="Q12" s="14" t="s">
        <v>69</v>
      </c>
      <c r="R12" s="14" t="s">
        <v>224</v>
      </c>
      <c r="T12" s="14" t="s">
        <v>310</v>
      </c>
      <c r="V12" s="14" t="s">
        <v>327</v>
      </c>
      <c r="W12" s="14" t="s">
        <v>340</v>
      </c>
      <c r="AA12" s="14" t="s">
        <v>373</v>
      </c>
      <c r="AB12" s="14" t="s">
        <v>69</v>
      </c>
      <c r="AC12" s="14" t="s">
        <v>405</v>
      </c>
    </row>
    <row r="13" spans="1:30">
      <c r="A13" s="23" t="s">
        <v>1008</v>
      </c>
      <c r="B13" s="101" t="s">
        <v>999</v>
      </c>
      <c r="C13" s="101" t="s">
        <v>999</v>
      </c>
      <c r="E13" s="48" t="s">
        <v>249</v>
      </c>
      <c r="F13" s="48"/>
      <c r="G13" s="14" t="s">
        <v>918</v>
      </c>
      <c r="J13" s="14" t="s">
        <v>127</v>
      </c>
      <c r="K13" s="14" t="s">
        <v>67</v>
      </c>
      <c r="L13" s="14" t="s">
        <v>355</v>
      </c>
      <c r="M13" s="14" t="s">
        <v>169</v>
      </c>
      <c r="N13" s="14" t="s">
        <v>185</v>
      </c>
      <c r="O13" s="14" t="s">
        <v>533</v>
      </c>
      <c r="P13" s="14" t="s">
        <v>200</v>
      </c>
      <c r="R13" s="14" t="s">
        <v>225</v>
      </c>
      <c r="T13" s="14" t="s">
        <v>69</v>
      </c>
      <c r="V13" s="14" t="s">
        <v>328</v>
      </c>
      <c r="W13" s="14" t="s">
        <v>341</v>
      </c>
      <c r="AA13" s="14" t="s">
        <v>374</v>
      </c>
      <c r="AC13" s="14" t="s">
        <v>406</v>
      </c>
    </row>
    <row r="14" spans="1:30">
      <c r="A14" s="23" t="s">
        <v>993</v>
      </c>
      <c r="B14" s="101" t="s">
        <v>999</v>
      </c>
      <c r="C14" s="101" t="s">
        <v>999</v>
      </c>
      <c r="E14" s="48" t="s">
        <v>247</v>
      </c>
      <c r="F14" s="48" t="s">
        <v>261</v>
      </c>
      <c r="G14" s="14" t="s">
        <v>919</v>
      </c>
      <c r="K14" s="14" t="s">
        <v>76</v>
      </c>
      <c r="L14" s="15" t="s">
        <v>107</v>
      </c>
      <c r="M14" s="14" t="s">
        <v>170</v>
      </c>
      <c r="N14" s="14" t="s">
        <v>186</v>
      </c>
      <c r="O14" s="14" t="s">
        <v>534</v>
      </c>
      <c r="P14" s="14" t="s">
        <v>201</v>
      </c>
      <c r="R14" s="14" t="s">
        <v>226</v>
      </c>
      <c r="V14" s="14" t="s">
        <v>69</v>
      </c>
      <c r="W14" s="14" t="s">
        <v>342</v>
      </c>
      <c r="AA14" s="14" t="s">
        <v>375</v>
      </c>
      <c r="AC14" s="14" t="s">
        <v>407</v>
      </c>
    </row>
    <row r="15" spans="1:30">
      <c r="A15" s="23" t="s">
        <v>995</v>
      </c>
      <c r="B15" s="101" t="s">
        <v>999</v>
      </c>
      <c r="C15" s="101" t="s">
        <v>999</v>
      </c>
      <c r="E15" s="48" t="s">
        <v>248</v>
      </c>
      <c r="F15" s="48" t="s">
        <v>260</v>
      </c>
      <c r="G15" s="14" t="s">
        <v>920</v>
      </c>
      <c r="K15" s="14" t="s">
        <v>64</v>
      </c>
      <c r="L15" s="16" t="s">
        <v>106</v>
      </c>
      <c r="M15" s="14" t="s">
        <v>69</v>
      </c>
      <c r="N15" s="14" t="s">
        <v>187</v>
      </c>
      <c r="O15" s="14" t="s">
        <v>535</v>
      </c>
      <c r="P15" s="14" t="s">
        <v>202</v>
      </c>
      <c r="R15" s="14" t="s">
        <v>222</v>
      </c>
      <c r="W15" s="14" t="s">
        <v>343</v>
      </c>
      <c r="AA15" s="14" t="s">
        <v>376</v>
      </c>
      <c r="AC15" s="14" t="s">
        <v>408</v>
      </c>
    </row>
    <row r="16" spans="1:30">
      <c r="A16" s="23" t="s">
        <v>146</v>
      </c>
      <c r="B16" s="415" t="s">
        <v>264</v>
      </c>
      <c r="C16" s="101" t="s">
        <v>999</v>
      </c>
      <c r="E16" s="48" t="s">
        <v>263</v>
      </c>
      <c r="F16" s="48" t="s">
        <v>259</v>
      </c>
      <c r="G16" s="14" t="s">
        <v>921</v>
      </c>
      <c r="K16" s="14" t="s">
        <v>74</v>
      </c>
      <c r="L16" s="15" t="s">
        <v>35</v>
      </c>
      <c r="N16" s="14" t="s">
        <v>172</v>
      </c>
      <c r="O16" s="14" t="s">
        <v>536</v>
      </c>
      <c r="P16" s="14" t="s">
        <v>79</v>
      </c>
      <c r="R16" s="14" t="s">
        <v>227</v>
      </c>
      <c r="W16" s="14" t="s">
        <v>344</v>
      </c>
      <c r="AA16" s="14" t="s">
        <v>377</v>
      </c>
      <c r="AC16" s="14" t="s">
        <v>409</v>
      </c>
    </row>
    <row r="17" spans="1:27">
      <c r="A17" s="23" t="s">
        <v>152</v>
      </c>
      <c r="B17" s="415" t="s">
        <v>264</v>
      </c>
      <c r="C17" s="101" t="s">
        <v>999</v>
      </c>
      <c r="F17" s="48" t="s">
        <v>257</v>
      </c>
      <c r="G17" s="14" t="s">
        <v>932</v>
      </c>
      <c r="K17" s="14" t="s">
        <v>51</v>
      </c>
      <c r="L17" s="15" t="s">
        <v>45</v>
      </c>
      <c r="N17" s="14" t="s">
        <v>173</v>
      </c>
      <c r="O17" s="14" t="s">
        <v>537</v>
      </c>
      <c r="P17" s="14" t="s">
        <v>69</v>
      </c>
      <c r="R17" s="14" t="s">
        <v>228</v>
      </c>
      <c r="W17" s="14" t="s">
        <v>345</v>
      </c>
      <c r="AA17" s="14" t="s">
        <v>378</v>
      </c>
    </row>
    <row r="18" spans="1:27">
      <c r="A18" s="23" t="s">
        <v>151</v>
      </c>
      <c r="B18" s="415" t="s">
        <v>264</v>
      </c>
      <c r="C18" s="101" t="s">
        <v>999</v>
      </c>
      <c r="K18" s="14" t="s">
        <v>62</v>
      </c>
      <c r="L18" s="14" t="s">
        <v>412</v>
      </c>
      <c r="N18" s="14" t="s">
        <v>174</v>
      </c>
      <c r="O18" s="14" t="s">
        <v>538</v>
      </c>
      <c r="R18" s="14" t="s">
        <v>69</v>
      </c>
      <c r="W18" s="14" t="s">
        <v>346</v>
      </c>
      <c r="AA18" s="14" t="s">
        <v>379</v>
      </c>
    </row>
    <row r="19" spans="1:27">
      <c r="A19" s="23" t="s">
        <v>153</v>
      </c>
      <c r="B19" s="415" t="s">
        <v>264</v>
      </c>
      <c r="C19" s="101" t="s">
        <v>999</v>
      </c>
      <c r="K19" s="14" t="s">
        <v>65</v>
      </c>
      <c r="N19" s="14" t="s">
        <v>175</v>
      </c>
      <c r="O19" s="14" t="s">
        <v>539</v>
      </c>
      <c r="W19" s="14" t="s">
        <v>347</v>
      </c>
      <c r="AA19" s="14" t="s">
        <v>380</v>
      </c>
    </row>
    <row r="20" spans="1:27">
      <c r="A20" s="23" t="s">
        <v>603</v>
      </c>
      <c r="B20" s="415" t="s">
        <v>264</v>
      </c>
      <c r="C20" s="101" t="s">
        <v>999</v>
      </c>
      <c r="H20" s="14" t="s">
        <v>950</v>
      </c>
      <c r="K20" s="14" t="s">
        <v>73</v>
      </c>
      <c r="N20" s="14" t="s">
        <v>188</v>
      </c>
      <c r="O20" s="14" t="s">
        <v>540</v>
      </c>
      <c r="W20" s="14" t="s">
        <v>348</v>
      </c>
      <c r="AA20" s="14" t="s">
        <v>381</v>
      </c>
    </row>
    <row r="21" spans="1:27">
      <c r="A21" s="23" t="s">
        <v>910</v>
      </c>
      <c r="B21" s="330" t="s">
        <v>838</v>
      </c>
      <c r="C21" s="330" t="s">
        <v>838</v>
      </c>
      <c r="F21" s="14" t="s">
        <v>286</v>
      </c>
      <c r="H21" s="14" t="s">
        <v>249</v>
      </c>
      <c r="K21" s="14" t="s">
        <v>102</v>
      </c>
      <c r="N21" s="14" t="s">
        <v>69</v>
      </c>
      <c r="O21" s="14" t="s">
        <v>541</v>
      </c>
      <c r="W21" s="14" t="s">
        <v>69</v>
      </c>
      <c r="AA21" s="14" t="s">
        <v>382</v>
      </c>
    </row>
    <row r="22" spans="1:27">
      <c r="A22" s="23" t="s">
        <v>839</v>
      </c>
      <c r="B22" s="330" t="s">
        <v>838</v>
      </c>
      <c r="C22" s="330" t="s">
        <v>838</v>
      </c>
      <c r="F22" s="14" t="s">
        <v>283</v>
      </c>
      <c r="H22" s="14" t="s">
        <v>247</v>
      </c>
    </row>
    <row r="23" spans="1:27" ht="14.25">
      <c r="A23" s="23" t="s">
        <v>840</v>
      </c>
      <c r="B23" s="330" t="s">
        <v>838</v>
      </c>
      <c r="C23" s="330" t="s">
        <v>838</v>
      </c>
      <c r="F23" s="481">
        <v>0.2</v>
      </c>
      <c r="H23" s="404" t="s">
        <v>951</v>
      </c>
      <c r="J23" s="14" t="s">
        <v>1397</v>
      </c>
      <c r="K23" s="14" t="s">
        <v>66</v>
      </c>
      <c r="O23" s="14" t="s">
        <v>542</v>
      </c>
      <c r="AA23" s="14" t="s">
        <v>383</v>
      </c>
    </row>
    <row r="24" spans="1:27">
      <c r="A24" s="23" t="s">
        <v>841</v>
      </c>
      <c r="B24" s="330" t="s">
        <v>838</v>
      </c>
      <c r="C24" s="330" t="s">
        <v>838</v>
      </c>
      <c r="F24" s="481">
        <v>0.5</v>
      </c>
      <c r="J24" s="494">
        <v>43831</v>
      </c>
      <c r="K24" s="14" t="s">
        <v>83</v>
      </c>
      <c r="O24" s="14" t="s">
        <v>543</v>
      </c>
      <c r="AA24" s="14" t="s">
        <v>69</v>
      </c>
    </row>
    <row r="25" spans="1:27">
      <c r="A25" s="23" t="s">
        <v>903</v>
      </c>
      <c r="B25" s="330" t="s">
        <v>838</v>
      </c>
      <c r="C25" s="330" t="s">
        <v>838</v>
      </c>
      <c r="F25" s="481">
        <v>0.8</v>
      </c>
      <c r="J25" s="494">
        <v>43862</v>
      </c>
      <c r="K25" s="14" t="s">
        <v>103</v>
      </c>
      <c r="O25" s="14" t="s">
        <v>544</v>
      </c>
    </row>
    <row r="26" spans="1:27">
      <c r="A26" s="23" t="s">
        <v>842</v>
      </c>
      <c r="B26" s="330" t="s">
        <v>838</v>
      </c>
      <c r="C26" s="330" t="s">
        <v>838</v>
      </c>
      <c r="F26" s="14" t="s">
        <v>285</v>
      </c>
      <c r="J26" s="494">
        <v>43891</v>
      </c>
      <c r="K26" s="14" t="s">
        <v>40</v>
      </c>
      <c r="O26" s="14" t="s">
        <v>69</v>
      </c>
    </row>
    <row r="27" spans="1:27">
      <c r="A27" s="23" t="s">
        <v>843</v>
      </c>
      <c r="B27" s="330" t="s">
        <v>838</v>
      </c>
      <c r="C27" s="330" t="s">
        <v>838</v>
      </c>
      <c r="J27" s="494">
        <v>43922</v>
      </c>
    </row>
    <row r="28" spans="1:27">
      <c r="A28" s="23" t="s">
        <v>844</v>
      </c>
      <c r="B28" s="330" t="s">
        <v>838</v>
      </c>
      <c r="C28" s="330" t="s">
        <v>838</v>
      </c>
      <c r="J28" s="494">
        <v>43952</v>
      </c>
    </row>
    <row r="29" spans="1:27">
      <c r="A29" s="23" t="s">
        <v>845</v>
      </c>
      <c r="B29" s="330" t="s">
        <v>838</v>
      </c>
      <c r="C29" s="330" t="s">
        <v>838</v>
      </c>
      <c r="H29" s="14" t="s">
        <v>278</v>
      </c>
      <c r="J29" s="494">
        <v>43983</v>
      </c>
    </row>
    <row r="30" spans="1:27">
      <c r="A30" s="332" t="s">
        <v>1010</v>
      </c>
      <c r="B30" s="331" t="s">
        <v>846</v>
      </c>
      <c r="C30" s="331" t="s">
        <v>846</v>
      </c>
      <c r="H30" s="57" t="s">
        <v>443</v>
      </c>
      <c r="J30" s="494">
        <v>44013</v>
      </c>
    </row>
    <row r="31" spans="1:27">
      <c r="A31" s="332" t="s">
        <v>874</v>
      </c>
      <c r="B31" s="331" t="s">
        <v>846</v>
      </c>
      <c r="C31" s="331" t="s">
        <v>846</v>
      </c>
      <c r="F31" s="14" t="s">
        <v>442</v>
      </c>
      <c r="H31" s="57" t="s">
        <v>444</v>
      </c>
      <c r="J31" s="494">
        <v>44044</v>
      </c>
      <c r="L31" s="112"/>
    </row>
    <row r="32" spans="1:27">
      <c r="A32" s="23"/>
      <c r="B32" s="319"/>
      <c r="C32" s="319"/>
      <c r="F32" s="14" t="s">
        <v>979</v>
      </c>
      <c r="H32" s="14" t="s">
        <v>445</v>
      </c>
      <c r="J32" s="494">
        <v>44075</v>
      </c>
    </row>
    <row r="33" spans="1:10">
      <c r="A33" s="23"/>
      <c r="B33" s="319"/>
      <c r="C33" s="319"/>
      <c r="F33" s="57" t="s">
        <v>413</v>
      </c>
      <c r="H33" s="14" t="s">
        <v>446</v>
      </c>
      <c r="J33" s="494">
        <v>44105</v>
      </c>
    </row>
    <row r="34" spans="1:10">
      <c r="A34" s="23"/>
      <c r="B34" s="319"/>
      <c r="C34" s="319"/>
      <c r="F34" s="57" t="s">
        <v>414</v>
      </c>
      <c r="H34" s="14" t="s">
        <v>447</v>
      </c>
      <c r="J34" s="494">
        <v>44136</v>
      </c>
    </row>
    <row r="35" spans="1:10">
      <c r="A35" s="23"/>
      <c r="B35" s="319"/>
      <c r="C35" s="319"/>
      <c r="F35" s="14" t="s">
        <v>415</v>
      </c>
      <c r="H35" s="14" t="s">
        <v>448</v>
      </c>
      <c r="J35" s="494">
        <v>44166</v>
      </c>
    </row>
    <row r="36" spans="1:10">
      <c r="A36" s="23"/>
      <c r="B36" s="319"/>
      <c r="C36" s="319"/>
      <c r="F36" s="14" t="s">
        <v>416</v>
      </c>
    </row>
    <row r="37" spans="1:10">
      <c r="A37" s="23"/>
      <c r="B37" s="319"/>
      <c r="C37" s="319"/>
      <c r="F37" s="14" t="s">
        <v>417</v>
      </c>
      <c r="H37" s="14" t="s">
        <v>449</v>
      </c>
    </row>
    <row r="38" spans="1:10">
      <c r="A38" s="23"/>
      <c r="B38" s="319"/>
      <c r="C38" s="319"/>
      <c r="F38" s="58" t="s">
        <v>418</v>
      </c>
      <c r="H38" s="14" t="s">
        <v>450</v>
      </c>
    </row>
    <row r="39" spans="1:10">
      <c r="A39" s="23"/>
      <c r="B39" s="319"/>
      <c r="C39" s="319"/>
      <c r="F39" s="59" t="s">
        <v>37</v>
      </c>
      <c r="H39" s="14" t="s">
        <v>451</v>
      </c>
    </row>
    <row r="40" spans="1:10">
      <c r="A40" s="18" t="s">
        <v>1000</v>
      </c>
      <c r="B40" s="18" t="s">
        <v>1000</v>
      </c>
      <c r="C40" s="18" t="s">
        <v>1000</v>
      </c>
      <c r="F40" s="59" t="s">
        <v>419</v>
      </c>
    </row>
    <row r="41" spans="1:10">
      <c r="A41" s="101" t="s">
        <v>999</v>
      </c>
      <c r="B41" s="101" t="s">
        <v>999</v>
      </c>
      <c r="C41" s="101" t="s">
        <v>999</v>
      </c>
      <c r="F41" s="59" t="s">
        <v>420</v>
      </c>
      <c r="H41" s="14" t="s">
        <v>452</v>
      </c>
    </row>
    <row r="42" spans="1:10">
      <c r="A42" s="17" t="s">
        <v>264</v>
      </c>
      <c r="B42" s="17" t="s">
        <v>264</v>
      </c>
      <c r="C42" s="101" t="s">
        <v>999</v>
      </c>
      <c r="F42" s="59" t="s">
        <v>421</v>
      </c>
      <c r="H42" s="14" t="s">
        <v>453</v>
      </c>
    </row>
    <row r="43" spans="1:10">
      <c r="A43" s="330" t="s">
        <v>838</v>
      </c>
      <c r="B43" s="330" t="s">
        <v>838</v>
      </c>
      <c r="C43" s="330" t="s">
        <v>838</v>
      </c>
      <c r="F43" s="59" t="s">
        <v>422</v>
      </c>
      <c r="H43" s="14" t="s">
        <v>454</v>
      </c>
    </row>
    <row r="44" spans="1:10">
      <c r="A44" s="351" t="s">
        <v>846</v>
      </c>
      <c r="B44" s="331" t="s">
        <v>846</v>
      </c>
      <c r="C44" s="101" t="s">
        <v>999</v>
      </c>
      <c r="F44" s="59" t="s">
        <v>423</v>
      </c>
      <c r="H44" s="14" t="s">
        <v>455</v>
      </c>
    </row>
    <row r="45" spans="1:10">
      <c r="F45" s="59" t="s">
        <v>424</v>
      </c>
      <c r="H45" s="14" t="s">
        <v>456</v>
      </c>
    </row>
    <row r="46" spans="1:10">
      <c r="F46" s="59" t="s">
        <v>425</v>
      </c>
      <c r="H46" s="14" t="s">
        <v>457</v>
      </c>
    </row>
    <row r="47" spans="1:10">
      <c r="F47" s="59" t="s">
        <v>426</v>
      </c>
      <c r="H47" s="14" t="s">
        <v>458</v>
      </c>
    </row>
    <row r="48" spans="1:10">
      <c r="F48" s="59" t="s">
        <v>427</v>
      </c>
      <c r="H48" s="14" t="s">
        <v>459</v>
      </c>
    </row>
    <row r="49" spans="1:8">
      <c r="F49" s="59" t="s">
        <v>428</v>
      </c>
      <c r="H49" s="14" t="s">
        <v>460</v>
      </c>
    </row>
    <row r="50" spans="1:8">
      <c r="A50" s="23"/>
      <c r="B50" s="319"/>
      <c r="C50" s="319"/>
      <c r="F50" s="59" t="s">
        <v>429</v>
      </c>
      <c r="H50" s="14" t="s">
        <v>461</v>
      </c>
    </row>
    <row r="51" spans="1:8">
      <c r="A51" s="23"/>
      <c r="B51" s="319"/>
      <c r="C51" s="319"/>
      <c r="F51" s="59" t="s">
        <v>430</v>
      </c>
      <c r="H51" s="14" t="s">
        <v>462</v>
      </c>
    </row>
    <row r="52" spans="1:8">
      <c r="A52" s="23"/>
      <c r="B52" s="319"/>
      <c r="C52" s="319"/>
      <c r="F52" s="59" t="s">
        <v>431</v>
      </c>
      <c r="H52" s="14" t="s">
        <v>463</v>
      </c>
    </row>
    <row r="53" spans="1:8">
      <c r="A53" s="23"/>
      <c r="B53" s="319"/>
      <c r="C53" s="319"/>
      <c r="F53" s="59" t="s">
        <v>432</v>
      </c>
      <c r="H53" s="14" t="s">
        <v>464</v>
      </c>
    </row>
    <row r="54" spans="1:8">
      <c r="A54" s="23"/>
      <c r="B54" s="319"/>
      <c r="C54" s="319"/>
      <c r="F54" s="59" t="s">
        <v>433</v>
      </c>
      <c r="H54" s="14" t="s">
        <v>465</v>
      </c>
    </row>
    <row r="55" spans="1:8">
      <c r="A55" s="23"/>
      <c r="B55" s="319"/>
      <c r="C55" s="319"/>
      <c r="F55" s="59" t="s">
        <v>434</v>
      </c>
    </row>
    <row r="56" spans="1:8">
      <c r="A56" s="23"/>
      <c r="B56" s="319"/>
      <c r="C56" s="319"/>
      <c r="F56" s="59" t="s">
        <v>435</v>
      </c>
      <c r="H56" s="14" t="s">
        <v>466</v>
      </c>
    </row>
    <row r="57" spans="1:8">
      <c r="A57" s="23"/>
      <c r="B57" s="319"/>
      <c r="C57" s="319"/>
      <c r="F57" s="59" t="s">
        <v>436</v>
      </c>
      <c r="H57" s="14" t="s">
        <v>38</v>
      </c>
    </row>
    <row r="58" spans="1:8">
      <c r="A58" s="23"/>
      <c r="B58" s="319"/>
      <c r="C58" s="319"/>
      <c r="F58" s="59" t="s">
        <v>437</v>
      </c>
      <c r="H58" s="14" t="s">
        <v>467</v>
      </c>
    </row>
    <row r="59" spans="1:8">
      <c r="A59" s="23"/>
      <c r="B59" s="319"/>
      <c r="C59" s="319"/>
      <c r="F59" s="59" t="s">
        <v>438</v>
      </c>
    </row>
    <row r="60" spans="1:8">
      <c r="A60" s="23"/>
      <c r="B60" s="319"/>
      <c r="C60" s="319"/>
      <c r="F60" s="59" t="s">
        <v>439</v>
      </c>
      <c r="H60" s="14" t="s">
        <v>468</v>
      </c>
    </row>
    <row r="61" spans="1:8">
      <c r="A61" s="23"/>
      <c r="B61" s="319"/>
      <c r="C61" s="319"/>
      <c r="F61" s="59" t="s">
        <v>440</v>
      </c>
      <c r="H61" s="14" t="s">
        <v>469</v>
      </c>
    </row>
    <row r="62" spans="1:8">
      <c r="A62" s="23"/>
      <c r="B62" s="319"/>
      <c r="C62" s="319"/>
      <c r="F62" s="59" t="s">
        <v>441</v>
      </c>
      <c r="H62" s="14" t="s">
        <v>470</v>
      </c>
    </row>
    <row r="63" spans="1:8">
      <c r="A63" s="23"/>
      <c r="B63" s="319"/>
      <c r="C63" s="319"/>
      <c r="H63" s="14" t="s">
        <v>471</v>
      </c>
    </row>
    <row r="64" spans="1:8">
      <c r="A64" s="23"/>
      <c r="B64" s="319"/>
      <c r="C64" s="319"/>
      <c r="H64" s="14" t="s">
        <v>472</v>
      </c>
    </row>
    <row r="65" spans="1:8">
      <c r="A65" s="23"/>
      <c r="B65" s="319"/>
      <c r="C65" s="319"/>
      <c r="H65" s="14" t="s">
        <v>473</v>
      </c>
    </row>
    <row r="66" spans="1:8">
      <c r="H66" s="14" t="s">
        <v>474</v>
      </c>
    </row>
    <row r="67" spans="1:8">
      <c r="H67" s="14" t="s">
        <v>475</v>
      </c>
    </row>
    <row r="68" spans="1:8">
      <c r="H68" s="14" t="s">
        <v>476</v>
      </c>
    </row>
    <row r="69" spans="1:8">
      <c r="H69" s="14" t="s">
        <v>477</v>
      </c>
    </row>
    <row r="70" spans="1:8">
      <c r="H70" s="14" t="s">
        <v>478</v>
      </c>
    </row>
    <row r="71" spans="1:8">
      <c r="H71" s="14" t="s">
        <v>479</v>
      </c>
    </row>
    <row r="72" spans="1:8">
      <c r="H72" s="14" t="s">
        <v>480</v>
      </c>
    </row>
    <row r="73" spans="1:8">
      <c r="H73" s="14" t="s">
        <v>481</v>
      </c>
    </row>
    <row r="74" spans="1:8">
      <c r="H74" s="14" t="s">
        <v>482</v>
      </c>
    </row>
    <row r="76" spans="1:8">
      <c r="H76" s="14" t="s">
        <v>483</v>
      </c>
    </row>
    <row r="77" spans="1:8">
      <c r="H77" s="14" t="s">
        <v>484</v>
      </c>
    </row>
    <row r="78" spans="1:8">
      <c r="H78" s="14" t="s">
        <v>485</v>
      </c>
    </row>
    <row r="79" spans="1:8">
      <c r="H79" s="14" t="s">
        <v>486</v>
      </c>
    </row>
    <row r="81" spans="8:8">
      <c r="H81" s="14" t="s">
        <v>487</v>
      </c>
    </row>
    <row r="82" spans="8:8">
      <c r="H82" s="14" t="s">
        <v>488</v>
      </c>
    </row>
    <row r="83" spans="8:8">
      <c r="H83" s="14" t="s">
        <v>489</v>
      </c>
    </row>
    <row r="84" spans="8:8">
      <c r="H84" s="14" t="s">
        <v>490</v>
      </c>
    </row>
    <row r="85" spans="8:8">
      <c r="H85" s="14" t="s">
        <v>491</v>
      </c>
    </row>
    <row r="86" spans="8:8">
      <c r="H86" s="14" t="s">
        <v>492</v>
      </c>
    </row>
    <row r="87" spans="8:8">
      <c r="H87" s="14" t="s">
        <v>493</v>
      </c>
    </row>
    <row r="88" spans="8:8">
      <c r="H88" s="14" t="s">
        <v>494</v>
      </c>
    </row>
    <row r="89" spans="8:8">
      <c r="H89" s="14" t="s">
        <v>495</v>
      </c>
    </row>
    <row r="90" spans="8:8">
      <c r="H90" s="14" t="s">
        <v>496</v>
      </c>
    </row>
    <row r="91" spans="8:8">
      <c r="H91" s="14" t="s">
        <v>497</v>
      </c>
    </row>
    <row r="92" spans="8:8">
      <c r="H92" s="14" t="s">
        <v>498</v>
      </c>
    </row>
    <row r="93" spans="8:8">
      <c r="H93" s="14" t="s">
        <v>499</v>
      </c>
    </row>
    <row r="94" spans="8:8">
      <c r="H94" s="14" t="s">
        <v>500</v>
      </c>
    </row>
    <row r="95" spans="8:8">
      <c r="H95" s="14" t="s">
        <v>501</v>
      </c>
    </row>
    <row r="97" spans="8:8">
      <c r="H97" s="14" t="s">
        <v>502</v>
      </c>
    </row>
    <row r="98" spans="8:8">
      <c r="H98" s="14" t="s">
        <v>503</v>
      </c>
    </row>
    <row r="99" spans="8:8">
      <c r="H99" s="14" t="s">
        <v>504</v>
      </c>
    </row>
    <row r="100" spans="8:8">
      <c r="H100" s="14" t="s">
        <v>505</v>
      </c>
    </row>
    <row r="101" spans="8:8">
      <c r="H101" s="14" t="s">
        <v>506</v>
      </c>
    </row>
    <row r="102" spans="8:8">
      <c r="H102" s="14" t="s">
        <v>507</v>
      </c>
    </row>
    <row r="103" spans="8:8">
      <c r="H103" s="14" t="s">
        <v>508</v>
      </c>
    </row>
    <row r="104" spans="8:8">
      <c r="H104" s="14" t="s">
        <v>509</v>
      </c>
    </row>
    <row r="105" spans="8:8">
      <c r="H105" s="14" t="s">
        <v>510</v>
      </c>
    </row>
    <row r="106" spans="8:8">
      <c r="H106" s="14" t="s">
        <v>511</v>
      </c>
    </row>
    <row r="107" spans="8:8">
      <c r="H107" s="14" t="s">
        <v>512</v>
      </c>
    </row>
    <row r="108" spans="8:8">
      <c r="H108" s="14" t="s">
        <v>513</v>
      </c>
    </row>
    <row r="110" spans="8:8">
      <c r="H110" s="14" t="s">
        <v>514</v>
      </c>
    </row>
    <row r="111" spans="8:8">
      <c r="H111" s="14" t="s">
        <v>515</v>
      </c>
    </row>
    <row r="112" spans="8:8">
      <c r="H112" s="14" t="s">
        <v>516</v>
      </c>
    </row>
    <row r="114" spans="8:8">
      <c r="H114" s="14" t="s">
        <v>517</v>
      </c>
    </row>
    <row r="116" spans="8:8">
      <c r="H116" s="14" t="s">
        <v>518</v>
      </c>
    </row>
    <row r="117" spans="8:8">
      <c r="H117" s="14" t="s">
        <v>519</v>
      </c>
    </row>
    <row r="118" spans="8:8">
      <c r="H118" s="14" t="s">
        <v>520</v>
      </c>
    </row>
    <row r="120" spans="8:8">
      <c r="H120" s="14" t="s">
        <v>521</v>
      </c>
    </row>
    <row r="304" spans="1:3">
      <c r="A304" s="22" t="s">
        <v>89</v>
      </c>
      <c r="B304" s="14" t="s">
        <v>18</v>
      </c>
      <c r="C304" s="14" t="s">
        <v>17</v>
      </c>
    </row>
    <row r="305" spans="1:3">
      <c r="A305" s="23" t="s">
        <v>236</v>
      </c>
      <c r="B305" s="101" t="s">
        <v>599</v>
      </c>
      <c r="C305" s="20" t="s">
        <v>32</v>
      </c>
    </row>
    <row r="306" spans="1:3">
      <c r="A306" s="23" t="s">
        <v>149</v>
      </c>
      <c r="B306" s="101" t="s">
        <v>599</v>
      </c>
      <c r="C306" s="19" t="s">
        <v>52</v>
      </c>
    </row>
    <row r="307" spans="1:3">
      <c r="A307" s="23" t="s">
        <v>146</v>
      </c>
      <c r="B307" s="101" t="s">
        <v>599</v>
      </c>
      <c r="C307" s="19" t="s">
        <v>52</v>
      </c>
    </row>
    <row r="308" spans="1:3">
      <c r="A308" s="23" t="s">
        <v>245</v>
      </c>
      <c r="B308" s="101" t="s">
        <v>599</v>
      </c>
      <c r="C308" s="19" t="s">
        <v>52</v>
      </c>
    </row>
    <row r="309" spans="1:3">
      <c r="A309" s="23" t="s">
        <v>239</v>
      </c>
      <c r="B309" s="101" t="s">
        <v>599</v>
      </c>
      <c r="C309" s="20" t="s">
        <v>32</v>
      </c>
    </row>
    <row r="310" spans="1:3">
      <c r="A310" s="23" t="s">
        <v>240</v>
      </c>
      <c r="B310" s="101" t="s">
        <v>599</v>
      </c>
      <c r="C310" s="20" t="s">
        <v>32</v>
      </c>
    </row>
    <row r="311" spans="1:3">
      <c r="A311" s="23" t="s">
        <v>241</v>
      </c>
      <c r="B311" s="101" t="s">
        <v>599</v>
      </c>
      <c r="C311" s="20" t="s">
        <v>32</v>
      </c>
    </row>
    <row r="312" spans="1:3">
      <c r="A312" s="23" t="s">
        <v>143</v>
      </c>
      <c r="B312" s="101" t="s">
        <v>599</v>
      </c>
      <c r="C312" s="19" t="s">
        <v>52</v>
      </c>
    </row>
    <row r="313" spans="1:3">
      <c r="A313" s="23" t="s">
        <v>145</v>
      </c>
      <c r="B313" s="101" t="s">
        <v>599</v>
      </c>
      <c r="C313" s="19" t="s">
        <v>52</v>
      </c>
    </row>
    <row r="314" spans="1:3">
      <c r="A314" s="23" t="s">
        <v>148</v>
      </c>
      <c r="B314" s="101" t="s">
        <v>599</v>
      </c>
      <c r="C314" s="19" t="s">
        <v>52</v>
      </c>
    </row>
    <row r="315" spans="1:3">
      <c r="A315" s="23" t="s">
        <v>551</v>
      </c>
      <c r="B315" s="101" t="s">
        <v>599</v>
      </c>
      <c r="C315" s="19" t="s">
        <v>52</v>
      </c>
    </row>
    <row r="316" spans="1:3">
      <c r="A316" s="23" t="s">
        <v>601</v>
      </c>
      <c r="B316" s="101" t="s">
        <v>599</v>
      </c>
      <c r="C316" s="19" t="s">
        <v>52</v>
      </c>
    </row>
    <row r="317" spans="1:3">
      <c r="A317" s="23" t="s">
        <v>154</v>
      </c>
      <c r="B317" s="21" t="s">
        <v>158</v>
      </c>
      <c r="C317" s="19" t="s">
        <v>52</v>
      </c>
    </row>
    <row r="318" spans="1:3">
      <c r="A318" s="23" t="s">
        <v>156</v>
      </c>
      <c r="B318" s="21" t="s">
        <v>158</v>
      </c>
      <c r="C318" s="19" t="s">
        <v>52</v>
      </c>
    </row>
    <row r="319" spans="1:3">
      <c r="A319" s="23" t="s">
        <v>155</v>
      </c>
      <c r="B319" s="21" t="s">
        <v>158</v>
      </c>
      <c r="C319" s="19" t="s">
        <v>52</v>
      </c>
    </row>
    <row r="320" spans="1:3">
      <c r="A320" s="23" t="s">
        <v>603</v>
      </c>
      <c r="B320" s="17" t="s">
        <v>53</v>
      </c>
      <c r="C320" s="19" t="s">
        <v>52</v>
      </c>
    </row>
    <row r="321" spans="1:3">
      <c r="A321" s="23" t="s">
        <v>150</v>
      </c>
      <c r="B321" s="17" t="s">
        <v>53</v>
      </c>
      <c r="C321" s="19" t="s">
        <v>52</v>
      </c>
    </row>
    <row r="322" spans="1:3">
      <c r="A322" s="23" t="s">
        <v>152</v>
      </c>
      <c r="B322" s="17" t="s">
        <v>53</v>
      </c>
      <c r="C322" s="19" t="s">
        <v>52</v>
      </c>
    </row>
    <row r="323" spans="1:3">
      <c r="A323" s="23" t="s">
        <v>151</v>
      </c>
      <c r="B323" s="17" t="s">
        <v>53</v>
      </c>
      <c r="C323" s="19" t="s">
        <v>52</v>
      </c>
    </row>
    <row r="324" spans="1:3">
      <c r="A324" s="23" t="s">
        <v>153</v>
      </c>
      <c r="B324" s="17" t="s">
        <v>53</v>
      </c>
      <c r="C324" s="19" t="s">
        <v>52</v>
      </c>
    </row>
    <row r="325" spans="1:3">
      <c r="A325" s="23" t="s">
        <v>246</v>
      </c>
      <c r="B325" s="18" t="s">
        <v>598</v>
      </c>
      <c r="C325" s="20" t="s">
        <v>32</v>
      </c>
    </row>
    <row r="326" spans="1:3">
      <c r="A326" s="23" t="s">
        <v>144</v>
      </c>
      <c r="B326" s="18" t="s">
        <v>598</v>
      </c>
      <c r="C326" s="20" t="s">
        <v>32</v>
      </c>
    </row>
    <row r="327" spans="1:3">
      <c r="A327" s="23" t="s">
        <v>242</v>
      </c>
      <c r="B327" s="18" t="s">
        <v>598</v>
      </c>
      <c r="C327" s="20" t="s">
        <v>32</v>
      </c>
    </row>
    <row r="328" spans="1:3">
      <c r="A328" s="23" t="s">
        <v>604</v>
      </c>
      <c r="B328" s="18" t="s">
        <v>598</v>
      </c>
      <c r="C328" s="20" t="s">
        <v>32</v>
      </c>
    </row>
    <row r="329" spans="1:3">
      <c r="A329" s="23" t="s">
        <v>238</v>
      </c>
      <c r="B329" s="18" t="s">
        <v>598</v>
      </c>
      <c r="C329" s="20" t="s">
        <v>32</v>
      </c>
    </row>
    <row r="330" spans="1:3">
      <c r="A330" s="23" t="s">
        <v>237</v>
      </c>
      <c r="B330" s="18" t="s">
        <v>598</v>
      </c>
      <c r="C330" s="20" t="s">
        <v>32</v>
      </c>
    </row>
    <row r="331" spans="1:3">
      <c r="A331" s="23" t="s">
        <v>147</v>
      </c>
      <c r="B331" s="18" t="s">
        <v>598</v>
      </c>
      <c r="C331" s="20" t="s">
        <v>32</v>
      </c>
    </row>
    <row r="332" spans="1:3">
      <c r="A332" s="23" t="s">
        <v>600</v>
      </c>
      <c r="B332" s="18" t="s">
        <v>598</v>
      </c>
      <c r="C332" s="19" t="s">
        <v>52</v>
      </c>
    </row>
    <row r="333" spans="1:3">
      <c r="A333" s="23" t="s">
        <v>602</v>
      </c>
      <c r="B333" s="18" t="s">
        <v>598</v>
      </c>
      <c r="C333" s="20" t="s">
        <v>32</v>
      </c>
    </row>
    <row r="334" spans="1:3">
      <c r="A334" s="23" t="s">
        <v>243</v>
      </c>
      <c r="B334" s="18" t="s">
        <v>598</v>
      </c>
      <c r="C334" s="20" t="s">
        <v>32</v>
      </c>
    </row>
    <row r="335" spans="1:3">
      <c r="A335" s="23" t="s">
        <v>244</v>
      </c>
      <c r="B335" s="18" t="s">
        <v>598</v>
      </c>
      <c r="C335" s="20" t="s">
        <v>32</v>
      </c>
    </row>
    <row r="336" spans="1:3">
      <c r="A336" s="23" t="s">
        <v>235</v>
      </c>
      <c r="B336" s="18" t="s">
        <v>598</v>
      </c>
      <c r="C336" s="20" t="s">
        <v>32</v>
      </c>
    </row>
    <row r="337" spans="1:3">
      <c r="A337" s="23" t="s">
        <v>142</v>
      </c>
      <c r="B337" s="18" t="s">
        <v>598</v>
      </c>
      <c r="C337" s="20" t="s">
        <v>32</v>
      </c>
    </row>
    <row r="338" spans="1:3">
      <c r="A338" s="23" t="s">
        <v>141</v>
      </c>
      <c r="B338" s="18" t="s">
        <v>598</v>
      </c>
      <c r="C338" s="20" t="s">
        <v>32</v>
      </c>
    </row>
  </sheetData>
  <autoFilter ref="A304:C304" xr:uid="{00000000-0009-0000-0000-000007000000}">
    <sortState ref="A310:C343">
      <sortCondition ref="B309"/>
    </sortState>
  </autoFilter>
  <dataConsolidate/>
  <phoneticPr fontId="8" type="noConversion"/>
  <pageMargins left="0.7" right="0.7" top="0.75" bottom="0.75" header="0.3" footer="0.3"/>
  <pageSetup paperSize="9" orientation="portrait" verticalDpi="4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20">
    <pageSetUpPr fitToPage="1"/>
  </sheetPr>
  <dimension ref="A1:R46"/>
  <sheetViews>
    <sheetView zoomScale="80" zoomScaleNormal="80" workbookViewId="0">
      <pane xSplit="1" topLeftCell="B1" activePane="topRight" state="frozen"/>
      <selection pane="topRight" activeCell="B3" sqref="B3"/>
    </sheetView>
  </sheetViews>
  <sheetFormatPr baseColWidth="10" defaultRowHeight="12.75"/>
  <cols>
    <col min="1" max="1" width="11.42578125" style="13"/>
    <col min="2" max="2" width="45.7109375" style="13" customWidth="1"/>
    <col min="3" max="3" width="18.140625" style="13" bestFit="1" customWidth="1"/>
    <col min="4" max="4" width="17.7109375" style="13" customWidth="1"/>
    <col min="5" max="16384" width="11.42578125" style="13"/>
  </cols>
  <sheetData>
    <row r="1" spans="1:18" ht="29.25" customHeight="1">
      <c r="B1" s="613"/>
      <c r="C1" s="613"/>
      <c r="D1" s="613"/>
      <c r="E1" s="613"/>
      <c r="F1" s="613"/>
      <c r="G1" s="613"/>
      <c r="H1" s="613"/>
      <c r="I1" s="613"/>
      <c r="J1" s="613"/>
      <c r="K1" s="613"/>
      <c r="L1" s="613"/>
      <c r="M1" s="613"/>
      <c r="N1" s="613"/>
      <c r="O1" s="613"/>
      <c r="P1" s="613"/>
      <c r="Q1" s="613"/>
    </row>
    <row r="2" spans="1:18" ht="25.5">
      <c r="A2" s="437"/>
      <c r="B2" s="437" t="s">
        <v>138</v>
      </c>
      <c r="C2" s="437" t="s">
        <v>18</v>
      </c>
      <c r="D2" s="437" t="s">
        <v>17</v>
      </c>
      <c r="E2" s="438" t="s">
        <v>139</v>
      </c>
      <c r="F2" s="439" t="s">
        <v>128</v>
      </c>
      <c r="G2" s="438" t="s">
        <v>129</v>
      </c>
      <c r="H2" s="438" t="s">
        <v>130</v>
      </c>
      <c r="I2" s="438" t="s">
        <v>131</v>
      </c>
      <c r="J2" s="438" t="s">
        <v>132</v>
      </c>
      <c r="K2" s="438" t="s">
        <v>133</v>
      </c>
      <c r="L2" s="438" t="s">
        <v>134</v>
      </c>
      <c r="M2" s="438" t="s">
        <v>135</v>
      </c>
      <c r="N2" s="438" t="s">
        <v>136</v>
      </c>
      <c r="O2" s="438" t="s">
        <v>140</v>
      </c>
      <c r="P2" s="438" t="s">
        <v>137</v>
      </c>
    </row>
    <row r="3" spans="1:18" ht="20.25" customHeight="1">
      <c r="A3" s="438">
        <v>1</v>
      </c>
      <c r="B3" s="440" t="s">
        <v>1021</v>
      </c>
      <c r="C3" s="438" t="str">
        <f>VLOOKUP(B3,'Listes déroulantes'!$A$2:$C$44,2,FALSE)</f>
        <v>TER OUEST</v>
      </c>
      <c r="D3" s="438" t="str">
        <f>VLOOKUP(C3,'Listes déroulantes'!$A$3:$C$44,2,FALSE)</f>
        <v>TER OUEST</v>
      </c>
      <c r="E3" s="449"/>
      <c r="F3" s="460"/>
      <c r="G3" s="460"/>
      <c r="H3" s="460"/>
      <c r="I3" s="460"/>
      <c r="J3" s="447"/>
      <c r="K3" s="447"/>
      <c r="L3" s="460"/>
      <c r="M3" s="460"/>
      <c r="N3" s="460"/>
      <c r="O3" s="460"/>
      <c r="P3" s="461"/>
      <c r="Q3" s="447"/>
      <c r="R3" s="13">
        <v>3</v>
      </c>
    </row>
    <row r="4" spans="1:18" ht="20.25" customHeight="1">
      <c r="A4" s="438">
        <v>2</v>
      </c>
      <c r="B4" s="440" t="s">
        <v>1001</v>
      </c>
      <c r="C4" s="438" t="str">
        <f>VLOOKUP(B4,'Listes déroulantes'!$A$3:$C$44,2,FALSE)</f>
        <v>TER OUEST</v>
      </c>
      <c r="D4" s="438" t="str">
        <f>VLOOKUP(C4,'Listes déroulantes'!$A$3:$C$44,2,FALSE)</f>
        <v>TER OUEST</v>
      </c>
      <c r="E4" s="449"/>
      <c r="F4" s="460"/>
      <c r="G4" s="460"/>
      <c r="H4" s="460"/>
      <c r="I4" s="460"/>
      <c r="J4" s="447"/>
      <c r="K4" s="447"/>
      <c r="L4" s="460"/>
      <c r="M4" s="460"/>
      <c r="N4" s="460"/>
      <c r="O4" s="460"/>
      <c r="P4" s="461"/>
      <c r="Q4" s="447"/>
      <c r="R4" s="13">
        <v>4</v>
      </c>
    </row>
    <row r="5" spans="1:18" ht="20.25" customHeight="1">
      <c r="A5" s="438">
        <v>3</v>
      </c>
      <c r="B5" s="440" t="s">
        <v>1002</v>
      </c>
      <c r="C5" s="438" t="str">
        <f>VLOOKUP(B5,'Listes déroulantes'!$A$3:$C$44,2,FALSE)</f>
        <v>TER OUEST</v>
      </c>
      <c r="D5" s="438" t="str">
        <f>VLOOKUP(C5,'Listes déroulantes'!$A$3:$C$44,2,FALSE)</f>
        <v>TER OUEST</v>
      </c>
      <c r="E5" s="449"/>
      <c r="F5" s="460"/>
      <c r="G5" s="460"/>
      <c r="H5" s="460"/>
      <c r="I5" s="460"/>
      <c r="J5" s="447"/>
      <c r="K5" s="447"/>
      <c r="L5" s="460"/>
      <c r="M5" s="460"/>
      <c r="N5" s="460"/>
      <c r="O5" s="460"/>
      <c r="P5" s="461"/>
      <c r="Q5" s="447"/>
      <c r="R5" s="13">
        <v>5</v>
      </c>
    </row>
    <row r="6" spans="1:18" ht="20.25" customHeight="1">
      <c r="A6" s="438">
        <v>4</v>
      </c>
      <c r="B6" s="440" t="s">
        <v>1003</v>
      </c>
      <c r="C6" s="438" t="str">
        <f>VLOOKUP(B6,'Listes déroulantes'!$A$3:$C$44,2,FALSE)</f>
        <v>TER OUEST</v>
      </c>
      <c r="D6" s="438" t="str">
        <f>VLOOKUP(C6,'Listes déroulantes'!$A$3:$C$44,2,FALSE)</f>
        <v>TER OUEST</v>
      </c>
      <c r="E6" s="449"/>
      <c r="F6" s="460"/>
      <c r="G6" s="460"/>
      <c r="H6" s="460"/>
      <c r="I6" s="460"/>
      <c r="J6" s="447"/>
      <c r="K6" s="447"/>
      <c r="L6" s="460"/>
      <c r="M6" s="460"/>
      <c r="N6" s="460"/>
      <c r="O6" s="460"/>
      <c r="P6" s="461"/>
      <c r="Q6" s="447"/>
      <c r="R6" s="13">
        <v>6</v>
      </c>
    </row>
    <row r="7" spans="1:18" ht="20.25" customHeight="1">
      <c r="A7" s="438">
        <v>5</v>
      </c>
      <c r="B7" s="440" t="s">
        <v>989</v>
      </c>
      <c r="C7" s="438" t="str">
        <f>VLOOKUP(B7,'Listes déroulantes'!$A$3:$C$44,2,FALSE)</f>
        <v>TER OUEST</v>
      </c>
      <c r="D7" s="438" t="str">
        <f>VLOOKUP(C7,'Listes déroulantes'!$A$3:$C$44,2,FALSE)</f>
        <v>TER OUEST</v>
      </c>
      <c r="E7" s="449"/>
      <c r="F7" s="460"/>
      <c r="G7" s="460"/>
      <c r="H7" s="460"/>
      <c r="I7" s="460"/>
      <c r="J7" s="447"/>
      <c r="K7" s="447"/>
      <c r="L7" s="460"/>
      <c r="M7" s="460"/>
      <c r="N7" s="460"/>
      <c r="O7" s="460"/>
      <c r="P7" s="461"/>
      <c r="Q7" s="447"/>
      <c r="R7" s="13">
        <v>7</v>
      </c>
    </row>
    <row r="8" spans="1:18" ht="20.25" customHeight="1">
      <c r="A8" s="438">
        <v>6</v>
      </c>
      <c r="B8" s="440" t="s">
        <v>1004</v>
      </c>
      <c r="C8" s="438" t="str">
        <f>VLOOKUP(B8,'Listes déroulantes'!$A$3:$C$44,2,FALSE)</f>
        <v>TER OUEST</v>
      </c>
      <c r="D8" s="438" t="str">
        <f>VLOOKUP(C8,'Listes déroulantes'!$A$3:$C$44,2,FALSE)</f>
        <v>TER OUEST</v>
      </c>
      <c r="E8" s="449"/>
      <c r="F8" s="460"/>
      <c r="G8" s="460"/>
      <c r="H8" s="460"/>
      <c r="I8" s="460"/>
      <c r="J8" s="447"/>
      <c r="K8" s="447"/>
      <c r="L8" s="460"/>
      <c r="M8" s="460"/>
      <c r="N8" s="460"/>
      <c r="O8" s="460"/>
      <c r="P8" s="461"/>
      <c r="Q8" s="447"/>
      <c r="R8" s="13">
        <v>8</v>
      </c>
    </row>
    <row r="9" spans="1:18" ht="20.25" customHeight="1">
      <c r="A9" s="438">
        <v>7</v>
      </c>
      <c r="B9" s="440" t="s">
        <v>1005</v>
      </c>
      <c r="C9" s="438" t="str">
        <f>VLOOKUP(B9,'Listes déroulantes'!$A$3:$C$44,2,FALSE)</f>
        <v>TER OUEST</v>
      </c>
      <c r="D9" s="438" t="str">
        <f>VLOOKUP(C9,'Listes déroulantes'!$A$3:$C$44,2,FALSE)</f>
        <v>TER OUEST</v>
      </c>
      <c r="E9" s="449"/>
      <c r="F9" s="460"/>
      <c r="G9" s="460"/>
      <c r="H9" s="460"/>
      <c r="I9" s="460"/>
      <c r="J9" s="447"/>
      <c r="K9" s="447"/>
      <c r="L9" s="462"/>
      <c r="M9" s="462"/>
      <c r="N9" s="462"/>
      <c r="O9" s="460"/>
      <c r="P9" s="461"/>
      <c r="Q9" s="447"/>
      <c r="R9" s="13">
        <v>9</v>
      </c>
    </row>
    <row r="10" spans="1:18" ht="20.25" customHeight="1">
      <c r="A10" s="438">
        <v>8</v>
      </c>
      <c r="B10" s="440" t="s">
        <v>1022</v>
      </c>
      <c r="C10" s="438" t="str">
        <f>VLOOKUP(B10,'Listes déroulantes'!$A$3:$C$44,2,FALSE)</f>
        <v>TER EST</v>
      </c>
      <c r="D10" s="438" t="str">
        <f>VLOOKUP(C10,'Listes déroulantes'!$A$3:$C$44,2,FALSE)</f>
        <v>TER EST</v>
      </c>
      <c r="E10" s="449"/>
      <c r="F10" s="460"/>
      <c r="G10" s="460"/>
      <c r="H10" s="460"/>
      <c r="I10" s="460"/>
      <c r="J10" s="447"/>
      <c r="K10" s="447"/>
      <c r="L10" s="462"/>
      <c r="M10" s="462"/>
      <c r="N10" s="462"/>
      <c r="O10" s="462"/>
      <c r="P10" s="461"/>
      <c r="Q10" s="447"/>
      <c r="R10" s="13">
        <v>10</v>
      </c>
    </row>
    <row r="11" spans="1:18" ht="20.25" customHeight="1">
      <c r="A11" s="438">
        <v>9</v>
      </c>
      <c r="B11" s="440" t="s">
        <v>1086</v>
      </c>
      <c r="C11" s="438" t="str">
        <f>VLOOKUP(B11,'Listes déroulantes'!$A$3:$C$44,2,FALSE)</f>
        <v>TER EST</v>
      </c>
      <c r="D11" s="438" t="str">
        <f>VLOOKUP(C11,'Listes déroulantes'!$A$3:$C$44,2,FALSE)</f>
        <v>TER EST</v>
      </c>
      <c r="E11" s="449"/>
      <c r="F11" s="460"/>
      <c r="G11" s="460"/>
      <c r="H11" s="460"/>
      <c r="I11" s="460"/>
      <c r="J11" s="447"/>
      <c r="K11" s="447"/>
      <c r="L11" s="460"/>
      <c r="M11" s="460"/>
      <c r="N11" s="460"/>
      <c r="O11" s="460"/>
      <c r="P11" s="461"/>
      <c r="Q11" s="447"/>
      <c r="R11" s="13">
        <v>11</v>
      </c>
    </row>
    <row r="12" spans="1:18" ht="20.25" customHeight="1">
      <c r="A12" s="438">
        <v>10</v>
      </c>
      <c r="B12" s="440" t="s">
        <v>1006</v>
      </c>
      <c r="C12" s="438" t="str">
        <f>VLOOKUP(B12,'Listes déroulantes'!$A$3:$C$44,2,FALSE)</f>
        <v>TER EST</v>
      </c>
      <c r="D12" s="438" t="str">
        <f>VLOOKUP(C12,'Listes déroulantes'!$A$3:$C$44,2,FALSE)</f>
        <v>TER EST</v>
      </c>
      <c r="E12" s="449"/>
      <c r="F12" s="460"/>
      <c r="G12" s="460"/>
      <c r="H12" s="460"/>
      <c r="I12" s="460"/>
      <c r="J12" s="447"/>
      <c r="K12" s="447"/>
      <c r="L12" s="460"/>
      <c r="M12" s="460"/>
      <c r="N12" s="460"/>
      <c r="O12" s="460"/>
      <c r="P12" s="461"/>
      <c r="Q12" s="447"/>
      <c r="R12" s="13">
        <v>12</v>
      </c>
    </row>
    <row r="13" spans="1:18" ht="20.25" customHeight="1">
      <c r="A13" s="438">
        <v>11</v>
      </c>
      <c r="B13" s="440" t="s">
        <v>1085</v>
      </c>
      <c r="C13" s="438" t="str">
        <f>VLOOKUP(B13,'Listes déroulantes'!$A$3:$C$44,2,FALSE)</f>
        <v>TER EST</v>
      </c>
      <c r="D13" s="438" t="str">
        <f>VLOOKUP(C13,'Listes déroulantes'!$A$3:$C$44,2,FALSE)</f>
        <v>TER EST</v>
      </c>
      <c r="E13" s="449"/>
      <c r="F13" s="460"/>
      <c r="G13" s="462"/>
      <c r="H13" s="460"/>
      <c r="I13" s="460"/>
      <c r="J13" s="447"/>
      <c r="K13" s="447"/>
      <c r="L13" s="460"/>
      <c r="M13" s="460"/>
      <c r="N13" s="460"/>
      <c r="O13" s="460"/>
      <c r="P13" s="461"/>
      <c r="Q13" s="447"/>
      <c r="R13" s="13">
        <v>13</v>
      </c>
    </row>
    <row r="14" spans="1:18" ht="20.25" customHeight="1">
      <c r="A14" s="438">
        <v>12</v>
      </c>
      <c r="B14" s="440" t="s">
        <v>1008</v>
      </c>
      <c r="C14" s="438" t="str">
        <f>VLOOKUP(B14,'Listes déroulantes'!$A$3:$C$44,2,FALSE)</f>
        <v>TER EST</v>
      </c>
      <c r="D14" s="438" t="str">
        <f>VLOOKUP(C14,'Listes déroulantes'!$A$3:$C$44,2,FALSE)</f>
        <v>TER EST</v>
      </c>
      <c r="E14" s="449"/>
      <c r="F14" s="460"/>
      <c r="G14" s="462"/>
      <c r="H14" s="460"/>
      <c r="I14" s="460"/>
      <c r="J14" s="447"/>
      <c r="K14" s="447"/>
      <c r="L14" s="460"/>
      <c r="M14" s="460"/>
      <c r="N14" s="460"/>
      <c r="O14" s="460"/>
      <c r="P14" s="461"/>
      <c r="Q14" s="447"/>
      <c r="R14" s="13">
        <v>14</v>
      </c>
    </row>
    <row r="15" spans="1:18" ht="20.25" customHeight="1">
      <c r="A15" s="438">
        <v>13</v>
      </c>
      <c r="B15" s="440" t="s">
        <v>993</v>
      </c>
      <c r="C15" s="438" t="str">
        <f>VLOOKUP(B15,'Listes déroulantes'!$A$3:$C$44,2,FALSE)</f>
        <v>TER EST</v>
      </c>
      <c r="D15" s="438" t="str">
        <f>VLOOKUP(C15,'Listes déroulantes'!$A$3:$C$44,2,FALSE)</f>
        <v>TER EST</v>
      </c>
      <c r="E15" s="449"/>
      <c r="F15" s="460"/>
      <c r="G15" s="460"/>
      <c r="H15" s="462"/>
      <c r="I15" s="460"/>
      <c r="J15" s="447"/>
      <c r="K15" s="447"/>
      <c r="L15" s="460"/>
      <c r="M15" s="460"/>
      <c r="N15" s="460"/>
      <c r="O15" s="460"/>
      <c r="P15" s="461"/>
      <c r="Q15" s="447"/>
      <c r="R15" s="13">
        <v>15</v>
      </c>
    </row>
    <row r="16" spans="1:18" ht="20.25" customHeight="1">
      <c r="A16" s="438">
        <v>14</v>
      </c>
      <c r="B16" s="440" t="s">
        <v>995</v>
      </c>
      <c r="C16" s="438" t="str">
        <f>VLOOKUP(B16,'Listes déroulantes'!$A$3:$C$44,2,FALSE)</f>
        <v>TER EST</v>
      </c>
      <c r="D16" s="438" t="str">
        <f>VLOOKUP(C16,'Listes déroulantes'!$A$3:$C$44,2,FALSE)</f>
        <v>TER EST</v>
      </c>
      <c r="E16" s="449"/>
      <c r="F16" s="460"/>
      <c r="G16" s="460"/>
      <c r="H16" s="460"/>
      <c r="I16" s="460"/>
      <c r="J16" s="447"/>
      <c r="K16" s="447"/>
      <c r="L16" s="462"/>
      <c r="M16" s="462"/>
      <c r="N16" s="462"/>
      <c r="O16" s="460"/>
      <c r="P16" s="461"/>
      <c r="Q16" s="447"/>
      <c r="R16" s="13">
        <v>16</v>
      </c>
    </row>
    <row r="17" spans="1:18" ht="20.25" customHeight="1">
      <c r="A17" s="438">
        <v>15</v>
      </c>
      <c r="B17" s="440" t="s">
        <v>146</v>
      </c>
      <c r="C17" s="438" t="str">
        <f>VLOOKUP(B17,'Listes déroulantes'!$A$3:$C$44,2,FALSE)</f>
        <v>SIEGE</v>
      </c>
      <c r="D17" s="438" t="str">
        <f>VLOOKUP(C17,'Listes déroulantes'!$A$3:$C$44,2,FALSE)</f>
        <v>SIEGE</v>
      </c>
      <c r="E17" s="449"/>
      <c r="F17" s="460"/>
      <c r="G17" s="460"/>
      <c r="H17" s="460"/>
      <c r="I17" s="460"/>
      <c r="J17" s="447"/>
      <c r="K17" s="447"/>
      <c r="L17" s="462"/>
      <c r="M17" s="462"/>
      <c r="N17" s="462"/>
      <c r="O17" s="460"/>
      <c r="P17" s="461"/>
      <c r="Q17" s="447"/>
      <c r="R17" s="13">
        <v>17</v>
      </c>
    </row>
    <row r="18" spans="1:18" ht="20.25" customHeight="1">
      <c r="A18" s="438">
        <v>16</v>
      </c>
      <c r="B18" s="440" t="s">
        <v>152</v>
      </c>
      <c r="C18" s="438" t="str">
        <f>VLOOKUP(B18,'Listes déroulantes'!$A$3:$C$44,2,FALSE)</f>
        <v>SIEGE</v>
      </c>
      <c r="D18" s="438" t="str">
        <f>VLOOKUP(C18,'Listes déroulantes'!$A$3:$C$44,2,FALSE)</f>
        <v>SIEGE</v>
      </c>
      <c r="E18" s="449"/>
      <c r="F18" s="460"/>
      <c r="G18" s="460"/>
      <c r="H18" s="460"/>
      <c r="I18" s="460"/>
      <c r="J18" s="447"/>
      <c r="K18" s="447"/>
      <c r="L18" s="462"/>
      <c r="M18" s="462"/>
      <c r="N18" s="462"/>
      <c r="O18" s="460"/>
      <c r="P18" s="461"/>
      <c r="Q18" s="447"/>
      <c r="R18" s="13">
        <v>18</v>
      </c>
    </row>
    <row r="19" spans="1:18" ht="20.25" customHeight="1">
      <c r="A19" s="438">
        <v>17</v>
      </c>
      <c r="B19" s="440" t="s">
        <v>151</v>
      </c>
      <c r="C19" s="438" t="str">
        <f>VLOOKUP(B19,'Listes déroulantes'!$A$3:$C$44,2,FALSE)</f>
        <v>SIEGE</v>
      </c>
      <c r="D19" s="438" t="str">
        <f>VLOOKUP(C19,'Listes déroulantes'!$A$3:$C$44,2,FALSE)</f>
        <v>SIEGE</v>
      </c>
      <c r="E19" s="449"/>
      <c r="F19" s="460"/>
      <c r="G19" s="460"/>
      <c r="H19" s="460"/>
      <c r="I19" s="460"/>
      <c r="J19" s="447"/>
      <c r="K19" s="447"/>
      <c r="L19" s="460"/>
      <c r="M19" s="460"/>
      <c r="N19" s="460"/>
      <c r="O19" s="460"/>
      <c r="P19" s="461"/>
      <c r="Q19" s="447"/>
      <c r="R19" s="13">
        <v>19</v>
      </c>
    </row>
    <row r="20" spans="1:18" ht="20.25" customHeight="1">
      <c r="A20" s="438">
        <v>18</v>
      </c>
      <c r="B20" s="440" t="s">
        <v>153</v>
      </c>
      <c r="C20" s="438" t="str">
        <f>VLOOKUP(B20,'Listes déroulantes'!$A$3:$C$44,2,FALSE)</f>
        <v>SIEGE</v>
      </c>
      <c r="D20" s="438" t="str">
        <f>VLOOKUP(C20,'Listes déroulantes'!$A$3:$C$44,2,FALSE)</f>
        <v>SIEGE</v>
      </c>
      <c r="E20" s="449"/>
      <c r="F20" s="460"/>
      <c r="G20" s="460"/>
      <c r="H20" s="460"/>
      <c r="I20" s="460"/>
      <c r="J20" s="447"/>
      <c r="K20" s="447"/>
      <c r="L20" s="460"/>
      <c r="M20" s="460"/>
      <c r="N20" s="460"/>
      <c r="O20" s="460"/>
      <c r="P20" s="461"/>
      <c r="Q20" s="447"/>
      <c r="R20" s="13">
        <v>20</v>
      </c>
    </row>
    <row r="21" spans="1:18" ht="20.25" customHeight="1">
      <c r="A21" s="438">
        <v>19</v>
      </c>
      <c r="B21" s="440" t="s">
        <v>603</v>
      </c>
      <c r="C21" s="438" t="str">
        <f>VLOOKUP(B21,'Listes déroulantes'!$A$3:$C$44,2,FALSE)</f>
        <v>SIEGE</v>
      </c>
      <c r="D21" s="438" t="str">
        <f>VLOOKUP(C21,'Listes déroulantes'!$A$3:$C$44,2,FALSE)</f>
        <v>SIEGE</v>
      </c>
      <c r="E21" s="449"/>
      <c r="F21" s="460"/>
      <c r="G21" s="460"/>
      <c r="H21" s="460"/>
      <c r="I21" s="460"/>
      <c r="J21" s="447"/>
      <c r="K21" s="447"/>
      <c r="L21" s="460"/>
      <c r="M21" s="460"/>
      <c r="N21" s="460"/>
      <c r="O21" s="460"/>
      <c r="P21" s="461"/>
      <c r="Q21" s="447"/>
      <c r="R21" s="13">
        <v>21</v>
      </c>
    </row>
    <row r="22" spans="1:18" ht="20.25" customHeight="1">
      <c r="A22" s="438">
        <v>20</v>
      </c>
      <c r="B22" s="440" t="s">
        <v>910</v>
      </c>
      <c r="C22" s="438" t="str">
        <f>VLOOKUP(B22,'Listes déroulantes'!$A$3:$C$44,2,FALSE)</f>
        <v>TRAIN</v>
      </c>
      <c r="D22" s="438" t="str">
        <f>VLOOKUP(C22,'Listes déroulantes'!$A$3:$C$44,2,FALSE)</f>
        <v>TRAIN</v>
      </c>
      <c r="E22" s="449"/>
      <c r="F22" s="460"/>
      <c r="G22" s="460"/>
      <c r="H22" s="460"/>
      <c r="I22" s="460"/>
      <c r="J22" s="447"/>
      <c r="K22" s="447"/>
      <c r="L22" s="460"/>
      <c r="M22" s="460"/>
      <c r="N22" s="460"/>
      <c r="O22" s="460"/>
      <c r="P22" s="461"/>
      <c r="Q22" s="447"/>
      <c r="R22" s="13">
        <v>22</v>
      </c>
    </row>
    <row r="23" spans="1:18" ht="20.25" customHeight="1">
      <c r="A23" s="438">
        <v>21</v>
      </c>
      <c r="B23" s="440" t="s">
        <v>839</v>
      </c>
      <c r="C23" s="438" t="str">
        <f>VLOOKUP(B23,'Listes déroulantes'!$A$3:$C$44,2,FALSE)</f>
        <v>TRAIN</v>
      </c>
      <c r="D23" s="438" t="str">
        <f>VLOOKUP(C23,'Listes déroulantes'!$A$3:$C$44,2,FALSE)</f>
        <v>TRAIN</v>
      </c>
      <c r="E23" s="449"/>
      <c r="F23" s="460"/>
      <c r="G23" s="460"/>
      <c r="H23" s="460"/>
      <c r="I23" s="460"/>
      <c r="J23" s="447"/>
      <c r="K23" s="447"/>
      <c r="L23" s="460"/>
      <c r="M23" s="460"/>
      <c r="N23" s="460"/>
      <c r="O23" s="460"/>
      <c r="P23" s="461"/>
      <c r="Q23" s="447"/>
      <c r="R23" s="13">
        <v>23</v>
      </c>
    </row>
    <row r="24" spans="1:18" ht="20.25" customHeight="1">
      <c r="A24" s="438">
        <v>22</v>
      </c>
      <c r="B24" s="440" t="s">
        <v>840</v>
      </c>
      <c r="C24" s="438" t="str">
        <f>VLOOKUP(B24,'Listes déroulantes'!$A$3:$C$44,2,FALSE)</f>
        <v>TRAIN</v>
      </c>
      <c r="D24" s="438" t="str">
        <f>VLOOKUP(C24,'Listes déroulantes'!$A$3:$C$44,2,FALSE)</f>
        <v>TRAIN</v>
      </c>
      <c r="E24" s="449"/>
      <c r="F24" s="460"/>
      <c r="G24" s="460"/>
      <c r="H24" s="460"/>
      <c r="I24" s="460"/>
      <c r="J24" s="447"/>
      <c r="K24" s="447"/>
      <c r="L24" s="460"/>
      <c r="M24" s="460"/>
      <c r="N24" s="460"/>
      <c r="O24" s="460"/>
      <c r="P24" s="461"/>
      <c r="Q24" s="447"/>
      <c r="R24" s="13">
        <v>24</v>
      </c>
    </row>
    <row r="25" spans="1:18" ht="20.25" customHeight="1">
      <c r="A25" s="438">
        <v>23</v>
      </c>
      <c r="B25" s="440" t="s">
        <v>841</v>
      </c>
      <c r="C25" s="438" t="str">
        <f>VLOOKUP(B25,'Listes déroulantes'!$A$3:$C$44,2,FALSE)</f>
        <v>TRAIN</v>
      </c>
      <c r="D25" s="438" t="str">
        <f>VLOOKUP(C25,'Listes déroulantes'!$A$3:$C$44,2,FALSE)</f>
        <v>TRAIN</v>
      </c>
      <c r="E25" s="449"/>
      <c r="F25" s="460"/>
      <c r="G25" s="460"/>
      <c r="H25" s="460"/>
      <c r="I25" s="460"/>
      <c r="J25" s="447"/>
      <c r="K25" s="447"/>
      <c r="L25" s="460"/>
      <c r="M25" s="460"/>
      <c r="N25" s="460"/>
      <c r="O25" s="460"/>
      <c r="P25" s="461"/>
      <c r="Q25" s="447"/>
      <c r="R25" s="13">
        <v>25</v>
      </c>
    </row>
    <row r="26" spans="1:18" ht="20.25" customHeight="1">
      <c r="A26" s="438">
        <v>24</v>
      </c>
      <c r="B26" s="440" t="s">
        <v>903</v>
      </c>
      <c r="C26" s="438" t="str">
        <f>VLOOKUP(B26,'Listes déroulantes'!$A$3:$C$44,2,FALSE)</f>
        <v>TRAIN</v>
      </c>
      <c r="D26" s="438" t="str">
        <f>VLOOKUP(C26,'Listes déroulantes'!$A$3:$C$44,2,FALSE)</f>
        <v>TRAIN</v>
      </c>
      <c r="E26" s="449"/>
      <c r="F26" s="460"/>
      <c r="G26" s="460"/>
      <c r="H26" s="460"/>
      <c r="I26" s="460"/>
      <c r="J26" s="447"/>
      <c r="K26" s="447"/>
      <c r="L26" s="460"/>
      <c r="M26" s="460"/>
      <c r="N26" s="460"/>
      <c r="O26" s="460"/>
      <c r="P26" s="461"/>
      <c r="Q26" s="447"/>
      <c r="R26" s="13">
        <v>26</v>
      </c>
    </row>
    <row r="27" spans="1:18" ht="20.25" customHeight="1">
      <c r="A27" s="438">
        <v>25</v>
      </c>
      <c r="B27" s="440" t="s">
        <v>842</v>
      </c>
      <c r="C27" s="438" t="str">
        <f>VLOOKUP(B27,'Listes déroulantes'!$A$3:$C$44,2,FALSE)</f>
        <v>TRAIN</v>
      </c>
      <c r="D27" s="438" t="str">
        <f>VLOOKUP(C27,'Listes déroulantes'!$A$3:$C$44,2,FALSE)</f>
        <v>TRAIN</v>
      </c>
      <c r="E27" s="449"/>
      <c r="F27" s="460"/>
      <c r="G27" s="460"/>
      <c r="H27" s="460"/>
      <c r="I27" s="460"/>
      <c r="J27" s="447"/>
      <c r="K27" s="447"/>
      <c r="L27" s="460"/>
      <c r="M27" s="460"/>
      <c r="N27" s="460"/>
      <c r="O27" s="460"/>
      <c r="P27" s="461"/>
      <c r="Q27" s="447"/>
      <c r="R27" s="13">
        <v>27</v>
      </c>
    </row>
    <row r="28" spans="1:18" ht="20.25" customHeight="1">
      <c r="A28" s="438">
        <v>26</v>
      </c>
      <c r="B28" s="440" t="s">
        <v>843</v>
      </c>
      <c r="C28" s="438" t="str">
        <f>VLOOKUP(B28,'Listes déroulantes'!$A$3:$C$44,2,FALSE)</f>
        <v>TRAIN</v>
      </c>
      <c r="D28" s="438" t="str">
        <f>VLOOKUP(C28,'Listes déroulantes'!$A$3:$C$44,2,FALSE)</f>
        <v>TRAIN</v>
      </c>
      <c r="E28" s="449"/>
      <c r="F28" s="460"/>
      <c r="G28" s="460"/>
      <c r="H28" s="460"/>
      <c r="I28" s="460"/>
      <c r="J28" s="447"/>
      <c r="K28" s="447"/>
      <c r="L28" s="460"/>
      <c r="M28" s="460"/>
      <c r="N28" s="460"/>
      <c r="O28" s="460"/>
      <c r="P28" s="461"/>
      <c r="Q28" s="447"/>
      <c r="R28" s="13">
        <v>28</v>
      </c>
    </row>
    <row r="29" spans="1:18" ht="20.25" customHeight="1">
      <c r="A29" s="438">
        <v>27</v>
      </c>
      <c r="B29" s="440" t="s">
        <v>844</v>
      </c>
      <c r="C29" s="438" t="str">
        <f>VLOOKUP(B29,'Listes déroulantes'!$A$3:$C$44,2,FALSE)</f>
        <v>TRAIN</v>
      </c>
      <c r="D29" s="438" t="str">
        <f>VLOOKUP(C29,'Listes déroulantes'!$A$3:$C$44,2,FALSE)</f>
        <v>TRAIN</v>
      </c>
      <c r="E29" s="449"/>
      <c r="F29" s="460"/>
      <c r="G29" s="460"/>
      <c r="H29" s="460"/>
      <c r="I29" s="460"/>
      <c r="J29" s="447"/>
      <c r="K29" s="447"/>
      <c r="L29" s="460"/>
      <c r="M29" s="460"/>
      <c r="N29" s="460"/>
      <c r="O29" s="460"/>
      <c r="P29" s="461"/>
      <c r="Q29" s="447"/>
      <c r="R29" s="13">
        <v>29</v>
      </c>
    </row>
    <row r="30" spans="1:18" ht="20.25" customHeight="1">
      <c r="A30" s="438">
        <v>28</v>
      </c>
      <c r="B30" s="440" t="s">
        <v>845</v>
      </c>
      <c r="C30" s="438" t="str">
        <f>VLOOKUP(B30,'Listes déroulantes'!$A$3:$C$44,2,FALSE)</f>
        <v>TRAIN</v>
      </c>
      <c r="D30" s="438" t="str">
        <f>VLOOKUP(C30,'Listes déroulantes'!$A$3:$C$44,2,FALSE)</f>
        <v>TRAIN</v>
      </c>
      <c r="E30" s="449"/>
      <c r="F30" s="460"/>
      <c r="G30" s="460"/>
      <c r="H30" s="460"/>
      <c r="I30" s="460"/>
      <c r="J30" s="447"/>
      <c r="K30" s="447"/>
      <c r="L30" s="460"/>
      <c r="M30" s="460"/>
      <c r="N30" s="460"/>
      <c r="O30" s="460"/>
      <c r="P30" s="461"/>
      <c r="Q30" s="447"/>
      <c r="R30" s="13">
        <v>30</v>
      </c>
    </row>
    <row r="31" spans="1:18" ht="20.25" customHeight="1">
      <c r="A31" s="438">
        <v>29</v>
      </c>
      <c r="B31" s="441" t="s">
        <v>1010</v>
      </c>
      <c r="C31" s="438" t="str">
        <f>VLOOKUP(B31,'Listes déroulantes'!$A$3:$C$44,2,FALSE)</f>
        <v>EMI</v>
      </c>
      <c r="D31" s="438" t="str">
        <f>VLOOKUP(C31,'Listes déroulantes'!$A$3:$C$44,2,FALSE)</f>
        <v>EMI</v>
      </c>
      <c r="E31" s="449"/>
      <c r="F31" s="460"/>
      <c r="G31" s="460"/>
      <c r="H31" s="460"/>
      <c r="I31" s="460"/>
      <c r="J31" s="447"/>
      <c r="K31" s="447"/>
      <c r="L31" s="460"/>
      <c r="M31" s="460"/>
      <c r="N31" s="460"/>
      <c r="O31" s="460"/>
      <c r="P31" s="461"/>
      <c r="Q31" s="447"/>
      <c r="R31" s="13">
        <v>31</v>
      </c>
    </row>
    <row r="32" spans="1:18" ht="20.25" customHeight="1">
      <c r="A32" s="459">
        <v>30</v>
      </c>
      <c r="B32" s="441" t="s">
        <v>874</v>
      </c>
      <c r="C32" s="438" t="str">
        <f>VLOOKUP(B32,'Listes déroulantes'!$A$3:$C$44,2,FALSE)</f>
        <v>EMI</v>
      </c>
      <c r="D32" s="438" t="str">
        <f>VLOOKUP(C32,'Listes déroulantes'!$A$3:$C$44,2,FALSE)</f>
        <v>EMI</v>
      </c>
      <c r="E32" s="449"/>
      <c r="F32" s="460"/>
      <c r="G32" s="460"/>
      <c r="H32" s="460"/>
      <c r="I32" s="460"/>
      <c r="J32" s="447"/>
      <c r="K32" s="447"/>
      <c r="L32" s="460"/>
      <c r="M32" s="460"/>
      <c r="N32" s="460"/>
      <c r="O32" s="460"/>
      <c r="P32" s="461"/>
      <c r="Q32" s="447"/>
      <c r="R32" s="13">
        <v>32</v>
      </c>
    </row>
    <row r="33" spans="2:16">
      <c r="B33" s="442"/>
      <c r="F33" s="443"/>
    </row>
    <row r="34" spans="2:16" ht="18" customHeight="1">
      <c r="B34" s="438" t="s">
        <v>999</v>
      </c>
      <c r="C34" s="614" t="s">
        <v>157</v>
      </c>
      <c r="D34" s="615"/>
      <c r="E34" s="447" t="str">
        <f>IF(SUMIF($C$3:$C$33,$B34,E$3:E$33)=0,"",SUMIF($C$3:$C$33,$B34,E$3:E$33))</f>
        <v/>
      </c>
      <c r="F34" s="447" t="str">
        <f t="shared" ref="F34:N38" si="0">IF(SUMIF($C$3:$C$32,$B34,F$3:F$32)=0,"",SUMIF($C$3:$C$32,$B34,F$3:F$32))</f>
        <v/>
      </c>
      <c r="G34" s="447" t="str">
        <f t="shared" si="0"/>
        <v/>
      </c>
      <c r="H34" s="447" t="str">
        <f t="shared" si="0"/>
        <v/>
      </c>
      <c r="I34" s="447" t="str">
        <f t="shared" si="0"/>
        <v/>
      </c>
      <c r="J34" s="447" t="str">
        <f t="shared" si="0"/>
        <v/>
      </c>
      <c r="K34" s="447" t="str">
        <f t="shared" si="0"/>
        <v/>
      </c>
      <c r="L34" s="447" t="str">
        <f t="shared" si="0"/>
        <v/>
      </c>
      <c r="M34" s="447" t="str">
        <f t="shared" si="0"/>
        <v/>
      </c>
      <c r="N34" s="447" t="str">
        <f t="shared" si="0"/>
        <v/>
      </c>
      <c r="O34" s="447" t="str">
        <f>IF(SUMIF($D$3:$D$31,$D34,P$3:P$31)=0,"",SUMIF($D$3:$D$31,$D34,P$3:P$31))</f>
        <v/>
      </c>
      <c r="P34" s="447" t="str">
        <f>IF(SUMIF($D$3:$D$31,$D34,Q$3:Q$31)=0,"",SUMIF($D$3:$D$31,$D34,Q$3:Q$31))</f>
        <v/>
      </c>
    </row>
    <row r="35" spans="2:16" ht="18" customHeight="1">
      <c r="B35" s="438" t="s">
        <v>1000</v>
      </c>
      <c r="C35" s="616"/>
      <c r="D35" s="617"/>
      <c r="E35" s="447" t="str">
        <f>IF(SUMIF($C$3:$C$33,$B35,E$3:E$33)=0,"",SUMIF($C$3:$C$33,$B35,E$3:E$33))</f>
        <v/>
      </c>
      <c r="F35" s="447" t="str">
        <f t="shared" si="0"/>
        <v/>
      </c>
      <c r="G35" s="447" t="str">
        <f t="shared" si="0"/>
        <v/>
      </c>
      <c r="H35" s="447" t="str">
        <f t="shared" si="0"/>
        <v/>
      </c>
      <c r="I35" s="447" t="str">
        <f t="shared" si="0"/>
        <v/>
      </c>
      <c r="J35" s="447" t="str">
        <f t="shared" si="0"/>
        <v/>
      </c>
      <c r="K35" s="447" t="str">
        <f t="shared" si="0"/>
        <v/>
      </c>
      <c r="L35" s="447" t="str">
        <f t="shared" si="0"/>
        <v/>
      </c>
      <c r="M35" s="447" t="str">
        <f t="shared" si="0"/>
        <v/>
      </c>
      <c r="N35" s="447" t="str">
        <f t="shared" si="0"/>
        <v/>
      </c>
      <c r="O35" s="447" t="str">
        <f t="shared" ref="O35:P38" si="1">IF(SUMIF($C$3:$C$32,$B35,O$3:O$32)=0,"",SUMIF($C$3:$C$32,$B35,O$3:O$32))</f>
        <v/>
      </c>
      <c r="P35" s="447" t="str">
        <f t="shared" si="1"/>
        <v/>
      </c>
    </row>
    <row r="36" spans="2:16" ht="18" customHeight="1">
      <c r="B36" s="438" t="s">
        <v>838</v>
      </c>
      <c r="C36" s="616"/>
      <c r="D36" s="617"/>
      <c r="E36" s="447" t="str">
        <f>IF(SUMIF($C$3:$C$33,$B36,E$3:E$33)=0,"",SUMIF($C$3:$C$33,$B36,E$3:E$33))</f>
        <v/>
      </c>
      <c r="F36" s="447" t="str">
        <f t="shared" si="0"/>
        <v/>
      </c>
      <c r="G36" s="447" t="str">
        <f t="shared" si="0"/>
        <v/>
      </c>
      <c r="H36" s="447" t="str">
        <f t="shared" si="0"/>
        <v/>
      </c>
      <c r="I36" s="447" t="str">
        <f t="shared" si="0"/>
        <v/>
      </c>
      <c r="J36" s="447" t="str">
        <f t="shared" si="0"/>
        <v/>
      </c>
      <c r="K36" s="447" t="str">
        <f t="shared" si="0"/>
        <v/>
      </c>
      <c r="L36" s="447" t="str">
        <f t="shared" si="0"/>
        <v/>
      </c>
      <c r="M36" s="447" t="str">
        <f t="shared" si="0"/>
        <v/>
      </c>
      <c r="N36" s="447" t="str">
        <f t="shared" si="0"/>
        <v/>
      </c>
      <c r="O36" s="447" t="str">
        <f t="shared" si="1"/>
        <v/>
      </c>
      <c r="P36" s="447" t="str">
        <f t="shared" si="1"/>
        <v/>
      </c>
    </row>
    <row r="37" spans="2:16" ht="18" customHeight="1">
      <c r="B37" s="438" t="s">
        <v>846</v>
      </c>
      <c r="C37" s="616"/>
      <c r="D37" s="617"/>
      <c r="E37" s="447" t="str">
        <f>IF(SUMIF($C$3:$C$33,$B37,E$3:E$33)=0,"",SUMIF($C$3:$C$33,$B37,E$3:E$33))</f>
        <v/>
      </c>
      <c r="F37" s="447" t="str">
        <f t="shared" si="0"/>
        <v/>
      </c>
      <c r="G37" s="447" t="str">
        <f t="shared" si="0"/>
        <v/>
      </c>
      <c r="H37" s="447" t="str">
        <f t="shared" si="0"/>
        <v/>
      </c>
      <c r="I37" s="447" t="str">
        <f t="shared" si="0"/>
        <v/>
      </c>
      <c r="J37" s="447" t="str">
        <f t="shared" si="0"/>
        <v/>
      </c>
      <c r="K37" s="447" t="str">
        <f t="shared" si="0"/>
        <v/>
      </c>
      <c r="L37" s="447" t="str">
        <f t="shared" si="0"/>
        <v/>
      </c>
      <c r="M37" s="447" t="str">
        <f t="shared" si="0"/>
        <v/>
      </c>
      <c r="N37" s="447" t="str">
        <f t="shared" si="0"/>
        <v/>
      </c>
      <c r="O37" s="447" t="str">
        <f t="shared" si="1"/>
        <v/>
      </c>
      <c r="P37" s="447" t="str">
        <f t="shared" si="1"/>
        <v/>
      </c>
    </row>
    <row r="38" spans="2:16" ht="18" customHeight="1">
      <c r="B38" s="438" t="s">
        <v>264</v>
      </c>
      <c r="C38" s="618"/>
      <c r="D38" s="619"/>
      <c r="E38" s="447" t="str">
        <f>IF(SUMIF($C$3:$C$33,$B38,E$3:E$33)=0,"",SUMIF($C$3:$C$33,$B38,E$3:E$33))</f>
        <v/>
      </c>
      <c r="F38" s="447" t="str">
        <f t="shared" si="0"/>
        <v/>
      </c>
      <c r="G38" s="447" t="str">
        <f t="shared" si="0"/>
        <v/>
      </c>
      <c r="H38" s="447" t="str">
        <f t="shared" si="0"/>
        <v/>
      </c>
      <c r="I38" s="447" t="str">
        <f t="shared" si="0"/>
        <v/>
      </c>
      <c r="J38" s="447" t="str">
        <f t="shared" si="0"/>
        <v/>
      </c>
      <c r="K38" s="447" t="str">
        <f t="shared" si="0"/>
        <v/>
      </c>
      <c r="L38" s="447" t="str">
        <f t="shared" si="0"/>
        <v/>
      </c>
      <c r="M38" s="447" t="str">
        <f t="shared" si="0"/>
        <v/>
      </c>
      <c r="N38" s="447" t="str">
        <f t="shared" si="0"/>
        <v/>
      </c>
      <c r="O38" s="447" t="str">
        <f t="shared" si="1"/>
        <v/>
      </c>
      <c r="P38" s="447" t="str">
        <f t="shared" si="1"/>
        <v/>
      </c>
    </row>
    <row r="39" spans="2:16" ht="18" customHeight="1">
      <c r="C39" s="620" t="s">
        <v>616</v>
      </c>
      <c r="D39" s="621"/>
      <c r="E39" s="448">
        <f t="shared" ref="E39:P39" si="2">SUM(E34:E38)</f>
        <v>0</v>
      </c>
      <c r="F39" s="448">
        <f t="shared" si="2"/>
        <v>0</v>
      </c>
      <c r="G39" s="448">
        <f t="shared" si="2"/>
        <v>0</v>
      </c>
      <c r="H39" s="448">
        <f t="shared" si="2"/>
        <v>0</v>
      </c>
      <c r="I39" s="448">
        <f t="shared" si="2"/>
        <v>0</v>
      </c>
      <c r="J39" s="448">
        <f t="shared" si="2"/>
        <v>0</v>
      </c>
      <c r="K39" s="448">
        <f t="shared" si="2"/>
        <v>0</v>
      </c>
      <c r="L39" s="448">
        <f t="shared" si="2"/>
        <v>0</v>
      </c>
      <c r="M39" s="448">
        <f t="shared" si="2"/>
        <v>0</v>
      </c>
      <c r="N39" s="448">
        <f t="shared" si="2"/>
        <v>0</v>
      </c>
      <c r="O39" s="448">
        <f t="shared" si="2"/>
        <v>0</v>
      </c>
      <c r="P39" s="448">
        <f t="shared" si="2"/>
        <v>0</v>
      </c>
    </row>
    <row r="40" spans="2:16">
      <c r="F40" s="443"/>
    </row>
    <row r="41" spans="2:16">
      <c r="C41" s="622"/>
      <c r="D41" s="444"/>
      <c r="E41" s="445"/>
      <c r="F41" s="445"/>
      <c r="G41" s="445"/>
      <c r="H41" s="445"/>
      <c r="I41" s="445"/>
      <c r="J41" s="445"/>
      <c r="K41" s="445"/>
      <c r="L41" s="445"/>
      <c r="M41" s="445"/>
      <c r="N41" s="445"/>
      <c r="O41" s="445"/>
      <c r="P41" s="445"/>
    </row>
    <row r="42" spans="2:16">
      <c r="C42" s="622"/>
      <c r="D42" s="444"/>
      <c r="E42" s="445"/>
      <c r="F42" s="445"/>
      <c r="G42" s="445"/>
      <c r="H42" s="445"/>
      <c r="I42" s="445"/>
      <c r="J42" s="445"/>
      <c r="K42" s="445"/>
      <c r="L42" s="445"/>
      <c r="M42" s="445"/>
      <c r="N42" s="445"/>
      <c r="O42" s="445"/>
      <c r="P42" s="445"/>
    </row>
    <row r="43" spans="2:16">
      <c r="C43" s="622"/>
      <c r="D43" s="622"/>
      <c r="E43" s="445"/>
      <c r="F43" s="445"/>
      <c r="G43" s="445"/>
      <c r="H43" s="445"/>
      <c r="I43" s="445"/>
      <c r="J43" s="445"/>
      <c r="K43" s="445"/>
      <c r="L43" s="445"/>
      <c r="M43" s="445"/>
      <c r="N43" s="445"/>
      <c r="O43" s="445"/>
      <c r="P43" s="445"/>
    </row>
    <row r="46" spans="2:16" ht="38.25">
      <c r="B46" s="446" t="s">
        <v>766</v>
      </c>
    </row>
  </sheetData>
  <autoFilter ref="A2:P2" xr:uid="{00000000-0009-0000-0000-000008000000}">
    <sortState ref="A3:Q28">
      <sortCondition ref="D2"/>
    </sortState>
  </autoFilter>
  <mergeCells count="8">
    <mergeCell ref="N1:Q1"/>
    <mergeCell ref="C34:D38"/>
    <mergeCell ref="C39:D39"/>
    <mergeCell ref="C41:C42"/>
    <mergeCell ref="C43:D43"/>
    <mergeCell ref="B1:E1"/>
    <mergeCell ref="F1:I1"/>
    <mergeCell ref="J1:M1"/>
  </mergeCells>
  <phoneticPr fontId="8" type="noConversion"/>
  <conditionalFormatting sqref="D41:D42 E26:E31">
    <cfRule type="cellIs" dxfId="52" priority="173" stopIfTrue="1" operator="equal">
      <formula>"EEV CA Var"</formula>
    </cfRule>
    <cfRule type="cellIs" dxfId="51" priority="174" stopIfTrue="1" operator="equal">
      <formula>"Nice IM"</formula>
    </cfRule>
    <cfRule type="cellIs" dxfId="50" priority="175" stopIfTrue="1" operator="equal">
      <formula>"Nice EM"</formula>
    </cfRule>
  </conditionalFormatting>
  <conditionalFormatting sqref="D7">
    <cfRule type="cellIs" dxfId="49" priority="164" stopIfTrue="1" operator="equal">
      <formula>"VOYAGE"</formula>
    </cfRule>
    <cfRule type="cellIs" dxfId="48" priority="165" stopIfTrue="1" operator="equal">
      <formula>"SIEGE"</formula>
    </cfRule>
    <cfRule type="cellIs" dxfId="47" priority="166" stopIfTrue="1" operator="equal">
      <formula>"TER"</formula>
    </cfRule>
  </conditionalFormatting>
  <conditionalFormatting sqref="D9:D10">
    <cfRule type="cellIs" dxfId="46" priority="141" stopIfTrue="1" operator="equal">
      <formula>"SIEGE"</formula>
    </cfRule>
    <cfRule type="cellIs" dxfId="45" priority="142" stopIfTrue="1" operator="equal">
      <formula>"MIXTE OUEST"</formula>
    </cfRule>
  </conditionalFormatting>
  <conditionalFormatting sqref="D11">
    <cfRule type="cellIs" dxfId="44" priority="134" stopIfTrue="1" operator="equal">
      <formula>"VOYAGE"</formula>
    </cfRule>
    <cfRule type="cellIs" dxfId="43" priority="135" stopIfTrue="1" operator="equal">
      <formula>"SIEGE"</formula>
    </cfRule>
    <cfRule type="cellIs" dxfId="42" priority="136" stopIfTrue="1" operator="equal">
      <formula>"TER"</formula>
    </cfRule>
  </conditionalFormatting>
  <conditionalFormatting sqref="D12">
    <cfRule type="cellIs" dxfId="41" priority="128" stopIfTrue="1" operator="equal">
      <formula>"VOYAGE"</formula>
    </cfRule>
    <cfRule type="cellIs" dxfId="40" priority="129" stopIfTrue="1" operator="equal">
      <formula>"SIEGE"</formula>
    </cfRule>
    <cfRule type="cellIs" dxfId="39" priority="130" stopIfTrue="1" operator="equal">
      <formula>"TER"</formula>
    </cfRule>
  </conditionalFormatting>
  <conditionalFormatting sqref="D10">
    <cfRule type="cellIs" dxfId="38" priority="123" stopIfTrue="1" operator="equal">
      <formula>"SIEGE"</formula>
    </cfRule>
    <cfRule type="cellIs" dxfId="37" priority="124" stopIfTrue="1" operator="equal">
      <formula>"MIXTE OUEST"</formula>
    </cfRule>
  </conditionalFormatting>
  <conditionalFormatting sqref="D13">
    <cfRule type="cellIs" dxfId="36" priority="116" stopIfTrue="1" operator="equal">
      <formula>"VOYAGE"</formula>
    </cfRule>
    <cfRule type="cellIs" dxfId="35" priority="117" stopIfTrue="1" operator="equal">
      <formula>"SIEGE"</formula>
    </cfRule>
    <cfRule type="cellIs" dxfId="34" priority="118" stopIfTrue="1" operator="equal">
      <formula>"TER"</formula>
    </cfRule>
  </conditionalFormatting>
  <conditionalFormatting sqref="D14">
    <cfRule type="cellIs" dxfId="33" priority="110" stopIfTrue="1" operator="equal">
      <formula>"VOYAGE"</formula>
    </cfRule>
    <cfRule type="cellIs" dxfId="32" priority="111" stopIfTrue="1" operator="equal">
      <formula>"SIEGE"</formula>
    </cfRule>
    <cfRule type="cellIs" dxfId="31" priority="112" stopIfTrue="1" operator="equal">
      <formula>"TER"</formula>
    </cfRule>
  </conditionalFormatting>
  <conditionalFormatting sqref="D15">
    <cfRule type="cellIs" dxfId="30" priority="98" stopIfTrue="1" operator="equal">
      <formula>"VOYAGE"</formula>
    </cfRule>
    <cfRule type="cellIs" dxfId="29" priority="99" stopIfTrue="1" operator="equal">
      <formula>"SIEGE"</formula>
    </cfRule>
    <cfRule type="cellIs" dxfId="28" priority="100" stopIfTrue="1" operator="equal">
      <formula>"TER"</formula>
    </cfRule>
  </conditionalFormatting>
  <conditionalFormatting sqref="D16">
    <cfRule type="cellIs" dxfId="27" priority="92" stopIfTrue="1" operator="equal">
      <formula>"VOYAGE"</formula>
    </cfRule>
    <cfRule type="cellIs" dxfId="26" priority="93" stopIfTrue="1" operator="equal">
      <formula>"SIEGE"</formula>
    </cfRule>
    <cfRule type="cellIs" dxfId="25" priority="94" stopIfTrue="1" operator="equal">
      <formula>"TER"</formula>
    </cfRule>
  </conditionalFormatting>
  <conditionalFormatting sqref="C3:D33">
    <cfRule type="cellIs" dxfId="24" priority="51" stopIfTrue="1" operator="equal">
      <formula>"SIEGE"</formula>
    </cfRule>
  </conditionalFormatting>
  <conditionalFormatting sqref="D21:D23">
    <cfRule type="cellIs" dxfId="23" priority="38" stopIfTrue="1" operator="equal">
      <formula>"VOYAGE"</formula>
    </cfRule>
    <cfRule type="cellIs" dxfId="22" priority="39" stopIfTrue="1" operator="equal">
      <formula>"SIEGE"</formula>
    </cfRule>
    <cfRule type="cellIs" dxfId="21" priority="40" stopIfTrue="1" operator="equal">
      <formula>"TER"</formula>
    </cfRule>
  </conditionalFormatting>
  <conditionalFormatting sqref="D24:D25">
    <cfRule type="cellIs" dxfId="20" priority="32" stopIfTrue="1" operator="equal">
      <formula>"VOYAGE"</formula>
    </cfRule>
    <cfRule type="cellIs" dxfId="19" priority="33" stopIfTrue="1" operator="equal">
      <formula>"SIEGE"</formula>
    </cfRule>
    <cfRule type="cellIs" dxfId="18" priority="34" stopIfTrue="1" operator="equal">
      <formula>"TER"</formula>
    </cfRule>
  </conditionalFormatting>
  <conditionalFormatting sqref="C39:D46 C34">
    <cfRule type="cellIs" dxfId="17" priority="146" stopIfTrue="1" operator="equal">
      <formula>"TRAIN"</formula>
    </cfRule>
  </conditionalFormatting>
  <conditionalFormatting sqref="B34:B38">
    <cfRule type="cellIs" dxfId="16" priority="9" stopIfTrue="1" operator="equal">
      <formula>"SIEGE"</formula>
    </cfRule>
    <cfRule type="cellIs" dxfId="15" priority="11" stopIfTrue="1" operator="equal">
      <formula>"TRAIN"</formula>
    </cfRule>
  </conditionalFormatting>
  <conditionalFormatting sqref="B34:B38">
    <cfRule type="cellIs" dxfId="14" priority="13" stopIfTrue="1" operator="equal">
      <formula>"EMI"</formula>
    </cfRule>
    <cfRule type="cellIs" dxfId="13" priority="14" stopIfTrue="1" operator="equal">
      <formula>"TER EST"</formula>
    </cfRule>
    <cfRule type="cellIs" dxfId="12" priority="15" stopIfTrue="1" operator="equal">
      <formula>"TER OUEST"</formula>
    </cfRule>
  </conditionalFormatting>
  <conditionalFormatting sqref="D7">
    <cfRule type="cellIs" dxfId="11" priority="1" stopIfTrue="1" operator="equal">
      <formula>"VOYAGE"</formula>
    </cfRule>
    <cfRule type="cellIs" dxfId="10" priority="2" stopIfTrue="1" operator="equal">
      <formula>"SIEGE"</formula>
    </cfRule>
    <cfRule type="cellIs" dxfId="9" priority="3" stopIfTrue="1" operator="equal">
      <formula>"TER"</formula>
    </cfRule>
  </conditionalFormatting>
  <conditionalFormatting sqref="C3:D32">
    <cfRule type="cellIs" dxfId="8" priority="16" stopIfTrue="1" operator="equal">
      <formula>"TRAIN"</formula>
    </cfRule>
    <cfRule type="cellIs" dxfId="7" priority="148" stopIfTrue="1" operator="equal">
      <formula>"EMI"</formula>
    </cfRule>
    <cfRule type="cellIs" dxfId="6" priority="176" stopIfTrue="1" operator="equal">
      <formula>"TER EST"</formula>
    </cfRule>
    <cfRule type="cellIs" dxfId="5" priority="178" stopIfTrue="1" operator="equal">
      <formula>"TER OUEST"</formula>
    </cfRule>
  </conditionalFormatting>
  <dataValidations count="2">
    <dataValidation type="list" allowBlank="1" showInputMessage="1" showErrorMessage="1" sqref="D41:D42" xr:uid="{00000000-0002-0000-0800-000000000000}">
      <formula1>chsct</formula1>
    </dataValidation>
    <dataValidation type="list" allowBlank="1" showInputMessage="1" showErrorMessage="1" sqref="B34:B38" xr:uid="{00000000-0002-0000-0800-000001000000}">
      <formula1>UO_ESV</formula1>
    </dataValidation>
  </dataValidations>
  <pageMargins left="0.25" right="0.25" top="0.75" bottom="0.75" header="0.3" footer="0.3"/>
  <pageSetup paperSize="9" scale="61" orientation="landscape" verticalDpi="4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6">
    <tabColor rgb="FF00B050"/>
  </sheetPr>
  <dimension ref="A1:Y101"/>
  <sheetViews>
    <sheetView topLeftCell="L1" zoomScaleNormal="100" workbookViewId="0">
      <selection activeCell="I2" sqref="I2"/>
    </sheetView>
  </sheetViews>
  <sheetFormatPr baseColWidth="10" defaultRowHeight="15"/>
  <cols>
    <col min="1" max="1" width="29.28515625" style="427" customWidth="1"/>
    <col min="2" max="2" width="18.5703125" customWidth="1"/>
    <col min="3" max="3" width="18.5703125" style="187" customWidth="1"/>
    <col min="4" max="4" width="13.28515625" customWidth="1"/>
    <col min="5" max="5" width="16.140625" style="420" customWidth="1"/>
    <col min="6" max="7" width="11.42578125" style="420"/>
    <col min="8" max="8" width="13.140625" style="420" customWidth="1"/>
    <col min="11" max="11" width="8.7109375" style="420" customWidth="1"/>
    <col min="12" max="12" width="8.85546875" style="420" customWidth="1"/>
    <col min="13" max="13" width="17" customWidth="1"/>
    <col min="14" max="14" width="10.5703125" customWidth="1"/>
    <col min="15" max="15" width="10.5703125" style="267" customWidth="1"/>
    <col min="16" max="18" width="14.28515625" style="395" customWidth="1"/>
    <col min="19" max="23" width="11.42578125" style="395"/>
  </cols>
  <sheetData>
    <row r="1" spans="1:25" s="420" customFormat="1" ht="46.5" customHeight="1">
      <c r="A1" s="416" t="s">
        <v>274</v>
      </c>
      <c r="B1" s="416" t="s">
        <v>18</v>
      </c>
      <c r="C1" s="416" t="s">
        <v>793</v>
      </c>
      <c r="D1" s="416" t="s">
        <v>607</v>
      </c>
      <c r="E1" s="416" t="s">
        <v>606</v>
      </c>
      <c r="F1" s="417" t="s">
        <v>775</v>
      </c>
      <c r="G1" s="416" t="s">
        <v>881</v>
      </c>
      <c r="H1" s="416" t="s">
        <v>1398</v>
      </c>
      <c r="I1" s="416" t="s">
        <v>778</v>
      </c>
      <c r="J1" s="416" t="s">
        <v>882</v>
      </c>
      <c r="K1" s="418" t="s">
        <v>779</v>
      </c>
      <c r="L1" s="418" t="s">
        <v>1400</v>
      </c>
      <c r="M1" s="418" t="s">
        <v>879</v>
      </c>
      <c r="N1" s="418" t="s">
        <v>781</v>
      </c>
      <c r="O1" s="418" t="s">
        <v>909</v>
      </c>
      <c r="P1" s="418" t="s">
        <v>780</v>
      </c>
      <c r="Q1" s="419" t="s">
        <v>966</v>
      </c>
      <c r="R1" s="419" t="s">
        <v>824</v>
      </c>
      <c r="S1" s="419" t="s">
        <v>595</v>
      </c>
      <c r="T1" s="419" t="s">
        <v>960</v>
      </c>
      <c r="U1" s="419" t="s">
        <v>830</v>
      </c>
      <c r="V1" s="419" t="s">
        <v>958</v>
      </c>
      <c r="W1" s="419" t="s">
        <v>880</v>
      </c>
      <c r="Y1" s="493" t="s">
        <v>800</v>
      </c>
    </row>
    <row r="2" spans="1:25" s="422" customFormat="1">
      <c r="A2" s="23" t="str">
        <f>IF('Listes déroulantes'!A40="","",'Listes déroulantes'!A40)</f>
        <v>TER OUEST</v>
      </c>
      <c r="B2" s="433" t="str">
        <f>IF(A2="","",VLOOKUP(A2,'Listes déroulantes'!$A$2:$C$55,2,FALSE ))</f>
        <v>TER OUEST</v>
      </c>
      <c r="C2" s="434" t="str">
        <f>IF(A2="","",IF(E2="NON", "01/01/2019",INDEX('Liste AT'!$I$2:$I$165,(MAX(IF('Liste AT'!$F$7:$F$165=A2,ROW('Liste AT'!$F$7:$F$165)))),1)))</f>
        <v>01/01/2019</v>
      </c>
      <c r="D2" s="221">
        <f ca="1">IFERROR(TODAY()-C2,"")</f>
        <v>400</v>
      </c>
      <c r="E2" s="393" t="str">
        <f>IF(A2="","",IFERROR(VLOOKUP(A2,'Liste AT'!$F$7:$F$165,1,FALSE),"NON"))</f>
        <v>NON</v>
      </c>
      <c r="F2" s="393">
        <f>IF(A2="","",COUNTIF('Liste AT'!$F$7:$F$165,E2))</f>
        <v>0</v>
      </c>
      <c r="G2" s="393">
        <f>IF(A2="","",SUMIF('Liste AT'!$F$7:$F$165,A2,'Liste AT'!$O$7:$O$165))</f>
        <v>0</v>
      </c>
      <c r="H2" s="393">
        <f>IF(A2="","",SUMIF('Liste AT'!$F$7:$F$165,A2,'Liste AT'!$P$7:$P$165))</f>
        <v>0</v>
      </c>
      <c r="I2" s="435" t="e">
        <f ca="1">IF(A2="","",(K2-U2)*1000000/(N2*(1607*$Y$2/12)))</f>
        <v>#N/A</v>
      </c>
      <c r="J2" s="435" t="e">
        <f ca="1">IF(A2="","",W2*1000/(N2*(1607*$Y$2/12)))</f>
        <v>#N/A</v>
      </c>
      <c r="K2" s="393">
        <f>IF(A2="","",COUNTIFS('Liste AT'!$F$7:$F$165,A2,'Liste AT'!$L$7:$L$165,"avec arrêt"))</f>
        <v>0</v>
      </c>
      <c r="L2" s="393">
        <f t="shared" ref="L2:L8" si="0">IF(A2="","",F2-K2)</f>
        <v>0</v>
      </c>
      <c r="M2" s="421" t="e">
        <f ca="1">IF(A2="","",(K2-U2)*1000000/(N2*(1607*$Y$2/12)))</f>
        <v>#N/A</v>
      </c>
      <c r="N2" s="421" t="e">
        <f t="shared" ref="N2:N8" ca="1" si="1">IF(A2="","",INDEX(INDIRECT("Effectifs!E" &amp; P2 &amp; ":P" &amp; P2),MATCH(-1,INDIRECT("Effectifs!E" &amp; P2 &amp; ":P" &amp; P2),-1)))</f>
        <v>#N/A</v>
      </c>
      <c r="O2" s="435" t="e">
        <f ca="1">((K2-U2)*1000)/N2</f>
        <v>#N/A</v>
      </c>
      <c r="P2" s="393">
        <f>IF(A2="","",MATCH(A2,Effectifs!$B$1:$B$45,0))</f>
        <v>35</v>
      </c>
      <c r="Q2" s="393">
        <f>IF(A2="","",COUNTIFS('Liste AT'!$F$7:$F$165,A2,'Liste AT'!$K$7:$K$165,"=quasi-accident"))</f>
        <v>0</v>
      </c>
      <c r="R2" s="393">
        <f>IF(A2="","",COUNTIFS('Liste AT'!$F$7:$F$165,A2,'Liste AT'!$K$7:$K$165,"=trajet"))</f>
        <v>0</v>
      </c>
      <c r="S2" s="393">
        <f>IF(A2="","",COUNTIFS('Liste AT'!$F$7:$F$165,A2,'Liste AT'!$AB$7:$AB$165,"=oui"))</f>
        <v>0</v>
      </c>
      <c r="T2" s="393">
        <f>IF(A2="","",COUNTIFS('Liste AT'!$F$7:$F$165,A2,'Liste AT'!$AC$7:$AC$165,"=Non renseigné")+COUNTIFS('Liste AT'!$F$7:$F$165,A2,'Liste AT'!$AC$7:$AC$165,"=Reconnu")+COUNTIFS('Liste AT'!$F$7:$F$165,A2,'Liste AT'!$AC$7:$AC$165,"=En cours")+COUNTIFS('Liste AT'!$F$7:$F$165,A2,'Liste AT'!$AC$7:$AC$165,"=Consolidé"))</f>
        <v>0</v>
      </c>
      <c r="U2" s="393">
        <f>IF(A2="","",COUNTIFS('Liste AT'!$F$7:$F$165,A2,'Liste AT'!$K$7:$K$165,"=trajet",'Liste AT'!$L$7:$L$165,"=avec arrêt"))</f>
        <v>0</v>
      </c>
      <c r="V2" s="393">
        <f>IF(A2="","",COUNTIFS('Liste AT'!$F$7:$F$165,A2,'Liste AT'!$K$7:$K$165,"=travail",'Liste AT'!$L$7:$L$165,"=avec arrêt"))</f>
        <v>0</v>
      </c>
      <c r="W2" s="393">
        <f>IF(A2="","",SUMIFS('Liste AT'!$O$7:$O$165,'Liste AT'!$F$7:$F$165,A2,'Liste AT'!$K$7:$K$165,"travail"))</f>
        <v>0</v>
      </c>
      <c r="Y2" s="495">
        <v>43831</v>
      </c>
    </row>
    <row r="3" spans="1:25">
      <c r="A3" s="423" t="str">
        <f>IF('Listes déroulantes'!A41="","",'Listes déroulantes'!A41)</f>
        <v>TER EST</v>
      </c>
      <c r="B3" s="219" t="str">
        <f>IF(A3="","",VLOOKUP(A3,'Listes déroulantes'!$A$2:$C$55,2,FALSE ))</f>
        <v>TER EST</v>
      </c>
      <c r="C3" s="220" t="str">
        <f>IF(A3="","",IF(E3="NON", "01/01/2019",INDEX('Liste AT'!$I$2:$I$165,(MAX(IF('Liste AT'!$F$7:$F$165=A3,ROW('Liste AT'!$F$7:$F$165)))),1)))</f>
        <v>01/01/2019</v>
      </c>
      <c r="D3" s="221">
        <f t="shared" ref="D3:D8" ca="1" si="2">IFERROR(TODAY()-C3,"")</f>
        <v>400</v>
      </c>
      <c r="E3" s="428" t="str">
        <f>IF(A3="","",IFERROR(VLOOKUP(A3,'Liste AT'!$F$7:$F$165,1,FALSE),"NON"))</f>
        <v>NON</v>
      </c>
      <c r="F3" s="428">
        <f>IF(A3="","",COUNTIF('Liste AT'!$F$7:$F$165,E3))</f>
        <v>0</v>
      </c>
      <c r="G3" s="428">
        <f>IF(A3="","",SUMIF('Liste AT'!$F$7:$F$165,A3,'Liste AT'!$O$7:$O$165))</f>
        <v>0</v>
      </c>
      <c r="H3" s="393">
        <f>IF(A3="","",SUMIF('Liste AT'!$F$7:$F$165,A3,'Liste AT'!$P$7:$P$165))</f>
        <v>0</v>
      </c>
      <c r="I3" s="222" t="e">
        <f ca="1">IF(A3="","",(K3-U3)*1000000/(N3*(1607*$Y$2/12)))</f>
        <v>#N/A</v>
      </c>
      <c r="J3" s="222" t="e">
        <f ca="1">IF(A3="","",W3*1000/(N3*(1607*$Y$2/12)))</f>
        <v>#N/A</v>
      </c>
      <c r="K3" s="428">
        <f>IF(A3="","",COUNTIFS('Liste AT'!$F$7:$F$165,A3,'Liste AT'!$L$7:$L$165,"avec arrêt"))</f>
        <v>0</v>
      </c>
      <c r="L3" s="428">
        <f t="shared" si="0"/>
        <v>0</v>
      </c>
      <c r="M3" s="272" t="e">
        <f ca="1">IF(A3="","",(K3-U3)*1000000/(N3*(1607*$Y$2/12)))</f>
        <v>#N/A</v>
      </c>
      <c r="N3" s="272" t="e">
        <f t="shared" ca="1" si="1"/>
        <v>#N/A</v>
      </c>
      <c r="O3" s="222" t="e">
        <f t="shared" ref="O3:O6" ca="1" si="3">((K3-U3)*1000)/N3</f>
        <v>#N/A</v>
      </c>
      <c r="P3" s="393">
        <f>IF(A3="","",MATCH(A3,Effectifs!$B$1:$B$45,0))</f>
        <v>34</v>
      </c>
      <c r="Q3" s="393">
        <f>IF(A3="","",COUNTIFS('Liste AT'!$F$7:$F$165,A3,'Liste AT'!$K$7:$K$165,"=quasi-accident"))</f>
        <v>0</v>
      </c>
      <c r="R3" s="393">
        <f>IF(A3="","",COUNTIFS('Liste AT'!$F$7:$F$165,A3,'Liste AT'!$K$7:$K$165,"=trajet"))</f>
        <v>0</v>
      </c>
      <c r="S3" s="393">
        <f>IF(A3="","",COUNTIFS('Liste AT'!$F$7:$F$165,A3,'Liste AT'!$AB$7:$AB$165,"=oui"))</f>
        <v>0</v>
      </c>
      <c r="T3" s="393">
        <f>IF(A3="","",COUNTIFS('Liste AT'!$F$7:$F$165,A3,'Liste AT'!$AC$7:$AC$165,"=Non renseigné")+COUNTIFS('Liste AT'!$F$7:$F$165,A3,'Liste AT'!$AC$7:$AC$165,"=Reconnu")+COUNTIFS('Liste AT'!$F$7:$F$165,A3,'Liste AT'!$AC$7:$AC$165,"=En cours")+COUNTIFS('Liste AT'!$F$7:$F$165,A3,'Liste AT'!$AC$7:$AC$165,"=Consolidé"))</f>
        <v>0</v>
      </c>
      <c r="U3" s="393">
        <f>IF(A3="","",COUNTIFS('Liste AT'!$F$7:$F$165,A3,'Liste AT'!$K$7:$K$165,"=trajet",'Liste AT'!$L$7:$L$165,"=avec arrêt"))</f>
        <v>0</v>
      </c>
      <c r="V3" s="393">
        <f>IF(A3="","",COUNTIFS('Liste AT'!$F$7:$F$165,A3,'Liste AT'!$K$7:$K$165,"=travail",'Liste AT'!$L$7:$L$165,"=avec arrêt"))</f>
        <v>0</v>
      </c>
      <c r="W3" s="393">
        <f>IF(A3="","",SUMIFS('Liste AT'!$O$7:$O$165,'Liste AT'!$F$7:$F$165,A3,'Liste AT'!$K$7:$K$165,"travail"))</f>
        <v>0</v>
      </c>
    </row>
    <row r="4" spans="1:25">
      <c r="A4" s="423" t="str">
        <f>IF('Listes déroulantes'!A42="","",'Listes déroulantes'!A42)</f>
        <v>SIEGE</v>
      </c>
      <c r="B4" s="219" t="str">
        <f>IF(A4="","",VLOOKUP(A4,'Listes déroulantes'!$A$2:$C$55,2,FALSE ))</f>
        <v>SIEGE</v>
      </c>
      <c r="C4" s="220" t="str">
        <f>IF(A4="","",IF(E4="NON", "01/01/2019",INDEX('Liste AT'!$I$2:$I$165,(MAX(IF('Liste AT'!$F$7:$F$165=A4,ROW('Liste AT'!$F$7:$F$165)))),1)))</f>
        <v>01/01/2019</v>
      </c>
      <c r="D4" s="221">
        <f t="shared" ca="1" si="2"/>
        <v>400</v>
      </c>
      <c r="E4" s="428" t="str">
        <f>IF(A4="","",IFERROR(VLOOKUP(A4,'Liste AT'!$F$7:$F$165,1,FALSE),"NON"))</f>
        <v>NON</v>
      </c>
      <c r="F4" s="428">
        <f>IF(A4="","",COUNTIF('Liste AT'!$F$7:$F$165,E4))</f>
        <v>0</v>
      </c>
      <c r="G4" s="428">
        <f>IF(A4="","",SUMIF('Liste AT'!$F$7:$F$165,A4,'Liste AT'!$O$7:$O$165))</f>
        <v>0</v>
      </c>
      <c r="H4" s="393">
        <f>IF(A4="","",SUMIF('Liste AT'!$F$7:$F$165,A4,'Liste AT'!$P$7:$P$165))</f>
        <v>0</v>
      </c>
      <c r="I4" s="435" t="e">
        <f t="shared" ref="I4:I6" ca="1" si="4">IF(A4="","",(K4-U4)*1000000/(N4*(1607*$Y$2/12)))</f>
        <v>#N/A</v>
      </c>
      <c r="J4" s="435" t="e">
        <f t="shared" ref="J4:J6" ca="1" si="5">IF(A4="","",W4*1000/(N4*(1607*$Y$2/12)))</f>
        <v>#N/A</v>
      </c>
      <c r="K4" s="428">
        <f>IF(A4="","",COUNTIFS('Liste AT'!$F$7:$F$165,A4,'Liste AT'!$L$7:$L$165,"avec arrêt"))</f>
        <v>0</v>
      </c>
      <c r="L4" s="428">
        <f t="shared" si="0"/>
        <v>0</v>
      </c>
      <c r="M4" s="421" t="e">
        <f t="shared" ref="M4:M6" ca="1" si="6">IF(A4="","",(K4-U4)*1000000/(N4*(1607*$Y$2/12)))</f>
        <v>#N/A</v>
      </c>
      <c r="N4" s="272" t="e">
        <f t="shared" ca="1" si="1"/>
        <v>#N/A</v>
      </c>
      <c r="O4" s="222" t="e">
        <f t="shared" ca="1" si="3"/>
        <v>#N/A</v>
      </c>
      <c r="P4" s="393">
        <f>IF(A4="","",MATCH(A4,Effectifs!$B$1:$B$45,0))</f>
        <v>38</v>
      </c>
      <c r="Q4" s="393">
        <f>IF(A4="","",COUNTIFS('Liste AT'!$F$7:$F$165,A4,'Liste AT'!$K$7:$K$165,"=quasi-accident"))</f>
        <v>0</v>
      </c>
      <c r="R4" s="393">
        <f>IF(A4="","",COUNTIFS('Liste AT'!$F$7:$F$165,A4,'Liste AT'!$K$7:$K$165,"=trajet"))</f>
        <v>0</v>
      </c>
      <c r="S4" s="393">
        <f>IF(A4="","",COUNTIFS('Liste AT'!$F$7:$F$165,A4,'Liste AT'!$AB$7:$AB$165,"=oui"))</f>
        <v>0</v>
      </c>
      <c r="T4" s="393">
        <f>IF(A4="","",COUNTIFS('Liste AT'!$F$7:$F$165,A4,'Liste AT'!$AC$7:$AC$165,"=Non renseigné")+COUNTIFS('Liste AT'!$F$7:$F$165,A4,'Liste AT'!$AC$7:$AC$165,"=Reconnu")+COUNTIFS('Liste AT'!$F$7:$F$165,A4,'Liste AT'!$AC$7:$AC$165,"=En cours")+COUNTIFS('Liste AT'!$F$7:$F$165,A4,'Liste AT'!$AC$7:$AC$165,"=Consolidé"))</f>
        <v>0</v>
      </c>
      <c r="U4" s="393">
        <f>IF(A4="","",COUNTIFS('Liste AT'!$F$7:$F$165,A4,'Liste AT'!$K$7:$K$165,"=trajet",'Liste AT'!$L$7:$L$165,"=avec arrêt"))</f>
        <v>0</v>
      </c>
      <c r="V4" s="393">
        <f>IF(A4="","",COUNTIFS('Liste AT'!$F$7:$F$165,A4,'Liste AT'!$K$7:$K$165,"=travail",'Liste AT'!$L$7:$L$165,"=avec arrêt"))</f>
        <v>0</v>
      </c>
      <c r="W4" s="393">
        <f>IF(A4="","",SUMIFS('Liste AT'!$O$7:$O$165,'Liste AT'!$F$7:$F$165,A4,'Liste AT'!$K$7:$K$165,"travail"))</f>
        <v>0</v>
      </c>
    </row>
    <row r="5" spans="1:25">
      <c r="A5" s="423" t="str">
        <f>IF('Listes déroulantes'!A43="","",'Listes déroulantes'!A43)</f>
        <v>TRAIN</v>
      </c>
      <c r="B5" s="219" t="str">
        <f>IF(A5="","",VLOOKUP(A5,'Listes déroulantes'!$A$2:$C$55,2,FALSE ))</f>
        <v>TRAIN</v>
      </c>
      <c r="C5" s="220" t="str">
        <f>IF(A5="","",IF(E5="NON", "01/01/2019",INDEX('Liste AT'!$I$2:$I$165,(MAX(IF('Liste AT'!$F$7:$F$165=A5,ROW('Liste AT'!$F$7:$F$165)))),1)))</f>
        <v>01/01/2019</v>
      </c>
      <c r="D5" s="221">
        <f t="shared" ca="1" si="2"/>
        <v>400</v>
      </c>
      <c r="E5" s="428" t="str">
        <f>IF(A5="","",IFERROR(VLOOKUP(A5,'Liste AT'!$F$7:$F$165,1,FALSE),"NON"))</f>
        <v>NON</v>
      </c>
      <c r="F5" s="428">
        <f>IF(A5="","",COUNTIF('Liste AT'!$F$7:$F$165,E5))</f>
        <v>0</v>
      </c>
      <c r="G5" s="428">
        <f>IF(A5="","",SUMIF('Liste AT'!$F$7:$F$165,A5,'Liste AT'!$O$7:$O$165))</f>
        <v>0</v>
      </c>
      <c r="H5" s="393">
        <f>IF(A5="","",SUMIF('Liste AT'!$F$7:$F$165,A5,'Liste AT'!$P$7:$P$165))</f>
        <v>0</v>
      </c>
      <c r="I5" s="222" t="e">
        <f t="shared" ca="1" si="4"/>
        <v>#N/A</v>
      </c>
      <c r="J5" s="222" t="e">
        <f t="shared" ca="1" si="5"/>
        <v>#N/A</v>
      </c>
      <c r="K5" s="428">
        <f>IF(A5="","",COUNTIFS('Liste AT'!$F$7:$F$165,A5,'Liste AT'!$L$7:$L$165,"avec arrêt"))</f>
        <v>0</v>
      </c>
      <c r="L5" s="428">
        <f t="shared" si="0"/>
        <v>0</v>
      </c>
      <c r="M5" s="272" t="e">
        <f t="shared" ca="1" si="6"/>
        <v>#N/A</v>
      </c>
      <c r="N5" s="272" t="e">
        <f t="shared" ca="1" si="1"/>
        <v>#N/A</v>
      </c>
      <c r="O5" s="222" t="e">
        <f t="shared" ca="1" si="3"/>
        <v>#N/A</v>
      </c>
      <c r="P5" s="393">
        <f>IF(A5="","",MATCH(A5,Effectifs!$B$1:$B$45,0))</f>
        <v>36</v>
      </c>
      <c r="Q5" s="393">
        <f>IF(A5="","",COUNTIFS('Liste AT'!$F$7:$F$165,A5,'Liste AT'!$K$7:$K$165,"=quasi-accident"))</f>
        <v>0</v>
      </c>
      <c r="R5" s="393">
        <f>IF(A5="","",COUNTIFS('Liste AT'!$F$7:$F$165,A5,'Liste AT'!$K$7:$K$165,"=trajet"))</f>
        <v>0</v>
      </c>
      <c r="S5" s="393">
        <f>IF(A5="","",COUNTIFS('Liste AT'!$F$7:$F$165,A5,'Liste AT'!$AB$7:$AB$165,"=oui"))</f>
        <v>0</v>
      </c>
      <c r="T5" s="393">
        <f>IF(A5="","",COUNTIFS('Liste AT'!$F$7:$F$165,A5,'Liste AT'!$AC$7:$AC$165,"=Non renseigné")+COUNTIFS('Liste AT'!$F$7:$F$165,A5,'Liste AT'!$AC$7:$AC$165,"=Reconnu")+COUNTIFS('Liste AT'!$F$7:$F$165,A5,'Liste AT'!$AC$7:$AC$165,"=En cours")+COUNTIFS('Liste AT'!$F$7:$F$165,A5,'Liste AT'!$AC$7:$AC$165,"=Consolidé"))</f>
        <v>0</v>
      </c>
      <c r="U5" s="393">
        <f>IF(A5="","",COUNTIFS('Liste AT'!$F$7:$F$165,A5,'Liste AT'!$K$7:$K$165,"=trajet",'Liste AT'!$L$7:$L$165,"=avec arrêt"))</f>
        <v>0</v>
      </c>
      <c r="V5" s="393">
        <f>IF(A5="","",COUNTIFS('Liste AT'!$F$7:$F$165,A5,'Liste AT'!$K$7:$K$165,"=travail",'Liste AT'!$L$7:$L$165,"=avec arrêt"))</f>
        <v>0</v>
      </c>
      <c r="W5" s="393">
        <f>IF(A5="","",SUMIFS('Liste AT'!$O$7:$O$165,'Liste AT'!$F$7:$F$165,A5,'Liste AT'!$K$7:$K$165,"travail"))</f>
        <v>0</v>
      </c>
    </row>
    <row r="6" spans="1:25">
      <c r="A6" s="423" t="str">
        <f>IF('Listes déroulantes'!A44="","",'Listes déroulantes'!A44)</f>
        <v>EMI</v>
      </c>
      <c r="B6" s="219" t="str">
        <f>IF(A6="","",VLOOKUP(A6,'Listes déroulantes'!$A$2:$C$55,2,FALSE ))</f>
        <v>EMI</v>
      </c>
      <c r="C6" s="220" t="str">
        <f>IF(A6="","",IF(E6="NON", "01/01/2019",INDEX('Liste AT'!$I$7:$I$165,(MAX(IF('Liste AT'!$F$7:$F$165=A6,ROW('Liste AT'!$F$7:$F$165)))),1)))</f>
        <v>01/01/2019</v>
      </c>
      <c r="D6" s="221">
        <f t="shared" ca="1" si="2"/>
        <v>400</v>
      </c>
      <c r="E6" s="428" t="str">
        <f>IF(A6="","",IFERROR(VLOOKUP(A6,'Liste AT'!$F$7:$F$165,1,FALSE),"NON"))</f>
        <v>NON</v>
      </c>
      <c r="F6" s="428">
        <f>IF(A6="","",COUNTIF('Liste AT'!$F$7:$F$165,E6))</f>
        <v>0</v>
      </c>
      <c r="G6" s="428">
        <f>IF(A6="","",SUMIF('Liste AT'!$F$7:$F$165,A6,'Liste AT'!$O$7:$O$165))</f>
        <v>0</v>
      </c>
      <c r="H6" s="393">
        <f>IF(A6="","",SUMIF('Liste AT'!$F$7:$F$165,A6,'Liste AT'!$P$7:$P$165))</f>
        <v>0</v>
      </c>
      <c r="I6" s="435" t="e">
        <f t="shared" ca="1" si="4"/>
        <v>#N/A</v>
      </c>
      <c r="J6" s="435" t="e">
        <f t="shared" ca="1" si="5"/>
        <v>#N/A</v>
      </c>
      <c r="K6" s="428">
        <f>IF(A6="","",COUNTIFS('Liste AT'!$F$7:$F$165,A6,'Liste AT'!$L$7:$L$165,"avec arrêt"))</f>
        <v>0</v>
      </c>
      <c r="L6" s="428">
        <f t="shared" si="0"/>
        <v>0</v>
      </c>
      <c r="M6" s="421" t="e">
        <f t="shared" ca="1" si="6"/>
        <v>#N/A</v>
      </c>
      <c r="N6" s="272" t="e">
        <f t="shared" ca="1" si="1"/>
        <v>#N/A</v>
      </c>
      <c r="O6" s="222" t="e">
        <f t="shared" ca="1" si="3"/>
        <v>#N/A</v>
      </c>
      <c r="P6" s="393">
        <f>IF(A6="","",MATCH(A6,Effectifs!$B$1:$B$45,0))</f>
        <v>37</v>
      </c>
      <c r="Q6" s="393">
        <f>IF(A6="","",COUNTIFS('Liste AT'!$F$7:$F$165,A6,'Liste AT'!$K$7:$K$165,"=quasi-accident"))</f>
        <v>0</v>
      </c>
      <c r="R6" s="393">
        <f>IF(A6="","",COUNTIFS('Liste AT'!$F$7:$F$165,A6,'Liste AT'!$K$7:$K$165,"=trajet"))</f>
        <v>0</v>
      </c>
      <c r="S6" s="393">
        <f>IF(A6="","",COUNTIFS('Liste AT'!$F$7:$F$165,A6,'Liste AT'!$AB$7:$AB$165,"=oui"))</f>
        <v>0</v>
      </c>
      <c r="T6" s="393">
        <f>IF(A6="","",COUNTIFS('Liste AT'!$F$7:$F$165,A6,'Liste AT'!$AC$7:$AC$165,"=Non renseigné")+COUNTIFS('Liste AT'!$F$7:$F$165,A6,'Liste AT'!$AC$7:$AC$165,"=Reconnu")+COUNTIFS('Liste AT'!$F$7:$F$165,A6,'Liste AT'!$AC$7:$AC$165,"=En cours")+COUNTIFS('Liste AT'!$F$7:$F$165,A6,'Liste AT'!$AC$7:$AC$165,"=Consolidé"))</f>
        <v>0</v>
      </c>
      <c r="U6" s="393">
        <f>IF(A6="","",COUNTIFS('Liste AT'!$F$7:$F$165,A6,'Liste AT'!$K$7:$K$165,"=trajet",'Liste AT'!$L$7:$L$165,"=avec arrêt"))</f>
        <v>0</v>
      </c>
      <c r="V6" s="393">
        <f>IF(A6="","",COUNTIFS('Liste AT'!$F$7:$F$165,A6,'Liste AT'!$K$7:$K$165,"=travail",'Liste AT'!$L$7:$L$165,"=avec arrêt"))</f>
        <v>0</v>
      </c>
      <c r="W6" s="393">
        <f>IF(A6="","",SUMIFS('Liste AT'!$O$7:$O$165,'Liste AT'!$F$7:$F$165,A6,'Liste AT'!$K$7:$K$165,"travail"))</f>
        <v>0</v>
      </c>
    </row>
    <row r="7" spans="1:25" s="267" customFormat="1">
      <c r="A7" s="423" t="str">
        <f>IF('Listes déroulantes'!A45="","",'Listes déroulantes'!A45)</f>
        <v/>
      </c>
      <c r="B7" s="219" t="str">
        <f>IF(A7="","",VLOOKUP(A7,'Listes déroulantes'!$A$2:$C$55,2,FALSE ))</f>
        <v/>
      </c>
      <c r="C7" s="220" t="str">
        <f>IF(A7="","",IF(E7="NON", "01/01/2019",INDEX('Liste AT'!$I$7:$I$165,(MAX(IF('Liste AT'!$F$7:$F$165=A7,ROW('Liste AT'!$F$7:$F$165)))),1)))</f>
        <v/>
      </c>
      <c r="D7" s="221" t="str">
        <f t="shared" ca="1" si="2"/>
        <v/>
      </c>
      <c r="E7" s="428" t="str">
        <f>IF(A7="","",IFERROR(VLOOKUP(A7,'Liste AT'!$F$7:$F$165,1,FALSE),"NON"))</f>
        <v/>
      </c>
      <c r="F7" s="428" t="str">
        <f>IF(A7="","",COUNTIF('Liste AT'!$F$7:$F$165,E7))</f>
        <v/>
      </c>
      <c r="G7" s="428" t="str">
        <f>IF(A7="","",SUMIF('Liste AT'!$F$7:$F$165,A7,'Liste AT'!$O$7:$O$165))</f>
        <v/>
      </c>
      <c r="H7" s="428"/>
      <c r="I7" s="222" t="str">
        <f>IF(A7="","",K7*1000000/(N7*(1607*$X$1/12)))</f>
        <v/>
      </c>
      <c r="J7" s="222" t="str">
        <f>IF(A7="","",W7*1000/(N7*(1607*$X$1/12)))</f>
        <v/>
      </c>
      <c r="K7" s="428" t="str">
        <f>IF(A7="","",COUNTIFS('Liste AT'!$F$7:$F$165,A7,'Liste AT'!$L$7:$L$165,"avec arrêt"))</f>
        <v/>
      </c>
      <c r="L7" s="428" t="str">
        <f t="shared" si="0"/>
        <v/>
      </c>
      <c r="M7" s="272" t="str">
        <f>IF(A7="","",(K7-U7)*1000000/(N7*(1607*$X$1/12)))</f>
        <v/>
      </c>
      <c r="N7" s="272" t="str">
        <f t="shared" ca="1" si="1"/>
        <v/>
      </c>
      <c r="O7" s="272"/>
      <c r="P7" s="393" t="str">
        <f>IF(A7="","",MATCH(A7,Effectifs!$B$1:$B$45,0))</f>
        <v/>
      </c>
      <c r="Q7" s="393"/>
      <c r="R7" s="393" t="str">
        <f>IF(A7="","",COUNTIFS('Liste AT'!$F$7:$F$165,A7,'Liste AT'!$K$7:$K$165,"=trajet"))</f>
        <v/>
      </c>
      <c r="S7" s="393" t="str">
        <f>IF(A7="","",COUNTIFS('Liste AT'!$F$7:$F$165,A7,'Liste AT'!$AB$7:$AB$165,"=oui"))</f>
        <v/>
      </c>
      <c r="T7" s="393"/>
      <c r="U7" s="393" t="str">
        <f>IF(A7="","",COUNTIFS('Liste AT'!$F$7:$F$165,A7,'Liste AT'!$K$7:$K$165,"=trajet",'Liste AT'!$L$7:$L$165,"=avec arrêt"))</f>
        <v/>
      </c>
      <c r="V7" s="393"/>
      <c r="W7" s="393" t="str">
        <f>IF(A7="","",SUMIFS('Liste AT'!$O$7:$O$165,'Liste AT'!$F$7:$F$165,A7,'Liste AT'!$K$7:$K$165,"travail"))</f>
        <v/>
      </c>
    </row>
    <row r="8" spans="1:25" s="267" customFormat="1">
      <c r="A8" s="423" t="str">
        <f>IF('Listes déroulantes'!A46="","",'Listes déroulantes'!A46)</f>
        <v/>
      </c>
      <c r="B8" s="219" t="str">
        <f>IF(A8="","",VLOOKUP(A8,'Listes déroulantes'!$A$2:$C$55,2,FALSE ))</f>
        <v/>
      </c>
      <c r="C8" s="220" t="str">
        <f t="array" ref="C8">IF(A8="","",IF(E8="NON", "01/01/2018",INDEX('Liste AT'!$I$2:$I$165,(MAX(IF('Liste AT'!$F$7:$F$165=A8,ROW('Liste AT'!$F$7:$F$165)))),1)))</f>
        <v/>
      </c>
      <c r="D8" s="221" t="str">
        <f t="shared" ca="1" si="2"/>
        <v/>
      </c>
      <c r="E8" s="428" t="str">
        <f>IF(A8="","",IFERROR(VLOOKUP(A8,'Liste AT'!$F$7:$F$165,1,FALSE),"NON"))</f>
        <v/>
      </c>
      <c r="F8" s="428" t="str">
        <f>IF(A8="","",COUNTIF('Liste AT'!$F$7:$F$165,E8))</f>
        <v/>
      </c>
      <c r="G8" s="428" t="str">
        <f>IF(A8="","",SUMIF('Liste AT'!$F$7:$F$165,A8,'Liste AT'!$O$7:$O$165))</f>
        <v/>
      </c>
      <c r="H8" s="428"/>
      <c r="I8" s="222" t="str">
        <f>IF(A8="","",K8*1000000/(N8*(1607*$X$1/12)))</f>
        <v/>
      </c>
      <c r="J8" s="222" t="str">
        <f>IF(A8="","",W8*1000/(N8*(1607*$X$1/12)))</f>
        <v/>
      </c>
      <c r="K8" s="428" t="str">
        <f>IF(A8="","",COUNTIFS('Liste AT'!$F$7:$F$165,A8,'Liste AT'!$L$7:$L$165,"avec arrêt"))</f>
        <v/>
      </c>
      <c r="L8" s="428" t="str">
        <f t="shared" si="0"/>
        <v/>
      </c>
      <c r="M8" s="272" t="str">
        <f>IF(A8="","",(K8-U8)*1000000/(N8*(1607*$X$1/12)))</f>
        <v/>
      </c>
      <c r="N8" s="272" t="str">
        <f t="shared" ca="1" si="1"/>
        <v/>
      </c>
      <c r="O8" s="272"/>
      <c r="P8" s="393" t="str">
        <f>IF(A8="","",MATCH(A8,Effectifs!$B$1:$B$45,0))</f>
        <v/>
      </c>
      <c r="Q8" s="393"/>
      <c r="R8" s="393" t="str">
        <f>IF(A8="","",COUNTIFS('Liste AT'!$F$7:$F$165,A8,'Liste AT'!$K$7:$K$165,"=trajet"))</f>
        <v/>
      </c>
      <c r="S8" s="393" t="str">
        <f>IF(A8="","",COUNTIFS('Liste AT'!$F$7:$F$165,A8,'Liste AT'!$AB$7:$AB$165,"=oui"))</f>
        <v/>
      </c>
      <c r="T8" s="393"/>
      <c r="U8" s="393" t="str">
        <f>IF(A8="","",COUNTIFS('Liste AT'!$F$7:$F$165,A8,'Liste AT'!$K$7:$K$165,"=trajet",'Liste AT'!$L$7:$L$165,"=avec arrêt"))</f>
        <v/>
      </c>
      <c r="V8" s="393"/>
      <c r="W8" s="393" t="str">
        <f>IF(A8="","",SUMIFS('Liste AT'!$O$7:$O$165,'Liste AT'!$F$7:$F$165,A8,'Liste AT'!$K$7:$K$165,"travail"))</f>
        <v/>
      </c>
    </row>
    <row r="9" spans="1:25" s="267" customFormat="1">
      <c r="A9" s="424"/>
      <c r="B9" s="353"/>
      <c r="C9" s="354"/>
      <c r="D9" s="355"/>
      <c r="E9" s="429"/>
      <c r="F9" s="429"/>
      <c r="G9" s="429"/>
      <c r="H9" s="429"/>
      <c r="I9" s="357"/>
      <c r="J9" s="357"/>
      <c r="K9" s="429"/>
      <c r="L9" s="429"/>
      <c r="M9" s="356"/>
      <c r="N9" s="356"/>
      <c r="O9" s="356"/>
      <c r="P9" s="431"/>
      <c r="Q9" s="431"/>
      <c r="R9" s="431"/>
      <c r="S9" s="431"/>
      <c r="T9" s="431"/>
      <c r="U9" s="431"/>
      <c r="V9" s="431"/>
      <c r="W9" s="431"/>
    </row>
    <row r="10" spans="1:25" ht="25.5">
      <c r="A10" s="423" t="str">
        <f>IF('Listes déroulantes'!A3="","",'Listes déroulantes'!A3)</f>
        <v>Ligne Ouest/Agent de la relation Client Ouest</v>
      </c>
      <c r="B10" s="219" t="str">
        <f>IF(A10="","",VLOOKUP(A10,'Listes déroulantes'!$A$3:$C$55,2,FALSE ))</f>
        <v>TER OUEST</v>
      </c>
      <c r="C10" s="220" t="str">
        <f>IF(A10="","",IF(E10="NON", "01/01/2019",INDEX('Liste AT'!$I$2:$I$165,(MAX(IF('Liste AT'!$E$7:$E$165=A10,ROW('Liste AT'!$E$7:$E$165)))),1)))</f>
        <v>01/01/2019</v>
      </c>
      <c r="D10" s="221">
        <f ca="1">IFERROR(TODAY()-C10,"")</f>
        <v>400</v>
      </c>
      <c r="E10" s="428" t="str">
        <f>IF(A10="","",IFERROR(VLOOKUP(A10,'Liste AT'!$E$7:$E$165,1,FALSE),"NON"))</f>
        <v>NON</v>
      </c>
      <c r="F10" s="428">
        <f>IF(A10="","",COUNTIF('Liste AT'!$E$7:$E$165,E10))</f>
        <v>0</v>
      </c>
      <c r="G10" s="428">
        <f>IF(A10="","",SUMIF('Liste AT'!$E$7:$E$165,A10,'Liste AT'!$O$7:$O$165))</f>
        <v>0</v>
      </c>
      <c r="H10" s="428">
        <f>IF(A2="","",SUMIF('Liste AT'!$F$7:$F$165,A2,'Liste AT'!$P$7:$P$165))</f>
        <v>0</v>
      </c>
      <c r="I10" s="222" t="e">
        <f ca="1">IF(A10="","",K10*1000000/(N10*(1607*$Y$2/12)))</f>
        <v>#N/A</v>
      </c>
      <c r="J10" s="222" t="e">
        <f ca="1">IF(A10="","",W10*1000/(N10*(1607*$Y$2/12)))</f>
        <v>#N/A</v>
      </c>
      <c r="K10" s="428">
        <f>IF(A10="","",COUNTIFS('Liste AT'!$E$7:$E$165,A10,'Liste AT'!$L$7:$L$165,"avec arrêt"))</f>
        <v>0</v>
      </c>
      <c r="L10" s="428">
        <f t="shared" ref="L10:L43" si="7">IF(A10="","",F10-K10)</f>
        <v>0</v>
      </c>
      <c r="M10" s="272" t="e">
        <f ca="1">IF(A10="","",(K10-U10)*1000000/(N10*(1607*$Y$2/12)))</f>
        <v>#N/A</v>
      </c>
      <c r="N10" s="272" t="e">
        <f t="shared" ref="N10:N43" ca="1" si="8">IF(A10="","",INDEX(INDIRECT("Effectifs!E" &amp; P10 &amp; ":P" &amp; P10),MATCH(-1,INDIRECT("Effectifs!E" &amp; P10 &amp; ":P" &amp; P10),-1)))</f>
        <v>#N/A</v>
      </c>
      <c r="O10" s="272"/>
      <c r="P10" s="393">
        <f>IF(A10="","",MATCH(A10,Effectifs!$B$1:$B$35,0))</f>
        <v>4</v>
      </c>
      <c r="Q10" s="393"/>
      <c r="R10" s="393">
        <f>IF(A10="","",COUNTIFS('Liste AT'!$E$7:$E$165,A10,'Liste AT'!$K$7:$K$165,"=trajet"))</f>
        <v>0</v>
      </c>
      <c r="S10" s="393">
        <f>IF(A10="","",COUNTIFS('Liste AT'!$E$7:$E$165,A10,'Liste AT'!$AB$7:$AB$165,"=oui"))</f>
        <v>0</v>
      </c>
      <c r="T10" s="393"/>
      <c r="U10" s="393">
        <f>IF(A10="","",COUNTIFS('Liste AT'!$E$7:$E$165,A10,'Liste AT'!$K$7:$K$165,"=trajet",'Liste AT'!$L$7:$L$165,"=avec arrêt"))</f>
        <v>0</v>
      </c>
      <c r="V10" s="393"/>
      <c r="W10" s="393">
        <f>IF(A10="","",SUMIFS('Liste AT'!$O$7:$O$165,'Liste AT'!$E$7:$E$165,A10,'Liste AT'!$K$7:$K$165,"travail"))</f>
        <v>0</v>
      </c>
    </row>
    <row r="11" spans="1:25" ht="21" customHeight="1">
      <c r="A11" s="423" t="str">
        <f>IF('Listes déroulantes'!A4="","",'Listes déroulantes'!A4)</f>
        <v>Antibes Golf Juan &amp; Juan les Pins</v>
      </c>
      <c r="B11" s="219" t="str">
        <f>IF(A11="","",VLOOKUP(A11,'Listes déroulantes'!$A$3:$C$55,2,FALSE ))</f>
        <v>TER OUEST</v>
      </c>
      <c r="C11" s="220" t="str">
        <f>IF(A11="","",IF(E11="NON", "01/01/2019",INDEX('Liste AT'!$I$2:$I$165,(MAX(IF('Liste AT'!$E$7:$E$165=A11,ROW('Liste AT'!$E$7:$E$165)))),1)))</f>
        <v>01/01/2019</v>
      </c>
      <c r="D11" s="221">
        <f t="shared" ref="D11:D43" ca="1" si="9">IFERROR(TODAY()-C11,"")</f>
        <v>400</v>
      </c>
      <c r="E11" s="428" t="str">
        <f>IF(A11="","",IFERROR(VLOOKUP(A11,'Liste AT'!$E$7:$E$165,1,FALSE),"NON"))</f>
        <v>NON</v>
      </c>
      <c r="F11" s="428">
        <f>IF(A11="","",COUNTIF('Liste AT'!$E$7:$E$165,E11))</f>
        <v>0</v>
      </c>
      <c r="G11" s="428">
        <f>IF(A11="","",SUMIF('Liste AT'!$E$7:$E$165,A11,'Liste AT'!$O$7:$O$165))</f>
        <v>0</v>
      </c>
      <c r="H11" s="428">
        <f>IF(A3="","",SUMIF('Liste AT'!$F$7:$F$165,A3,'Liste AT'!$P$7:$P$165))</f>
        <v>0</v>
      </c>
      <c r="I11" s="222" t="e">
        <f ca="1">IF(A11="","",K11*1000000/(N11*(1607*$Y$2/12)))</f>
        <v>#N/A</v>
      </c>
      <c r="J11" s="222" t="e">
        <f ca="1">IF(A11="","",W11*1000/(N11*(1607*$Y$2/12)))</f>
        <v>#N/A</v>
      </c>
      <c r="K11" s="428">
        <f>IF(A11="","",COUNTIFS('Liste AT'!$E$7:$E$165,A11,'Liste AT'!$L$7:$L$165,"avec arrêt"))</f>
        <v>0</v>
      </c>
      <c r="L11" s="428">
        <f t="shared" si="7"/>
        <v>0</v>
      </c>
      <c r="M11" s="272" t="e">
        <f ca="1">IF(A11="","",(K11-U11)*1000000/(N11*(1607*$Y$2/12)))</f>
        <v>#N/A</v>
      </c>
      <c r="N11" s="272" t="e">
        <f t="shared" ca="1" si="8"/>
        <v>#N/A</v>
      </c>
      <c r="O11" s="272"/>
      <c r="P11" s="393">
        <f>IF(A11="","",MATCH(A11,Effectifs!$B$1:$B$35,0))</f>
        <v>5</v>
      </c>
      <c r="Q11" s="393"/>
      <c r="R11" s="393">
        <f>IF(A11="","",COUNTIFS('Liste AT'!$E$7:$E$165,A11,'Liste AT'!$K$7:$K$165,"=trajet"))</f>
        <v>0</v>
      </c>
      <c r="S11" s="393">
        <f>IF(A11="","",COUNTIFS('Liste AT'!$E$7:$E$165,A11,'Liste AT'!$AB$7:$AB$165,"=oui"))</f>
        <v>0</v>
      </c>
      <c r="T11" s="393"/>
      <c r="U11" s="393">
        <f>IF(A11="","",COUNTIFS('Liste AT'!$E$7:$E$165,A11,'Liste AT'!$K$7:$K$165,"=trajet",'Liste AT'!$L$7:$L$165,"=avec arrêt"))</f>
        <v>0</v>
      </c>
      <c r="V11" s="393"/>
      <c r="W11" s="393">
        <f>IF(A11="","",SUMIFS('Liste AT'!$O$7:$O$165,'Liste AT'!$E$7:$E$165,A11,'Liste AT'!$K$7:$K$165,"travail"))</f>
        <v>0</v>
      </c>
    </row>
    <row r="12" spans="1:25">
      <c r="A12" s="423" t="str">
        <f>IF('Listes déroulantes'!A5="","",'Listes déroulantes'!A5)</f>
        <v>CPH Cannes la Bocca - Grasse</v>
      </c>
      <c r="B12" s="219" t="str">
        <f>IF(A12="","",VLOOKUP(A12,'Listes déroulantes'!$A$3:$C$55,2,FALSE ))</f>
        <v>TER OUEST</v>
      </c>
      <c r="C12" s="220" t="str">
        <f>IF(A12="","",IF(E12="NON", "01/01/2019",INDEX('Liste AT'!$I$2:$I$165,(MAX(IF('Liste AT'!$E$7:$E$165=A12,ROW('Liste AT'!$E$7:$E$165)))),1)))</f>
        <v>01/01/2019</v>
      </c>
      <c r="D12" s="221">
        <f t="shared" ca="1" si="9"/>
        <v>400</v>
      </c>
      <c r="E12" s="428" t="str">
        <f>IF(A12="","",IFERROR(VLOOKUP(A12,'Liste AT'!$E$7:$E$165,1,FALSE),"NON"))</f>
        <v>NON</v>
      </c>
      <c r="F12" s="428">
        <f>IF(A12="","",COUNTIF('Liste AT'!$E$7:$E$165,E12))</f>
        <v>0</v>
      </c>
      <c r="G12" s="428">
        <f>IF(A12="","",SUMIF('Liste AT'!$E$7:$E$165,A12,'Liste AT'!$O$7:$O$165))</f>
        <v>0</v>
      </c>
      <c r="H12" s="428">
        <f>IF(A4="","",SUMIF('Liste AT'!$F$7:$F$165,A4,'Liste AT'!$P$7:$P$165))</f>
        <v>0</v>
      </c>
      <c r="I12" s="222" t="e">
        <f t="shared" ref="I12:I37" ca="1" si="10">IF(A12="","",K12*1000000/(N12*(1607*$Y$2/12)))</f>
        <v>#N/A</v>
      </c>
      <c r="J12" s="222" t="e">
        <f t="shared" ref="J12:J37" ca="1" si="11">IF(A12="","",W12*1000/(N12*(1607*$Y$2/12)))</f>
        <v>#N/A</v>
      </c>
      <c r="K12" s="428">
        <f>IF(A12="","",COUNTIFS('Liste AT'!$E$7:$E$165,A12,'Liste AT'!$L$7:$L$165,"avec arrêt"))</f>
        <v>0</v>
      </c>
      <c r="L12" s="428">
        <f t="shared" si="7"/>
        <v>0</v>
      </c>
      <c r="M12" s="272" t="e">
        <f t="shared" ref="M12:M37" ca="1" si="12">IF(A12="","",(K12-U12)*1000000/(N12*(1607*$Y$2/12)))</f>
        <v>#N/A</v>
      </c>
      <c r="N12" s="272" t="e">
        <f t="shared" ca="1" si="8"/>
        <v>#N/A</v>
      </c>
      <c r="O12" s="272"/>
      <c r="P12" s="393">
        <f>IF(A12="","",MATCH(A12,Effectifs!$B$1:$B$35,0))</f>
        <v>6</v>
      </c>
      <c r="Q12" s="393"/>
      <c r="R12" s="393">
        <f>IF(A12="","",COUNTIFS('Liste AT'!$E$7:$E$165,A12,'Liste AT'!$K$7:$K$165,"=trajet"))</f>
        <v>0</v>
      </c>
      <c r="S12" s="393">
        <f>IF(A12="","",COUNTIFS('Liste AT'!$E$7:$E$165,A12,'Liste AT'!$AB$7:$AB$165,"=oui"))</f>
        <v>0</v>
      </c>
      <c r="T12" s="393"/>
      <c r="U12" s="393">
        <f>IF(A12="","",COUNTIFS('Liste AT'!$E$7:$E$165,A12,'Liste AT'!$K$7:$K$165,"=trajet",'Liste AT'!$L$7:$L$165,"=avec arrêt"))</f>
        <v>0</v>
      </c>
      <c r="V12" s="393"/>
      <c r="W12" s="393">
        <f>IF(A12="","",SUMIFS('Liste AT'!$O$7:$O$165,'Liste AT'!$E$7:$E$165,A12,'Liste AT'!$K$7:$K$165,"travail"))</f>
        <v>0</v>
      </c>
    </row>
    <row r="13" spans="1:25">
      <c r="A13" s="423" t="str">
        <f>IF('Listes déroulantes'!A6="","",'Listes déroulantes'!A6)</f>
        <v>Cannes Voyageurs</v>
      </c>
      <c r="B13" s="219" t="str">
        <f>IF(A13="","",VLOOKUP(A13,'Listes déroulantes'!$A$3:$C$55,2,FALSE ))</f>
        <v>TER OUEST</v>
      </c>
      <c r="C13" s="220" t="str">
        <f>IF(A13="","",IF(E13="NON", "01/01/2019",INDEX('Liste AT'!$I$2:$I$165,(MAX(IF('Liste AT'!$E$7:$E$165=A13,ROW('Liste AT'!$E$7:$E$165)))),1)))</f>
        <v>01/01/2019</v>
      </c>
      <c r="D13" s="221">
        <f t="shared" ca="1" si="9"/>
        <v>400</v>
      </c>
      <c r="E13" s="428" t="str">
        <f>IF(A13="","",IFERROR(VLOOKUP(A13,'Liste AT'!$E$7:$E$165,1,FALSE),"NON"))</f>
        <v>NON</v>
      </c>
      <c r="F13" s="428">
        <f>IF(A13="","",COUNTIF('Liste AT'!$E$7:$E$165,E13))</f>
        <v>0</v>
      </c>
      <c r="G13" s="428">
        <f>IF(A13="","",SUMIF('Liste AT'!$E$7:$E$165,A13,'Liste AT'!$O$7:$O$165))</f>
        <v>0</v>
      </c>
      <c r="H13" s="428">
        <f>IF(A5="","",SUMIF('Liste AT'!$F$7:$F$165,A5,'Liste AT'!$P$7:$P$165))</f>
        <v>0</v>
      </c>
      <c r="I13" s="222" t="e">
        <f t="shared" ca="1" si="10"/>
        <v>#N/A</v>
      </c>
      <c r="J13" s="222" t="e">
        <f t="shared" ca="1" si="11"/>
        <v>#N/A</v>
      </c>
      <c r="K13" s="428">
        <f>IF(A13="","",COUNTIFS('Liste AT'!$E$7:$E$165,A13,'Liste AT'!$L$7:$L$165,"avec arrêt"))</f>
        <v>0</v>
      </c>
      <c r="L13" s="428">
        <f t="shared" si="7"/>
        <v>0</v>
      </c>
      <c r="M13" s="272" t="e">
        <f t="shared" ca="1" si="12"/>
        <v>#N/A</v>
      </c>
      <c r="N13" s="272" t="e">
        <f t="shared" ca="1" si="8"/>
        <v>#N/A</v>
      </c>
      <c r="O13" s="272"/>
      <c r="P13" s="393">
        <f>IF(A13="","",MATCH(A13,Effectifs!$B$1:$B$35,0))</f>
        <v>7</v>
      </c>
      <c r="Q13" s="393"/>
      <c r="R13" s="393">
        <f>IF(A13="","",COUNTIFS('Liste AT'!$E$7:$E$165,A13,'Liste AT'!$K$7:$K$165,"=trajet"))</f>
        <v>0</v>
      </c>
      <c r="S13" s="393">
        <f>IF(A13="","",COUNTIFS('Liste AT'!$E$7:$E$165,A13,'Liste AT'!$AB$7:$AB$165,"=oui"))</f>
        <v>0</v>
      </c>
      <c r="T13" s="393"/>
      <c r="U13" s="393">
        <f>IF(A13="","",COUNTIFS('Liste AT'!$E$7:$E$165,A13,'Liste AT'!$K$7:$K$165,"=trajet",'Liste AT'!$L$7:$L$165,"=avec arrêt"))</f>
        <v>0</v>
      </c>
      <c r="V13" s="393"/>
      <c r="W13" s="393">
        <f>IF(A13="","",SUMIFS('Liste AT'!$O$7:$O$165,'Liste AT'!$E$7:$E$165,A13,'Liste AT'!$K$7:$K$165,"travail"))</f>
        <v>0</v>
      </c>
    </row>
    <row r="14" spans="1:25">
      <c r="A14" s="423" t="str">
        <f>IF('Listes déroulantes'!A7="","",'Listes déroulantes'!A7)</f>
        <v>Secteur Esterel / RSC Esterel</v>
      </c>
      <c r="B14" s="219" t="str">
        <f>IF(A14="","",VLOOKUP(A14,'Listes déroulantes'!$A$3:$C$55,2,FALSE ))</f>
        <v>TER OUEST</v>
      </c>
      <c r="C14" s="220" t="str">
        <f>IF(A14="","",IF(E14="NON", "01/01/2019",INDEX('Liste AT'!$I$2:$I$165,(MAX(IF('Liste AT'!$E$7:$E$165=A14,ROW('Liste AT'!$E$7:$E$165)))),1)))</f>
        <v>01/01/2019</v>
      </c>
      <c r="D14" s="221">
        <f t="shared" ca="1" si="9"/>
        <v>400</v>
      </c>
      <c r="E14" s="428" t="str">
        <f>IF(A14="","",IFERROR(VLOOKUP(A14,'Liste AT'!$E$7:$E$165,1,FALSE),"NON"))</f>
        <v>NON</v>
      </c>
      <c r="F14" s="428">
        <f>IF(A14="","",COUNTIF('Liste AT'!$E$7:$E$165,E14))</f>
        <v>0</v>
      </c>
      <c r="G14" s="428">
        <f>IF(A14="","",SUMIF('Liste AT'!$E$7:$E$165,A14,'Liste AT'!$O$7:$O$165))</f>
        <v>0</v>
      </c>
      <c r="H14" s="428">
        <f>IF(A6="","",SUMIF('Liste AT'!$F$7:$F$165,A6,'Liste AT'!$P$7:$P$165))</f>
        <v>0</v>
      </c>
      <c r="I14" s="222" t="e">
        <f t="shared" ca="1" si="10"/>
        <v>#N/A</v>
      </c>
      <c r="J14" s="222" t="e">
        <f t="shared" ca="1" si="11"/>
        <v>#N/A</v>
      </c>
      <c r="K14" s="428">
        <f>IF(A14="","",COUNTIFS('Liste AT'!$E$7:$E$165,A14,'Liste AT'!$L$7:$L$165,"avec arrêt"))</f>
        <v>0</v>
      </c>
      <c r="L14" s="428">
        <f t="shared" si="7"/>
        <v>0</v>
      </c>
      <c r="M14" s="272" t="e">
        <f t="shared" ca="1" si="12"/>
        <v>#N/A</v>
      </c>
      <c r="N14" s="272" t="e">
        <f t="shared" ca="1" si="8"/>
        <v>#N/A</v>
      </c>
      <c r="O14" s="272"/>
      <c r="P14" s="393">
        <f>IF(A14="","",MATCH(A14,Effectifs!$B$1:$B$35,0))</f>
        <v>8</v>
      </c>
      <c r="Q14" s="393"/>
      <c r="R14" s="393">
        <f>IF(A14="","",COUNTIFS('Liste AT'!$E$7:$E$165,A14,'Liste AT'!$K$7:$K$165,"=trajet"))</f>
        <v>0</v>
      </c>
      <c r="S14" s="393">
        <f>IF(A14="","",COUNTIFS('Liste AT'!$E$7:$E$165,A14,'Liste AT'!$AB$7:$AB$165,"=oui"))</f>
        <v>0</v>
      </c>
      <c r="T14" s="393"/>
      <c r="U14" s="393">
        <f>IF(A14="","",COUNTIFS('Liste AT'!$E$7:$E$165,A14,'Liste AT'!$K$7:$K$165,"=trajet",'Liste AT'!$L$7:$L$165,"=avec arrêt"))</f>
        <v>0</v>
      </c>
      <c r="V14" s="393"/>
      <c r="W14" s="393">
        <f>IF(A14="","",SUMIFS('Liste AT'!$O$7:$O$165,'Liste AT'!$E$7:$E$165,A14,'Liste AT'!$K$7:$K$165,"travail"))</f>
        <v>0</v>
      </c>
    </row>
    <row r="15" spans="1:25">
      <c r="A15" s="423" t="str">
        <f>IF('Listes déroulantes'!A2="","",'Listes déroulantes'!A2)</f>
        <v>Siège UO TER OUEST</v>
      </c>
      <c r="B15" s="219" t="str">
        <f>IF(A15="","",VLOOKUP(A15,'Listes déroulantes'!$A$2:$C$55,2,FALSE ))</f>
        <v>TER OUEST</v>
      </c>
      <c r="C15" s="220" t="str">
        <f>IF(A15="","",IF(E15="NON", "01/01/2019",INDEX('Liste AT'!$I$2:$I$165,(MAX(IF('Liste AT'!$E$7:$E$165=A15,ROW('Liste AT'!$E$7:$E$165)))),1)))</f>
        <v>01/01/2019</v>
      </c>
      <c r="D15" s="221">
        <f t="shared" ca="1" si="9"/>
        <v>400</v>
      </c>
      <c r="E15" s="428" t="str">
        <f>IF(A15="","",IFERROR(VLOOKUP(A15,'Liste AT'!$E$7:$E$165,1,FALSE),"NON"))</f>
        <v>NON</v>
      </c>
      <c r="F15" s="428">
        <f>IF(A15="","",COUNTIF('Liste AT'!$E$7:$E$165,E15))</f>
        <v>0</v>
      </c>
      <c r="G15" s="428">
        <f>IF(A15="","",SUMIF('Liste AT'!$E$7:$E$165,A15,'Liste AT'!$O$7:$O$165))</f>
        <v>0</v>
      </c>
      <c r="H15" s="428" t="str">
        <f>IF(A7="","",SUMIF('Liste AT'!$F$7:$F$165,A7,'Liste AT'!$P$7:$P$165))</f>
        <v/>
      </c>
      <c r="I15" s="222" t="e">
        <f t="shared" ca="1" si="10"/>
        <v>#N/A</v>
      </c>
      <c r="J15" s="222" t="e">
        <f t="shared" ca="1" si="11"/>
        <v>#N/A</v>
      </c>
      <c r="K15" s="428">
        <f>IF(A15="","",COUNTIFS('Liste AT'!$E$7:$E$165,A15,'Liste AT'!$L$7:$L$165,"avec arrêt"))</f>
        <v>0</v>
      </c>
      <c r="L15" s="428">
        <f t="shared" si="7"/>
        <v>0</v>
      </c>
      <c r="M15" s="272" t="e">
        <f t="shared" ca="1" si="12"/>
        <v>#N/A</v>
      </c>
      <c r="N15" s="272" t="e">
        <f t="shared" ca="1" si="8"/>
        <v>#N/A</v>
      </c>
      <c r="O15" s="272"/>
      <c r="P15" s="393">
        <f>IF(A15="","",MATCH(A15,Effectifs!$B$1:$B$35,0))</f>
        <v>3</v>
      </c>
      <c r="Q15" s="393"/>
      <c r="R15" s="393">
        <f>IF(A15="","",COUNTIFS('Liste AT'!$E$7:$E$165,A15,'Liste AT'!$K$7:$K$165,"=trajet"))</f>
        <v>0</v>
      </c>
      <c r="S15" s="393">
        <f>IF(A15="","",COUNTIFS('Liste AT'!$E$7:$E$165,A15,'Liste AT'!$AB$7:$AB$165,"=oui"))</f>
        <v>0</v>
      </c>
      <c r="T15" s="393"/>
      <c r="U15" s="393">
        <f>IF(A15="","",COUNTIFS('Liste AT'!$E$7:$E$165,A15,'Liste AT'!$K$7:$K$165,"=trajet",'Liste AT'!$L$7:$L$165,"=avec arrêt"))</f>
        <v>0</v>
      </c>
      <c r="V15" s="393"/>
      <c r="W15" s="393">
        <f>IF(A15="","",SUMIFS('Liste AT'!$O$7:$O$165,'Liste AT'!$E$7:$E$165,A15,'Liste AT'!$K$7:$K$165,"travail"))</f>
        <v>0</v>
      </c>
    </row>
    <row r="16" spans="1:25">
      <c r="A16" s="423" t="str">
        <f>IF('Listes déroulantes'!A8="","",'Listes déroulantes'!A8)</f>
        <v>Les Arcs-Fréjus Auto Train</v>
      </c>
      <c r="B16" s="219" t="str">
        <f>IF(A16="","",VLOOKUP(A16,'Listes déroulantes'!$A$3:$C$55,2,FALSE ))</f>
        <v>TER OUEST</v>
      </c>
      <c r="C16" s="220" t="str">
        <f>IF(A16="","",IF(E16="NON", "01/01/2019",INDEX('Liste AT'!$I$2:$I$165,(MAX(IF('Liste AT'!$E$7:$E$165=A16,ROW('Liste AT'!$E$7:$E$165)))),1)))</f>
        <v>01/01/2019</v>
      </c>
      <c r="D16" s="221">
        <f t="shared" ca="1" si="9"/>
        <v>400</v>
      </c>
      <c r="E16" s="428" t="str">
        <f>IF(A16="","",IFERROR(VLOOKUP(A16,'Liste AT'!$E$7:$E$165,1,FALSE),"NON"))</f>
        <v>NON</v>
      </c>
      <c r="F16" s="428">
        <f>IF(A16="","",COUNTIF('Liste AT'!$E$7:$E$165,E16))</f>
        <v>0</v>
      </c>
      <c r="G16" s="428">
        <f>IF(A16="","",SUMIF('Liste AT'!$E$7:$E$165,A16,'Liste AT'!$O$7:$O$165))</f>
        <v>0</v>
      </c>
      <c r="H16" s="428" t="str">
        <f>IF(A8="","",SUMIF('Liste AT'!$F$7:$F$165,A8,'Liste AT'!$P$7:$P$165))</f>
        <v/>
      </c>
      <c r="I16" s="222" t="e">
        <f t="shared" ca="1" si="10"/>
        <v>#N/A</v>
      </c>
      <c r="J16" s="222" t="e">
        <f t="shared" ca="1" si="11"/>
        <v>#N/A</v>
      </c>
      <c r="K16" s="428">
        <f>IF(A16="","",COUNTIFS('Liste AT'!$E$7:$E$165,A16,'Liste AT'!$L$7:$L$165,"avec arrêt"))</f>
        <v>0</v>
      </c>
      <c r="L16" s="428">
        <f t="shared" si="7"/>
        <v>0</v>
      </c>
      <c r="M16" s="272" t="e">
        <f t="shared" ca="1" si="12"/>
        <v>#N/A</v>
      </c>
      <c r="N16" s="272" t="e">
        <f t="shared" ca="1" si="8"/>
        <v>#N/A</v>
      </c>
      <c r="O16" s="272"/>
      <c r="P16" s="393">
        <f>IF(A16="","",MATCH(A16,Effectifs!$B$1:$B$35,0))</f>
        <v>9</v>
      </c>
      <c r="Q16" s="393"/>
      <c r="R16" s="393">
        <f>IF(A16="","",COUNTIFS('Liste AT'!$E$7:$E$165,A16,'Liste AT'!$K$7:$K$165,"=trajet"))</f>
        <v>0</v>
      </c>
      <c r="S16" s="393">
        <f>IF(A16="","",COUNTIFS('Liste AT'!$E$7:$E$165,A16,'Liste AT'!$AB$7:$AB$165,"=oui"))</f>
        <v>0</v>
      </c>
      <c r="T16" s="393"/>
      <c r="U16" s="393">
        <f>IF(A16="","",COUNTIFS('Liste AT'!$E$7:$E$165,A16,'Liste AT'!$K$7:$K$165,"=trajet",'Liste AT'!$L$7:$L$165,"=avec arrêt"))</f>
        <v>0</v>
      </c>
      <c r="V16" s="393"/>
      <c r="W16" s="393">
        <f>IF(A16="","",SUMIFS('Liste AT'!$O$7:$O$165,'Liste AT'!$E$7:$E$165,A16,'Liste AT'!$K$7:$K$165,"travail"))</f>
        <v>0</v>
      </c>
    </row>
    <row r="17" spans="1:23">
      <c r="A17" s="423" t="str">
        <f>IF('Listes déroulantes'!A10="","",'Listes déroulantes'!A10)</f>
        <v>COE + produit train Nice</v>
      </c>
      <c r="B17" s="219" t="str">
        <f>IF(A17="","",VLOOKUP(A17,'Listes déroulantes'!$A$3:$C$55,2,FALSE ))</f>
        <v>TER EST</v>
      </c>
      <c r="C17" s="220" t="str">
        <f>IF(A17="","",IF(E17="NON", "01/01/2019",INDEX('Liste AT'!$I$2:$I$165,(MAX(IF('Liste AT'!$E$7:$E$165=A17,ROW('Liste AT'!$E$7:$E$165)))),1)))</f>
        <v>01/01/2019</v>
      </c>
      <c r="D17" s="221">
        <f t="shared" ca="1" si="9"/>
        <v>400</v>
      </c>
      <c r="E17" s="428" t="str">
        <f>IF(A17="","",IFERROR(VLOOKUP(A17,'Liste AT'!$E$7:$E$165,1,FALSE),"NON"))</f>
        <v>NON</v>
      </c>
      <c r="F17" s="428">
        <f>IF(A17="","",COUNTIF('Liste AT'!$E$7:$E$165,E17))</f>
        <v>0</v>
      </c>
      <c r="G17" s="428">
        <f>IF(A17="","",SUMIF('Liste AT'!$E$7:$E$165,A17,'Liste AT'!$O$7:$O$165))</f>
        <v>0</v>
      </c>
      <c r="H17" s="428" t="str">
        <f>IF(A9="","",SUMIF('Liste AT'!$F$7:$F$165,A9,'Liste AT'!$P$7:$P$165))</f>
        <v/>
      </c>
      <c r="I17" s="222" t="e">
        <f t="shared" ca="1" si="10"/>
        <v>#N/A</v>
      </c>
      <c r="J17" s="222" t="e">
        <f t="shared" ca="1" si="11"/>
        <v>#N/A</v>
      </c>
      <c r="K17" s="428">
        <f>IF(A17="","",COUNTIFS('Liste AT'!$E$7:$E$165,A17,'Liste AT'!$L$7:$L$165,"avec arrêt"))</f>
        <v>0</v>
      </c>
      <c r="L17" s="428">
        <f t="shared" si="7"/>
        <v>0</v>
      </c>
      <c r="M17" s="272" t="e">
        <f t="shared" ca="1" si="12"/>
        <v>#N/A</v>
      </c>
      <c r="N17" s="272" t="e">
        <f t="shared" ca="1" si="8"/>
        <v>#N/A</v>
      </c>
      <c r="O17" s="272"/>
      <c r="P17" s="393">
        <f>IF(A17="","",MATCH(A17,Effectifs!$B$1:$B$35,0))</f>
        <v>11</v>
      </c>
      <c r="Q17" s="393"/>
      <c r="R17" s="393">
        <f>IF(A17="","",COUNTIFS('Liste AT'!$E$7:$E$165,A17,'Liste AT'!$K$7:$K$165,"=trajet"))</f>
        <v>0</v>
      </c>
      <c r="S17" s="393">
        <f>IF(A17="","",COUNTIFS('Liste AT'!$E$7:$E$165,A17,'Liste AT'!$AB$7:$AB$165,"=oui"))</f>
        <v>0</v>
      </c>
      <c r="T17" s="393"/>
      <c r="U17" s="393">
        <f>IF(A17="","",COUNTIFS('Liste AT'!$E$7:$E$165,A17,'Liste AT'!$K$7:$K$165,"=trajet",'Liste AT'!$L$7:$L$165,"=avec arrêt"))</f>
        <v>0</v>
      </c>
      <c r="V17" s="393"/>
      <c r="W17" s="393">
        <f>IF(A17="","",SUMIFS('Liste AT'!$O$7:$O$165,'Liste AT'!$E$7:$E$165,A17,'Liste AT'!$K$7:$K$165,"travail"))</f>
        <v>0</v>
      </c>
    </row>
    <row r="18" spans="1:23" ht="15.75" customHeight="1">
      <c r="A18" s="423" t="str">
        <f>IF('Listes déroulantes'!A11="","",'Listes déroulantes'!A11)</f>
        <v>Service en gare Nice Ville</v>
      </c>
      <c r="B18" s="219" t="str">
        <f>IF(A18="","",VLOOKUP(A18,'Listes déroulantes'!$A$3:$C$55,2,FALSE ))</f>
        <v>TER EST</v>
      </c>
      <c r="C18" s="220" t="str">
        <f>IF(A18="","",IF(E18="NON", "01/01/2019",INDEX('Liste AT'!$I$2:$I$165,(MAX(IF('Liste AT'!$E$7:$E$165=A18,ROW('Liste AT'!$E$7:$E$165)))),1)))</f>
        <v>01/01/2019</v>
      </c>
      <c r="D18" s="221">
        <f t="shared" ca="1" si="9"/>
        <v>400</v>
      </c>
      <c r="E18" s="428" t="str">
        <f>IF(A18="","",IFERROR(VLOOKUP(A18,'Liste AT'!$E$7:$E$165,1,FALSE),"NON"))</f>
        <v>NON</v>
      </c>
      <c r="F18" s="428">
        <f>IF(A18="","",COUNTIF('Liste AT'!$E$7:$E$165,E18))</f>
        <v>0</v>
      </c>
      <c r="G18" s="428">
        <f>IF(A18="","",SUMIF('Liste AT'!$E$7:$E$165,A18,'Liste AT'!$O$7:$O$165))</f>
        <v>0</v>
      </c>
      <c r="H18" s="428">
        <f>IF(A10="","",SUMIF('Liste AT'!$F$7:$F$165,A10,'Liste AT'!$P$7:$P$165))</f>
        <v>0</v>
      </c>
      <c r="I18" s="222" t="e">
        <f t="shared" ca="1" si="10"/>
        <v>#N/A</v>
      </c>
      <c r="J18" s="222" t="e">
        <f t="shared" ca="1" si="11"/>
        <v>#N/A</v>
      </c>
      <c r="K18" s="428">
        <f>IF(A18="","",COUNTIFS('Liste AT'!$E$7:$E$165,A18,'Liste AT'!$L$7:$L$165,"avec arrêt"))</f>
        <v>0</v>
      </c>
      <c r="L18" s="428">
        <f t="shared" si="7"/>
        <v>0</v>
      </c>
      <c r="M18" s="272" t="e">
        <f t="shared" ca="1" si="12"/>
        <v>#N/A</v>
      </c>
      <c r="N18" s="272" t="e">
        <f t="shared" ca="1" si="8"/>
        <v>#N/A</v>
      </c>
      <c r="O18" s="272"/>
      <c r="P18" s="393">
        <f>IF(A18="","",MATCH(A18,Effectifs!$B$1:$B$35,0))</f>
        <v>12</v>
      </c>
      <c r="Q18" s="393"/>
      <c r="R18" s="393">
        <f>IF(A18="","",COUNTIFS('Liste AT'!$E$7:$E$165,A18,'Liste AT'!$K$7:$K$165,"=trajet"))</f>
        <v>0</v>
      </c>
      <c r="S18" s="393">
        <f>IF(A18="","",COUNTIFS('Liste AT'!$E$7:$E$165,A18,'Liste AT'!$AB$7:$AB$165,"=oui"))</f>
        <v>0</v>
      </c>
      <c r="T18" s="393"/>
      <c r="U18" s="393">
        <f>IF(A18="","",COUNTIFS('Liste AT'!$E$7:$E$165,A18,'Liste AT'!$K$7:$K$165,"=trajet",'Liste AT'!$L$7:$L$165,"=avec arrêt"))</f>
        <v>0</v>
      </c>
      <c r="V18" s="393"/>
      <c r="W18" s="393">
        <f>IF(A18="","",SUMIFS('Liste AT'!$O$7:$O$165,'Liste AT'!$E$7:$E$165,A18,'Liste AT'!$K$7:$K$165,"travail"))</f>
        <v>0</v>
      </c>
    </row>
    <row r="19" spans="1:23" ht="18.75" customHeight="1">
      <c r="A19" s="423" t="str">
        <f>IF('Listes déroulantes'!A12="","",'Listes déroulantes'!A12)</f>
        <v>SOCA</v>
      </c>
      <c r="B19" s="219" t="str">
        <f>IF(A19="","",VLOOKUP(A19,'Listes déroulantes'!$A$3:$C$55,2,FALSE ))</f>
        <v>TER EST</v>
      </c>
      <c r="C19" s="220" t="str">
        <f>IF(A19="","",IF(E19="NON", "01/01/2019",INDEX('Liste AT'!$I$2:$I$165,(MAX(IF('Liste AT'!$E$7:$E$165=A19,ROW('Liste AT'!$E$7:$E$165)))),1)))</f>
        <v>01/01/2019</v>
      </c>
      <c r="D19" s="221">
        <f t="shared" ca="1" si="9"/>
        <v>400</v>
      </c>
      <c r="E19" s="428" t="str">
        <f>IF(A19="","",IFERROR(VLOOKUP(A19,'Liste AT'!$E$7:$E$165,1,FALSE),"NON"))</f>
        <v>NON</v>
      </c>
      <c r="F19" s="428">
        <f>IF(A19="","",COUNTIF('Liste AT'!$E$7:$E$165,E19))</f>
        <v>0</v>
      </c>
      <c r="G19" s="428">
        <f>IF(A19="","",SUMIF('Liste AT'!$E$7:$E$165,A19,'Liste AT'!$O$7:$O$165))</f>
        <v>0</v>
      </c>
      <c r="H19" s="428">
        <f>IF(A11="","",SUMIF('Liste AT'!$F$7:$F$165,A11,'Liste AT'!$P$7:$P$165))</f>
        <v>0</v>
      </c>
      <c r="I19" s="222" t="e">
        <f t="shared" ca="1" si="10"/>
        <v>#N/A</v>
      </c>
      <c r="J19" s="222" t="e">
        <f t="shared" ca="1" si="11"/>
        <v>#N/A</v>
      </c>
      <c r="K19" s="428">
        <f>IF(A19="","",COUNTIFS('Liste AT'!$E$7:$E$165,A19,'Liste AT'!$L$7:$L$165,"avec arrêt"))</f>
        <v>0</v>
      </c>
      <c r="L19" s="428">
        <f t="shared" si="7"/>
        <v>0</v>
      </c>
      <c r="M19" s="272" t="e">
        <f t="shared" ca="1" si="12"/>
        <v>#N/A</v>
      </c>
      <c r="N19" s="272" t="e">
        <f t="shared" ca="1" si="8"/>
        <v>#N/A</v>
      </c>
      <c r="O19" s="272"/>
      <c r="P19" s="393">
        <f>IF(A19="","",MATCH(A19,Effectifs!$B$1:$B$35,0))</f>
        <v>13</v>
      </c>
      <c r="Q19" s="393"/>
      <c r="R19" s="393">
        <f>IF(A19="","",COUNTIFS('Liste AT'!$E$7:$E$165,A19,'Liste AT'!$K$7:$K$165,"=trajet"))</f>
        <v>0</v>
      </c>
      <c r="S19" s="393">
        <f>IF(A19="","",COUNTIFS('Liste AT'!$E$7:$E$165,A19,'Liste AT'!$AB$7:$AB$165,"=oui"))</f>
        <v>0</v>
      </c>
      <c r="T19" s="393"/>
      <c r="U19" s="393">
        <f>IF(A19="","",COUNTIFS('Liste AT'!$E$7:$E$165,A19,'Liste AT'!$K$7:$K$165,"=trajet",'Liste AT'!$L$7:$L$165,"=avec arrêt"))</f>
        <v>0</v>
      </c>
      <c r="V19" s="393"/>
      <c r="W19" s="393">
        <f>IF(A19="","",SUMIFS('Liste AT'!$O$7:$O$165,'Liste AT'!$E$7:$E$165,A19,'Liste AT'!$K$7:$K$165,"travail"))</f>
        <v>0</v>
      </c>
    </row>
    <row r="20" spans="1:23">
      <c r="A20" s="423" t="str">
        <f>IF('Listes déroulantes'!A13="","",'Listes déroulantes'!A13)</f>
        <v>Agent de la relation client Est</v>
      </c>
      <c r="B20" s="219" t="str">
        <f>IF(A20="","",VLOOKUP(A20,'Listes déroulantes'!$A$3:$C$55,2,FALSE ))</f>
        <v>TER EST</v>
      </c>
      <c r="C20" s="220" t="str">
        <f>IF(A20="","",IF(E20="NON", "01/01/2019",INDEX('Liste AT'!$I$2:$I$165,(MAX(IF('Liste AT'!$E$7:$E$165=A20,ROW('Liste AT'!$E$7:$E$165)))),1)))</f>
        <v>01/01/2019</v>
      </c>
      <c r="D20" s="221">
        <f t="shared" ca="1" si="9"/>
        <v>400</v>
      </c>
      <c r="E20" s="428" t="str">
        <f>IF(A20="","",IFERROR(VLOOKUP(A20,'Liste AT'!$E$7:$E$165,1,FALSE),"NON"))</f>
        <v>NON</v>
      </c>
      <c r="F20" s="428">
        <f>IF(A20="","",COUNTIF('Liste AT'!$E$7:$E$165,E20))</f>
        <v>0</v>
      </c>
      <c r="G20" s="428">
        <f>IF(A20="","",SUMIF('Liste AT'!$E$7:$E$165,A20,'Liste AT'!$O$7:$O$165))</f>
        <v>0</v>
      </c>
      <c r="H20" s="428">
        <f>IF(A12="","",SUMIF('Liste AT'!$F$7:$F$165,A12,'Liste AT'!$P$7:$P$165))</f>
        <v>0</v>
      </c>
      <c r="I20" s="222" t="e">
        <f t="shared" ca="1" si="10"/>
        <v>#N/A</v>
      </c>
      <c r="J20" s="222" t="e">
        <f t="shared" ca="1" si="11"/>
        <v>#N/A</v>
      </c>
      <c r="K20" s="428">
        <f>IF(A20="","",COUNTIFS('Liste AT'!$E$7:$E$165,A20,'Liste AT'!$L$7:$L$165,"avec arrêt"))</f>
        <v>0</v>
      </c>
      <c r="L20" s="428">
        <f t="shared" si="7"/>
        <v>0</v>
      </c>
      <c r="M20" s="272" t="e">
        <f t="shared" ca="1" si="12"/>
        <v>#N/A</v>
      </c>
      <c r="N20" s="272" t="e">
        <f t="shared" ca="1" si="8"/>
        <v>#N/A</v>
      </c>
      <c r="O20" s="272"/>
      <c r="P20" s="393">
        <f>IF(A20="","",MATCH(A20,Effectifs!$B$1:$B$35,0))</f>
        <v>14</v>
      </c>
      <c r="Q20" s="393"/>
      <c r="R20" s="393">
        <f>IF(A20="","",COUNTIFS('Liste AT'!$E$7:$E$165,A20,'Liste AT'!$K$7:$K$165,"=trajet"))</f>
        <v>0</v>
      </c>
      <c r="S20" s="393">
        <f>IF(A20="","",COUNTIFS('Liste AT'!$E$7:$E$165,A20,'Liste AT'!$AB$7:$AB$165,"=oui"))</f>
        <v>0</v>
      </c>
      <c r="T20" s="393"/>
      <c r="U20" s="393">
        <f>IF(A20="","",COUNTIFS('Liste AT'!$E$7:$E$165,A20,'Liste AT'!$K$7:$K$165,"=trajet",'Liste AT'!$L$7:$L$165,"=avec arrêt"))</f>
        <v>0</v>
      </c>
      <c r="V20" s="393"/>
      <c r="W20" s="393">
        <f>IF(A20="","",SUMIFS('Liste AT'!$O$7:$O$165,'Liste AT'!$E$7:$E$165,A20,'Liste AT'!$K$7:$K$165,"travail"))</f>
        <v>0</v>
      </c>
    </row>
    <row r="21" spans="1:23" ht="25.5">
      <c r="A21" s="423" t="str">
        <f>IF('Listes déroulantes'!A14="","",'Listes déroulantes'!A14)</f>
        <v>Equipe mobile Ligne Est &amp; Merveilles/RSC Merveilles</v>
      </c>
      <c r="B21" s="219" t="str">
        <f>IF(A21="","",VLOOKUP(A21,'Listes déroulantes'!$A$3:$C$55,2,FALSE ))</f>
        <v>TER EST</v>
      </c>
      <c r="C21" s="220" t="str">
        <f>IF(A21="","",IF(E21="NON", "01/01/2019",INDEX('Liste AT'!$I$2:$I$165,(MAX(IF('Liste AT'!$E$7:$E$165=A21,ROW('Liste AT'!$E$7:$E$165)))),1)))</f>
        <v>01/01/2019</v>
      </c>
      <c r="D21" s="221">
        <f t="shared" ca="1" si="9"/>
        <v>400</v>
      </c>
      <c r="E21" s="428" t="str">
        <f>IF(A21="","",IFERROR(VLOOKUP(A21,'Liste AT'!$E$7:$E$165,1,FALSE),"NON"))</f>
        <v>NON</v>
      </c>
      <c r="F21" s="428">
        <f>IF(A21="","",COUNTIF('Liste AT'!$E$7:$E$165,E21))</f>
        <v>0</v>
      </c>
      <c r="G21" s="428">
        <f>IF(A21="","",SUMIF('Liste AT'!$E$7:$E$165,A21,'Liste AT'!$O$7:$O$165))</f>
        <v>0</v>
      </c>
      <c r="H21" s="428">
        <f>IF(A13="","",SUMIF('Liste AT'!$F$7:$F$165,A13,'Liste AT'!$P$7:$P$165))</f>
        <v>0</v>
      </c>
      <c r="I21" s="222" t="e">
        <f t="shared" ca="1" si="10"/>
        <v>#N/A</v>
      </c>
      <c r="J21" s="222" t="e">
        <f t="shared" ca="1" si="11"/>
        <v>#N/A</v>
      </c>
      <c r="K21" s="428">
        <f>IF(A21="","",COUNTIFS('Liste AT'!$E$7:$E$165,A21,'Liste AT'!$L$7:$L$165,"avec arrêt"))</f>
        <v>0</v>
      </c>
      <c r="L21" s="428">
        <f t="shared" si="7"/>
        <v>0</v>
      </c>
      <c r="M21" s="272" t="e">
        <f t="shared" ca="1" si="12"/>
        <v>#N/A</v>
      </c>
      <c r="N21" s="272" t="e">
        <f t="shared" ca="1" si="8"/>
        <v>#N/A</v>
      </c>
      <c r="O21" s="272"/>
      <c r="P21" s="393">
        <f>IF(A21="","",MATCH(A21,Effectifs!$B$1:$B$35,0))</f>
        <v>15</v>
      </c>
      <c r="Q21" s="393"/>
      <c r="R21" s="393">
        <f>IF(A21="","",COUNTIFS('Liste AT'!$E$7:$E$165,A21,'Liste AT'!$K$7:$K$165,"=trajet"))</f>
        <v>0</v>
      </c>
      <c r="S21" s="393">
        <f>IF(A21="","",COUNTIFS('Liste AT'!$E$7:$E$165,A21,'Liste AT'!$AB$7:$AB$165,"=oui"))</f>
        <v>0</v>
      </c>
      <c r="T21" s="393"/>
      <c r="U21" s="393">
        <f>IF(A21="","",COUNTIFS('Liste AT'!$E$7:$E$165,A21,'Liste AT'!$K$7:$K$165,"=trajet",'Liste AT'!$L$7:$L$165,"=avec arrêt"))</f>
        <v>0</v>
      </c>
      <c r="V21" s="393"/>
      <c r="W21" s="393">
        <f>IF(A21="","",SUMIFS('Liste AT'!$O$7:$O$165,'Liste AT'!$E$7:$E$165,A21,'Liste AT'!$K$7:$K$165,"travail"))</f>
        <v>0</v>
      </c>
    </row>
    <row r="22" spans="1:23" ht="19.5" customHeight="1">
      <c r="A22" s="423" t="str">
        <f>IF('Listes déroulantes'!A15="","",'Listes déroulantes'!A15)</f>
        <v>Secteur Menton-Vintimille</v>
      </c>
      <c r="B22" s="219" t="str">
        <f>IF(A22="","",VLOOKUP(A22,'Listes déroulantes'!$A$3:$C$55,2,FALSE ))</f>
        <v>TER EST</v>
      </c>
      <c r="C22" s="220" t="str">
        <f>IF(A22="","",IF(E22="NON", "01/01/2019",INDEX('Liste AT'!$I$2:$I$165,(MAX(IF('Liste AT'!$E$7:$E$165=A22,ROW('Liste AT'!$E$7:$E$165)))),1)))</f>
        <v>01/01/2019</v>
      </c>
      <c r="D22" s="221">
        <f t="shared" ca="1" si="9"/>
        <v>400</v>
      </c>
      <c r="E22" s="428" t="str">
        <f>IF(A22="","",IFERROR(VLOOKUP(A22,'Liste AT'!$E$7:$E$165,1,FALSE),"NON"))</f>
        <v>NON</v>
      </c>
      <c r="F22" s="428">
        <f>IF(A22="","",COUNTIF('Liste AT'!$E$7:$E$165,E22))</f>
        <v>0</v>
      </c>
      <c r="G22" s="428">
        <f>IF(A22="","",SUMIF('Liste AT'!$E$7:$E$165,A22,'Liste AT'!$O$7:$O$165))</f>
        <v>0</v>
      </c>
      <c r="H22" s="428">
        <f>IF(A14="","",SUMIF('Liste AT'!$F$7:$F$165,A14,'Liste AT'!$P$7:$P$165))</f>
        <v>0</v>
      </c>
      <c r="I22" s="222" t="e">
        <f t="shared" ca="1" si="10"/>
        <v>#N/A</v>
      </c>
      <c r="J22" s="222" t="e">
        <f t="shared" ca="1" si="11"/>
        <v>#N/A</v>
      </c>
      <c r="K22" s="428">
        <f>IF(A22="","",COUNTIFS('Liste AT'!$E$7:$E$165,A22,'Liste AT'!$L$7:$L$165,"avec arrêt"))</f>
        <v>0</v>
      </c>
      <c r="L22" s="428">
        <f t="shared" si="7"/>
        <v>0</v>
      </c>
      <c r="M22" s="272" t="e">
        <f t="shared" ca="1" si="12"/>
        <v>#N/A</v>
      </c>
      <c r="N22" s="272" t="e">
        <f t="shared" ca="1" si="8"/>
        <v>#N/A</v>
      </c>
      <c r="O22" s="272"/>
      <c r="P22" s="393">
        <f>IF(A22="","",MATCH(A22,Effectifs!$B$1:$B$35,0))</f>
        <v>16</v>
      </c>
      <c r="Q22" s="393"/>
      <c r="R22" s="393">
        <f>IF(A22="","",COUNTIFS('Liste AT'!$E$7:$E$165,A22,'Liste AT'!$K$7:$K$165,"=trajet"))</f>
        <v>0</v>
      </c>
      <c r="S22" s="393">
        <f>IF(A22="","",COUNTIFS('Liste AT'!$E$7:$E$165,A22,'Liste AT'!$AB$7:$AB$165,"=oui"))</f>
        <v>0</v>
      </c>
      <c r="T22" s="393"/>
      <c r="U22" s="393">
        <f>IF(A22="","",COUNTIFS('Liste AT'!$E$7:$E$165,A22,'Liste AT'!$K$7:$K$165,"=trajet",'Liste AT'!$L$7:$L$165,"=avec arrêt"))</f>
        <v>0</v>
      </c>
      <c r="V22" s="393"/>
      <c r="W22" s="393">
        <f>IF(A22="","",SUMIFS('Liste AT'!$O$7:$O$165,'Liste AT'!$E$7:$E$165,A22,'Liste AT'!$K$7:$K$165,"travail"))</f>
        <v>0</v>
      </c>
    </row>
    <row r="23" spans="1:23">
      <c r="A23" s="423" t="str">
        <f>IF('Listes déroulantes'!A9="","",'Listes déroulantes'!A9)</f>
        <v>Siège UO TER EST</v>
      </c>
      <c r="B23" s="219" t="str">
        <f>IF(A23="","",VLOOKUP(A23,'Listes déroulantes'!$A$3:$C$55,2,FALSE ))</f>
        <v>TER EST</v>
      </c>
      <c r="C23" s="220" t="str">
        <f>IF(A23="","",IF(E23="NON", "01/01/2019",INDEX('Liste AT'!$I$2:$I$165,(MAX(IF('Liste AT'!$E$7:$E$165=A23,ROW('Liste AT'!$E$7:$E$165)))),1)))</f>
        <v>01/01/2019</v>
      </c>
      <c r="D23" s="221">
        <f t="shared" ca="1" si="9"/>
        <v>400</v>
      </c>
      <c r="E23" s="428" t="str">
        <f>IF(A23="","",IFERROR(VLOOKUP(A23,'Liste AT'!$E$7:$E$165,1,FALSE),"NON"))</f>
        <v>NON</v>
      </c>
      <c r="F23" s="428">
        <f>IF(A23="","",COUNTIF('Liste AT'!$E$7:$E$165,E23))</f>
        <v>0</v>
      </c>
      <c r="G23" s="428">
        <f>IF(A23="","",SUMIF('Liste AT'!$E$7:$E$165,A23,'Liste AT'!$O$7:$O$165))</f>
        <v>0</v>
      </c>
      <c r="H23" s="428">
        <f>IF(A15="","",SUMIF('Liste AT'!$F$7:$F$165,A15,'Liste AT'!$P$7:$P$165))</f>
        <v>0</v>
      </c>
      <c r="I23" s="222" t="e">
        <f t="shared" ca="1" si="10"/>
        <v>#N/A</v>
      </c>
      <c r="J23" s="222" t="e">
        <f t="shared" ca="1" si="11"/>
        <v>#N/A</v>
      </c>
      <c r="K23" s="428">
        <f>IF(A23="","",COUNTIFS('Liste AT'!$E$7:$E$165,A23,'Liste AT'!$L$7:$L$165,"avec arrêt"))</f>
        <v>0</v>
      </c>
      <c r="L23" s="428">
        <f t="shared" si="7"/>
        <v>0</v>
      </c>
      <c r="M23" s="272" t="e">
        <f t="shared" ca="1" si="12"/>
        <v>#N/A</v>
      </c>
      <c r="N23" s="272" t="e">
        <f t="shared" ca="1" si="8"/>
        <v>#N/A</v>
      </c>
      <c r="O23" s="272"/>
      <c r="P23" s="393">
        <f>IF(A23="","",MATCH(A23,Effectifs!$B$1:$B$35,0))</f>
        <v>10</v>
      </c>
      <c r="Q23" s="393"/>
      <c r="R23" s="393">
        <f>IF(A23="","",COUNTIFS('Liste AT'!$E$7:$E$165,A23,'Liste AT'!$K$7:$K$165,"=trajet"))</f>
        <v>0</v>
      </c>
      <c r="S23" s="393">
        <f>IF(A23="","",COUNTIFS('Liste AT'!$E$7:$E$165,A23,'Liste AT'!$AB$7:$AB$165,"=oui"))</f>
        <v>0</v>
      </c>
      <c r="T23" s="393"/>
      <c r="U23" s="393">
        <f>IF(A23="","",COUNTIFS('Liste AT'!$E$7:$E$165,A23,'Liste AT'!$K$7:$K$165,"=trajet",'Liste AT'!$L$7:$L$165,"=avec arrêt"))</f>
        <v>0</v>
      </c>
      <c r="V23" s="393"/>
      <c r="W23" s="393">
        <f>IF(A23="","",SUMIFS('Liste AT'!$O$7:$O$165,'Liste AT'!$E$7:$E$165,A23,'Liste AT'!$K$7:$K$165,"travail"))</f>
        <v>0</v>
      </c>
    </row>
    <row r="24" spans="1:23">
      <c r="A24" s="423" t="str">
        <f>IF('Listes déroulantes'!A17="","",'Listes déroulantes'!A17)</f>
        <v>Pôle QP</v>
      </c>
      <c r="B24" s="219" t="str">
        <f>IF(A24="","",VLOOKUP(A24,'Listes déroulantes'!$A$3:$C$55,2,FALSE ))</f>
        <v>SIEGE</v>
      </c>
      <c r="C24" s="220" t="str">
        <f>IF(A24="","",IF(E24="NON", "01/01/2019",INDEX('Liste AT'!$I$2:$I$165,(MAX(IF('Liste AT'!$E$7:$E$165=A24,ROW('Liste AT'!$E$7:$E$165)))),1)))</f>
        <v>01/01/2019</v>
      </c>
      <c r="D24" s="221">
        <f t="shared" ca="1" si="9"/>
        <v>400</v>
      </c>
      <c r="E24" s="428" t="str">
        <f>IF(A24="","",IFERROR(VLOOKUP(A24,'Liste AT'!$E$7:$E$165,1,FALSE),"NON"))</f>
        <v>NON</v>
      </c>
      <c r="F24" s="428">
        <f>IF(A24="","",COUNTIF('Liste AT'!$E$7:$E$165,E24))</f>
        <v>0</v>
      </c>
      <c r="G24" s="428">
        <f>IF(A24="","",SUMIF('Liste AT'!$E$7:$E$165,A24,'Liste AT'!$O$7:$O$165))</f>
        <v>0</v>
      </c>
      <c r="H24" s="428">
        <f>IF(A16="","",SUMIF('Liste AT'!$F$7:$F$165,A16,'Liste AT'!$P$7:$P$165))</f>
        <v>0</v>
      </c>
      <c r="I24" s="222" t="e">
        <f t="shared" ca="1" si="10"/>
        <v>#N/A</v>
      </c>
      <c r="J24" s="222" t="e">
        <f t="shared" ca="1" si="11"/>
        <v>#N/A</v>
      </c>
      <c r="K24" s="428">
        <f>IF(A24="","",COUNTIFS('Liste AT'!$E$7:$E$165,A24,'Liste AT'!$L$7:$L$165,"avec arrêt"))</f>
        <v>0</v>
      </c>
      <c r="L24" s="428">
        <f t="shared" si="7"/>
        <v>0</v>
      </c>
      <c r="M24" s="272" t="e">
        <f t="shared" ca="1" si="12"/>
        <v>#N/A</v>
      </c>
      <c r="N24" s="272" t="e">
        <f t="shared" ca="1" si="8"/>
        <v>#N/A</v>
      </c>
      <c r="O24" s="272"/>
      <c r="P24" s="393">
        <f>IF(A24="","",MATCH(A24,Effectifs!$B$1:$B$35,0))</f>
        <v>18</v>
      </c>
      <c r="Q24" s="393"/>
      <c r="R24" s="393">
        <f>IF(A24="","",COUNTIFS('Liste AT'!$E$7:$E$165,A24,'Liste AT'!$K$7:$K$165,"=trajet"))</f>
        <v>0</v>
      </c>
      <c r="S24" s="393">
        <f>IF(A24="","",COUNTIFS('Liste AT'!$E$7:$E$165,A24,'Liste AT'!$AB$7:$AB$165,"=oui"))</f>
        <v>0</v>
      </c>
      <c r="T24" s="393"/>
      <c r="U24" s="393">
        <f>IF(A24="","",COUNTIFS('Liste AT'!$E$7:$E$165,A24,'Liste AT'!$K$7:$K$165,"=trajet",'Liste AT'!$L$7:$L$165,"=avec arrêt"))</f>
        <v>0</v>
      </c>
      <c r="V24" s="393"/>
      <c r="W24" s="393">
        <f>IF(A24="","",SUMIFS('Liste AT'!$O$7:$O$165,'Liste AT'!$E$7:$E$165,A24,'Liste AT'!$K$7:$K$165,"travail"))</f>
        <v>0</v>
      </c>
    </row>
    <row r="25" spans="1:23">
      <c r="A25" s="423" t="str">
        <f>IF('Listes déroulantes'!A18="","",'Listes déroulantes'!A18)</f>
        <v>Pôle RH</v>
      </c>
      <c r="B25" s="219" t="str">
        <f>IF(A25="","",VLOOKUP(A25,'Listes déroulantes'!$A$3:$C$55,2,FALSE ))</f>
        <v>SIEGE</v>
      </c>
      <c r="C25" s="220" t="str">
        <f>IF(A25="","",IF(E25="NON", "01/01/2019",INDEX('Liste AT'!$I$2:$I$165,(MAX(IF('Liste AT'!$E$7:$E$165=A25,ROW('Liste AT'!$E$7:$E$165)))),1)))</f>
        <v>01/01/2019</v>
      </c>
      <c r="D25" s="221">
        <f t="shared" ca="1" si="9"/>
        <v>400</v>
      </c>
      <c r="E25" s="428" t="str">
        <f>IF(A25="","",IFERROR(VLOOKUP(A25,'Liste AT'!$E$7:$E$165,1,FALSE),"NON"))</f>
        <v>NON</v>
      </c>
      <c r="F25" s="428">
        <f>IF(A25="","",COUNTIF('Liste AT'!$E$7:$E$165,E25))</f>
        <v>0</v>
      </c>
      <c r="G25" s="428">
        <f>IF(A25="","",SUMIF('Liste AT'!$E$7:$E$165,A25,'Liste AT'!$O$7:$O$165))</f>
        <v>0</v>
      </c>
      <c r="H25" s="428">
        <f>IF(A17="","",SUMIF('Liste AT'!$F$7:$F$165,A17,'Liste AT'!$P$7:$P$165))</f>
        <v>0</v>
      </c>
      <c r="I25" s="222" t="e">
        <f t="shared" ca="1" si="10"/>
        <v>#N/A</v>
      </c>
      <c r="J25" s="222" t="e">
        <f t="shared" ca="1" si="11"/>
        <v>#N/A</v>
      </c>
      <c r="K25" s="428">
        <f>IF(A25="","",COUNTIFS('Liste AT'!$E$7:$E$165,A25,'Liste AT'!$L$7:$L$165,"avec arrêt"))</f>
        <v>0</v>
      </c>
      <c r="L25" s="428">
        <f t="shared" si="7"/>
        <v>0</v>
      </c>
      <c r="M25" s="272" t="e">
        <f t="shared" ca="1" si="12"/>
        <v>#N/A</v>
      </c>
      <c r="N25" s="272" t="e">
        <f t="shared" ca="1" si="8"/>
        <v>#N/A</v>
      </c>
      <c r="O25" s="272"/>
      <c r="P25" s="393">
        <f>IF(A25="","",MATCH(A25,Effectifs!$B$1:$B$35,0))</f>
        <v>19</v>
      </c>
      <c r="Q25" s="393"/>
      <c r="R25" s="393">
        <f>IF(A25="","",COUNTIFS('Liste AT'!$E$7:$E$165,A25,'Liste AT'!$K$7:$K$165,"=trajet"))</f>
        <v>0</v>
      </c>
      <c r="S25" s="393">
        <f>IF(A25="","",COUNTIFS('Liste AT'!$E$7:$E$165,A25,'Liste AT'!$AB$7:$AB$165,"=oui"))</f>
        <v>0</v>
      </c>
      <c r="T25" s="393"/>
      <c r="U25" s="393">
        <f>IF(A25="","",COUNTIFS('Liste AT'!$E$7:$E$165,A25,'Liste AT'!$K$7:$K$165,"=trajet",'Liste AT'!$L$7:$L$165,"=avec arrêt"))</f>
        <v>0</v>
      </c>
      <c r="V25" s="393"/>
      <c r="W25" s="393">
        <f>IF(A25="","",SUMIFS('Liste AT'!$O$7:$O$165,'Liste AT'!$E$7:$E$165,A25,'Liste AT'!$K$7:$K$165,"travail"))</f>
        <v>0</v>
      </c>
    </row>
    <row r="26" spans="1:23">
      <c r="A26" s="423" t="str">
        <f>IF('Listes déroulantes'!A19="","",'Listes déroulantes'!A19)</f>
        <v>Pôle S</v>
      </c>
      <c r="B26" s="219" t="str">
        <f>IF(A26="","",VLOOKUP(A26,'Listes déroulantes'!$A$3:$C$55,2,FALSE ))</f>
        <v>SIEGE</v>
      </c>
      <c r="C26" s="220" t="str">
        <f>IF(A26="","",IF(E26="NON", "01/01/2019",INDEX('Liste AT'!$I$2:$I$165,(MAX(IF('Liste AT'!$E$7:$E$165=A26,ROW('Liste AT'!$E$7:$E$165)))),1)))</f>
        <v>01/01/2019</v>
      </c>
      <c r="D26" s="221">
        <f t="shared" ca="1" si="9"/>
        <v>400</v>
      </c>
      <c r="E26" s="428" t="str">
        <f>IF(A26="","",IFERROR(VLOOKUP(A26,'Liste AT'!$E$7:$E$165,1,FALSE),"NON"))</f>
        <v>NON</v>
      </c>
      <c r="F26" s="428">
        <f>IF(A26="","",COUNTIF('Liste AT'!$E$7:$E$165,E26))</f>
        <v>0</v>
      </c>
      <c r="G26" s="428">
        <f>IF(A26="","",SUMIF('Liste AT'!$E$7:$E$165,A26,'Liste AT'!$O$7:$O$165))</f>
        <v>0</v>
      </c>
      <c r="H26" s="428">
        <f>IF(A18="","",SUMIF('Liste AT'!$F$7:$F$165,A18,'Liste AT'!$P$7:$P$165))</f>
        <v>0</v>
      </c>
      <c r="I26" s="222" t="e">
        <f t="shared" ca="1" si="10"/>
        <v>#N/A</v>
      </c>
      <c r="J26" s="222" t="e">
        <f t="shared" ca="1" si="11"/>
        <v>#N/A</v>
      </c>
      <c r="K26" s="428">
        <f>IF(A26="","",COUNTIFS('Liste AT'!$E$7:$E$165,A26,'Liste AT'!$L$7:$L$165,"avec arrêt"))</f>
        <v>0</v>
      </c>
      <c r="L26" s="428">
        <f t="shared" si="7"/>
        <v>0</v>
      </c>
      <c r="M26" s="272" t="e">
        <f t="shared" ca="1" si="12"/>
        <v>#N/A</v>
      </c>
      <c r="N26" s="272" t="e">
        <f t="shared" ca="1" si="8"/>
        <v>#N/A</v>
      </c>
      <c r="O26" s="272"/>
      <c r="P26" s="393">
        <f>IF(A26="","",MATCH(A26,Effectifs!$B$1:$B$35,0))</f>
        <v>20</v>
      </c>
      <c r="Q26" s="393"/>
      <c r="R26" s="393">
        <f>IF(A26="","",COUNTIFS('Liste AT'!$E$7:$E$165,A26,'Liste AT'!$K$7:$K$165,"=trajet"))</f>
        <v>0</v>
      </c>
      <c r="S26" s="393">
        <f>IF(A26="","",COUNTIFS('Liste AT'!$E$7:$E$165,A26,'Liste AT'!$AB$7:$AB$165,"=oui"))</f>
        <v>0</v>
      </c>
      <c r="T26" s="393"/>
      <c r="U26" s="393">
        <f>IF(A26="","",COUNTIFS('Liste AT'!$E$7:$E$165,A26,'Liste AT'!$K$7:$K$165,"=trajet",'Liste AT'!$L$7:$L$165,"=avec arrêt"))</f>
        <v>0</v>
      </c>
      <c r="V26" s="393"/>
      <c r="W26" s="393">
        <f>IF(A26="","",SUMIFS('Liste AT'!$O$7:$O$165,'Liste AT'!$E$7:$E$165,A26,'Liste AT'!$K$7:$K$165,"travail"))</f>
        <v>0</v>
      </c>
    </row>
    <row r="27" spans="1:23">
      <c r="A27" s="423" t="str">
        <f>IF('Listes déroulantes'!A20="","",'Listes déroulantes'!A20)</f>
        <v>Direction ETABLISSEMENT</v>
      </c>
      <c r="B27" s="219" t="str">
        <f>IF(A27="","",VLOOKUP(A27,'Listes déroulantes'!$A$3:$C$55,2,FALSE ))</f>
        <v>SIEGE</v>
      </c>
      <c r="C27" s="220" t="str">
        <f>IF(A27="","",IF(E27="NON", "01/01/2019",INDEX('Liste AT'!$I$2:$I$165,(MAX(IF('Liste AT'!$E$7:$E$165=A27,ROW('Liste AT'!$E$7:$E$165)))),1)))</f>
        <v>01/01/2019</v>
      </c>
      <c r="D27" s="221">
        <f t="shared" ca="1" si="9"/>
        <v>400</v>
      </c>
      <c r="E27" s="428" t="str">
        <f>IF(A27="","",IFERROR(VLOOKUP(A27,'Liste AT'!$E$7:$E$165,1,FALSE),"NON"))</f>
        <v>NON</v>
      </c>
      <c r="F27" s="428">
        <f>IF(A27="","",COUNTIF('Liste AT'!$E$7:$E$165,E27))</f>
        <v>0</v>
      </c>
      <c r="G27" s="428">
        <f>IF(A27="","",SUMIF('Liste AT'!$E$7:$E$165,A27,'Liste AT'!$O$7:$O$165))</f>
        <v>0</v>
      </c>
      <c r="H27" s="428">
        <f>IF(A19="","",SUMIF('Liste AT'!$F$7:$F$165,A19,'Liste AT'!$P$7:$P$165))</f>
        <v>0</v>
      </c>
      <c r="I27" s="222" t="e">
        <f t="shared" ca="1" si="10"/>
        <v>#N/A</v>
      </c>
      <c r="J27" s="222" t="e">
        <f t="shared" ca="1" si="11"/>
        <v>#N/A</v>
      </c>
      <c r="K27" s="428">
        <f>IF(A27="","",COUNTIFS('Liste AT'!$E$7:$E$165,A27,'Liste AT'!$L$7:$L$165,"avec arrêt"))</f>
        <v>0</v>
      </c>
      <c r="L27" s="428">
        <f t="shared" si="7"/>
        <v>0</v>
      </c>
      <c r="M27" s="272" t="e">
        <f t="shared" ca="1" si="12"/>
        <v>#N/A</v>
      </c>
      <c r="N27" s="272" t="e">
        <f t="shared" ca="1" si="8"/>
        <v>#N/A</v>
      </c>
      <c r="O27" s="272"/>
      <c r="P27" s="393">
        <f>IF(A27="","",MATCH(A27,Effectifs!$B$1:$B$35,0))</f>
        <v>21</v>
      </c>
      <c r="Q27" s="393"/>
      <c r="R27" s="393">
        <f>IF(A27="","",COUNTIFS('Liste AT'!$E$7:$E$165,A27,'Liste AT'!$K$7:$K$165,"=trajet"))</f>
        <v>0</v>
      </c>
      <c r="S27" s="393">
        <f>IF(A27="","",COUNTIFS('Liste AT'!$E$7:$E$165,A27,'Liste AT'!$AB$7:$AB$165,"=oui"))</f>
        <v>0</v>
      </c>
      <c r="T27" s="393"/>
      <c r="U27" s="393">
        <f>IF(A27="","",COUNTIFS('Liste AT'!$E$7:$E$165,A27,'Liste AT'!$K$7:$K$165,"=trajet",'Liste AT'!$L$7:$L$165,"=avec arrêt"))</f>
        <v>0</v>
      </c>
      <c r="V27" s="393"/>
      <c r="W27" s="393">
        <f>IF(A27="","",SUMIFS('Liste AT'!$O$7:$O$165,'Liste AT'!$E$7:$E$165,A27,'Liste AT'!$K$7:$K$165,"travail"))</f>
        <v>0</v>
      </c>
    </row>
    <row r="28" spans="1:23">
      <c r="A28" s="423" t="str">
        <f>IF('Listes déroulantes'!A22="","",'Listes déroulantes'!A22)</f>
        <v>TER Bommarito</v>
      </c>
      <c r="B28" s="219" t="str">
        <f>IF(A28="","",VLOOKUP(A28,'Listes déroulantes'!$A$3:$C$55,2,FALSE ))</f>
        <v>TRAIN</v>
      </c>
      <c r="C28" s="220" t="str">
        <f>IF(A28="","",IF(E28="NON", "01/01/2019",INDEX('Liste AT'!$I$2:$I$165,(MAX(IF('Liste AT'!$E$7:$E$165=A28,ROW('Liste AT'!$E$7:$E$165)))),1)))</f>
        <v>01/01/2019</v>
      </c>
      <c r="D28" s="221">
        <f t="shared" ca="1" si="9"/>
        <v>400</v>
      </c>
      <c r="E28" s="428" t="str">
        <f>IF(A28="","",IFERROR(VLOOKUP(A28,'Liste AT'!$E$7:$E$165,1,FALSE),"NON"))</f>
        <v>NON</v>
      </c>
      <c r="F28" s="428">
        <f>IF(A28="","",COUNTIF('Liste AT'!$E$7:$E$165,E28))</f>
        <v>0</v>
      </c>
      <c r="G28" s="428">
        <f>IF(A28="","",SUMIF('Liste AT'!$E$7:$E$165,A28,'Liste AT'!$O$7:$O$165))</f>
        <v>0</v>
      </c>
      <c r="H28" s="428">
        <f>IF(A20="","",SUMIF('Liste AT'!$F$7:$F$165,A20,'Liste AT'!$P$7:$P$165))</f>
        <v>0</v>
      </c>
      <c r="I28" s="222" t="e">
        <f t="shared" ca="1" si="10"/>
        <v>#N/A</v>
      </c>
      <c r="J28" s="222" t="e">
        <f t="shared" ca="1" si="11"/>
        <v>#N/A</v>
      </c>
      <c r="K28" s="428">
        <f>IF(A28="","",COUNTIFS('Liste AT'!$E$7:$E$165,A28,'Liste AT'!$L$7:$L$165,"avec arrêt"))</f>
        <v>0</v>
      </c>
      <c r="L28" s="428">
        <f t="shared" si="7"/>
        <v>0</v>
      </c>
      <c r="M28" s="272" t="e">
        <f t="shared" ca="1" si="12"/>
        <v>#N/A</v>
      </c>
      <c r="N28" s="272" t="e">
        <f t="shared" ca="1" si="8"/>
        <v>#N/A</v>
      </c>
      <c r="O28" s="272"/>
      <c r="P28" s="393">
        <f>IF(A28="","",MATCH(A28,Effectifs!$B$1:$B$35,0))</f>
        <v>23</v>
      </c>
      <c r="Q28" s="393"/>
      <c r="R28" s="393">
        <f>IF(A28="","",COUNTIFS('Liste AT'!$E$7:$E$165,A28,'Liste AT'!$K$7:$K$165,"=trajet"))</f>
        <v>0</v>
      </c>
      <c r="S28" s="393">
        <f>IF(A28="","",COUNTIFS('Liste AT'!$E$7:$E$165,A28,'Liste AT'!$AB$7:$AB$165,"=oui"))</f>
        <v>0</v>
      </c>
      <c r="T28" s="393"/>
      <c r="U28" s="393">
        <f>IF(A28="","",COUNTIFS('Liste AT'!$E$7:$E$165,A28,'Liste AT'!$K$7:$K$165,"=trajet",'Liste AT'!$L$7:$L$165,"=avec arrêt"))</f>
        <v>0</v>
      </c>
      <c r="V28" s="393"/>
      <c r="W28" s="393">
        <f>IF(A28="","",SUMIFS('Liste AT'!$O$7:$O$165,'Liste AT'!$E$7:$E$165,A28,'Liste AT'!$K$7:$K$165,"travail"))</f>
        <v>0</v>
      </c>
    </row>
    <row r="29" spans="1:23">
      <c r="A29" s="423" t="str">
        <f>IF('Listes déroulantes'!A23="","",'Listes déroulantes'!A23)</f>
        <v>TER Dallo</v>
      </c>
      <c r="B29" s="219" t="str">
        <f>IF(A29="","",VLOOKUP(A29,'Listes déroulantes'!$A$3:$C$55,2,FALSE ))</f>
        <v>TRAIN</v>
      </c>
      <c r="C29" s="220" t="str">
        <f>IF(A29="","",IF(E29="NON", "01/01/2019",INDEX('Liste AT'!$I$2:$I$165,(MAX(IF('Liste AT'!$E$7:$E$165=A29,ROW('Liste AT'!$E$7:$E$165)))),1)))</f>
        <v>01/01/2019</v>
      </c>
      <c r="D29" s="221">
        <f t="shared" ca="1" si="9"/>
        <v>400</v>
      </c>
      <c r="E29" s="428" t="str">
        <f>IF(A29="","",IFERROR(VLOOKUP(A29,'Liste AT'!$E$7:$E$165,1,FALSE),"NON"))</f>
        <v>NON</v>
      </c>
      <c r="F29" s="428">
        <f>IF(A29="","",COUNTIF('Liste AT'!$E$7:$E$165,E29))</f>
        <v>0</v>
      </c>
      <c r="G29" s="428">
        <f>IF(A29="","",SUMIF('Liste AT'!$E$7:$E$165,A29,'Liste AT'!$O$7:$O$165))</f>
        <v>0</v>
      </c>
      <c r="H29" s="428">
        <f>IF(A21="","",SUMIF('Liste AT'!$F$7:$F$165,A21,'Liste AT'!$P$7:$P$165))</f>
        <v>0</v>
      </c>
      <c r="I29" s="222" t="e">
        <f t="shared" ca="1" si="10"/>
        <v>#N/A</v>
      </c>
      <c r="J29" s="222" t="e">
        <f t="shared" ca="1" si="11"/>
        <v>#N/A</v>
      </c>
      <c r="K29" s="428">
        <f>IF(A29="","",COUNTIFS('Liste AT'!$E$7:$E$165,A29,'Liste AT'!$L$7:$L$165,"avec arrêt"))</f>
        <v>0</v>
      </c>
      <c r="L29" s="428">
        <f t="shared" si="7"/>
        <v>0</v>
      </c>
      <c r="M29" s="272" t="e">
        <f t="shared" ca="1" si="12"/>
        <v>#N/A</v>
      </c>
      <c r="N29" s="272" t="e">
        <f t="shared" ca="1" si="8"/>
        <v>#N/A</v>
      </c>
      <c r="O29" s="272"/>
      <c r="P29" s="393">
        <f>IF(A29="","",MATCH(A29,Effectifs!$B$1:$B$35,0))</f>
        <v>24</v>
      </c>
      <c r="Q29" s="393"/>
      <c r="R29" s="393">
        <f>IF(A29="","",COUNTIFS('Liste AT'!$E$7:$E$165,A29,'Liste AT'!$K$7:$K$165,"=trajet"))</f>
        <v>0</v>
      </c>
      <c r="S29" s="393">
        <f>IF(A29="","",COUNTIFS('Liste AT'!$E$7:$E$165,A29,'Liste AT'!$AB$7:$AB$165,"=oui"))</f>
        <v>0</v>
      </c>
      <c r="T29" s="393"/>
      <c r="U29" s="393">
        <f>IF(A29="","",COUNTIFS('Liste AT'!$E$7:$E$165,A29,'Liste AT'!$K$7:$K$165,"=trajet",'Liste AT'!$L$7:$L$165,"=avec arrêt"))</f>
        <v>0</v>
      </c>
      <c r="V29" s="393"/>
      <c r="W29" s="393">
        <f>IF(A29="","",SUMIFS('Liste AT'!$O$7:$O$165,'Liste AT'!$E$7:$E$165,A29,'Liste AT'!$K$7:$K$165,"travail"))</f>
        <v>0</v>
      </c>
    </row>
    <row r="30" spans="1:23">
      <c r="A30" s="423" t="str">
        <f>IF('Listes déroulantes'!A24="","",'Listes déroulantes'!A24)</f>
        <v>TER Viteau</v>
      </c>
      <c r="B30" s="219" t="str">
        <f>IF(A30="","",VLOOKUP(A30,'Listes déroulantes'!$A$3:$C$55,2,FALSE ))</f>
        <v>TRAIN</v>
      </c>
      <c r="C30" s="220" t="str">
        <f>IF(A30="","",IF(E30="NON", "01/01/2019",INDEX('Liste AT'!$I$2:$I$165,(MAX(IF('Liste AT'!$E$7:$E$165=A30,ROW('Liste AT'!$E$7:$E$165)))),1)))</f>
        <v>01/01/2019</v>
      </c>
      <c r="D30" s="221">
        <f t="shared" ca="1" si="9"/>
        <v>400</v>
      </c>
      <c r="E30" s="428" t="str">
        <f>IF(A30="","",IFERROR(VLOOKUP(A30,'Liste AT'!$E$7:$E$165,1,FALSE),"NON"))</f>
        <v>NON</v>
      </c>
      <c r="F30" s="428">
        <f>IF(A30="","",COUNTIF('Liste AT'!$E$7:$E$165,E30))</f>
        <v>0</v>
      </c>
      <c r="G30" s="428">
        <f>IF(A30="","",SUMIF('Liste AT'!$E$7:$E$165,A30,'Liste AT'!$O$7:$O$165))</f>
        <v>0</v>
      </c>
      <c r="H30" s="428">
        <f>IF(A22="","",SUMIF('Liste AT'!$F$7:$F$165,A22,'Liste AT'!$P$7:$P$165))</f>
        <v>0</v>
      </c>
      <c r="I30" s="222" t="e">
        <f t="shared" ca="1" si="10"/>
        <v>#N/A</v>
      </c>
      <c r="J30" s="222" t="e">
        <f t="shared" ca="1" si="11"/>
        <v>#N/A</v>
      </c>
      <c r="K30" s="428">
        <f>IF(A30="","",COUNTIFS('Liste AT'!$E$7:$E$165,A30,'Liste AT'!$L$7:$L$165,"avec arrêt"))</f>
        <v>0</v>
      </c>
      <c r="L30" s="428">
        <f t="shared" si="7"/>
        <v>0</v>
      </c>
      <c r="M30" s="272" t="e">
        <f t="shared" ca="1" si="12"/>
        <v>#N/A</v>
      </c>
      <c r="N30" s="272" t="e">
        <f t="shared" ca="1" si="8"/>
        <v>#N/A</v>
      </c>
      <c r="O30" s="272"/>
      <c r="P30" s="393">
        <f>IF(A30="","",MATCH(A30,Effectifs!$B$1:$B$35,0))</f>
        <v>25</v>
      </c>
      <c r="Q30" s="393"/>
      <c r="R30" s="393">
        <f>IF(A30="","",COUNTIFS('Liste AT'!$E$7:$E$165,A30,'Liste AT'!$K$7:$K$165,"=trajet"))</f>
        <v>0</v>
      </c>
      <c r="S30" s="393">
        <f>IF(A30="","",COUNTIFS('Liste AT'!$E$7:$E$165,A30,'Liste AT'!$AB$7:$AB$165,"=oui"))</f>
        <v>0</v>
      </c>
      <c r="T30" s="393"/>
      <c r="U30" s="393">
        <f>IF(A30="","",COUNTIFS('Liste AT'!$E$7:$E$165,A30,'Liste AT'!$K$7:$K$165,"=trajet",'Liste AT'!$L$7:$L$165,"=avec arrêt"))</f>
        <v>0</v>
      </c>
      <c r="V30" s="393"/>
      <c r="W30" s="393">
        <f>IF(A30="","",SUMIFS('Liste AT'!$O$7:$O$165,'Liste AT'!$E$7:$E$165,A30,'Liste AT'!$K$7:$K$165,"travail"))</f>
        <v>0</v>
      </c>
    </row>
    <row r="31" spans="1:23">
      <c r="A31" s="423" t="str">
        <f>IF('Listes déroulantes'!A25="","",'Listes déroulantes'!A25)</f>
        <v>TER Garcia</v>
      </c>
      <c r="B31" s="219" t="str">
        <f>IF(A31="","",VLOOKUP(A31,'Listes déroulantes'!$A$3:$C$55,2,FALSE ))</f>
        <v>TRAIN</v>
      </c>
      <c r="C31" s="220" t="str">
        <f>IF(A31="","",IF(E31="NON", "01/01/2019",INDEX('Liste AT'!$I$2:$I$165,(MAX(IF('Liste AT'!$E$7:$E$165=A31,ROW('Liste AT'!$E$7:$E$165)))),1)))</f>
        <v>01/01/2019</v>
      </c>
      <c r="D31" s="221">
        <f t="shared" ca="1" si="9"/>
        <v>400</v>
      </c>
      <c r="E31" s="428" t="str">
        <f>IF(A31="","",IFERROR(VLOOKUP(A31,'Liste AT'!$E$7:$E$165,1,FALSE),"NON"))</f>
        <v>NON</v>
      </c>
      <c r="F31" s="428">
        <f>IF(A31="","",COUNTIF('Liste AT'!$E$7:$E$165,E31))</f>
        <v>0</v>
      </c>
      <c r="G31" s="428">
        <f>IF(A31="","",SUMIF('Liste AT'!$E$7:$E$165,A31,'Liste AT'!$O$7:$O$165))</f>
        <v>0</v>
      </c>
      <c r="H31" s="428">
        <f>IF(A23="","",SUMIF('Liste AT'!$F$7:$F$165,A23,'Liste AT'!$P$7:$P$165))</f>
        <v>0</v>
      </c>
      <c r="I31" s="222" t="e">
        <f t="shared" ca="1" si="10"/>
        <v>#N/A</v>
      </c>
      <c r="J31" s="222" t="e">
        <f t="shared" ca="1" si="11"/>
        <v>#N/A</v>
      </c>
      <c r="K31" s="428">
        <f>IF(A31="","",COUNTIFS('Liste AT'!$E$7:$E$165,A31,'Liste AT'!$L$7:$L$165,"avec arrêt"))</f>
        <v>0</v>
      </c>
      <c r="L31" s="428">
        <f t="shared" si="7"/>
        <v>0</v>
      </c>
      <c r="M31" s="272" t="e">
        <f t="shared" ca="1" si="12"/>
        <v>#N/A</v>
      </c>
      <c r="N31" s="272" t="e">
        <f t="shared" ca="1" si="8"/>
        <v>#N/A</v>
      </c>
      <c r="O31" s="272"/>
      <c r="P31" s="393">
        <f>IF(A31="","",MATCH(A31,Effectifs!$B$1:$B$35,0))</f>
        <v>26</v>
      </c>
      <c r="Q31" s="393"/>
      <c r="R31" s="393">
        <f>IF(A31="","",COUNTIFS('Liste AT'!$E$7:$E$165,A31,'Liste AT'!$K$7:$K$165,"=trajet"))</f>
        <v>0</v>
      </c>
      <c r="S31" s="393">
        <f>IF(A31="","",COUNTIFS('Liste AT'!$E$7:$E$165,A31,'Liste AT'!$AB$7:$AB$165,"=oui"))</f>
        <v>0</v>
      </c>
      <c r="T31" s="393"/>
      <c r="U31" s="393">
        <f>IF(A31="","",COUNTIFS('Liste AT'!$E$7:$E$165,A31,'Liste AT'!$K$7:$K$165,"=trajet",'Liste AT'!$L$7:$L$165,"=avec arrêt"))</f>
        <v>0</v>
      </c>
      <c r="V31" s="393"/>
      <c r="W31" s="393">
        <f>IF(A31="","",SUMIFS('Liste AT'!$O$7:$O$165,'Liste AT'!$E$7:$E$165,A31,'Liste AT'!$K$7:$K$165,"travail"))</f>
        <v>0</v>
      </c>
    </row>
    <row r="32" spans="1:23">
      <c r="A32" s="423" t="str">
        <f>IF('Listes déroulantes'!A26="","",'Listes déroulantes'!A26)</f>
        <v>TER Porcher</v>
      </c>
      <c r="B32" s="219" t="str">
        <f>IF(A32="","",VLOOKUP(A32,'Listes déroulantes'!$A$3:$C$55,2,FALSE ))</f>
        <v>TRAIN</v>
      </c>
      <c r="C32" s="220" t="str">
        <f>IF(A32="","",IF(E32="NON", "01/01/2019",INDEX('Liste AT'!$I$2:$I$165,(MAX(IF('Liste AT'!$E$7:$E$165=A32,ROW('Liste AT'!$E$7:$E$165)))),1)))</f>
        <v>01/01/2019</v>
      </c>
      <c r="D32" s="221">
        <f t="shared" ca="1" si="9"/>
        <v>400</v>
      </c>
      <c r="E32" s="428" t="str">
        <f>IF(A32="","",IFERROR(VLOOKUP(A32,'Liste AT'!$E$7:$E$165,1,FALSE),"NON"))</f>
        <v>NON</v>
      </c>
      <c r="F32" s="428">
        <f>IF(A32="","",COUNTIF('Liste AT'!$E$7:$E$165,E32))</f>
        <v>0</v>
      </c>
      <c r="G32" s="428">
        <f>IF(A32="","",SUMIF('Liste AT'!$E$7:$E$165,A32,'Liste AT'!$O$7:$O$165))</f>
        <v>0</v>
      </c>
      <c r="H32" s="428">
        <f>IF(A24="","",SUMIF('Liste AT'!$F$7:$F$165,A24,'Liste AT'!$P$7:$P$165))</f>
        <v>0</v>
      </c>
      <c r="I32" s="222" t="e">
        <f t="shared" ca="1" si="10"/>
        <v>#N/A</v>
      </c>
      <c r="J32" s="222" t="e">
        <f t="shared" ca="1" si="11"/>
        <v>#N/A</v>
      </c>
      <c r="K32" s="428">
        <f>IF(A32="","",COUNTIFS('Liste AT'!$E$7:$E$165,A32,'Liste AT'!$L$7:$L$165,"avec arrêt"))</f>
        <v>0</v>
      </c>
      <c r="L32" s="428">
        <f t="shared" si="7"/>
        <v>0</v>
      </c>
      <c r="M32" s="272" t="e">
        <f t="shared" ca="1" si="12"/>
        <v>#N/A</v>
      </c>
      <c r="N32" s="272" t="e">
        <f t="shared" ca="1" si="8"/>
        <v>#N/A</v>
      </c>
      <c r="O32" s="272"/>
      <c r="P32" s="393">
        <f>IF(A32="","",MATCH(A32,Effectifs!$B$1:$B$35,0))</f>
        <v>27</v>
      </c>
      <c r="Q32" s="393"/>
      <c r="R32" s="393">
        <f>IF(A32="","",COUNTIFS('Liste AT'!$E$7:$E$165,A32,'Liste AT'!$K$7:$K$165,"=trajet"))</f>
        <v>0</v>
      </c>
      <c r="S32" s="393">
        <f>IF(A32="","",COUNTIFS('Liste AT'!$E$7:$E$165,A32,'Liste AT'!$AB$7:$AB$165,"=oui"))</f>
        <v>0</v>
      </c>
      <c r="T32" s="393"/>
      <c r="U32" s="393">
        <f>IF(A32="","",COUNTIFS('Liste AT'!$E$7:$E$165,A32,'Liste AT'!$K$7:$K$165,"=trajet",'Liste AT'!$L$7:$L$165,"=avec arrêt"))</f>
        <v>0</v>
      </c>
      <c r="V32" s="393"/>
      <c r="W32" s="393">
        <f>IF(A32="","",SUMIFS('Liste AT'!$O$7:$O$165,'Liste AT'!$E$7:$E$165,A32,'Liste AT'!$K$7:$K$165,"travail"))</f>
        <v>0</v>
      </c>
    </row>
    <row r="33" spans="1:23">
      <c r="A33" s="423" t="str">
        <f>IF('Listes déroulantes'!A27="","",'Listes déroulantes'!A27)</f>
        <v>TER Giovagnoli</v>
      </c>
      <c r="B33" s="219" t="str">
        <f>IF(A33="","",VLOOKUP(A33,'Listes déroulantes'!$A$3:$C$55,2,FALSE ))</f>
        <v>TRAIN</v>
      </c>
      <c r="C33" s="220" t="str">
        <f>IF(A33="","",IF(E33="NON", "01/01/2019",INDEX('Liste AT'!$I$2:$I$165,(MAX(IF('Liste AT'!$E$7:$E$165=A33,ROW('Liste AT'!$E$7:$E$165)))),1)))</f>
        <v>01/01/2019</v>
      </c>
      <c r="D33" s="221">
        <f t="shared" ca="1" si="9"/>
        <v>400</v>
      </c>
      <c r="E33" s="428" t="str">
        <f>IF(A33="","",IFERROR(VLOOKUP(A33,'Liste AT'!$E$7:$E$165,1,FALSE),"NON"))</f>
        <v>NON</v>
      </c>
      <c r="F33" s="428">
        <f>IF(A33="","",COUNTIF('Liste AT'!$E$7:$E$165,E33))</f>
        <v>0</v>
      </c>
      <c r="G33" s="428">
        <f>IF(A33="","",SUMIF('Liste AT'!$E$7:$E$165,A33,'Liste AT'!$O$7:$O$165))</f>
        <v>0</v>
      </c>
      <c r="H33" s="428">
        <f>IF(A25="","",SUMIF('Liste AT'!$F$7:$F$165,A25,'Liste AT'!$P$7:$P$165))</f>
        <v>0</v>
      </c>
      <c r="I33" s="222" t="e">
        <f t="shared" ca="1" si="10"/>
        <v>#N/A</v>
      </c>
      <c r="J33" s="222" t="e">
        <f t="shared" ca="1" si="11"/>
        <v>#N/A</v>
      </c>
      <c r="K33" s="428">
        <f>IF(A33="","",COUNTIFS('Liste AT'!$E$7:$E$165,A33,'Liste AT'!$L$7:$L$165,"avec arrêt"))</f>
        <v>0</v>
      </c>
      <c r="L33" s="428">
        <f t="shared" si="7"/>
        <v>0</v>
      </c>
      <c r="M33" s="272" t="e">
        <f t="shared" ca="1" si="12"/>
        <v>#N/A</v>
      </c>
      <c r="N33" s="272" t="e">
        <f t="shared" ca="1" si="8"/>
        <v>#N/A</v>
      </c>
      <c r="O33" s="272"/>
      <c r="P33" s="393">
        <f>IF(A33="","",MATCH(A33,Effectifs!$B$1:$B$35,0))</f>
        <v>28</v>
      </c>
      <c r="Q33" s="393"/>
      <c r="R33" s="393">
        <f>IF(A33="","",COUNTIFS('Liste AT'!$E$7:$E$165,A33,'Liste AT'!$K$7:$K$165,"=trajet"))</f>
        <v>0</v>
      </c>
      <c r="S33" s="393">
        <f>IF(A33="","",COUNTIFS('Liste AT'!$E$7:$E$165,A33,'Liste AT'!$AB$7:$AB$165,"=oui"))</f>
        <v>0</v>
      </c>
      <c r="T33" s="393"/>
      <c r="U33" s="393">
        <f>IF(A33="","",COUNTIFS('Liste AT'!$E$7:$E$165,A33,'Liste AT'!$K$7:$K$165,"=trajet",'Liste AT'!$L$7:$L$165,"=avec arrêt"))</f>
        <v>0</v>
      </c>
      <c r="V33" s="393"/>
      <c r="W33" s="393">
        <f>IF(A33="","",SUMIFS('Liste AT'!$O$7:$O$165,'Liste AT'!$E$7:$E$165,A33,'Liste AT'!$K$7:$K$165,"travail"))</f>
        <v>0</v>
      </c>
    </row>
    <row r="34" spans="1:23">
      <c r="A34" s="423" t="str">
        <f>IF('Listes déroulantes'!A28="","",'Listes déroulantes'!A28)</f>
        <v>TER Auguste</v>
      </c>
      <c r="B34" s="219" t="str">
        <f>IF(A34="","",VLOOKUP(A34,'Listes déroulantes'!$A$3:$C$55,2,FALSE ))</f>
        <v>TRAIN</v>
      </c>
      <c r="C34" s="220" t="str">
        <f>IF(A34="","",IF(E34="NON", "01/01/2019",INDEX('Liste AT'!$I$2:$I$165,(MAX(IF('Liste AT'!$E$7:$E$165=A34,ROW('Liste AT'!$E$7:$E$165)))),1)))</f>
        <v>01/01/2019</v>
      </c>
      <c r="D34" s="221">
        <f t="shared" ca="1" si="9"/>
        <v>400</v>
      </c>
      <c r="E34" s="428" t="str">
        <f>IF(A34="","",IFERROR(VLOOKUP(A34,'Liste AT'!$E$7:$E$165,1,FALSE),"NON"))</f>
        <v>NON</v>
      </c>
      <c r="F34" s="428">
        <f>IF(A34="","",COUNTIF('Liste AT'!$E$7:$E$165,E34))</f>
        <v>0</v>
      </c>
      <c r="G34" s="428">
        <f>IF(A34="","",SUMIF('Liste AT'!$E$7:$E$165,A34,'Liste AT'!$O$7:$O$165))</f>
        <v>0</v>
      </c>
      <c r="H34" s="428">
        <f>IF(A26="","",SUMIF('Liste AT'!$F$7:$F$165,A26,'Liste AT'!$P$7:$P$165))</f>
        <v>0</v>
      </c>
      <c r="I34" s="222" t="e">
        <f t="shared" ca="1" si="10"/>
        <v>#N/A</v>
      </c>
      <c r="J34" s="222" t="e">
        <f t="shared" ca="1" si="11"/>
        <v>#N/A</v>
      </c>
      <c r="K34" s="428">
        <f>IF(A34="","",COUNTIFS('Liste AT'!$E$7:$E$165,A34,'Liste AT'!$L$7:$L$165,"avec arrêt"))</f>
        <v>0</v>
      </c>
      <c r="L34" s="428">
        <f t="shared" si="7"/>
        <v>0</v>
      </c>
      <c r="M34" s="272" t="e">
        <f t="shared" ca="1" si="12"/>
        <v>#N/A</v>
      </c>
      <c r="N34" s="272" t="e">
        <f t="shared" ca="1" si="8"/>
        <v>#N/A</v>
      </c>
      <c r="O34" s="272"/>
      <c r="P34" s="393">
        <f>IF(A34="","",MATCH(A34,Effectifs!$B$1:$B$35,0))</f>
        <v>29</v>
      </c>
      <c r="Q34" s="393"/>
      <c r="R34" s="393">
        <f>IF(A34="","",COUNTIFS('Liste AT'!$E$7:$E$165,A34,'Liste AT'!$K$7:$K$165,"=trajet"))</f>
        <v>0</v>
      </c>
      <c r="S34" s="393">
        <f>IF(A34="","",COUNTIFS('Liste AT'!$E$7:$E$165,A34,'Liste AT'!$AB$7:$AB$165,"=oui"))</f>
        <v>0</v>
      </c>
      <c r="T34" s="393"/>
      <c r="U34" s="393">
        <f>IF(A34="","",COUNTIFS('Liste AT'!$E$7:$E$165,A34,'Liste AT'!$K$7:$K$165,"=trajet",'Liste AT'!$L$7:$L$165,"=avec arrêt"))</f>
        <v>0</v>
      </c>
      <c r="V34" s="393"/>
      <c r="W34" s="393">
        <f>IF(A34="","",SUMIFS('Liste AT'!$O$7:$O$165,'Liste AT'!$E$7:$E$165,A34,'Liste AT'!$K$7:$K$165,"travail"))</f>
        <v>0</v>
      </c>
    </row>
    <row r="35" spans="1:23">
      <c r="A35" s="423" t="str">
        <f>IF('Listes déroulantes'!A29="","",'Listes déroulantes'!A29)</f>
        <v>LAF Dalle 1</v>
      </c>
      <c r="B35" s="219" t="str">
        <f>IF(A35="","",VLOOKUP(A35,'Listes déroulantes'!$A$3:$C$55,2,FALSE ))</f>
        <v>TRAIN</v>
      </c>
      <c r="C35" s="220" t="str">
        <f>IF(A35="","",IF(E35="NON", "01/01/2019",INDEX('Liste AT'!$I$2:$I$165,(MAX(IF('Liste AT'!$E$7:$E$165=A35,ROW('Liste AT'!$E$7:$E$165)))),1)))</f>
        <v>01/01/2019</v>
      </c>
      <c r="D35" s="221">
        <f t="shared" ca="1" si="9"/>
        <v>400</v>
      </c>
      <c r="E35" s="428" t="str">
        <f>IF(A35="","",IFERROR(VLOOKUP(A35,'Liste AT'!$E$7:$E$165,1,FALSE),"NON"))</f>
        <v>NON</v>
      </c>
      <c r="F35" s="428">
        <f>IF(A35="","",COUNTIF('Liste AT'!$E$7:$E$165,E35))</f>
        <v>0</v>
      </c>
      <c r="G35" s="428">
        <f>IF(A35="","",SUMIF('Liste AT'!$E$7:$E$165,A35,'Liste AT'!$O$7:$O$165))</f>
        <v>0</v>
      </c>
      <c r="H35" s="428">
        <f>IF(A27="","",SUMIF('Liste AT'!$F$7:$F$165,A27,'Liste AT'!$P$7:$P$165))</f>
        <v>0</v>
      </c>
      <c r="I35" s="222" t="e">
        <f t="shared" ca="1" si="10"/>
        <v>#N/A</v>
      </c>
      <c r="J35" s="222" t="e">
        <f t="shared" ca="1" si="11"/>
        <v>#N/A</v>
      </c>
      <c r="K35" s="428">
        <f>IF(A35="","",COUNTIFS('Liste AT'!$E$7:$E$165,A35,'Liste AT'!$L$7:$L$165,"avec arrêt"))</f>
        <v>0</v>
      </c>
      <c r="L35" s="428">
        <f t="shared" si="7"/>
        <v>0</v>
      </c>
      <c r="M35" s="272" t="e">
        <f t="shared" ca="1" si="12"/>
        <v>#N/A</v>
      </c>
      <c r="N35" s="272" t="e">
        <f t="shared" ca="1" si="8"/>
        <v>#N/A</v>
      </c>
      <c r="O35" s="272"/>
      <c r="P35" s="393">
        <f>IF(A35="","",MATCH(A35,Effectifs!$B$1:$B$35,0))</f>
        <v>30</v>
      </c>
      <c r="Q35" s="393"/>
      <c r="R35" s="393">
        <f>IF(A35="","",COUNTIFS('Liste AT'!$E$7:$E$165,A35,'Liste AT'!$K$7:$K$165,"=trajet"))</f>
        <v>0</v>
      </c>
      <c r="S35" s="393">
        <f>IF(A35="","",COUNTIFS('Liste AT'!$E$7:$E$165,A35,'Liste AT'!$AB$7:$AB$165,"=oui"))</f>
        <v>0</v>
      </c>
      <c r="T35" s="393"/>
      <c r="U35" s="393">
        <f>IF(A35="","",COUNTIFS('Liste AT'!$E$7:$E$165,A35,'Liste AT'!$K$7:$K$165,"=trajet",'Liste AT'!$L$7:$L$165,"=avec arrêt"))</f>
        <v>0</v>
      </c>
      <c r="V35" s="393"/>
      <c r="W35" s="393">
        <f>IF(A35="","",SUMIFS('Liste AT'!$O$7:$O$165,'Liste AT'!$E$7:$E$165,A35,'Liste AT'!$K$7:$K$165,"travail"))</f>
        <v>0</v>
      </c>
    </row>
    <row r="36" spans="1:23" ht="21.75" customHeight="1">
      <c r="A36" s="423" t="str">
        <f>IF('Listes déroulantes'!A30="","",'Listes déroulantes'!A30)</f>
        <v>EMI Accompagnement</v>
      </c>
      <c r="B36" s="219" t="str">
        <f>IF(A36="","",VLOOKUP(A36,'Listes déroulantes'!$A$3:$C$55,2,FALSE ))</f>
        <v>EMI</v>
      </c>
      <c r="C36" s="220" t="str">
        <f>IF(A36="","",IF(E36="NON", "01/01/2019",INDEX('Liste AT'!$I$2:$I$165,(MAX(IF('Liste AT'!$E$7:$E$165=A36,ROW('Liste AT'!$E$7:$E$165)))),1)))</f>
        <v>01/01/2019</v>
      </c>
      <c r="D36" s="221">
        <f t="shared" ca="1" si="9"/>
        <v>400</v>
      </c>
      <c r="E36" s="428" t="str">
        <f>IF(A36="","",IFERROR(VLOOKUP(A36,'Liste AT'!$E$7:$E$165,1,FALSE),"NON"))</f>
        <v>NON</v>
      </c>
      <c r="F36" s="428">
        <f>IF(A36="","",COUNTIF('Liste AT'!$E$7:$E$165,E36))</f>
        <v>0</v>
      </c>
      <c r="G36" s="428">
        <f>IF(A36="","",SUMIF('Liste AT'!$E$7:$E$165,A36,'Liste AT'!$O$7:$O$165))</f>
        <v>0</v>
      </c>
      <c r="H36" s="428">
        <f>IF(A28="","",SUMIF('Liste AT'!$F$7:$F$165,A28,'Liste AT'!$P$7:$P$165))</f>
        <v>0</v>
      </c>
      <c r="I36" s="222" t="e">
        <f t="shared" ca="1" si="10"/>
        <v>#N/A</v>
      </c>
      <c r="J36" s="222" t="e">
        <f t="shared" ca="1" si="11"/>
        <v>#N/A</v>
      </c>
      <c r="K36" s="428">
        <f>IF(A36="","",COUNTIFS('Liste AT'!$E$7:$E$165,A36,'Liste AT'!$L$7:$L$165,"avec arrêt"))</f>
        <v>0</v>
      </c>
      <c r="L36" s="428">
        <f t="shared" si="7"/>
        <v>0</v>
      </c>
      <c r="M36" s="272" t="e">
        <f t="shared" ca="1" si="12"/>
        <v>#N/A</v>
      </c>
      <c r="N36" s="272" t="e">
        <f t="shared" ca="1" si="8"/>
        <v>#N/A</v>
      </c>
      <c r="O36" s="272"/>
      <c r="P36" s="393">
        <f>IF(A36="","",MATCH(A36,Effectifs!$B$1:$B$35,0))</f>
        <v>31</v>
      </c>
      <c r="Q36" s="393"/>
      <c r="R36" s="393">
        <f>IF(A36="","",COUNTIFS('Liste AT'!$E$7:$E$165,A36,'Liste AT'!$K$7:$K$165,"=trajet"))</f>
        <v>0</v>
      </c>
      <c r="S36" s="393">
        <f>IF(A36="","",COUNTIFS('Liste AT'!$E$7:$E$165,A36,'Liste AT'!$AB$7:$AB$165,"=oui"))</f>
        <v>0</v>
      </c>
      <c r="T36" s="393"/>
      <c r="U36" s="393">
        <f>IF(A36="","",COUNTIFS('Liste AT'!$E$7:$E$165,A36,'Liste AT'!$K$7:$K$165,"=trajet",'Liste AT'!$L$7:$L$165,"=avec arrêt"))</f>
        <v>0</v>
      </c>
      <c r="V36" s="393"/>
      <c r="W36" s="393">
        <f>IF(A36="","",SUMIFS('Liste AT'!$O$7:$O$165,'Liste AT'!$E$7:$E$165,A36,'Liste AT'!$K$7:$K$165,"travail"))</f>
        <v>0</v>
      </c>
    </row>
    <row r="37" spans="1:23">
      <c r="A37" s="423" t="str">
        <f>IF('Listes déroulantes'!A31="","",'Listes déroulantes'!A31)</f>
        <v>EMI ESCALE</v>
      </c>
      <c r="B37" s="219" t="str">
        <f>IF(A37="","",VLOOKUP(A37,'Listes déroulantes'!$A$3:$C$55,2,FALSE ))</f>
        <v>EMI</v>
      </c>
      <c r="C37" s="220" t="str">
        <f>IF(A37="","",IF(E37="NON", "01/01/2019",INDEX('Liste AT'!$I$2:$I$165,(MAX(IF('Liste AT'!$E$7:$E$165=A37,ROW('Liste AT'!$E$7:$E$165)))),1)))</f>
        <v>01/01/2019</v>
      </c>
      <c r="D37" s="221">
        <f t="shared" ca="1" si="9"/>
        <v>400</v>
      </c>
      <c r="E37" s="428" t="str">
        <f>IF(A37="","",IFERROR(VLOOKUP(A37,'Liste AT'!$E$7:$E$165,1,FALSE),"NON"))</f>
        <v>NON</v>
      </c>
      <c r="F37" s="428">
        <f>IF(A37="","",COUNTIF('Liste AT'!$E$7:$E$165,E37))</f>
        <v>0</v>
      </c>
      <c r="G37" s="428">
        <f>IF(A37="","",SUMIF('Liste AT'!$E$7:$E$165,A37,'Liste AT'!$O$7:$O$165))</f>
        <v>0</v>
      </c>
      <c r="H37" s="428">
        <f>IF(A29="","",SUMIF('Liste AT'!$F$7:$F$165,A29,'Liste AT'!$P$7:$P$165))</f>
        <v>0</v>
      </c>
      <c r="I37" s="222" t="e">
        <f t="shared" ca="1" si="10"/>
        <v>#N/A</v>
      </c>
      <c r="J37" s="222" t="e">
        <f t="shared" ca="1" si="11"/>
        <v>#N/A</v>
      </c>
      <c r="K37" s="428">
        <f>IF(A37="","",COUNTIFS('Liste AT'!$E$7:$E$165,A37,'Liste AT'!$L$7:$L$165,"avec arrêt"))</f>
        <v>0</v>
      </c>
      <c r="L37" s="428">
        <f t="shared" si="7"/>
        <v>0</v>
      </c>
      <c r="M37" s="272" t="e">
        <f t="shared" ca="1" si="12"/>
        <v>#N/A</v>
      </c>
      <c r="N37" s="272" t="e">
        <f t="shared" ca="1" si="8"/>
        <v>#N/A</v>
      </c>
      <c r="O37" s="272"/>
      <c r="P37" s="393">
        <f>IF(A37="","",MATCH(A37,Effectifs!$B$1:$B$35,0))</f>
        <v>32</v>
      </c>
      <c r="Q37" s="393"/>
      <c r="R37" s="393">
        <f>IF(A37="","",COUNTIFS('Liste AT'!$E$7:$E$165,A37,'Liste AT'!$K$7:$K$165,"=trajet"))</f>
        <v>0</v>
      </c>
      <c r="S37" s="393">
        <f>IF(A37="","",COUNTIFS('Liste AT'!$E$7:$E$165,A37,'Liste AT'!$AB$7:$AB$165,"=oui"))</f>
        <v>0</v>
      </c>
      <c r="T37" s="393"/>
      <c r="U37" s="393">
        <f>IF(A37="","",COUNTIFS('Liste AT'!$E$7:$E$165,A37,'Liste AT'!$K$7:$K$165,"=trajet",'Liste AT'!$L$7:$L$165,"=avec arrêt"))</f>
        <v>0</v>
      </c>
      <c r="V37" s="393"/>
      <c r="W37" s="393">
        <f>IF(A37="","",SUMIFS('Liste AT'!$O$7:$O$165,'Liste AT'!$E$7:$E$165,A37,'Liste AT'!$K$7:$K$165,"travail"))</f>
        <v>0</v>
      </c>
    </row>
    <row r="38" spans="1:23">
      <c r="A38" s="423" t="str">
        <f>IF('Listes déroulantes'!A32="","",'Listes déroulantes'!A32)</f>
        <v/>
      </c>
      <c r="B38" s="219" t="str">
        <f>IF(A38="","",VLOOKUP(A38,'Listes déroulantes'!$A$3:$C$55,2,FALSE ))</f>
        <v/>
      </c>
      <c r="C38" s="220" t="str">
        <f t="array" ref="C38">IF(A38="","",IF(E38="NON", "01/01/2018",INDEX('Liste AT'!$I$2:$I$165,(MAX(IF('Liste AT'!$E$7:$E$165=A38,ROW('Liste AT'!$E$7:$E$165)))),1)))</f>
        <v/>
      </c>
      <c r="D38" s="221" t="str">
        <f t="shared" ca="1" si="9"/>
        <v/>
      </c>
      <c r="E38" s="428" t="str">
        <f>IF(A38="","",IFERROR(VLOOKUP(A38,'Liste AT'!$E$7:$E$165,1,FALSE),"NON"))</f>
        <v/>
      </c>
      <c r="F38" s="428" t="str">
        <f>IF(A38="","",COUNTIF('Liste AT'!$E$7:$E$165,E38))</f>
        <v/>
      </c>
      <c r="G38" s="428" t="str">
        <f>IF(A38="","",SUMIF('Liste AT'!$E$7:$E$165,A38,'Liste AT'!$O$7:$O$165))</f>
        <v/>
      </c>
      <c r="H38" s="428"/>
      <c r="I38" s="222" t="str">
        <f t="shared" ref="I38:I43" si="13">IF(A38="","",K38*1000000/(N38*(1607*$X$1/12)))</f>
        <v/>
      </c>
      <c r="J38" s="222" t="str">
        <f t="shared" ref="J38:J43" si="14">IF(A38="","",W38*1000/(N38*(1607*$X$1/12)))</f>
        <v/>
      </c>
      <c r="K38" s="428" t="str">
        <f>IF(A38="","",COUNTIFS('Liste AT'!$E$7:$E$165,A38,'Liste AT'!$L$7:$L$165,"avec arrêt"))</f>
        <v/>
      </c>
      <c r="L38" s="428" t="str">
        <f t="shared" si="7"/>
        <v/>
      </c>
      <c r="M38" s="272" t="str">
        <f t="shared" ref="M38:M43" si="15">IF(A38="","",(K38-U38)*1000000/(N38*(1607*$X$1/12)))</f>
        <v/>
      </c>
      <c r="N38" s="272" t="str">
        <f t="shared" ca="1" si="8"/>
        <v/>
      </c>
      <c r="O38" s="272"/>
      <c r="P38" s="393" t="str">
        <f>IF(A38="","",MATCH(A38,Effectifs!$B$1:$B$35,0))</f>
        <v/>
      </c>
      <c r="Q38" s="393"/>
      <c r="R38" s="393" t="str">
        <f>IF(A38="","",COUNTIFS('Liste AT'!$E$7:$E$165,A38,'Liste AT'!$K$7:$K$165,"=trajet"))</f>
        <v/>
      </c>
      <c r="S38" s="393" t="str">
        <f>IF(A38="","",COUNTIFS('Liste AT'!$E$7:$E$165,A38,'Liste AT'!$AB$7:$AB$165,"=oui"))</f>
        <v/>
      </c>
      <c r="T38" s="393"/>
      <c r="U38" s="393" t="str">
        <f>IF(A38="","",COUNTIFS('Liste AT'!$E$7:$E$165,A38,'Liste AT'!$K$7:$K$165,"=trajet",'Liste AT'!$L$7:$L$165,"=avec arrêt"))</f>
        <v/>
      </c>
      <c r="V38" s="393"/>
      <c r="W38" s="393" t="str">
        <f>IF(A38="","",SUMIFS('Liste AT'!$O$7:$O$165,'Liste AT'!$E$7:$E$165,A38,'Liste AT'!$K$7:$K$165,"travail"))</f>
        <v/>
      </c>
    </row>
    <row r="39" spans="1:23">
      <c r="A39" s="423" t="str">
        <f>IF('Listes déroulantes'!A33="","",'Listes déroulantes'!A33)</f>
        <v/>
      </c>
      <c r="B39" s="219" t="str">
        <f>IF(A39="","",VLOOKUP(A39,'Listes déroulantes'!$A$3:$C$55,2,FALSE ))</f>
        <v/>
      </c>
      <c r="C39" s="220" t="str">
        <f t="array" ref="C39">IF(A39="","",IF(E39="NON", "01/01/2018",INDEX('Liste AT'!$I$2:$I$165,(MAX(IF('Liste AT'!$E$7:$E$165=A39,ROW('Liste AT'!$E$7:$E$165)))),1)))</f>
        <v/>
      </c>
      <c r="D39" s="221" t="str">
        <f t="shared" ca="1" si="9"/>
        <v/>
      </c>
      <c r="E39" s="428" t="str">
        <f>IF(A39="","",IFERROR(VLOOKUP(A39,'Liste AT'!$E$7:$E$165,1,FALSE),"NON"))</f>
        <v/>
      </c>
      <c r="F39" s="428" t="str">
        <f>IF(A39="","",COUNTIF('Liste AT'!$E$7:$E$165,E39))</f>
        <v/>
      </c>
      <c r="G39" s="428" t="str">
        <f>IF(A39="","",SUMIF('Liste AT'!$E$7:$E$165,A39,'Liste AT'!$O$7:$O$165))</f>
        <v/>
      </c>
      <c r="H39" s="428"/>
      <c r="I39" s="222" t="str">
        <f t="shared" si="13"/>
        <v/>
      </c>
      <c r="J39" s="222" t="str">
        <f t="shared" si="14"/>
        <v/>
      </c>
      <c r="K39" s="428" t="str">
        <f>IF(A39="","",COUNTIFS('Liste AT'!$E$7:$E$165,A39,'Liste AT'!$L$7:$L$165,"avec arrêt"))</f>
        <v/>
      </c>
      <c r="L39" s="428" t="str">
        <f t="shared" si="7"/>
        <v/>
      </c>
      <c r="M39" s="272" t="str">
        <f t="shared" si="15"/>
        <v/>
      </c>
      <c r="N39" s="272" t="str">
        <f t="shared" ca="1" si="8"/>
        <v/>
      </c>
      <c r="O39" s="272"/>
      <c r="P39" s="393" t="str">
        <f>IF(A39="","",MATCH(A39,Effectifs!$B$1:$B$35,0))</f>
        <v/>
      </c>
      <c r="Q39" s="393"/>
      <c r="R39" s="393" t="str">
        <f>IF(A39="","",COUNTIFS('Liste AT'!$E$7:$E$165,A39,'Liste AT'!$K$7:$K$165,"=trajet"))</f>
        <v/>
      </c>
      <c r="S39" s="393" t="str">
        <f>IF(A39="","",COUNTIFS('Liste AT'!$E$7:$E$165,A39,'Liste AT'!$AB$7:$AB$165,"=oui"))</f>
        <v/>
      </c>
      <c r="T39" s="393"/>
      <c r="U39" s="393" t="str">
        <f>IF(A39="","",COUNTIFS('Liste AT'!$E$7:$E$165,A39,'Liste AT'!$K$7:$K$165,"=trajet",'Liste AT'!$L$7:$L$165,"=avec arrêt"))</f>
        <v/>
      </c>
      <c r="V39" s="393"/>
      <c r="W39" s="393" t="str">
        <f>IF(A39="","",SUMIFS('Liste AT'!$O$7:$O$165,'Liste AT'!$E$7:$E$165,A39,'Liste AT'!$K$7:$K$165,"travail"))</f>
        <v/>
      </c>
    </row>
    <row r="40" spans="1:23">
      <c r="A40" s="423" t="str">
        <f>IF('Listes déroulantes'!A34="","",'Listes déroulantes'!A34)</f>
        <v/>
      </c>
      <c r="B40" s="219" t="str">
        <f>IF(A40="","",VLOOKUP(A40,'Listes déroulantes'!$A$3:$C$55,2,FALSE ))</f>
        <v/>
      </c>
      <c r="C40" s="220" t="str">
        <f t="array" ref="C40">IF(A40="","",IF(E40="NON", "01/01/2018",INDEX('Liste AT'!$I$2:$I$165,(MAX(IF('Liste AT'!$E$7:$E$165=A40,ROW('Liste AT'!$E$7:$E$165)))),1)))</f>
        <v/>
      </c>
      <c r="D40" s="221" t="str">
        <f t="shared" ca="1" si="9"/>
        <v/>
      </c>
      <c r="E40" s="428" t="str">
        <f>IF(A40="","",IFERROR(VLOOKUP(A40,'Liste AT'!$E$7:$E$165,1,FALSE),"NON"))</f>
        <v/>
      </c>
      <c r="F40" s="428" t="str">
        <f>IF(A40="","",COUNTIF('Liste AT'!$E$7:$E$165,E40))</f>
        <v/>
      </c>
      <c r="G40" s="428" t="str">
        <f>IF(A40="","",SUMIF('Liste AT'!$E$7:$E$165,A40,'Liste AT'!$O$7:$O$165))</f>
        <v/>
      </c>
      <c r="H40" s="428"/>
      <c r="I40" s="222" t="str">
        <f t="shared" si="13"/>
        <v/>
      </c>
      <c r="J40" s="222" t="str">
        <f t="shared" si="14"/>
        <v/>
      </c>
      <c r="K40" s="428" t="str">
        <f>IF(A40="","",COUNTIFS('Liste AT'!$E$7:$E$165,A40,'Liste AT'!$L$7:$L$165,"avec arrêt"))</f>
        <v/>
      </c>
      <c r="L40" s="428" t="str">
        <f t="shared" si="7"/>
        <v/>
      </c>
      <c r="M40" s="272" t="str">
        <f t="shared" si="15"/>
        <v/>
      </c>
      <c r="N40" s="272" t="str">
        <f t="shared" ca="1" si="8"/>
        <v/>
      </c>
      <c r="O40" s="272"/>
      <c r="P40" s="393" t="str">
        <f>IF(A40="","",MATCH(A40,Effectifs!$B$1:$B$35,0))</f>
        <v/>
      </c>
      <c r="Q40" s="393"/>
      <c r="R40" s="393" t="str">
        <f>IF(A40="","",COUNTIFS('Liste AT'!$E$7:$E$165,A40,'Liste AT'!$K$7:$K$165,"=trajet"))</f>
        <v/>
      </c>
      <c r="S40" s="393" t="str">
        <f>IF(A40="","",COUNTIFS('Liste AT'!$E$7:$E$165,A40,'Liste AT'!$AB$7:$AB$165,"=oui"))</f>
        <v/>
      </c>
      <c r="T40" s="393"/>
      <c r="U40" s="393" t="str">
        <f>IF(A40="","",COUNTIFS('Liste AT'!$E$7:$E$165,A40,'Liste AT'!$K$7:$K$165,"=trajet",'Liste AT'!$L$7:$L$165,"=avec arrêt"))</f>
        <v/>
      </c>
      <c r="V40" s="393"/>
      <c r="W40" s="393" t="str">
        <f>IF(A40="","",SUMIFS('Liste AT'!$O$7:$O$165,'Liste AT'!$E$7:$E$165,A40,'Liste AT'!$K$7:$K$165,"travail"))</f>
        <v/>
      </c>
    </row>
    <row r="41" spans="1:23">
      <c r="A41" s="423" t="str">
        <f>IF('Listes déroulantes'!A35="","",'Listes déroulantes'!A35)</f>
        <v/>
      </c>
      <c r="B41" s="219" t="str">
        <f>IF(A41="","",VLOOKUP(A41,'Listes déroulantes'!$A$3:$C$55,2,FALSE ))</f>
        <v/>
      </c>
      <c r="C41" s="220" t="str">
        <f t="array" ref="C41">IF(A41="","",IF(E41="NON", "01/01/2018",INDEX('Liste AT'!$I$2:$I$165,(MAX(IF('Liste AT'!$E$7:$E$165=A41,ROW('Liste AT'!$E$7:$E$165)))),1)))</f>
        <v/>
      </c>
      <c r="D41" s="221" t="str">
        <f t="shared" ca="1" si="9"/>
        <v/>
      </c>
      <c r="E41" s="428" t="str">
        <f>IF(A41="","",IFERROR(VLOOKUP(A41,'Liste AT'!$E$7:$E$165,1,FALSE),"NON"))</f>
        <v/>
      </c>
      <c r="F41" s="428" t="str">
        <f>IF(A41="","",COUNTIF('Liste AT'!$E$7:$E$165,E41))</f>
        <v/>
      </c>
      <c r="G41" s="428" t="str">
        <f>IF(A41="","",SUMIF('Liste AT'!$E$7:$E$165,A41,'Liste AT'!$O$7:$O$165))</f>
        <v/>
      </c>
      <c r="H41" s="428"/>
      <c r="I41" s="222" t="str">
        <f t="shared" si="13"/>
        <v/>
      </c>
      <c r="J41" s="222" t="str">
        <f t="shared" si="14"/>
        <v/>
      </c>
      <c r="K41" s="428" t="str">
        <f>IF(A41="","",COUNTIFS('Liste AT'!$E$7:$E$165,A41,'Liste AT'!$L$7:$L$165,"avec arrêt"))</f>
        <v/>
      </c>
      <c r="L41" s="428" t="str">
        <f t="shared" si="7"/>
        <v/>
      </c>
      <c r="M41" s="272" t="str">
        <f t="shared" si="15"/>
        <v/>
      </c>
      <c r="N41" s="272" t="str">
        <f t="shared" ca="1" si="8"/>
        <v/>
      </c>
      <c r="O41" s="272"/>
      <c r="P41" s="393" t="str">
        <f>IF(A41="","",MATCH(A41,Effectifs!$B$1:$B$35,0))</f>
        <v/>
      </c>
      <c r="Q41" s="393"/>
      <c r="R41" s="393" t="str">
        <f>IF(A41="","",COUNTIFS('Liste AT'!$E$7:$E$165,A41,'Liste AT'!$K$7:$K$165,"=trajet"))</f>
        <v/>
      </c>
      <c r="S41" s="393" t="str">
        <f>IF(A41="","",COUNTIFS('Liste AT'!$E$7:$E$165,A41,'Liste AT'!$AB$7:$AB$165,"=oui"))</f>
        <v/>
      </c>
      <c r="T41" s="393"/>
      <c r="U41" s="393" t="str">
        <f>IF(A41="","",COUNTIFS('Liste AT'!$E$7:$E$165,A41,'Liste AT'!$K$7:$K$165,"=trajet",'Liste AT'!$L$7:$L$165,"=avec arrêt"))</f>
        <v/>
      </c>
      <c r="V41" s="393"/>
      <c r="W41" s="393" t="str">
        <f>IF(A41="","",SUMIFS('Liste AT'!$O$7:$O$165,'Liste AT'!$E$7:$E$165,A41,'Liste AT'!$K$7:$K$165,"travail"))</f>
        <v/>
      </c>
    </row>
    <row r="42" spans="1:23">
      <c r="A42" s="423" t="str">
        <f>IF('Listes déroulantes'!A36="","",'Listes déroulantes'!A36)</f>
        <v/>
      </c>
      <c r="B42" s="81"/>
      <c r="C42" s="220" t="str">
        <f t="array" ref="C42">IF(A42="","",IF(E42="NON", "01/01/2018",INDEX('Liste AT'!$I$2:$I$165,(MAX(IF('Liste AT'!$E$7:$E$165=A42,ROW('Liste AT'!$E$7:$E$165)))),1)))</f>
        <v/>
      </c>
      <c r="D42" s="221" t="str">
        <f t="shared" ca="1" si="9"/>
        <v/>
      </c>
      <c r="E42" s="428" t="str">
        <f>IF(A42="","",IFERROR(VLOOKUP(A42,'Liste AT'!$E$7:$E$165,1,FALSE),"NON"))</f>
        <v/>
      </c>
      <c r="F42" s="428" t="str">
        <f>IF(A42="","",COUNTIF('Liste AT'!$E$7:$E$165,E42))</f>
        <v/>
      </c>
      <c r="G42" s="428" t="str">
        <f>IF(A42="","",SUMIF('Liste AT'!$E$7:$E$165,A42,'Liste AT'!$O$7:$O$165))</f>
        <v/>
      </c>
      <c r="H42" s="428"/>
      <c r="I42" s="222" t="str">
        <f t="shared" si="13"/>
        <v/>
      </c>
      <c r="J42" s="222" t="str">
        <f t="shared" si="14"/>
        <v/>
      </c>
      <c r="K42" s="428" t="str">
        <f>IF(A42="","",COUNTIFS('Liste AT'!$E$7:$E$165,A42,'Liste AT'!$L$7:$L$165,"avec arrêt"))</f>
        <v/>
      </c>
      <c r="L42" s="428" t="str">
        <f t="shared" si="7"/>
        <v/>
      </c>
      <c r="M42" s="272" t="str">
        <f t="shared" si="15"/>
        <v/>
      </c>
      <c r="N42" s="272" t="str">
        <f t="shared" ca="1" si="8"/>
        <v/>
      </c>
      <c r="O42" s="272"/>
      <c r="P42" s="393" t="str">
        <f>IF(A42="","",MATCH(A42,Effectifs!$B$1:$B$35,0))</f>
        <v/>
      </c>
      <c r="Q42" s="393"/>
      <c r="R42" s="393" t="str">
        <f>IF(A42="","",COUNTIFS('Liste AT'!$E$7:$E$165,A42,'Liste AT'!$K$7:$K$165,"=trajet"))</f>
        <v/>
      </c>
      <c r="S42" s="393" t="str">
        <f>IF(A42="","",COUNTIFS('Liste AT'!$E$7:$E$165,A42,'Liste AT'!$AB$7:$AB$165,"=oui"))</f>
        <v/>
      </c>
      <c r="T42" s="393"/>
      <c r="U42" s="393" t="str">
        <f>IF(A42="","",COUNTIFS('Liste AT'!$E$7:$E$165,A42,'Liste AT'!$K$7:$K$165,"=trajet",'Liste AT'!$L$7:$L$165,"=avec arrêt"))</f>
        <v/>
      </c>
      <c r="V42" s="393"/>
      <c r="W42" s="393" t="str">
        <f>IF(A42="","",SUMIFS('Liste AT'!$O$7:$O$165,'Liste AT'!$E$7:$E$165,A42,'Liste AT'!$K$7:$K$165,"travail"))</f>
        <v/>
      </c>
    </row>
    <row r="43" spans="1:23">
      <c r="A43" s="423" t="str">
        <f>IF('Listes déroulantes'!A37="","",'Listes déroulantes'!A37)</f>
        <v/>
      </c>
      <c r="B43" s="81"/>
      <c r="C43" s="220" t="str">
        <f t="array" ref="C43">IF(A43="","",IF(E43="NON", "01/01/2018",INDEX('Liste AT'!$I$2:$I$165,(MAX(IF('Liste AT'!$E$7:$E$165=A43,ROW('Liste AT'!$E$7:$E$165)))),1)))</f>
        <v/>
      </c>
      <c r="D43" s="221" t="str">
        <f t="shared" ca="1" si="9"/>
        <v/>
      </c>
      <c r="E43" s="428" t="str">
        <f>IF(A43="","",IFERROR(VLOOKUP(A43,'Liste AT'!$E$7:$E$165,1,FALSE),"NON"))</f>
        <v/>
      </c>
      <c r="F43" s="428" t="str">
        <f>IF(A43="","",COUNTIF('Liste AT'!$E$7:$E$165,E43))</f>
        <v/>
      </c>
      <c r="G43" s="428" t="str">
        <f>IF(A43="","",SUMIF('Liste AT'!$E$7:$E$165,A43,'Liste AT'!$O$7:$O$165))</f>
        <v/>
      </c>
      <c r="H43" s="428"/>
      <c r="I43" s="222" t="str">
        <f t="shared" si="13"/>
        <v/>
      </c>
      <c r="J43" s="222" t="str">
        <f t="shared" si="14"/>
        <v/>
      </c>
      <c r="K43" s="428" t="str">
        <f>IF(A43="","",COUNTIFS('Liste AT'!$E$7:$E$165,A43,'Liste AT'!$L$7:$L$165,"avec arrêt"))</f>
        <v/>
      </c>
      <c r="L43" s="428" t="str">
        <f t="shared" si="7"/>
        <v/>
      </c>
      <c r="M43" s="272" t="str">
        <f t="shared" si="15"/>
        <v/>
      </c>
      <c r="N43" s="272" t="str">
        <f t="shared" ca="1" si="8"/>
        <v/>
      </c>
      <c r="O43" s="272"/>
      <c r="P43" s="393" t="str">
        <f>IF(A43="","",MATCH(A43,Effectifs!$B$1:$B$35,0))</f>
        <v/>
      </c>
      <c r="Q43" s="393"/>
      <c r="R43" s="393" t="str">
        <f>IF(A43="","",COUNTIFS('Liste AT'!$E$7:$E$165,A43,'Liste AT'!$K$7:$K$165,"=trajet"))</f>
        <v/>
      </c>
      <c r="S43" s="393" t="str">
        <f>IF(A43="","",COUNTIFS('Liste AT'!$E$7:$E$165,A43,'Liste AT'!$AB$7:$AB$165,"=oui"))</f>
        <v/>
      </c>
      <c r="T43" s="393"/>
      <c r="U43" s="393"/>
      <c r="V43" s="393"/>
      <c r="W43" s="393">
        <f>SUMIFS('Liste AT'!$O$7:$O$165,'Liste AT'!$F$7:$F$165,A43,'Liste AT'!$K$7:$K$165,"travail")</f>
        <v>0</v>
      </c>
    </row>
    <row r="44" spans="1:23">
      <c r="A44" s="423" t="str">
        <f>IF('Listes déroulantes'!A38="","",'Listes déroulantes'!A38)</f>
        <v/>
      </c>
      <c r="B44" s="81"/>
      <c r="C44" s="81"/>
      <c r="D44" s="81"/>
      <c r="E44" s="428"/>
      <c r="F44" s="428"/>
      <c r="G44" s="428"/>
      <c r="H44" s="428"/>
      <c r="I44" s="81"/>
      <c r="J44" s="81"/>
      <c r="K44" s="428"/>
      <c r="L44" s="428"/>
      <c r="M44" s="272"/>
      <c r="N44" s="81"/>
      <c r="O44" s="272"/>
      <c r="P44" s="393"/>
      <c r="Q44" s="393"/>
      <c r="R44" s="393"/>
      <c r="S44" s="393"/>
      <c r="T44" s="393"/>
      <c r="U44" s="393"/>
      <c r="V44" s="393"/>
      <c r="W44" s="393">
        <f>SUMIFS('Liste AT'!$O$7:$O$165,'Liste AT'!$F$7:$F$165,A44,'Liste AT'!$K$7:$K$165,"travail")</f>
        <v>0</v>
      </c>
    </row>
    <row r="45" spans="1:23">
      <c r="A45" s="423" t="str">
        <f>IF('Listes déroulantes'!A39="","",'Listes déroulantes'!A39)</f>
        <v/>
      </c>
      <c r="B45" s="81"/>
      <c r="C45" s="81"/>
      <c r="D45" s="81"/>
      <c r="E45" s="428"/>
      <c r="F45" s="428"/>
      <c r="G45" s="428"/>
      <c r="H45" s="428"/>
      <c r="I45" s="81"/>
      <c r="J45" s="81"/>
      <c r="K45" s="428"/>
      <c r="L45" s="428"/>
      <c r="M45" s="272"/>
      <c r="N45" s="81"/>
      <c r="O45" s="272"/>
      <c r="P45" s="393"/>
      <c r="Q45" s="393"/>
      <c r="R45" s="393"/>
      <c r="S45" s="393"/>
      <c r="T45" s="393"/>
      <c r="U45" s="393"/>
      <c r="V45" s="393"/>
      <c r="W45" s="393">
        <f>SUMIFS('Liste AT'!$O$7:$O$165,'Liste AT'!$F$7:$F$165,A45,'Liste AT'!$K$7:$K$165,"travail")</f>
        <v>0</v>
      </c>
    </row>
    <row r="46" spans="1:23">
      <c r="A46" s="423"/>
      <c r="B46" s="81"/>
      <c r="C46" s="81"/>
      <c r="D46" s="81"/>
      <c r="E46" s="428"/>
      <c r="F46" s="428"/>
      <c r="G46" s="428"/>
      <c r="H46" s="428"/>
      <c r="I46" s="81"/>
      <c r="J46" s="81"/>
      <c r="K46" s="428"/>
      <c r="L46" s="428"/>
      <c r="M46" s="272"/>
      <c r="N46" s="81"/>
      <c r="O46" s="272"/>
      <c r="P46" s="393"/>
      <c r="Q46" s="393"/>
      <c r="R46" s="393"/>
      <c r="S46" s="393"/>
      <c r="T46" s="393"/>
      <c r="U46" s="393"/>
      <c r="V46" s="393"/>
      <c r="W46" s="393">
        <f>SUMIFS('Liste AT'!$O$7:$O$165,'Liste AT'!$F$7:$F$165,A46,'Liste AT'!$K$7:$K$165,"travail")</f>
        <v>0</v>
      </c>
    </row>
    <row r="47" spans="1:23">
      <c r="A47" s="425"/>
      <c r="B47" s="81"/>
      <c r="C47" s="81"/>
      <c r="D47" s="81"/>
      <c r="E47" s="428"/>
      <c r="F47" s="428"/>
      <c r="G47" s="428"/>
      <c r="H47" s="428"/>
      <c r="I47" s="81"/>
      <c r="J47" s="81"/>
      <c r="K47" s="428"/>
      <c r="L47" s="428"/>
      <c r="M47" s="272"/>
      <c r="N47" s="81"/>
      <c r="O47" s="272"/>
      <c r="P47" s="393"/>
      <c r="Q47" s="393"/>
      <c r="R47" s="393"/>
      <c r="S47" s="393"/>
      <c r="T47" s="393"/>
      <c r="U47" s="393"/>
      <c r="V47" s="393"/>
      <c r="W47" s="393">
        <f>SUMIFS('Liste AT'!$O$7:$O$165,'Liste AT'!$F$7:$F$165,A47,'Liste AT'!$K$7:$K$165,"travail")</f>
        <v>0</v>
      </c>
    </row>
    <row r="48" spans="1:23">
      <c r="A48" s="425"/>
      <c r="B48" s="81"/>
      <c r="C48" s="81"/>
      <c r="D48" s="81"/>
      <c r="E48" s="428"/>
      <c r="F48" s="428"/>
      <c r="G48" s="428"/>
      <c r="H48" s="428"/>
      <c r="I48" s="81"/>
      <c r="J48" s="81"/>
      <c r="K48" s="428"/>
      <c r="L48" s="428"/>
      <c r="M48" s="272"/>
      <c r="N48" s="81"/>
      <c r="O48" s="272"/>
      <c r="P48" s="393"/>
      <c r="Q48" s="393"/>
      <c r="R48" s="393"/>
      <c r="S48" s="393"/>
      <c r="T48" s="393"/>
      <c r="U48" s="393"/>
      <c r="V48" s="393"/>
      <c r="W48" s="393">
        <f>SUMIFS('Liste AT'!$O$7:$O$165,'Liste AT'!$F$7:$F$165,A48,'Liste AT'!$K$7:$K$165,"travail")</f>
        <v>0</v>
      </c>
    </row>
    <row r="49" spans="1:23">
      <c r="A49" s="425"/>
      <c r="B49" s="81"/>
      <c r="C49" s="81"/>
      <c r="D49" s="81"/>
      <c r="E49" s="428"/>
      <c r="F49" s="428"/>
      <c r="G49" s="428"/>
      <c r="H49" s="428"/>
      <c r="I49" s="81"/>
      <c r="J49" s="81"/>
      <c r="K49" s="428"/>
      <c r="L49" s="428"/>
      <c r="M49" s="272"/>
      <c r="N49" s="81"/>
      <c r="O49" s="272"/>
      <c r="P49" s="393"/>
      <c r="Q49" s="393"/>
      <c r="R49" s="393"/>
      <c r="S49" s="393"/>
      <c r="T49" s="393"/>
      <c r="U49" s="393"/>
      <c r="V49" s="393"/>
      <c r="W49" s="393">
        <f>SUMIFS('Liste AT'!$O$7:$O$165,'Liste AT'!$F$7:$F$165,A49,'Liste AT'!$K$7:$K$165,"travail")</f>
        <v>0</v>
      </c>
    </row>
    <row r="50" spans="1:23">
      <c r="A50" s="425"/>
      <c r="B50" s="81"/>
      <c r="C50" s="81"/>
      <c r="D50" s="81"/>
      <c r="E50" s="428"/>
      <c r="F50" s="428"/>
      <c r="G50" s="428"/>
      <c r="H50" s="428"/>
      <c r="I50" s="81"/>
      <c r="J50" s="81"/>
      <c r="K50" s="428"/>
      <c r="L50" s="428"/>
      <c r="M50" s="272"/>
      <c r="N50" s="81"/>
      <c r="O50" s="272"/>
      <c r="P50" s="393"/>
      <c r="Q50" s="393"/>
      <c r="R50" s="393"/>
      <c r="S50" s="393"/>
      <c r="T50" s="393"/>
      <c r="U50" s="393"/>
      <c r="V50" s="393"/>
      <c r="W50" s="393">
        <f>SUMIFS('Liste AT'!$O$7:$O$165,'Liste AT'!$F$7:$F$165,A50,'Liste AT'!$K$7:$K$165,"travail")</f>
        <v>0</v>
      </c>
    </row>
    <row r="51" spans="1:23">
      <c r="A51" s="425"/>
      <c r="B51" s="81"/>
      <c r="C51" s="81"/>
      <c r="D51" s="81"/>
      <c r="E51" s="428"/>
      <c r="F51" s="428"/>
      <c r="G51" s="428"/>
      <c r="H51" s="428"/>
      <c r="I51" s="81"/>
      <c r="J51" s="81"/>
      <c r="K51" s="428"/>
      <c r="L51" s="428"/>
      <c r="M51" s="272"/>
      <c r="N51" s="81"/>
      <c r="O51" s="272"/>
      <c r="P51" s="393"/>
      <c r="Q51" s="393"/>
      <c r="R51" s="393"/>
      <c r="S51" s="393"/>
      <c r="T51" s="393"/>
      <c r="U51" s="393"/>
      <c r="V51" s="393"/>
      <c r="W51" s="393">
        <f>SUMIFS('Liste AT'!$O$7:$O$165,'Liste AT'!$F$7:$F$165,A51,'Liste AT'!$K$7:$K$165,"travail")</f>
        <v>0</v>
      </c>
    </row>
    <row r="52" spans="1:23">
      <c r="A52" s="425"/>
      <c r="B52" s="81"/>
      <c r="C52" s="81"/>
      <c r="D52" s="81"/>
      <c r="E52" s="428"/>
      <c r="F52" s="428"/>
      <c r="G52" s="428"/>
      <c r="H52" s="428"/>
      <c r="I52" s="81"/>
      <c r="J52" s="81"/>
      <c r="K52" s="428"/>
      <c r="L52" s="428"/>
      <c r="M52" s="272"/>
      <c r="N52" s="81"/>
      <c r="O52" s="272"/>
      <c r="P52" s="393"/>
      <c r="Q52" s="393"/>
      <c r="R52" s="393"/>
      <c r="S52" s="393"/>
      <c r="T52" s="393"/>
      <c r="U52" s="393"/>
      <c r="V52" s="393"/>
      <c r="W52" s="393">
        <f>SUMIFS('Liste AT'!$O$7:$O$165,'Liste AT'!$F$7:$F$165,A52,'Liste AT'!$K$7:$K$165,"travail")</f>
        <v>0</v>
      </c>
    </row>
    <row r="53" spans="1:23">
      <c r="A53" s="425"/>
      <c r="B53" s="81"/>
      <c r="C53" s="81"/>
      <c r="D53" s="81"/>
      <c r="E53" s="428"/>
      <c r="F53" s="428"/>
      <c r="G53" s="428"/>
      <c r="H53" s="428"/>
      <c r="I53" s="81"/>
      <c r="J53" s="81"/>
      <c r="K53" s="428"/>
      <c r="L53" s="428"/>
      <c r="M53" s="272"/>
      <c r="N53" s="81"/>
      <c r="O53" s="272"/>
      <c r="P53" s="393"/>
      <c r="Q53" s="393"/>
      <c r="R53" s="393"/>
      <c r="S53" s="393"/>
      <c r="T53" s="393"/>
      <c r="U53" s="393"/>
      <c r="V53" s="393"/>
      <c r="W53" s="393">
        <f>SUMIFS('Liste AT'!$O$7:$O$165,'Liste AT'!$F$7:$F$165,A53,'Liste AT'!$K$7:$K$165,"travail")</f>
        <v>0</v>
      </c>
    </row>
    <row r="54" spans="1:23">
      <c r="A54" s="426" t="s">
        <v>985</v>
      </c>
      <c r="B54" s="223" t="e">
        <f>IF(A54="","",VLOOKUP(A54,'Listes déroulantes'!$A$3:$C$39,2,FALSE ))</f>
        <v>#N/A</v>
      </c>
      <c r="C54" s="224">
        <f>MAX(C2:C37)</f>
        <v>0</v>
      </c>
      <c r="D54" s="210">
        <f ca="1">MIN(D2:D37)</f>
        <v>400</v>
      </c>
      <c r="E54" s="430"/>
      <c r="F54" s="430">
        <f>SUM(F2:F6)</f>
        <v>0</v>
      </c>
      <c r="G54" s="430">
        <f>SUM(G2:G6)</f>
        <v>0</v>
      </c>
      <c r="H54" s="430"/>
      <c r="I54" s="210" t="e">
        <f ca="1">((K54-U54)*1000000/(N54*(1607*$Y$2/12)))</f>
        <v>#N/A</v>
      </c>
      <c r="J54" s="496" t="e">
        <f ca="1">G54*1000/(N54*(1607*$Y$2/12))</f>
        <v>#N/A</v>
      </c>
      <c r="K54" s="430">
        <f>SUM(K2:K6)</f>
        <v>0</v>
      </c>
      <c r="L54" s="430">
        <f>SUM(L2:L6)</f>
        <v>0</v>
      </c>
      <c r="M54" s="497" t="e">
        <f ca="1">(K54-U54)*1000000/(N54*(1607*$Y$2/12))</f>
        <v>#N/A</v>
      </c>
      <c r="N54" s="210" t="e">
        <f ca="1">SUM(N2:N6)</f>
        <v>#N/A</v>
      </c>
      <c r="O54" s="386" t="e">
        <f ca="1">((K54-U54)*1000)/N54</f>
        <v>#N/A</v>
      </c>
      <c r="P54" s="432"/>
      <c r="Q54" s="432"/>
      <c r="R54" s="432"/>
      <c r="S54" s="393" t="e">
        <f>DCOUNT('Liste AT'!$B$6:$AP$58,,#REF!)</f>
        <v>#REF!</v>
      </c>
      <c r="T54" s="393"/>
      <c r="U54" s="393">
        <f>COUNTIFS('Liste AT'!L7:L65,"avec arrêt",'Liste AT'!K7:K65,"trajet")</f>
        <v>0</v>
      </c>
      <c r="V54" s="393"/>
      <c r="W54" s="393">
        <f>SUM(W2:W6)</f>
        <v>0</v>
      </c>
    </row>
    <row r="55" spans="1:23">
      <c r="A55" s="425"/>
      <c r="B55" s="81"/>
      <c r="C55" s="81"/>
      <c r="D55" s="81"/>
      <c r="E55" s="428"/>
      <c r="F55" s="428"/>
      <c r="G55" s="428"/>
      <c r="H55" s="428"/>
      <c r="I55" s="81"/>
      <c r="J55" s="81"/>
      <c r="K55" s="428"/>
      <c r="L55" s="428"/>
      <c r="M55" s="81"/>
      <c r="N55" s="81"/>
      <c r="O55" s="272"/>
      <c r="P55" s="393"/>
      <c r="Q55" s="393"/>
      <c r="R55" s="393"/>
      <c r="S55" s="393"/>
      <c r="T55" s="393"/>
      <c r="U55" s="393"/>
      <c r="V55" s="393"/>
      <c r="W55" s="393">
        <f>SUMIFS('Liste AT'!$O$7:$O$165,'Liste AT'!$F$7:$F$165,A55,'Liste AT'!$K$7:$K$165,"travail")</f>
        <v>0</v>
      </c>
    </row>
    <row r="56" spans="1:23">
      <c r="A56" s="425"/>
      <c r="B56" s="81"/>
      <c r="C56" s="81"/>
      <c r="D56" s="81"/>
      <c r="E56" s="428"/>
      <c r="F56" s="428"/>
      <c r="G56" s="428"/>
      <c r="H56" s="428"/>
      <c r="I56" s="81"/>
      <c r="J56" s="81"/>
      <c r="K56" s="428"/>
      <c r="L56" s="428"/>
      <c r="M56" s="81"/>
      <c r="N56" s="81"/>
      <c r="O56" s="272"/>
      <c r="P56" s="393"/>
      <c r="Q56" s="393"/>
      <c r="R56" s="393"/>
      <c r="S56" s="393"/>
      <c r="T56" s="393"/>
      <c r="U56" s="393"/>
      <c r="V56" s="393"/>
      <c r="W56" s="393">
        <f>SUMIFS('Liste AT'!$O$7:$O$165,'Liste AT'!$F$7:$F$165,A56,'Liste AT'!$K$7:$K$165,"travail")</f>
        <v>0</v>
      </c>
    </row>
    <row r="57" spans="1:23">
      <c r="A57" s="425"/>
      <c r="B57" s="81"/>
      <c r="C57" s="81"/>
      <c r="D57" s="81"/>
      <c r="E57" s="428"/>
      <c r="F57" s="428"/>
      <c r="G57" s="428"/>
      <c r="H57" s="428"/>
      <c r="I57" s="81"/>
      <c r="J57" s="81"/>
      <c r="K57" s="428"/>
      <c r="L57" s="428"/>
      <c r="M57" s="81"/>
      <c r="N57" s="81"/>
      <c r="O57" s="272"/>
      <c r="P57" s="393"/>
      <c r="Q57" s="393"/>
      <c r="R57" s="393"/>
      <c r="S57" s="393"/>
      <c r="T57" s="393"/>
      <c r="U57" s="393"/>
      <c r="V57" s="393"/>
      <c r="W57" s="393">
        <f>SUMIFS('Liste AT'!$O$7:$O$165,'Liste AT'!$F$7:$F$165,A57,'Liste AT'!$K$7:$K$165,"travail")</f>
        <v>0</v>
      </c>
    </row>
    <row r="58" spans="1:23">
      <c r="A58" s="425"/>
      <c r="B58" s="81"/>
      <c r="C58" s="81"/>
      <c r="D58" s="81"/>
      <c r="E58" s="428"/>
      <c r="F58" s="428"/>
      <c r="G58" s="428"/>
      <c r="H58" s="428"/>
      <c r="I58" s="81"/>
      <c r="J58" s="81"/>
      <c r="K58" s="428"/>
      <c r="L58" s="428"/>
      <c r="M58" s="81"/>
      <c r="N58" s="81"/>
      <c r="O58" s="272"/>
      <c r="P58" s="393"/>
      <c r="Q58" s="393"/>
      <c r="R58" s="393"/>
      <c r="S58" s="393"/>
      <c r="T58" s="393"/>
      <c r="U58" s="393"/>
      <c r="V58" s="393"/>
      <c r="W58" s="393">
        <f>SUMIFS('Liste AT'!$O$7:$O$165,'Liste AT'!$F$7:$F$165,A58,'Liste AT'!$K$7:$K$165,"travail")</f>
        <v>0</v>
      </c>
    </row>
    <row r="59" spans="1:23">
      <c r="A59" s="425"/>
      <c r="B59" s="81"/>
      <c r="C59" s="81"/>
      <c r="D59" s="81"/>
      <c r="E59" s="428"/>
      <c r="F59" s="428"/>
      <c r="G59" s="428"/>
      <c r="H59" s="428"/>
      <c r="I59" s="81"/>
      <c r="J59" s="81"/>
      <c r="K59" s="428"/>
      <c r="L59" s="428"/>
      <c r="M59" s="81"/>
      <c r="N59" s="81"/>
      <c r="O59" s="272"/>
      <c r="P59" s="393"/>
      <c r="Q59" s="393"/>
      <c r="R59" s="393"/>
      <c r="S59" s="393"/>
      <c r="T59" s="393"/>
      <c r="U59" s="393"/>
      <c r="V59" s="393"/>
      <c r="W59" s="393">
        <f>SUMIFS('Liste AT'!$O$7:$O$165,'Liste AT'!$F$7:$F$165,A59,'Liste AT'!$K$7:$K$165,"travail")</f>
        <v>0</v>
      </c>
    </row>
    <row r="60" spans="1:23">
      <c r="A60" s="425"/>
      <c r="B60" s="81"/>
      <c r="C60" s="81"/>
      <c r="D60" s="81"/>
      <c r="E60" s="428"/>
      <c r="F60" s="428"/>
      <c r="G60" s="428"/>
      <c r="H60" s="428"/>
      <c r="I60" s="81"/>
      <c r="J60" s="81"/>
      <c r="K60" s="428"/>
      <c r="L60" s="428"/>
      <c r="M60" s="81"/>
      <c r="N60" s="81"/>
      <c r="O60" s="272"/>
      <c r="P60" s="393"/>
      <c r="Q60" s="393"/>
      <c r="R60" s="393"/>
      <c r="S60" s="393"/>
      <c r="T60" s="393"/>
      <c r="U60" s="393"/>
      <c r="V60" s="393"/>
      <c r="W60" s="393">
        <f>SUMIFS('Liste AT'!$O$7:$O$165,'Liste AT'!$F$7:$F$165,A60,'Liste AT'!$K$7:$K$165,"travail")</f>
        <v>0</v>
      </c>
    </row>
    <row r="61" spans="1:23">
      <c r="A61" s="425"/>
      <c r="B61" s="81"/>
      <c r="C61" s="81"/>
      <c r="D61" s="81"/>
      <c r="E61" s="428"/>
      <c r="F61" s="428"/>
      <c r="G61" s="428"/>
      <c r="H61" s="428"/>
      <c r="I61" s="81"/>
      <c r="J61" s="81"/>
      <c r="K61" s="428"/>
      <c r="L61" s="428"/>
      <c r="M61" s="81"/>
      <c r="N61" s="81"/>
      <c r="O61" s="272"/>
      <c r="P61" s="393"/>
      <c r="Q61" s="393"/>
      <c r="R61" s="393"/>
      <c r="S61" s="393"/>
      <c r="T61" s="393"/>
      <c r="U61" s="393"/>
      <c r="V61" s="393"/>
      <c r="W61" s="393">
        <f>SUMIFS('Liste AT'!$O$7:$O$165,'Liste AT'!$F$7:$F$165,A61,'Liste AT'!$K$7:$K$165,"travail")</f>
        <v>0</v>
      </c>
    </row>
    <row r="62" spans="1:23">
      <c r="A62" s="425"/>
      <c r="B62" s="81"/>
      <c r="C62" s="81"/>
      <c r="D62" s="81"/>
      <c r="E62" s="428"/>
      <c r="F62" s="428"/>
      <c r="G62" s="428"/>
      <c r="H62" s="428"/>
      <c r="I62" s="81"/>
      <c r="J62" s="81"/>
      <c r="K62" s="428"/>
      <c r="L62" s="428"/>
      <c r="M62" s="81"/>
      <c r="N62" s="81"/>
      <c r="O62" s="272"/>
      <c r="P62" s="393"/>
      <c r="Q62" s="393"/>
      <c r="R62" s="393"/>
      <c r="S62" s="393"/>
      <c r="T62" s="393"/>
      <c r="U62" s="393"/>
      <c r="V62" s="393"/>
      <c r="W62" s="393">
        <f>SUMIFS('Liste AT'!$O$7:$O$165,'Liste AT'!$F$7:$F$165,A62,'Liste AT'!$K$7:$K$165,"travail")</f>
        <v>0</v>
      </c>
    </row>
    <row r="63" spans="1:23">
      <c r="A63" s="425"/>
      <c r="B63" s="81"/>
      <c r="C63" s="81"/>
      <c r="D63" s="81"/>
      <c r="E63" s="428"/>
      <c r="F63" s="428"/>
      <c r="G63" s="428"/>
      <c r="H63" s="428"/>
      <c r="I63" s="81"/>
      <c r="J63" s="81"/>
      <c r="K63" s="428"/>
      <c r="L63" s="428"/>
      <c r="M63" s="81"/>
      <c r="N63" s="81"/>
      <c r="O63" s="272"/>
      <c r="P63" s="393"/>
      <c r="Q63" s="393"/>
      <c r="R63" s="393"/>
      <c r="S63" s="393"/>
      <c r="T63" s="393"/>
      <c r="U63" s="393"/>
      <c r="V63" s="436"/>
      <c r="W63" s="395">
        <f>SUMIFS('Liste AT'!$O$7:$O$165,'Liste AT'!$F$7:$F$165,A63,'Liste AT'!$K$7:$K$165,"travail")</f>
        <v>0</v>
      </c>
    </row>
    <row r="64" spans="1:23">
      <c r="A64" s="425"/>
      <c r="B64" s="81"/>
      <c r="C64" s="81"/>
      <c r="D64" s="81"/>
      <c r="E64" s="428"/>
      <c r="F64" s="428"/>
      <c r="G64" s="428"/>
      <c r="H64" s="428"/>
      <c r="I64" s="81"/>
      <c r="J64" s="81"/>
      <c r="K64" s="428"/>
      <c r="L64" s="428"/>
      <c r="M64" s="81"/>
      <c r="N64" s="81"/>
      <c r="O64" s="272"/>
      <c r="P64" s="393"/>
      <c r="Q64" s="393"/>
      <c r="R64" s="393"/>
      <c r="S64" s="393"/>
      <c r="T64" s="393"/>
      <c r="U64" s="393"/>
      <c r="V64" s="436"/>
      <c r="W64" s="395">
        <f>SUMIFS('Liste AT'!$O$7:$O$165,'Liste AT'!$F$7:$F$165,A64,'Liste AT'!$K$7:$K$165,"travail")</f>
        <v>0</v>
      </c>
    </row>
    <row r="65" spans="1:23">
      <c r="A65" s="425"/>
      <c r="B65" s="81"/>
      <c r="C65" s="81"/>
      <c r="D65" s="81"/>
      <c r="E65" s="428"/>
      <c r="F65" s="428"/>
      <c r="G65" s="428"/>
      <c r="H65" s="428"/>
      <c r="I65" s="81"/>
      <c r="J65" s="81"/>
      <c r="K65" s="428"/>
      <c r="L65" s="428"/>
      <c r="M65" s="81"/>
      <c r="N65" s="81"/>
      <c r="O65" s="272"/>
      <c r="P65" s="393"/>
      <c r="Q65" s="393"/>
      <c r="R65" s="393"/>
      <c r="S65" s="393"/>
      <c r="T65" s="393"/>
      <c r="U65" s="393"/>
      <c r="V65" s="436"/>
      <c r="W65" s="395">
        <f>SUMIFS('Liste AT'!$O$7:$O$165,'Liste AT'!$F$7:$F$165,A65,'Liste AT'!$K$7:$K$165,"travail")</f>
        <v>0</v>
      </c>
    </row>
    <row r="66" spans="1:23">
      <c r="A66" s="425"/>
      <c r="B66" s="81"/>
      <c r="C66" s="81"/>
      <c r="D66" s="81"/>
      <c r="E66" s="428"/>
      <c r="F66" s="428"/>
      <c r="G66" s="428"/>
      <c r="H66" s="428"/>
      <c r="I66" s="81"/>
      <c r="J66" s="81"/>
      <c r="K66" s="428"/>
      <c r="L66" s="428"/>
      <c r="M66" s="81"/>
      <c r="N66" s="81"/>
      <c r="O66" s="272"/>
      <c r="P66" s="393"/>
      <c r="Q66" s="393"/>
      <c r="R66" s="393"/>
      <c r="S66" s="393"/>
      <c r="T66" s="393"/>
      <c r="U66" s="393"/>
      <c r="V66" s="436"/>
      <c r="W66" s="395">
        <f>SUMIFS('Liste AT'!$O$7:$O$165,'Liste AT'!$F$7:$F$165,A66,'Liste AT'!$K$7:$K$165,"travail")</f>
        <v>0</v>
      </c>
    </row>
    <row r="67" spans="1:23">
      <c r="A67" s="425"/>
      <c r="B67" s="81"/>
      <c r="C67" s="81"/>
      <c r="D67" s="81"/>
      <c r="E67" s="428"/>
      <c r="F67" s="428"/>
      <c r="G67" s="428"/>
      <c r="H67" s="428"/>
      <c r="I67" s="81"/>
      <c r="J67" s="81"/>
      <c r="K67" s="428"/>
      <c r="L67" s="428"/>
      <c r="M67" s="81"/>
      <c r="N67" s="81"/>
      <c r="O67" s="272"/>
      <c r="P67" s="393"/>
      <c r="Q67" s="393"/>
      <c r="R67" s="393"/>
      <c r="S67" s="393"/>
      <c r="T67" s="393"/>
      <c r="U67" s="393"/>
      <c r="V67" s="436"/>
      <c r="W67" s="395">
        <f>SUMIFS('Liste AT'!$O$7:$O$165,'Liste AT'!$F$7:$F$165,A67,'Liste AT'!$K$7:$K$165,"travail")</f>
        <v>0</v>
      </c>
    </row>
    <row r="68" spans="1:23">
      <c r="A68" s="425"/>
      <c r="B68" s="81"/>
      <c r="C68" s="81"/>
      <c r="D68" s="81"/>
      <c r="E68" s="428"/>
      <c r="F68" s="428"/>
      <c r="G68" s="428"/>
      <c r="H68" s="428"/>
      <c r="I68" s="81"/>
      <c r="J68" s="81"/>
      <c r="K68" s="428"/>
      <c r="L68" s="428"/>
      <c r="M68" s="81"/>
      <c r="N68" s="81"/>
      <c r="O68" s="272"/>
      <c r="P68" s="393"/>
      <c r="Q68" s="393"/>
      <c r="R68" s="393"/>
      <c r="S68" s="393"/>
      <c r="T68" s="393"/>
      <c r="U68" s="393"/>
      <c r="V68" s="436"/>
      <c r="W68" s="395">
        <f>SUMIFS('Liste AT'!$O$7:$O$165,'Liste AT'!$F$7:$F$165,A68,'Liste AT'!$K$7:$K$165,"travail")</f>
        <v>0</v>
      </c>
    </row>
    <row r="69" spans="1:23">
      <c r="A69" s="425"/>
      <c r="B69" s="81"/>
      <c r="C69" s="81"/>
      <c r="D69" s="81"/>
      <c r="E69" s="428"/>
      <c r="F69" s="428"/>
      <c r="G69" s="428"/>
      <c r="H69" s="428"/>
      <c r="I69" s="81"/>
      <c r="J69" s="81"/>
      <c r="K69" s="428"/>
      <c r="L69" s="428"/>
      <c r="M69" s="81"/>
      <c r="N69" s="81"/>
      <c r="O69" s="272"/>
      <c r="P69" s="393"/>
      <c r="Q69" s="393"/>
      <c r="R69" s="393"/>
      <c r="S69" s="393"/>
      <c r="T69" s="393"/>
      <c r="U69" s="393"/>
      <c r="V69" s="436"/>
      <c r="W69" s="395">
        <f>SUMIFS('Liste AT'!$O$7:$O$165,'Liste AT'!$F$7:$F$165,A69,'Liste AT'!$K$7:$K$165,"travail")</f>
        <v>0</v>
      </c>
    </row>
    <row r="70" spans="1:23">
      <c r="A70" s="425"/>
      <c r="B70" s="81"/>
      <c r="C70" s="81"/>
      <c r="D70" s="81"/>
      <c r="E70" s="428"/>
      <c r="F70" s="428"/>
      <c r="G70" s="428"/>
      <c r="H70" s="428"/>
      <c r="I70" s="81"/>
      <c r="J70" s="81"/>
      <c r="K70" s="428"/>
      <c r="L70" s="428"/>
      <c r="M70" s="81"/>
      <c r="N70" s="81"/>
      <c r="O70" s="272"/>
      <c r="P70" s="393"/>
      <c r="Q70" s="393"/>
      <c r="R70" s="393"/>
      <c r="S70" s="393"/>
      <c r="T70" s="393"/>
      <c r="U70" s="393"/>
      <c r="V70" s="436"/>
      <c r="W70" s="395">
        <f>SUMIFS('Liste AT'!$O$7:$O$165,'Liste AT'!$F$7:$F$165,A70,'Liste AT'!$K$7:$K$165,"travail")</f>
        <v>0</v>
      </c>
    </row>
    <row r="71" spans="1:23">
      <c r="A71" s="425"/>
      <c r="B71" s="81"/>
      <c r="C71" s="81"/>
      <c r="D71" s="81"/>
      <c r="E71" s="428"/>
      <c r="F71" s="428"/>
      <c r="G71" s="428"/>
      <c r="H71" s="428"/>
      <c r="I71" s="81"/>
      <c r="J71" s="81"/>
      <c r="K71" s="428"/>
      <c r="L71" s="428"/>
      <c r="M71" s="81"/>
      <c r="N71" s="81"/>
      <c r="O71" s="272"/>
      <c r="P71" s="393"/>
      <c r="Q71" s="393"/>
      <c r="R71" s="393"/>
      <c r="S71" s="393"/>
      <c r="T71" s="393"/>
      <c r="U71" s="393"/>
      <c r="V71" s="436"/>
      <c r="W71" s="395">
        <f>SUMIFS('Liste AT'!$O$7:$O$165,'Liste AT'!$F$7:$F$165,A71,'Liste AT'!$K$7:$K$165,"travail")</f>
        <v>0</v>
      </c>
    </row>
    <row r="72" spans="1:23">
      <c r="A72" s="425"/>
      <c r="B72" s="81"/>
      <c r="C72" s="81"/>
      <c r="D72" s="81"/>
      <c r="E72" s="428"/>
      <c r="F72" s="428"/>
      <c r="G72" s="428"/>
      <c r="H72" s="428"/>
      <c r="I72" s="81"/>
      <c r="J72" s="81"/>
      <c r="K72" s="428"/>
      <c r="L72" s="428"/>
      <c r="M72" s="81"/>
      <c r="N72" s="81"/>
      <c r="O72" s="272"/>
      <c r="P72" s="393"/>
      <c r="Q72" s="393"/>
      <c r="R72" s="393"/>
      <c r="S72" s="393"/>
      <c r="T72" s="393"/>
      <c r="U72" s="393"/>
      <c r="V72" s="436"/>
      <c r="W72" s="395">
        <f>SUMIFS('Liste AT'!$O$7:$O$165,'Liste AT'!$F$7:$F$165,A72,'Liste AT'!$K$7:$K$165,"travail")</f>
        <v>0</v>
      </c>
    </row>
    <row r="73" spans="1:23">
      <c r="A73" s="425"/>
      <c r="B73" s="81"/>
      <c r="C73" s="81"/>
      <c r="D73" s="81"/>
      <c r="E73" s="428"/>
      <c r="F73" s="428"/>
      <c r="G73" s="428"/>
      <c r="H73" s="428"/>
      <c r="I73" s="81"/>
      <c r="J73" s="81"/>
      <c r="K73" s="428"/>
      <c r="L73" s="428"/>
      <c r="M73" s="81"/>
      <c r="N73" s="81"/>
      <c r="O73" s="272"/>
      <c r="P73" s="393"/>
      <c r="Q73" s="393"/>
      <c r="R73" s="393"/>
      <c r="S73" s="393"/>
      <c r="T73" s="393"/>
      <c r="U73" s="393"/>
      <c r="V73" s="436"/>
      <c r="W73" s="395">
        <f>SUMIFS('Liste AT'!$O$7:$O$165,'Liste AT'!$F$7:$F$165,A73,'Liste AT'!$K$7:$K$165,"travail")</f>
        <v>0</v>
      </c>
    </row>
    <row r="74" spans="1:23">
      <c r="A74" s="425"/>
      <c r="B74" s="81"/>
      <c r="C74" s="81"/>
      <c r="D74" s="81"/>
      <c r="E74" s="428"/>
      <c r="F74" s="428"/>
      <c r="G74" s="428"/>
      <c r="H74" s="428"/>
      <c r="I74" s="81"/>
      <c r="J74" s="81"/>
      <c r="K74" s="428"/>
      <c r="L74" s="428"/>
      <c r="M74" s="81"/>
      <c r="N74" s="81"/>
      <c r="O74" s="272"/>
      <c r="P74" s="393"/>
      <c r="Q74" s="393"/>
      <c r="R74" s="393"/>
      <c r="S74" s="393"/>
      <c r="T74" s="393"/>
      <c r="U74" s="393"/>
      <c r="V74" s="436"/>
    </row>
    <row r="75" spans="1:23">
      <c r="A75" s="425"/>
      <c r="B75" s="81"/>
      <c r="C75" s="81"/>
      <c r="D75" s="81"/>
      <c r="E75" s="428"/>
      <c r="F75" s="428"/>
      <c r="G75" s="428"/>
      <c r="H75" s="428"/>
      <c r="I75" s="81"/>
      <c r="J75" s="81"/>
      <c r="K75" s="428"/>
      <c r="L75" s="428"/>
      <c r="M75" s="81"/>
      <c r="N75" s="81"/>
      <c r="O75" s="272"/>
      <c r="P75" s="393"/>
      <c r="Q75" s="393"/>
      <c r="R75" s="393"/>
      <c r="S75" s="393"/>
      <c r="T75" s="436"/>
    </row>
    <row r="76" spans="1:23">
      <c r="A76" s="425"/>
      <c r="B76" s="81"/>
      <c r="C76" s="81"/>
      <c r="D76" s="81"/>
      <c r="E76" s="428"/>
      <c r="F76" s="428"/>
      <c r="G76" s="428"/>
      <c r="H76" s="428"/>
      <c r="I76" s="81"/>
      <c r="J76" s="81"/>
      <c r="K76" s="428"/>
      <c r="L76" s="428"/>
      <c r="M76" s="81"/>
      <c r="N76" s="81"/>
      <c r="O76" s="272"/>
      <c r="P76" s="393"/>
      <c r="Q76" s="393"/>
      <c r="R76" s="393"/>
      <c r="S76" s="393"/>
      <c r="T76" s="436"/>
    </row>
    <row r="77" spans="1:23">
      <c r="A77" s="425"/>
      <c r="B77" s="81"/>
      <c r="C77" s="81"/>
      <c r="D77" s="81"/>
      <c r="E77" s="428"/>
      <c r="F77" s="428"/>
      <c r="G77" s="428"/>
      <c r="H77" s="428"/>
      <c r="I77" s="81"/>
      <c r="J77" s="81"/>
      <c r="K77" s="428"/>
      <c r="L77" s="428"/>
      <c r="M77" s="81"/>
      <c r="N77" s="81"/>
      <c r="O77" s="272"/>
      <c r="P77" s="393"/>
      <c r="Q77" s="393"/>
      <c r="R77" s="393"/>
      <c r="S77" s="393"/>
      <c r="T77" s="436"/>
    </row>
    <row r="78" spans="1:23">
      <c r="A78" s="425"/>
      <c r="B78" s="81"/>
      <c r="C78" s="81"/>
      <c r="D78" s="81"/>
      <c r="E78" s="428"/>
      <c r="F78" s="428"/>
      <c r="G78" s="428"/>
      <c r="H78" s="428"/>
      <c r="I78" s="81"/>
      <c r="J78" s="81"/>
      <c r="K78" s="428"/>
      <c r="L78" s="428"/>
      <c r="M78" s="81"/>
      <c r="N78" s="81"/>
      <c r="O78" s="272"/>
      <c r="P78" s="393"/>
      <c r="Q78" s="393"/>
      <c r="R78" s="393"/>
      <c r="S78" s="393"/>
      <c r="T78" s="436"/>
    </row>
    <row r="79" spans="1:23">
      <c r="A79" s="425"/>
      <c r="B79" s="81"/>
      <c r="C79" s="81"/>
      <c r="D79" s="81"/>
      <c r="E79" s="428"/>
      <c r="F79" s="428"/>
      <c r="G79" s="428"/>
      <c r="H79" s="428"/>
      <c r="I79" s="81"/>
      <c r="J79" s="81"/>
      <c r="K79" s="428"/>
      <c r="L79" s="428"/>
      <c r="M79" s="81"/>
      <c r="N79" s="81"/>
      <c r="O79" s="272"/>
      <c r="P79" s="393"/>
      <c r="Q79" s="393"/>
      <c r="R79" s="393"/>
      <c r="S79" s="393"/>
      <c r="T79" s="436"/>
    </row>
    <row r="80" spans="1:23">
      <c r="A80" s="425"/>
      <c r="B80" s="81"/>
      <c r="C80" s="81"/>
      <c r="D80" s="81"/>
      <c r="E80" s="428"/>
      <c r="F80" s="428"/>
      <c r="G80" s="428"/>
      <c r="H80" s="428"/>
      <c r="I80" s="81"/>
      <c r="J80" s="81"/>
      <c r="K80" s="428"/>
      <c r="L80" s="428"/>
      <c r="M80" s="81"/>
      <c r="N80" s="81"/>
      <c r="O80" s="272"/>
      <c r="P80" s="393"/>
      <c r="Q80" s="393"/>
      <c r="R80" s="393"/>
      <c r="S80" s="393"/>
      <c r="T80" s="436"/>
    </row>
    <row r="81" spans="1:20">
      <c r="A81" s="425"/>
      <c r="B81" s="81"/>
      <c r="C81" s="81"/>
      <c r="D81" s="81"/>
      <c r="E81" s="428"/>
      <c r="F81" s="428"/>
      <c r="G81" s="428"/>
      <c r="H81" s="428"/>
      <c r="I81" s="81"/>
      <c r="J81" s="81"/>
      <c r="K81" s="428"/>
      <c r="L81" s="428"/>
      <c r="M81" s="81"/>
      <c r="N81" s="81"/>
      <c r="O81" s="272"/>
      <c r="P81" s="393"/>
      <c r="Q81" s="393"/>
      <c r="R81" s="393"/>
      <c r="S81" s="393"/>
      <c r="T81" s="436"/>
    </row>
    <row r="82" spans="1:20">
      <c r="A82" s="425"/>
      <c r="B82" s="81"/>
      <c r="C82" s="81"/>
      <c r="D82" s="81"/>
      <c r="E82" s="428"/>
      <c r="F82" s="428"/>
      <c r="G82" s="428"/>
      <c r="H82" s="428"/>
      <c r="I82" s="81"/>
      <c r="J82" s="81"/>
      <c r="K82" s="428"/>
      <c r="L82" s="428"/>
      <c r="M82" s="81"/>
      <c r="N82" s="81"/>
      <c r="O82" s="272"/>
      <c r="P82" s="393"/>
      <c r="Q82" s="393"/>
      <c r="R82" s="393"/>
      <c r="S82" s="393"/>
      <c r="T82" s="436"/>
    </row>
    <row r="83" spans="1:20">
      <c r="A83" s="425"/>
      <c r="B83" s="81"/>
      <c r="C83" s="81"/>
      <c r="D83" s="81"/>
      <c r="E83" s="428"/>
      <c r="F83" s="428"/>
      <c r="G83" s="428"/>
      <c r="H83" s="428"/>
      <c r="I83" s="81"/>
      <c r="J83" s="81"/>
      <c r="K83" s="428"/>
      <c r="L83" s="428"/>
      <c r="M83" s="81"/>
      <c r="N83" s="81"/>
      <c r="O83" s="272"/>
      <c r="P83" s="393"/>
      <c r="Q83" s="393"/>
      <c r="R83" s="393"/>
      <c r="S83" s="393"/>
      <c r="T83" s="436"/>
    </row>
    <row r="84" spans="1:20">
      <c r="A84" s="425"/>
      <c r="B84" s="81"/>
      <c r="C84" s="81"/>
      <c r="D84" s="81"/>
      <c r="E84" s="428"/>
      <c r="F84" s="428"/>
      <c r="G84" s="428"/>
      <c r="H84" s="428"/>
      <c r="I84" s="81"/>
      <c r="J84" s="81"/>
      <c r="K84" s="428"/>
      <c r="L84" s="428"/>
      <c r="M84" s="81"/>
      <c r="N84" s="81"/>
      <c r="O84" s="272"/>
      <c r="P84" s="393"/>
      <c r="Q84" s="393"/>
      <c r="R84" s="393"/>
      <c r="S84" s="393"/>
      <c r="T84" s="436"/>
    </row>
    <row r="85" spans="1:20">
      <c r="A85" s="425"/>
      <c r="B85" s="81"/>
      <c r="C85" s="81"/>
      <c r="D85" s="81"/>
      <c r="E85" s="428"/>
      <c r="F85" s="428"/>
      <c r="G85" s="428"/>
      <c r="H85" s="428"/>
      <c r="I85" s="81"/>
      <c r="J85" s="81"/>
      <c r="K85" s="428"/>
      <c r="L85" s="428"/>
      <c r="M85" s="81"/>
      <c r="N85" s="81"/>
      <c r="O85" s="272"/>
      <c r="P85" s="393"/>
      <c r="Q85" s="393"/>
      <c r="R85" s="393"/>
      <c r="S85" s="393"/>
      <c r="T85" s="436"/>
    </row>
    <row r="86" spans="1:20">
      <c r="A86" s="425"/>
      <c r="B86" s="81"/>
      <c r="C86" s="81"/>
      <c r="D86" s="81"/>
      <c r="E86" s="428"/>
      <c r="F86" s="428"/>
      <c r="G86" s="428"/>
      <c r="H86" s="428"/>
      <c r="I86" s="81"/>
      <c r="J86" s="81"/>
      <c r="K86" s="428"/>
      <c r="L86" s="428"/>
      <c r="M86" s="81"/>
      <c r="N86" s="81"/>
      <c r="O86" s="272"/>
      <c r="P86" s="393"/>
      <c r="Q86" s="393"/>
      <c r="R86" s="393"/>
      <c r="S86" s="393"/>
      <c r="T86" s="436"/>
    </row>
    <row r="87" spans="1:20">
      <c r="A87" s="425"/>
      <c r="B87" s="81"/>
      <c r="C87" s="81"/>
      <c r="D87" s="81"/>
      <c r="E87" s="428"/>
      <c r="F87" s="428"/>
      <c r="G87" s="428"/>
      <c r="H87" s="428"/>
      <c r="I87" s="81"/>
      <c r="J87" s="81"/>
      <c r="K87" s="428"/>
      <c r="L87" s="428"/>
      <c r="M87" s="81"/>
      <c r="N87" s="81"/>
      <c r="O87" s="272"/>
      <c r="P87" s="393"/>
      <c r="Q87" s="393"/>
      <c r="R87" s="393"/>
      <c r="S87" s="393"/>
      <c r="T87" s="436"/>
    </row>
    <row r="88" spans="1:20">
      <c r="A88" s="425"/>
      <c r="B88" s="81"/>
      <c r="C88" s="81"/>
      <c r="D88" s="81"/>
      <c r="E88" s="428"/>
      <c r="F88" s="428"/>
      <c r="G88" s="428"/>
      <c r="H88" s="428"/>
      <c r="I88" s="81"/>
      <c r="J88" s="81"/>
      <c r="K88" s="428"/>
      <c r="L88" s="428"/>
      <c r="M88" s="81"/>
      <c r="N88" s="81"/>
      <c r="O88" s="272"/>
      <c r="P88" s="393"/>
      <c r="Q88" s="393"/>
      <c r="R88" s="393"/>
      <c r="S88" s="393"/>
      <c r="T88" s="436"/>
    </row>
    <row r="89" spans="1:20">
      <c r="A89" s="425"/>
      <c r="B89" s="81"/>
      <c r="C89" s="81"/>
      <c r="D89" s="81"/>
      <c r="E89" s="428"/>
      <c r="F89" s="428"/>
      <c r="G89" s="428"/>
      <c r="H89" s="428"/>
      <c r="I89" s="81"/>
      <c r="J89" s="81"/>
      <c r="K89" s="428"/>
      <c r="L89" s="428"/>
      <c r="M89" s="81"/>
      <c r="N89" s="81"/>
      <c r="O89" s="272"/>
      <c r="P89" s="393"/>
      <c r="Q89" s="393"/>
      <c r="R89" s="393"/>
      <c r="S89" s="393"/>
      <c r="T89" s="436"/>
    </row>
    <row r="90" spans="1:20">
      <c r="A90" s="425"/>
      <c r="B90" s="81"/>
      <c r="C90" s="81"/>
      <c r="D90" s="81"/>
      <c r="E90" s="428"/>
      <c r="F90" s="428"/>
      <c r="G90" s="428"/>
      <c r="H90" s="428"/>
      <c r="I90" s="81"/>
      <c r="J90" s="81"/>
      <c r="K90" s="428"/>
      <c r="L90" s="428"/>
      <c r="M90" s="81"/>
      <c r="N90" s="81"/>
      <c r="O90" s="272"/>
      <c r="P90" s="393"/>
      <c r="Q90" s="393"/>
      <c r="R90" s="393"/>
      <c r="S90" s="393"/>
      <c r="T90" s="436"/>
    </row>
    <row r="91" spans="1:20">
      <c r="A91" s="425"/>
      <c r="B91" s="81"/>
      <c r="C91" s="81"/>
      <c r="D91" s="81"/>
      <c r="E91" s="428"/>
      <c r="F91" s="428"/>
      <c r="G91" s="428"/>
      <c r="H91" s="428"/>
      <c r="I91" s="81"/>
      <c r="J91" s="81"/>
      <c r="K91" s="428"/>
      <c r="L91" s="428"/>
      <c r="M91" s="81"/>
      <c r="N91" s="81"/>
      <c r="O91" s="272"/>
      <c r="P91" s="393"/>
      <c r="Q91" s="393"/>
      <c r="R91" s="393"/>
      <c r="S91" s="393"/>
      <c r="T91" s="436"/>
    </row>
    <row r="92" spans="1:20">
      <c r="A92" s="425"/>
      <c r="B92" s="81"/>
      <c r="C92" s="81"/>
      <c r="D92" s="81"/>
      <c r="E92" s="428"/>
      <c r="F92" s="428"/>
      <c r="G92" s="428"/>
      <c r="H92" s="428"/>
      <c r="I92" s="81"/>
      <c r="J92" s="81"/>
      <c r="K92" s="428"/>
      <c r="L92" s="428"/>
      <c r="M92" s="81"/>
      <c r="N92" s="81"/>
      <c r="O92" s="272"/>
      <c r="P92" s="393"/>
      <c r="Q92" s="393"/>
      <c r="R92" s="393"/>
      <c r="S92" s="393"/>
      <c r="T92" s="436"/>
    </row>
    <row r="93" spans="1:20">
      <c r="A93" s="425"/>
      <c r="B93" s="81"/>
      <c r="C93" s="81"/>
      <c r="D93" s="81"/>
      <c r="E93" s="428"/>
      <c r="F93" s="428"/>
      <c r="G93" s="428"/>
      <c r="H93" s="428"/>
      <c r="I93" s="81"/>
      <c r="J93" s="81"/>
      <c r="K93" s="428"/>
      <c r="L93" s="428"/>
      <c r="M93" s="81"/>
      <c r="N93" s="81"/>
      <c r="O93" s="272"/>
      <c r="P93" s="393"/>
      <c r="Q93" s="393"/>
      <c r="R93" s="393"/>
      <c r="S93" s="393"/>
      <c r="T93" s="436"/>
    </row>
    <row r="94" spans="1:20">
      <c r="A94" s="425"/>
      <c r="B94" s="81"/>
      <c r="C94" s="81"/>
      <c r="D94" s="81"/>
      <c r="E94" s="428"/>
      <c r="F94" s="428"/>
      <c r="G94" s="428"/>
      <c r="H94" s="428"/>
      <c r="I94" s="81"/>
      <c r="J94" s="81"/>
      <c r="K94" s="428"/>
      <c r="L94" s="428"/>
      <c r="M94" s="81"/>
      <c r="N94" s="81"/>
      <c r="O94" s="272"/>
      <c r="P94" s="393"/>
      <c r="Q94" s="393"/>
      <c r="R94" s="393"/>
      <c r="S94" s="393"/>
      <c r="T94" s="436"/>
    </row>
    <row r="95" spans="1:20">
      <c r="A95" s="425"/>
      <c r="B95" s="81"/>
      <c r="C95" s="81"/>
      <c r="D95" s="81"/>
      <c r="E95" s="428"/>
      <c r="F95" s="428"/>
      <c r="G95" s="428"/>
      <c r="H95" s="428"/>
      <c r="I95" s="81"/>
      <c r="J95" s="81"/>
      <c r="K95" s="428"/>
      <c r="L95" s="428"/>
      <c r="M95" s="81"/>
      <c r="N95" s="81"/>
      <c r="O95" s="272"/>
      <c r="P95" s="393"/>
      <c r="Q95" s="393"/>
      <c r="R95" s="393"/>
      <c r="S95" s="393"/>
      <c r="T95" s="436"/>
    </row>
    <row r="96" spans="1:20">
      <c r="A96" s="425"/>
      <c r="B96" s="81"/>
      <c r="C96" s="81"/>
      <c r="D96" s="81"/>
      <c r="E96" s="428"/>
      <c r="F96" s="428"/>
      <c r="G96" s="428"/>
      <c r="H96" s="428"/>
      <c r="I96" s="81"/>
      <c r="J96" s="81"/>
      <c r="K96" s="428"/>
      <c r="L96" s="428"/>
      <c r="M96" s="81"/>
      <c r="N96" s="81"/>
      <c r="O96" s="272"/>
      <c r="P96" s="393"/>
      <c r="Q96" s="393"/>
      <c r="R96" s="393"/>
      <c r="S96" s="393"/>
      <c r="T96" s="436"/>
    </row>
    <row r="97" spans="1:20">
      <c r="A97" s="425"/>
      <c r="B97" s="81"/>
      <c r="C97" s="81"/>
      <c r="D97" s="81"/>
      <c r="E97" s="428"/>
      <c r="F97" s="428"/>
      <c r="G97" s="428"/>
      <c r="H97" s="428"/>
      <c r="I97" s="81"/>
      <c r="J97" s="81"/>
      <c r="K97" s="428"/>
      <c r="L97" s="428"/>
      <c r="M97" s="81"/>
      <c r="N97" s="81"/>
      <c r="O97" s="272"/>
      <c r="P97" s="393"/>
      <c r="Q97" s="393"/>
      <c r="R97" s="393"/>
      <c r="S97" s="393"/>
      <c r="T97" s="436"/>
    </row>
    <row r="98" spans="1:20">
      <c r="A98" s="425"/>
      <c r="B98" s="81"/>
      <c r="C98" s="81"/>
      <c r="D98" s="81"/>
      <c r="E98" s="428"/>
      <c r="F98" s="428"/>
      <c r="G98" s="428"/>
      <c r="H98" s="428"/>
      <c r="I98" s="81"/>
      <c r="J98" s="81"/>
      <c r="K98" s="428"/>
      <c r="L98" s="428"/>
      <c r="M98" s="81"/>
      <c r="N98" s="81"/>
      <c r="O98" s="272"/>
      <c r="P98" s="393"/>
      <c r="Q98" s="393"/>
      <c r="R98" s="393"/>
      <c r="S98" s="393"/>
      <c r="T98" s="436"/>
    </row>
    <row r="99" spans="1:20">
      <c r="A99" s="425"/>
      <c r="B99" s="81"/>
      <c r="C99" s="81"/>
      <c r="D99" s="81"/>
      <c r="E99" s="428"/>
      <c r="F99" s="428"/>
      <c r="G99" s="428"/>
      <c r="H99" s="428"/>
      <c r="I99" s="81"/>
      <c r="J99" s="81"/>
      <c r="K99" s="428"/>
      <c r="L99" s="428"/>
      <c r="M99" s="81"/>
      <c r="N99" s="81"/>
      <c r="O99" s="272"/>
      <c r="P99" s="393"/>
      <c r="Q99" s="393"/>
      <c r="R99" s="393"/>
      <c r="S99" s="393"/>
      <c r="T99" s="436"/>
    </row>
    <row r="100" spans="1:20">
      <c r="A100" s="425"/>
      <c r="B100" s="81"/>
      <c r="C100" s="81"/>
      <c r="D100" s="81"/>
      <c r="E100" s="428"/>
      <c r="F100" s="428"/>
      <c r="G100" s="428"/>
      <c r="H100" s="428"/>
      <c r="I100" s="81"/>
      <c r="J100" s="81"/>
      <c r="K100" s="428"/>
      <c r="L100" s="428"/>
      <c r="M100" s="81"/>
      <c r="N100" s="81"/>
      <c r="O100" s="272"/>
      <c r="P100" s="393"/>
      <c r="Q100" s="393"/>
      <c r="R100" s="393"/>
      <c r="S100" s="393"/>
      <c r="T100" s="436"/>
    </row>
    <row r="101" spans="1:20">
      <c r="A101" s="425"/>
      <c r="B101" s="81"/>
      <c r="C101" s="81"/>
      <c r="D101" s="81"/>
      <c r="E101" s="428"/>
      <c r="F101" s="428"/>
      <c r="G101" s="428"/>
      <c r="H101" s="428"/>
      <c r="I101" s="81"/>
      <c r="J101" s="81"/>
      <c r="K101" s="428"/>
      <c r="L101" s="428"/>
      <c r="M101" s="81"/>
      <c r="N101" s="81"/>
      <c r="O101" s="272"/>
      <c r="P101" s="393"/>
      <c r="Q101" s="393"/>
      <c r="R101" s="393"/>
      <c r="S101" s="393"/>
      <c r="T101" s="436"/>
    </row>
  </sheetData>
  <autoFilter ref="A1:S1" xr:uid="{00000000-0009-0000-0000-000009000000}"/>
  <conditionalFormatting sqref="B2:B46">
    <cfRule type="containsText" dxfId="4" priority="1" operator="containsText" text="EMI">
      <formula>NOT(ISERROR(SEARCH("EMI",B2)))</formula>
    </cfRule>
    <cfRule type="containsText" dxfId="3" priority="2" operator="containsText" text="TRAIN">
      <formula>NOT(ISERROR(SEARCH("TRAIN",B2)))</formula>
    </cfRule>
    <cfRule type="containsText" dxfId="2" priority="3" operator="containsText" text="SIEGE">
      <formula>NOT(ISERROR(SEARCH("SIEGE",B2)))</formula>
    </cfRule>
    <cfRule type="containsText" dxfId="1" priority="4" operator="containsText" text="TER EST">
      <formula>NOT(ISERROR(SEARCH("TER EST",B2)))</formula>
    </cfRule>
    <cfRule type="containsText" dxfId="0" priority="5" operator="containsText" text="TER OUEST">
      <formula>NOT(ISERROR(SEARCH("TER OUEST",B2)))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900-000000000000}">
          <x14:formula1>
            <xm:f>'Listes déroulantes'!$J$24:$J$35</xm:f>
          </x14:formula1>
          <xm:sqref>Y2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2"/>
  <dimension ref="A1"/>
  <sheetViews>
    <sheetView workbookViewId="0">
      <selection activeCell="K32" sqref="K32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37</vt:i4>
      </vt:variant>
    </vt:vector>
  </HeadingPairs>
  <TitlesOfParts>
    <vt:vector size="48" baseType="lpstr">
      <vt:lpstr>Tableau de bord bis</vt:lpstr>
      <vt:lpstr>Suivi des DPx</vt:lpstr>
      <vt:lpstr>Liste AT</vt:lpstr>
      <vt:lpstr>Challenge</vt:lpstr>
      <vt:lpstr>Programmation et suivi VP&amp;Icare</vt:lpstr>
      <vt:lpstr>Suivi du PAS 2020</vt:lpstr>
      <vt:lpstr>Plan Post Audit</vt:lpstr>
      <vt:lpstr>Listes déroulantes</vt:lpstr>
      <vt:lpstr>Effectifs</vt:lpstr>
      <vt:lpstr>Stats AT BDD</vt:lpstr>
      <vt:lpstr>Feuil1</vt:lpstr>
      <vt:lpstr>chsct</vt:lpstr>
      <vt:lpstr>consequences</vt:lpstr>
      <vt:lpstr>elmat</vt:lpstr>
      <vt:lpstr>Elmat_01</vt:lpstr>
      <vt:lpstr>Elmat_02</vt:lpstr>
      <vt:lpstr>Elmat_03</vt:lpstr>
      <vt:lpstr>Elmat_04</vt:lpstr>
      <vt:lpstr>Elmat_05</vt:lpstr>
      <vt:lpstr>Elmat_06</vt:lpstr>
      <vt:lpstr>Elmat_07</vt:lpstr>
      <vt:lpstr>Elmat_08</vt:lpstr>
      <vt:lpstr>Elmat_09</vt:lpstr>
      <vt:lpstr>Elmat_30</vt:lpstr>
      <vt:lpstr>Elmat_31</vt:lpstr>
      <vt:lpstr>Elmat_32</vt:lpstr>
      <vt:lpstr>Elmat_33</vt:lpstr>
      <vt:lpstr>Elmat_36</vt:lpstr>
      <vt:lpstr>Elmat_39</vt:lpstr>
      <vt:lpstr>Elmat_97</vt:lpstr>
      <vt:lpstr>Elmat_98</vt:lpstr>
      <vt:lpstr>Elmat_99</vt:lpstr>
      <vt:lpstr>etat</vt:lpstr>
      <vt:lpstr>heure</vt:lpstr>
      <vt:lpstr>jour</vt:lpstr>
      <vt:lpstr>lésion</vt:lpstr>
      <vt:lpstr>mois</vt:lpstr>
      <vt:lpstr>ouinon</vt:lpstr>
      <vt:lpstr>ouinonprevu</vt:lpstr>
      <vt:lpstr>siège</vt:lpstr>
      <vt:lpstr>SuiviDU</vt:lpstr>
      <vt:lpstr>SuiviFormation</vt:lpstr>
      <vt:lpstr>type</vt:lpstr>
      <vt:lpstr>uch</vt:lpstr>
      <vt:lpstr>UO</vt:lpstr>
      <vt:lpstr>UO_ESV</vt:lpstr>
      <vt:lpstr>'Suivi des DPx'!Zone_d_impression</vt:lpstr>
      <vt:lpstr>'Suivi du PAS 2020'!Zone_d_impression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LAMBERT MICHEL</dc:creator>
  <cp:lastModifiedBy>DjiDji</cp:lastModifiedBy>
  <cp:lastPrinted>2019-11-21T11:03:27Z</cp:lastPrinted>
  <dcterms:created xsi:type="dcterms:W3CDTF">2013-01-07T18:08:43Z</dcterms:created>
  <dcterms:modified xsi:type="dcterms:W3CDTF">2020-02-05T13:07:44Z</dcterms:modified>
</cp:coreProperties>
</file>