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440" windowHeight="9735" tabRatio="710"/>
  </bookViews>
  <sheets>
    <sheet name="nouveau-mois" sheetId="45" r:id="rId1"/>
    <sheet name="1è" sheetId="17" r:id="rId2"/>
    <sheet name="2è" sheetId="26" r:id="rId3"/>
    <sheet name="3è" sheetId="27" r:id="rId4"/>
    <sheet name="4è" sheetId="28" r:id="rId5"/>
    <sheet name="5è" sheetId="29" r:id="rId6"/>
    <sheet name="6è" sheetId="30" r:id="rId7"/>
    <sheet name="7è" sheetId="31" r:id="rId8"/>
    <sheet name="8è" sheetId="32" r:id="rId9"/>
    <sheet name="9è" sheetId="33" r:id="rId10"/>
    <sheet name="10è" sheetId="34" r:id="rId11"/>
    <sheet name="11è" sheetId="35" r:id="rId12"/>
    <sheet name="12è" sheetId="36" r:id="rId13"/>
    <sheet name="13è" sheetId="37" r:id="rId14"/>
    <sheet name="14è" sheetId="40" r:id="rId15"/>
    <sheet name="15è" sheetId="41" r:id="rId16"/>
    <sheet name="16è" sheetId="42" r:id="rId17"/>
    <sheet name="17è" sheetId="43" r:id="rId18"/>
    <sheet name="18è" sheetId="44" r:id="rId19"/>
    <sheet name="19è" sheetId="39" r:id="rId20"/>
    <sheet name="20è" sheetId="38" r:id="rId21"/>
    <sheet name="Fred" sheetId="24" r:id="rId22"/>
    <sheet name="Graz" sheetId="25" r:id="rId23"/>
    <sheet name="Suivi" sheetId="21" r:id="rId24"/>
    <sheet name="Feuil10" sheetId="23" r:id="rId25"/>
  </sheets>
  <definedNames>
    <definedName name="_xlnm.Print_Titles" localSheetId="1">'1è'!$1:$3</definedName>
    <definedName name="_xlnm.Print_Area" localSheetId="1">'1è'!$A$1:$R$37</definedName>
    <definedName name="_xlnm.Print_Area" localSheetId="21">Fred!$A$1:$H$37</definedName>
    <definedName name="_xlnm.Print_Area" localSheetId="23">Suivi!$Z$1:$AC$34</definedName>
  </definedNames>
  <calcPr calcId="145621"/>
</workbook>
</file>

<file path=xl/calcChain.xml><?xml version="1.0" encoding="utf-8"?>
<calcChain xmlns="http://schemas.openxmlformats.org/spreadsheetml/2006/main">
  <c r="L4" i="45" l="1"/>
  <c r="K4" i="45"/>
  <c r="K8" i="45"/>
  <c r="K12" i="45"/>
  <c r="K16" i="45"/>
  <c r="K20" i="45"/>
  <c r="K24" i="45"/>
  <c r="K28" i="45"/>
  <c r="K32" i="45"/>
  <c r="K36" i="45"/>
  <c r="K40" i="45"/>
  <c r="K44" i="45"/>
  <c r="K48" i="45"/>
  <c r="K52" i="45"/>
  <c r="K56" i="45"/>
  <c r="K60" i="45"/>
  <c r="K64" i="45"/>
  <c r="K68" i="45"/>
  <c r="K72" i="45"/>
  <c r="K76" i="45"/>
  <c r="K80" i="45"/>
  <c r="K84" i="45"/>
  <c r="K88" i="45"/>
  <c r="K92" i="45"/>
  <c r="K96" i="45"/>
  <c r="K100" i="45"/>
  <c r="K104" i="45"/>
  <c r="K108" i="45"/>
  <c r="K112" i="45"/>
  <c r="K116" i="45"/>
  <c r="K120" i="45"/>
  <c r="K124" i="45"/>
  <c r="K128" i="45"/>
  <c r="K132" i="45"/>
  <c r="K136" i="45"/>
  <c r="K140" i="45"/>
  <c r="K144" i="45"/>
  <c r="K148" i="45"/>
  <c r="K152" i="45"/>
  <c r="K156" i="45"/>
  <c r="K160" i="45"/>
  <c r="K164" i="45"/>
  <c r="K168" i="45"/>
  <c r="K172" i="45"/>
  <c r="K176" i="45"/>
  <c r="K180" i="45"/>
  <c r="K184" i="45"/>
  <c r="K188" i="45"/>
  <c r="K192" i="45"/>
  <c r="K196" i="45"/>
  <c r="K200" i="45"/>
  <c r="K204" i="45"/>
  <c r="K208" i="45"/>
  <c r="K212" i="45"/>
  <c r="K216" i="45"/>
  <c r="K220" i="45"/>
  <c r="K224" i="45"/>
  <c r="K228" i="45"/>
  <c r="K232" i="45"/>
  <c r="K236" i="45"/>
  <c r="K240" i="45"/>
  <c r="K244" i="45"/>
  <c r="K248" i="45"/>
  <c r="K252" i="45"/>
  <c r="K256" i="45"/>
  <c r="K7" i="45"/>
  <c r="K11" i="45"/>
  <c r="K15" i="45"/>
  <c r="K19" i="45"/>
  <c r="K23" i="45"/>
  <c r="K27" i="45"/>
  <c r="K31" i="45"/>
  <c r="K35" i="45"/>
  <c r="K39" i="45"/>
  <c r="K43" i="45"/>
  <c r="K47" i="45"/>
  <c r="K51" i="45"/>
  <c r="K55" i="45"/>
  <c r="K59" i="45"/>
  <c r="K63" i="45"/>
  <c r="K67" i="45"/>
  <c r="K71" i="45"/>
  <c r="K75" i="45"/>
  <c r="K79" i="45"/>
  <c r="K83" i="45"/>
  <c r="K87" i="45"/>
  <c r="K91" i="45"/>
  <c r="K95" i="45"/>
  <c r="K99" i="45"/>
  <c r="K103" i="45"/>
  <c r="K107" i="45"/>
  <c r="K111" i="45"/>
  <c r="K115" i="45"/>
  <c r="K119" i="45"/>
  <c r="K123" i="45"/>
  <c r="K127" i="45"/>
  <c r="K131" i="45"/>
  <c r="K135" i="45"/>
  <c r="K139" i="45"/>
  <c r="K143" i="45"/>
  <c r="K147" i="45"/>
  <c r="K151" i="45"/>
  <c r="K155" i="45"/>
  <c r="K159" i="45"/>
  <c r="K163" i="45"/>
  <c r="K167" i="45"/>
  <c r="K171" i="45"/>
  <c r="K175" i="45"/>
  <c r="K179" i="45"/>
  <c r="K183" i="45"/>
  <c r="K187" i="45"/>
  <c r="K191" i="45"/>
  <c r="K195" i="45"/>
  <c r="K199" i="45"/>
  <c r="K203" i="45"/>
  <c r="K207" i="45"/>
  <c r="K211" i="45"/>
  <c r="K215" i="45"/>
  <c r="K219" i="45"/>
  <c r="K223" i="45"/>
  <c r="K227" i="45"/>
  <c r="K231" i="45"/>
  <c r="K235" i="45"/>
  <c r="K239" i="45"/>
  <c r="K243" i="45"/>
  <c r="K247" i="45"/>
  <c r="K251" i="45"/>
  <c r="K255" i="45"/>
  <c r="K332" i="45"/>
  <c r="K6" i="45"/>
  <c r="K14" i="45"/>
  <c r="K22" i="45"/>
  <c r="K30" i="45"/>
  <c r="K38" i="45"/>
  <c r="K46" i="45"/>
  <c r="K54" i="45"/>
  <c r="K62" i="45"/>
  <c r="K70" i="45"/>
  <c r="K78" i="45"/>
  <c r="K86" i="45"/>
  <c r="K94" i="45"/>
  <c r="K102" i="45"/>
  <c r="K110" i="45"/>
  <c r="K118" i="45"/>
  <c r="K126" i="45"/>
  <c r="K134" i="45"/>
  <c r="K142" i="45"/>
  <c r="K150" i="45"/>
  <c r="K158" i="45"/>
  <c r="K166" i="45"/>
  <c r="K174" i="45"/>
  <c r="K182" i="45"/>
  <c r="K190" i="45"/>
  <c r="K198" i="45"/>
  <c r="K206" i="45"/>
  <c r="K214" i="45"/>
  <c r="K222" i="45"/>
  <c r="K230" i="45"/>
  <c r="K238" i="45"/>
  <c r="K246" i="45"/>
  <c r="K254" i="45"/>
  <c r="K9" i="45"/>
  <c r="K17" i="45"/>
  <c r="K25" i="45"/>
  <c r="K33" i="45"/>
  <c r="K41" i="45"/>
  <c r="K49" i="45"/>
  <c r="K57" i="45"/>
  <c r="K65" i="45"/>
  <c r="K73" i="45"/>
  <c r="K81" i="45"/>
  <c r="K89" i="45"/>
  <c r="K97" i="45"/>
  <c r="K105" i="45"/>
  <c r="K113" i="45"/>
  <c r="K121" i="45"/>
  <c r="K129" i="45"/>
  <c r="K137" i="45"/>
  <c r="K145" i="45"/>
  <c r="K153" i="45"/>
  <c r="K161" i="45"/>
  <c r="K169" i="45"/>
  <c r="K177" i="45"/>
  <c r="K185" i="45"/>
  <c r="K193" i="45"/>
  <c r="K201" i="45"/>
  <c r="K209" i="45"/>
  <c r="K217" i="45"/>
  <c r="K225" i="45"/>
  <c r="K233" i="45"/>
  <c r="K241" i="45"/>
  <c r="K249" i="45"/>
  <c r="K257" i="45"/>
  <c r="K261" i="45"/>
  <c r="K265" i="45"/>
  <c r="K269" i="45"/>
  <c r="K273" i="45"/>
  <c r="K277" i="45"/>
  <c r="K281" i="45"/>
  <c r="K285" i="45"/>
  <c r="K289" i="45"/>
  <c r="K293" i="45"/>
  <c r="K297" i="45"/>
  <c r="K301" i="45"/>
  <c r="K305" i="45"/>
  <c r="K309" i="45"/>
  <c r="K313" i="45"/>
  <c r="K317" i="45"/>
  <c r="K325" i="45"/>
  <c r="K335" i="45"/>
  <c r="K258" i="45"/>
  <c r="K262" i="45"/>
  <c r="K266" i="45"/>
  <c r="K270" i="45"/>
  <c r="K274" i="45"/>
  <c r="K278" i="45"/>
  <c r="K282" i="45"/>
  <c r="K286" i="45"/>
  <c r="K290" i="45"/>
  <c r="K294" i="45"/>
  <c r="K298" i="45"/>
  <c r="K302" i="45"/>
  <c r="K306" i="45"/>
  <c r="K310" i="45"/>
  <c r="K314" i="45"/>
  <c r="K318" i="45"/>
  <c r="K322" i="45"/>
  <c r="K326" i="45"/>
  <c r="K330" i="45"/>
  <c r="K334" i="45"/>
  <c r="K338" i="45"/>
  <c r="K342" i="45"/>
  <c r="K323" i="45"/>
  <c r="K329" i="45"/>
  <c r="K337" i="45"/>
  <c r="K10" i="45"/>
  <c r="K18" i="45"/>
  <c r="K26" i="45"/>
  <c r="K34" i="45"/>
  <c r="K42" i="45"/>
  <c r="K50" i="45"/>
  <c r="K58" i="45"/>
  <c r="K66" i="45"/>
  <c r="K74" i="45"/>
  <c r="K82" i="45"/>
  <c r="K90" i="45"/>
  <c r="K98" i="45"/>
  <c r="K106" i="45"/>
  <c r="K114" i="45"/>
  <c r="K122" i="45"/>
  <c r="K130" i="45"/>
  <c r="K138" i="45"/>
  <c r="K146" i="45"/>
  <c r="K154" i="45"/>
  <c r="K162" i="45"/>
  <c r="K170" i="45"/>
  <c r="K178" i="45"/>
  <c r="K186" i="45"/>
  <c r="K194" i="45"/>
  <c r="K202" i="45"/>
  <c r="K210" i="45"/>
  <c r="K218" i="45"/>
  <c r="K226" i="45"/>
  <c r="K234" i="45"/>
  <c r="K242" i="45"/>
  <c r="K250" i="45"/>
  <c r="K5" i="45"/>
  <c r="K13" i="45"/>
  <c r="K21" i="45"/>
  <c r="K29" i="45"/>
  <c r="K37" i="45"/>
  <c r="K45" i="45"/>
  <c r="K53" i="45"/>
  <c r="K61" i="45"/>
  <c r="K69" i="45"/>
  <c r="K77" i="45"/>
  <c r="K85" i="45"/>
  <c r="K93" i="45"/>
  <c r="K101" i="45"/>
  <c r="K109" i="45"/>
  <c r="K117" i="45"/>
  <c r="K125" i="45"/>
  <c r="K133" i="45"/>
  <c r="K141" i="45"/>
  <c r="K149" i="45"/>
  <c r="K157" i="45"/>
  <c r="K165" i="45"/>
  <c r="K173" i="45"/>
  <c r="K181" i="45"/>
  <c r="K189" i="45"/>
  <c r="K197" i="45"/>
  <c r="K205" i="45"/>
  <c r="K213" i="45"/>
  <c r="K221" i="45"/>
  <c r="K229" i="45"/>
  <c r="K237" i="45"/>
  <c r="K245" i="45"/>
  <c r="K253" i="45"/>
  <c r="K259" i="45"/>
  <c r="K263" i="45"/>
  <c r="K267" i="45"/>
  <c r="K271" i="45"/>
  <c r="K275" i="45"/>
  <c r="K279" i="45"/>
  <c r="K283" i="45"/>
  <c r="K287" i="45"/>
  <c r="K291" i="45"/>
  <c r="K295" i="45"/>
  <c r="K299" i="45"/>
  <c r="K303" i="45"/>
  <c r="K307" i="45"/>
  <c r="K311" i="45"/>
  <c r="K315" i="45"/>
  <c r="K321" i="45"/>
  <c r="K331" i="45"/>
  <c r="K339" i="45"/>
  <c r="K260" i="45"/>
  <c r="K264" i="45"/>
  <c r="K268" i="45"/>
  <c r="K272" i="45"/>
  <c r="K276" i="45"/>
  <c r="K280" i="45"/>
  <c r="K284" i="45"/>
  <c r="K288" i="45"/>
  <c r="K292" i="45"/>
  <c r="K296" i="45"/>
  <c r="K300" i="45"/>
  <c r="K304" i="45"/>
  <c r="K308" i="45"/>
  <c r="K312" i="45"/>
  <c r="K316" i="45"/>
  <c r="K320" i="45"/>
  <c r="K324" i="45"/>
  <c r="K328" i="45"/>
  <c r="K336" i="45"/>
  <c r="K340" i="45"/>
  <c r="K319" i="45"/>
  <c r="K327" i="45"/>
  <c r="K333" i="45"/>
  <c r="K341" i="45"/>
  <c r="B25" i="44" l="1"/>
  <c r="P22" i="44"/>
  <c r="O22" i="44"/>
  <c r="N22" i="44"/>
  <c r="M22" i="44"/>
  <c r="L22" i="44"/>
  <c r="K22" i="44"/>
  <c r="J22" i="44"/>
  <c r="I22" i="44"/>
  <c r="H22" i="44"/>
  <c r="G22" i="44"/>
  <c r="F22" i="44"/>
  <c r="E22" i="44"/>
  <c r="B22" i="44"/>
  <c r="Q21" i="44"/>
  <c r="Q20" i="44"/>
  <c r="Q19" i="44"/>
  <c r="Q18" i="44"/>
  <c r="Q17" i="44"/>
  <c r="Q16" i="44"/>
  <c r="Q15" i="44"/>
  <c r="Q14" i="44"/>
  <c r="Q13" i="44"/>
  <c r="Q12" i="44"/>
  <c r="Q11" i="44"/>
  <c r="Q10" i="44"/>
  <c r="Q9" i="44"/>
  <c r="Q8" i="44"/>
  <c r="Q7" i="44"/>
  <c r="Q6" i="44"/>
  <c r="Q5" i="44"/>
  <c r="Q4" i="44"/>
  <c r="Q5" i="43"/>
  <c r="Q6" i="43"/>
  <c r="Q7" i="43"/>
  <c r="Q8" i="43"/>
  <c r="Q9" i="43"/>
  <c r="Q10" i="43"/>
  <c r="Q11" i="43"/>
  <c r="Q12" i="43"/>
  <c r="Q13" i="43"/>
  <c r="Q14" i="43"/>
  <c r="Q15" i="43"/>
  <c r="Q16" i="43"/>
  <c r="Q17" i="43"/>
  <c r="Q18" i="43"/>
  <c r="Q19" i="43"/>
  <c r="Q20" i="43"/>
  <c r="Q21" i="43"/>
  <c r="Q22" i="43"/>
  <c r="Q23" i="43"/>
  <c r="Q24" i="43"/>
  <c r="Q25" i="43"/>
  <c r="Q26" i="43"/>
  <c r="Q27" i="43"/>
  <c r="Q28" i="43"/>
  <c r="Q29" i="43"/>
  <c r="Q30" i="43"/>
  <c r="Q31" i="43"/>
  <c r="Q32" i="43"/>
  <c r="Q33" i="43"/>
  <c r="Q34" i="43"/>
  <c r="Q35" i="43"/>
  <c r="Q36" i="43"/>
  <c r="Q37" i="43"/>
  <c r="Q38" i="43"/>
  <c r="Q39" i="43"/>
  <c r="P43" i="43"/>
  <c r="O43" i="43"/>
  <c r="N43" i="43"/>
  <c r="M43" i="43"/>
  <c r="L43" i="43"/>
  <c r="K43" i="43"/>
  <c r="J43" i="43"/>
  <c r="I43" i="43"/>
  <c r="H43" i="43"/>
  <c r="G43" i="43"/>
  <c r="F43" i="43"/>
  <c r="E43" i="43"/>
  <c r="B43" i="43"/>
  <c r="B46" i="43" s="1"/>
  <c r="Q42" i="43"/>
  <c r="Q41" i="43"/>
  <c r="Q40" i="43"/>
  <c r="Q4" i="43"/>
  <c r="P22" i="42"/>
  <c r="O22" i="42"/>
  <c r="N22" i="42"/>
  <c r="M22" i="42"/>
  <c r="L22" i="42"/>
  <c r="K22" i="42"/>
  <c r="J22" i="42"/>
  <c r="I22" i="42"/>
  <c r="H22" i="42"/>
  <c r="G22" i="42"/>
  <c r="F22" i="42"/>
  <c r="E22" i="42"/>
  <c r="B22" i="42"/>
  <c r="B25" i="42" s="1"/>
  <c r="Q21" i="42"/>
  <c r="Q20" i="42"/>
  <c r="Q19" i="42"/>
  <c r="Q18" i="42"/>
  <c r="Q17" i="42"/>
  <c r="Q16" i="42"/>
  <c r="Q15" i="42"/>
  <c r="Q14" i="42"/>
  <c r="Q13" i="42"/>
  <c r="Q12" i="42"/>
  <c r="Q11" i="42"/>
  <c r="Q10" i="42"/>
  <c r="Q9" i="42"/>
  <c r="Q8" i="42"/>
  <c r="Q7" i="42"/>
  <c r="Q6" i="42"/>
  <c r="Q5" i="42"/>
  <c r="Q4" i="42"/>
  <c r="P48" i="41"/>
  <c r="O48" i="41"/>
  <c r="N48" i="41"/>
  <c r="M48" i="41"/>
  <c r="L48" i="41"/>
  <c r="K48" i="41"/>
  <c r="J48" i="41"/>
  <c r="I48" i="41"/>
  <c r="H48" i="41"/>
  <c r="G48" i="41"/>
  <c r="F48" i="41"/>
  <c r="E48" i="41"/>
  <c r="B48" i="41"/>
  <c r="B51" i="41" s="1"/>
  <c r="Q47" i="41"/>
  <c r="Q46" i="41"/>
  <c r="Q45" i="41"/>
  <c r="Q44" i="41"/>
  <c r="Q43" i="41"/>
  <c r="Q42" i="41"/>
  <c r="Q41" i="41"/>
  <c r="Q40" i="41"/>
  <c r="Q39" i="41"/>
  <c r="Q38" i="41"/>
  <c r="Q37" i="41"/>
  <c r="Q36" i="41"/>
  <c r="Q35" i="41"/>
  <c r="Q34" i="41"/>
  <c r="Q33" i="41"/>
  <c r="Q32" i="41"/>
  <c r="Q31" i="41"/>
  <c r="Q30" i="41"/>
  <c r="Q29" i="41"/>
  <c r="Q28" i="41"/>
  <c r="Q27" i="41"/>
  <c r="Q26" i="41"/>
  <c r="Q25" i="41"/>
  <c r="Q24" i="41"/>
  <c r="Q23" i="41"/>
  <c r="Q22" i="41"/>
  <c r="Q21" i="41"/>
  <c r="Q20" i="41"/>
  <c r="Q19" i="41"/>
  <c r="Q18" i="41"/>
  <c r="Q17" i="41"/>
  <c r="Q16" i="41"/>
  <c r="Q15" i="41"/>
  <c r="Q14" i="41"/>
  <c r="Q13" i="41"/>
  <c r="Q12" i="41"/>
  <c r="Q11" i="41"/>
  <c r="Q10" i="41"/>
  <c r="Q9" i="41"/>
  <c r="Q8" i="41"/>
  <c r="Q7" i="41"/>
  <c r="Q6" i="41"/>
  <c r="Q5" i="41"/>
  <c r="Q4" i="41"/>
  <c r="Q19" i="40"/>
  <c r="P37" i="40"/>
  <c r="O37" i="40"/>
  <c r="N37" i="40"/>
  <c r="M37" i="40"/>
  <c r="L37" i="40"/>
  <c r="K37" i="40"/>
  <c r="J37" i="40"/>
  <c r="I37" i="40"/>
  <c r="H37" i="40"/>
  <c r="G37" i="40"/>
  <c r="F37" i="40"/>
  <c r="E37" i="40"/>
  <c r="B37" i="40"/>
  <c r="B40" i="40" s="1"/>
  <c r="Q36" i="40"/>
  <c r="Q35" i="40"/>
  <c r="Q34" i="40"/>
  <c r="Q33" i="40"/>
  <c r="Q32" i="40"/>
  <c r="Q31" i="40"/>
  <c r="Q30" i="40"/>
  <c r="Q29" i="40"/>
  <c r="Q28" i="40"/>
  <c r="Q27" i="40"/>
  <c r="Q26" i="40"/>
  <c r="Q25" i="40"/>
  <c r="Q24" i="40"/>
  <c r="Q23" i="40"/>
  <c r="Q22" i="40"/>
  <c r="Q21" i="40"/>
  <c r="Q20" i="40"/>
  <c r="Q18" i="40"/>
  <c r="Q17" i="40"/>
  <c r="Q16" i="40"/>
  <c r="Q15" i="40"/>
  <c r="Q14" i="40"/>
  <c r="Q13" i="40"/>
  <c r="Q12" i="40"/>
  <c r="Q11" i="40"/>
  <c r="Q10" i="40"/>
  <c r="Q9" i="40"/>
  <c r="Q8" i="40"/>
  <c r="Q7" i="40"/>
  <c r="Q6" i="40"/>
  <c r="Q5" i="40"/>
  <c r="Q4" i="40"/>
  <c r="P8" i="39"/>
  <c r="O8" i="39"/>
  <c r="N8" i="39"/>
  <c r="M8" i="39"/>
  <c r="L8" i="39"/>
  <c r="K8" i="39"/>
  <c r="J8" i="39"/>
  <c r="I8" i="39"/>
  <c r="H8" i="39"/>
  <c r="G8" i="39"/>
  <c r="F8" i="39"/>
  <c r="E8" i="39"/>
  <c r="B8" i="39"/>
  <c r="B11" i="39" s="1"/>
  <c r="Q7" i="39"/>
  <c r="Q6" i="39"/>
  <c r="Q5" i="39"/>
  <c r="Q4" i="39"/>
  <c r="P9" i="38"/>
  <c r="O9" i="38"/>
  <c r="N9" i="38"/>
  <c r="M9" i="38"/>
  <c r="L9" i="38"/>
  <c r="K9" i="38"/>
  <c r="J9" i="38"/>
  <c r="I9" i="38"/>
  <c r="H9" i="38"/>
  <c r="G9" i="38"/>
  <c r="F9" i="38"/>
  <c r="E9" i="38"/>
  <c r="B9" i="38"/>
  <c r="B12" i="38" s="1"/>
  <c r="Q8" i="38"/>
  <c r="Q7" i="38"/>
  <c r="Q6" i="38"/>
  <c r="Q5" i="38"/>
  <c r="Q4" i="38"/>
  <c r="P14" i="37"/>
  <c r="O14" i="37"/>
  <c r="N14" i="37"/>
  <c r="M14" i="37"/>
  <c r="L14" i="37"/>
  <c r="K14" i="37"/>
  <c r="J14" i="37"/>
  <c r="I14" i="37"/>
  <c r="H14" i="37"/>
  <c r="G14" i="37"/>
  <c r="F14" i="37"/>
  <c r="E14" i="37"/>
  <c r="B14" i="37"/>
  <c r="B17" i="37" s="1"/>
  <c r="Q13" i="37"/>
  <c r="Q12" i="37"/>
  <c r="Q11" i="37"/>
  <c r="Q10" i="37"/>
  <c r="Q9" i="37"/>
  <c r="Q8" i="37"/>
  <c r="Q7" i="37"/>
  <c r="Q6" i="37"/>
  <c r="Q5" i="37"/>
  <c r="Q4" i="37"/>
  <c r="P27" i="36"/>
  <c r="O27" i="36"/>
  <c r="N27" i="36"/>
  <c r="M27" i="36"/>
  <c r="L27" i="36"/>
  <c r="K27" i="36"/>
  <c r="J27" i="36"/>
  <c r="I27" i="36"/>
  <c r="H27" i="36"/>
  <c r="G27" i="36"/>
  <c r="F27" i="36"/>
  <c r="E27" i="36"/>
  <c r="B27" i="36"/>
  <c r="B30" i="36" s="1"/>
  <c r="Q26" i="36"/>
  <c r="Q25" i="36"/>
  <c r="Q24" i="36"/>
  <c r="Q23" i="36"/>
  <c r="Q22" i="36"/>
  <c r="Q21" i="36"/>
  <c r="Q20" i="36"/>
  <c r="Q19" i="36"/>
  <c r="Q18" i="36"/>
  <c r="Q17" i="36"/>
  <c r="Q16" i="36"/>
  <c r="Q15" i="36"/>
  <c r="Q14" i="36"/>
  <c r="Q13" i="36"/>
  <c r="Q12" i="36"/>
  <c r="Q11" i="36"/>
  <c r="Q10" i="36"/>
  <c r="Q9" i="36"/>
  <c r="Q8" i="36"/>
  <c r="Q7" i="36"/>
  <c r="Q6" i="36"/>
  <c r="Q5" i="36"/>
  <c r="Q4" i="36"/>
  <c r="B34" i="35"/>
  <c r="P31" i="35"/>
  <c r="O31" i="35"/>
  <c r="N31" i="35"/>
  <c r="M31" i="35"/>
  <c r="L31" i="35"/>
  <c r="K31" i="35"/>
  <c r="J31" i="35"/>
  <c r="I31" i="35"/>
  <c r="H31" i="35"/>
  <c r="G31" i="35"/>
  <c r="F31" i="35"/>
  <c r="E31" i="35"/>
  <c r="B31" i="35"/>
  <c r="Q30" i="35"/>
  <c r="Q29" i="35"/>
  <c r="Q28" i="35"/>
  <c r="Q27" i="35"/>
  <c r="Q26" i="35"/>
  <c r="Q25" i="35"/>
  <c r="Q24" i="35"/>
  <c r="Q23" i="35"/>
  <c r="Q22" i="35"/>
  <c r="Q21" i="35"/>
  <c r="Q20" i="35"/>
  <c r="Q19" i="35"/>
  <c r="Q18" i="35"/>
  <c r="Q17" i="35"/>
  <c r="Q16" i="35"/>
  <c r="Q15" i="35"/>
  <c r="Q14" i="35"/>
  <c r="Q13" i="35"/>
  <c r="Q12" i="35"/>
  <c r="Q11" i="35"/>
  <c r="Q10" i="35"/>
  <c r="Q9" i="35"/>
  <c r="Q8" i="35"/>
  <c r="Q7" i="35"/>
  <c r="Q6" i="35"/>
  <c r="Q5" i="35"/>
  <c r="Q4" i="35"/>
  <c r="Q31" i="35" s="1"/>
  <c r="Q19" i="34"/>
  <c r="Q20" i="34"/>
  <c r="Q21" i="34"/>
  <c r="Q22" i="34"/>
  <c r="Q23" i="34"/>
  <c r="Q24" i="34"/>
  <c r="Q25" i="34"/>
  <c r="Q26" i="34"/>
  <c r="Q27" i="34"/>
  <c r="Q28" i="34"/>
  <c r="Q29" i="34"/>
  <c r="Q30" i="34"/>
  <c r="Q31" i="34"/>
  <c r="Q32" i="34"/>
  <c r="Q33" i="34"/>
  <c r="P48" i="34"/>
  <c r="O48" i="34"/>
  <c r="N48" i="34"/>
  <c r="M48" i="34"/>
  <c r="L48" i="34"/>
  <c r="K48" i="34"/>
  <c r="J48" i="34"/>
  <c r="I48" i="34"/>
  <c r="H48" i="34"/>
  <c r="G48" i="34"/>
  <c r="F48" i="34"/>
  <c r="E48" i="34"/>
  <c r="B48" i="34"/>
  <c r="B51" i="34" s="1"/>
  <c r="Q47" i="34"/>
  <c r="Q46" i="34"/>
  <c r="Q45" i="34"/>
  <c r="Q44" i="34"/>
  <c r="Q43" i="34"/>
  <c r="Q42" i="34"/>
  <c r="Q41" i="34"/>
  <c r="Q40" i="34"/>
  <c r="Q39" i="34"/>
  <c r="Q38" i="34"/>
  <c r="Q37" i="34"/>
  <c r="Q36" i="34"/>
  <c r="Q35" i="34"/>
  <c r="Q34" i="34"/>
  <c r="Q18" i="34"/>
  <c r="Q17" i="34"/>
  <c r="Q16" i="34"/>
  <c r="Q15" i="34"/>
  <c r="Q14" i="34"/>
  <c r="Q13" i="34"/>
  <c r="Q12" i="34"/>
  <c r="Q11" i="34"/>
  <c r="Q10" i="34"/>
  <c r="Q9" i="34"/>
  <c r="Q8" i="34"/>
  <c r="Q7" i="34"/>
  <c r="Q6" i="34"/>
  <c r="Q5" i="34"/>
  <c r="Q4" i="34"/>
  <c r="Q13" i="33"/>
  <c r="Q24" i="33"/>
  <c r="Q25" i="33"/>
  <c r="Q26" i="33"/>
  <c r="Q27" i="33"/>
  <c r="Q28" i="33"/>
  <c r="Q29" i="33"/>
  <c r="Q30" i="33"/>
  <c r="Q31" i="33"/>
  <c r="Q32" i="33"/>
  <c r="Q33" i="33"/>
  <c r="Q34" i="33"/>
  <c r="Q35" i="33"/>
  <c r="Q36" i="33"/>
  <c r="Q37" i="33"/>
  <c r="Q38" i="33"/>
  <c r="Q39" i="33"/>
  <c r="Q40" i="33"/>
  <c r="Q9" i="33"/>
  <c r="Q10" i="33"/>
  <c r="Q11" i="33"/>
  <c r="Q12" i="33"/>
  <c r="Q14" i="33"/>
  <c r="Q15" i="33"/>
  <c r="Q16" i="33"/>
  <c r="Q17" i="33"/>
  <c r="Q18" i="33"/>
  <c r="Q19" i="33"/>
  <c r="Q20" i="33"/>
  <c r="Q21" i="33"/>
  <c r="Q22" i="33"/>
  <c r="Q23" i="33"/>
  <c r="Q41" i="33"/>
  <c r="Q42" i="33"/>
  <c r="Q43" i="33"/>
  <c r="Q44" i="33"/>
  <c r="Q45" i="33"/>
  <c r="Q46" i="33"/>
  <c r="Q47" i="33"/>
  <c r="Q48" i="33"/>
  <c r="Q49" i="33"/>
  <c r="Q50" i="33"/>
  <c r="Q51" i="33"/>
  <c r="Q52" i="33"/>
  <c r="Q53" i="33"/>
  <c r="Q54" i="33"/>
  <c r="Q55" i="33"/>
  <c r="Q56" i="33"/>
  <c r="Q57" i="33"/>
  <c r="Q58" i="33"/>
  <c r="Q59" i="33"/>
  <c r="Q60" i="33"/>
  <c r="Q61" i="33"/>
  <c r="Q62" i="33"/>
  <c r="Q63" i="33"/>
  <c r="Q64" i="33"/>
  <c r="Q65" i="33"/>
  <c r="Q66" i="33"/>
  <c r="Q67" i="33"/>
  <c r="Q68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B80" i="33"/>
  <c r="B83" i="33" s="1"/>
  <c r="Q79" i="33"/>
  <c r="Q78" i="33"/>
  <c r="Q77" i="33"/>
  <c r="Q76" i="33"/>
  <c r="Q75" i="33"/>
  <c r="Q74" i="33"/>
  <c r="Q73" i="33"/>
  <c r="Q72" i="33"/>
  <c r="Q71" i="33"/>
  <c r="Q70" i="33"/>
  <c r="Q69" i="33"/>
  <c r="Q8" i="33"/>
  <c r="Q7" i="33"/>
  <c r="Q6" i="33"/>
  <c r="Q5" i="33"/>
  <c r="Q4" i="33"/>
  <c r="Q10" i="32"/>
  <c r="Q11" i="32"/>
  <c r="Q12" i="32"/>
  <c r="Q13" i="32"/>
  <c r="Q14" i="32"/>
  <c r="Q15" i="32"/>
  <c r="Q16" i="32"/>
  <c r="Q17" i="32"/>
  <c r="Q18" i="32"/>
  <c r="Q19" i="32"/>
  <c r="P52" i="32"/>
  <c r="O52" i="32"/>
  <c r="N52" i="32"/>
  <c r="M52" i="32"/>
  <c r="L52" i="32"/>
  <c r="K52" i="32"/>
  <c r="J52" i="32"/>
  <c r="I52" i="32"/>
  <c r="H52" i="32"/>
  <c r="G52" i="32"/>
  <c r="F52" i="32"/>
  <c r="E52" i="32"/>
  <c r="B52" i="32"/>
  <c r="B55" i="32" s="1"/>
  <c r="Q51" i="32"/>
  <c r="Q50" i="32"/>
  <c r="Q49" i="32"/>
  <c r="Q48" i="32"/>
  <c r="Q47" i="32"/>
  <c r="Q46" i="32"/>
  <c r="Q45" i="32"/>
  <c r="Q44" i="32"/>
  <c r="Q43" i="32"/>
  <c r="Q42" i="32"/>
  <c r="Q41" i="32"/>
  <c r="Q40" i="32"/>
  <c r="Q39" i="32"/>
  <c r="Q38" i="32"/>
  <c r="Q37" i="32"/>
  <c r="Q36" i="32"/>
  <c r="Q35" i="32"/>
  <c r="Q34" i="32"/>
  <c r="Q33" i="32"/>
  <c r="Q32" i="32"/>
  <c r="Q31" i="32"/>
  <c r="Q30" i="32"/>
  <c r="Q29" i="32"/>
  <c r="Q28" i="32"/>
  <c r="Q27" i="32"/>
  <c r="Q26" i="32"/>
  <c r="Q25" i="32"/>
  <c r="Q24" i="32"/>
  <c r="Q23" i="32"/>
  <c r="Q22" i="32"/>
  <c r="Q21" i="32"/>
  <c r="Q20" i="32"/>
  <c r="Q9" i="32"/>
  <c r="Q8" i="32"/>
  <c r="Q7" i="32"/>
  <c r="Q6" i="32"/>
  <c r="Q5" i="32"/>
  <c r="Q4" i="32"/>
  <c r="P31" i="31"/>
  <c r="O31" i="31"/>
  <c r="N31" i="31"/>
  <c r="M31" i="31"/>
  <c r="L31" i="31"/>
  <c r="K31" i="31"/>
  <c r="J31" i="31"/>
  <c r="I31" i="31"/>
  <c r="H31" i="31"/>
  <c r="G31" i="31"/>
  <c r="F31" i="31"/>
  <c r="E31" i="31"/>
  <c r="B31" i="31"/>
  <c r="B34" i="31" s="1"/>
  <c r="Q30" i="31"/>
  <c r="Q29" i="31"/>
  <c r="Q28" i="31"/>
  <c r="Q27" i="31"/>
  <c r="Q26" i="31"/>
  <c r="Q25" i="31"/>
  <c r="Q24" i="31"/>
  <c r="Q23" i="31"/>
  <c r="Q22" i="31"/>
  <c r="Q21" i="31"/>
  <c r="Q20" i="31"/>
  <c r="Q19" i="31"/>
  <c r="Q18" i="31"/>
  <c r="Q17" i="31"/>
  <c r="Q16" i="31"/>
  <c r="Q15" i="31"/>
  <c r="Q14" i="31"/>
  <c r="Q13" i="31"/>
  <c r="Q12" i="31"/>
  <c r="Q11" i="31"/>
  <c r="Q10" i="31"/>
  <c r="Q9" i="31"/>
  <c r="Q8" i="31"/>
  <c r="Q7" i="31"/>
  <c r="Q6" i="31"/>
  <c r="Q5" i="31"/>
  <c r="Q4" i="31"/>
  <c r="Q22" i="44" l="1"/>
  <c r="Q43" i="43"/>
  <c r="Q22" i="42"/>
  <c r="Q48" i="41"/>
  <c r="Q37" i="40"/>
  <c r="Q8" i="39"/>
  <c r="Q9" i="38"/>
  <c r="Q14" i="37"/>
  <c r="Q27" i="36"/>
  <c r="Q48" i="34"/>
  <c r="Q80" i="33"/>
  <c r="Q52" i="32"/>
  <c r="Q31" i="31"/>
  <c r="P39" i="30"/>
  <c r="O39" i="30"/>
  <c r="N39" i="30"/>
  <c r="M39" i="30"/>
  <c r="L39" i="30"/>
  <c r="K39" i="30"/>
  <c r="J39" i="30"/>
  <c r="I39" i="30"/>
  <c r="H39" i="30"/>
  <c r="G39" i="30"/>
  <c r="F39" i="30"/>
  <c r="E39" i="30"/>
  <c r="B39" i="30"/>
  <c r="B42" i="30" s="1"/>
  <c r="Q38" i="30"/>
  <c r="Q37" i="30"/>
  <c r="Q36" i="30"/>
  <c r="Q35" i="30"/>
  <c r="Q34" i="30"/>
  <c r="Q33" i="30"/>
  <c r="Q32" i="30"/>
  <c r="Q31" i="30"/>
  <c r="Q30" i="30"/>
  <c r="Q29" i="30"/>
  <c r="Q28" i="30"/>
  <c r="Q27" i="30"/>
  <c r="Q26" i="30"/>
  <c r="Q25" i="30"/>
  <c r="Q24" i="30"/>
  <c r="Q23" i="30"/>
  <c r="Q22" i="30"/>
  <c r="Q21" i="30"/>
  <c r="Q20" i="30"/>
  <c r="Q19" i="30"/>
  <c r="Q18" i="30"/>
  <c r="Q17" i="30"/>
  <c r="Q16" i="30"/>
  <c r="Q15" i="30"/>
  <c r="Q14" i="30"/>
  <c r="Q13" i="30"/>
  <c r="Q12" i="30"/>
  <c r="Q11" i="30"/>
  <c r="Q10" i="30"/>
  <c r="Q9" i="30"/>
  <c r="Q8" i="30"/>
  <c r="Q7" i="30"/>
  <c r="Q6" i="30"/>
  <c r="Q5" i="30"/>
  <c r="Q4" i="30"/>
  <c r="Q39" i="30" l="1"/>
  <c r="Q11" i="29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P45" i="29"/>
  <c r="O45" i="29"/>
  <c r="N45" i="29"/>
  <c r="M45" i="29"/>
  <c r="L45" i="29"/>
  <c r="K45" i="29"/>
  <c r="J45" i="29"/>
  <c r="I45" i="29"/>
  <c r="H45" i="29"/>
  <c r="G45" i="29"/>
  <c r="F45" i="29"/>
  <c r="E45" i="29"/>
  <c r="B45" i="29"/>
  <c r="B48" i="29" s="1"/>
  <c r="Q44" i="29"/>
  <c r="Q43" i="29"/>
  <c r="Q42" i="29"/>
  <c r="Q41" i="29"/>
  <c r="Q40" i="29"/>
  <c r="Q39" i="29"/>
  <c r="Q38" i="29"/>
  <c r="Q37" i="29"/>
  <c r="Q36" i="29"/>
  <c r="Q35" i="29"/>
  <c r="Q34" i="29"/>
  <c r="Q33" i="29"/>
  <c r="Q32" i="29"/>
  <c r="Q31" i="29"/>
  <c r="Q30" i="29"/>
  <c r="Q29" i="29"/>
  <c r="Q28" i="29"/>
  <c r="Q27" i="29"/>
  <c r="Q10" i="29"/>
  <c r="Q9" i="29"/>
  <c r="Q8" i="29"/>
  <c r="Q7" i="29"/>
  <c r="Q6" i="29"/>
  <c r="Q5" i="29"/>
  <c r="Q4" i="29"/>
  <c r="P20" i="28"/>
  <c r="O20" i="28"/>
  <c r="N20" i="28"/>
  <c r="M20" i="28"/>
  <c r="L20" i="28"/>
  <c r="K20" i="28"/>
  <c r="J20" i="28"/>
  <c r="I20" i="28"/>
  <c r="H20" i="28"/>
  <c r="G20" i="28"/>
  <c r="F20" i="28"/>
  <c r="E20" i="28"/>
  <c r="B20" i="28"/>
  <c r="B23" i="28" s="1"/>
  <c r="Q19" i="28"/>
  <c r="Q18" i="28"/>
  <c r="Q17" i="28"/>
  <c r="Q16" i="28"/>
  <c r="Q15" i="28"/>
  <c r="Q14" i="28"/>
  <c r="Q13" i="28"/>
  <c r="Q12" i="28"/>
  <c r="Q11" i="28"/>
  <c r="Q10" i="28"/>
  <c r="Q9" i="28"/>
  <c r="Q8" i="28"/>
  <c r="Q7" i="28"/>
  <c r="Q6" i="28"/>
  <c r="Q5" i="28"/>
  <c r="Q4" i="28"/>
  <c r="Q12" i="27"/>
  <c r="Q20" i="26"/>
  <c r="P12" i="27"/>
  <c r="O12" i="27"/>
  <c r="N12" i="27"/>
  <c r="M12" i="27"/>
  <c r="L12" i="27"/>
  <c r="K12" i="27"/>
  <c r="J12" i="27"/>
  <c r="I12" i="27"/>
  <c r="H12" i="27"/>
  <c r="G12" i="27"/>
  <c r="F12" i="27"/>
  <c r="E12" i="27"/>
  <c r="B12" i="27"/>
  <c r="B15" i="27" s="1"/>
  <c r="Q11" i="27"/>
  <c r="Q10" i="27"/>
  <c r="Q9" i="27"/>
  <c r="Q8" i="27"/>
  <c r="Q7" i="27"/>
  <c r="Q6" i="27"/>
  <c r="Q5" i="27"/>
  <c r="Q4" i="27"/>
  <c r="Q45" i="29" l="1"/>
  <c r="Q20" i="28"/>
  <c r="Q7" i="17"/>
  <c r="Q8" i="17"/>
  <c r="Q9" i="17"/>
  <c r="Q10" i="17"/>
  <c r="Q11" i="17"/>
  <c r="Q12" i="17"/>
  <c r="Q13" i="17"/>
  <c r="Q14" i="17"/>
  <c r="Q15" i="17"/>
  <c r="Q16" i="17"/>
  <c r="Q18" i="17"/>
  <c r="Q19" i="17"/>
  <c r="Q20" i="17"/>
  <c r="Q22" i="17"/>
  <c r="Q23" i="17"/>
  <c r="Q24" i="17"/>
  <c r="Q26" i="17"/>
  <c r="Q27" i="17"/>
  <c r="Q28" i="17"/>
  <c r="Q29" i="17"/>
  <c r="Q30" i="17"/>
  <c r="Q31" i="17"/>
  <c r="Q32" i="17"/>
  <c r="Q5" i="17"/>
  <c r="Q6" i="17"/>
  <c r="Q17" i="17"/>
  <c r="Q21" i="17"/>
  <c r="Q25" i="17"/>
  <c r="Q33" i="17"/>
  <c r="Q5" i="26"/>
  <c r="Q6" i="26"/>
  <c r="Q7" i="26"/>
  <c r="Q8" i="26"/>
  <c r="Q9" i="26"/>
  <c r="Q10" i="26"/>
  <c r="Q11" i="26"/>
  <c r="Q12" i="26"/>
  <c r="Q13" i="26"/>
  <c r="Q14" i="26"/>
  <c r="Q15" i="26"/>
  <c r="Q16" i="26"/>
  <c r="Q17" i="26"/>
  <c r="Q18" i="26"/>
  <c r="Q19" i="26"/>
  <c r="P20" i="26"/>
  <c r="O20" i="26"/>
  <c r="N20" i="26"/>
  <c r="M20" i="26"/>
  <c r="L20" i="26"/>
  <c r="K20" i="26"/>
  <c r="J20" i="26"/>
  <c r="I20" i="26"/>
  <c r="H20" i="26"/>
  <c r="G20" i="26"/>
  <c r="F20" i="26"/>
  <c r="E20" i="26"/>
  <c r="B20" i="26"/>
  <c r="B23" i="26" s="1"/>
  <c r="Q4" i="26"/>
  <c r="B34" i="17"/>
  <c r="B37" i="17" s="1"/>
  <c r="P34" i="17"/>
  <c r="N34" i="17"/>
  <c r="O34" i="17"/>
  <c r="M34" i="17"/>
  <c r="L34" i="17"/>
  <c r="K34" i="17"/>
  <c r="I34" i="17"/>
  <c r="H34" i="17"/>
  <c r="G34" i="17"/>
  <c r="F34" i="17"/>
  <c r="J34" i="17" l="1"/>
  <c r="E34" i="17"/>
  <c r="Q4" i="17" l="1"/>
  <c r="Q34" i="17" s="1"/>
  <c r="D6" i="25"/>
  <c r="D18" i="25"/>
  <c r="D41" i="25"/>
  <c r="D39" i="25"/>
  <c r="D36" i="25"/>
  <c r="D32" i="25"/>
  <c r="D30" i="25"/>
  <c r="D25" i="25"/>
  <c r="D23" i="25"/>
  <c r="D21" i="25"/>
  <c r="D37" i="24"/>
  <c r="D31" i="24"/>
  <c r="D27" i="24"/>
  <c r="D24" i="24"/>
  <c r="D22" i="24"/>
  <c r="D17" i="24"/>
  <c r="D15" i="24"/>
  <c r="D13" i="24"/>
  <c r="D11" i="24"/>
  <c r="D5" i="24"/>
  <c r="BI22" i="21"/>
  <c r="BI23" i="21"/>
  <c r="BI24" i="21"/>
  <c r="BI25" i="21"/>
  <c r="BI26" i="21"/>
  <c r="BI27" i="21"/>
  <c r="BI28" i="21"/>
  <c r="BI29" i="21"/>
  <c r="BI11" i="21"/>
  <c r="BI12" i="21"/>
  <c r="BI13" i="21"/>
  <c r="BI14" i="21"/>
  <c r="BI15" i="21"/>
  <c r="BI16" i="21"/>
  <c r="BI8" i="21"/>
  <c r="BI9" i="21"/>
  <c r="BI10" i="21"/>
  <c r="BH30" i="21"/>
  <c r="BI30" i="21" s="1"/>
  <c r="BG30" i="21"/>
  <c r="BI21" i="21"/>
  <c r="BI20" i="21"/>
  <c r="BH18" i="21"/>
  <c r="BI18" i="21" s="1"/>
  <c r="BG18" i="21"/>
  <c r="BG32" i="21"/>
  <c r="BI17" i="21"/>
  <c r="D8" i="21"/>
  <c r="I8" i="21"/>
  <c r="N8" i="21"/>
  <c r="S8" i="21"/>
  <c r="X8" i="21"/>
  <c r="AC8" i="21"/>
  <c r="AH8" i="21"/>
  <c r="AM8" i="21"/>
  <c r="AR8" i="21"/>
  <c r="AW8" i="21"/>
  <c r="BC8" i="21"/>
  <c r="D9" i="21"/>
  <c r="I9" i="21"/>
  <c r="N9" i="21"/>
  <c r="S9" i="21"/>
  <c r="X9" i="21"/>
  <c r="AC9" i="21"/>
  <c r="AH9" i="21"/>
  <c r="AM9" i="21"/>
  <c r="AR9" i="21"/>
  <c r="AW9" i="21"/>
  <c r="BC9" i="21"/>
  <c r="D10" i="21"/>
  <c r="I10" i="21"/>
  <c r="N10" i="21"/>
  <c r="S10" i="21"/>
  <c r="X10" i="21"/>
  <c r="AC10" i="21"/>
  <c r="AH10" i="21"/>
  <c r="AM10" i="21"/>
  <c r="AR10" i="21"/>
  <c r="AW10" i="21"/>
  <c r="BC10" i="21"/>
  <c r="D11" i="21"/>
  <c r="I11" i="21"/>
  <c r="N11" i="21"/>
  <c r="S11" i="21"/>
  <c r="X11" i="21"/>
  <c r="AC11" i="21"/>
  <c r="AH11" i="21"/>
  <c r="AM11" i="21"/>
  <c r="AR11" i="21"/>
  <c r="AW11" i="21"/>
  <c r="BC11" i="21"/>
  <c r="D12" i="21"/>
  <c r="I12" i="21"/>
  <c r="N12" i="21"/>
  <c r="S12" i="21"/>
  <c r="X12" i="21"/>
  <c r="AC12" i="21"/>
  <c r="AH12" i="21"/>
  <c r="AM12" i="21"/>
  <c r="AR12" i="21"/>
  <c r="AW12" i="21"/>
  <c r="BC12" i="21"/>
  <c r="D13" i="21"/>
  <c r="I13" i="21"/>
  <c r="N13" i="21"/>
  <c r="S13" i="21"/>
  <c r="X13" i="21"/>
  <c r="AC13" i="21"/>
  <c r="AH13" i="21"/>
  <c r="AM13" i="21"/>
  <c r="AR13" i="21"/>
  <c r="AW13" i="21"/>
  <c r="BC13" i="21"/>
  <c r="D14" i="21"/>
  <c r="I14" i="21"/>
  <c r="N14" i="21"/>
  <c r="S14" i="21"/>
  <c r="X14" i="21"/>
  <c r="AC14" i="21"/>
  <c r="AH14" i="21"/>
  <c r="AM14" i="21"/>
  <c r="AR14" i="21"/>
  <c r="AW14" i="21"/>
  <c r="BC14" i="21"/>
  <c r="D15" i="21"/>
  <c r="I15" i="21"/>
  <c r="N15" i="21"/>
  <c r="S15" i="21"/>
  <c r="X15" i="21"/>
  <c r="AC15" i="21"/>
  <c r="AH15" i="21"/>
  <c r="AM15" i="21"/>
  <c r="AR15" i="21"/>
  <c r="AW15" i="21"/>
  <c r="BC15" i="21"/>
  <c r="D16" i="21"/>
  <c r="I16" i="21"/>
  <c r="N16" i="21"/>
  <c r="S16" i="21"/>
  <c r="X16" i="21"/>
  <c r="AC16" i="21"/>
  <c r="AH16" i="21"/>
  <c r="AM16" i="21"/>
  <c r="AR16" i="21"/>
  <c r="AW16" i="21"/>
  <c r="BC16" i="21"/>
  <c r="D17" i="21"/>
  <c r="I17" i="21"/>
  <c r="N17" i="21"/>
  <c r="S17" i="21"/>
  <c r="X17" i="21"/>
  <c r="AC17" i="21"/>
  <c r="AH17" i="21"/>
  <c r="AM17" i="21"/>
  <c r="AR17" i="21"/>
  <c r="AW17" i="21"/>
  <c r="BC17" i="21"/>
  <c r="B18" i="21"/>
  <c r="C18" i="21"/>
  <c r="G18" i="21"/>
  <c r="G32" i="21" s="1"/>
  <c r="H18" i="21"/>
  <c r="L18" i="21"/>
  <c r="M18" i="21"/>
  <c r="Q18" i="21"/>
  <c r="R18" i="21"/>
  <c r="R32" i="21" s="1"/>
  <c r="S32" i="21" s="1"/>
  <c r="V18" i="21"/>
  <c r="W18" i="21"/>
  <c r="W32" i="21" s="1"/>
  <c r="AA18" i="21"/>
  <c r="AB18" i="21"/>
  <c r="AB32" i="21" s="1"/>
  <c r="AC32" i="21" s="1"/>
  <c r="AF18" i="21"/>
  <c r="AH18" i="21" s="1"/>
  <c r="AF32" i="21"/>
  <c r="AG18" i="21"/>
  <c r="AK18" i="21"/>
  <c r="AK32" i="21" s="1"/>
  <c r="AL18" i="21"/>
  <c r="AL32" i="21" s="1"/>
  <c r="AP18" i="21"/>
  <c r="AR18" i="21" s="1"/>
  <c r="AQ18" i="21"/>
  <c r="AU18" i="21"/>
  <c r="AU32" i="21" s="1"/>
  <c r="AW18" i="21"/>
  <c r="AV18" i="21"/>
  <c r="BA18" i="21"/>
  <c r="BA32" i="21"/>
  <c r="BB18" i="21"/>
  <c r="BC18" i="21" s="1"/>
  <c r="D20" i="21"/>
  <c r="I20" i="21"/>
  <c r="N20" i="21"/>
  <c r="S20" i="21"/>
  <c r="X20" i="21"/>
  <c r="AC20" i="21"/>
  <c r="AH20" i="21"/>
  <c r="AM20" i="21"/>
  <c r="AR20" i="21"/>
  <c r="AW20" i="21"/>
  <c r="BC20" i="21"/>
  <c r="D21" i="21"/>
  <c r="I21" i="21"/>
  <c r="N21" i="21"/>
  <c r="S21" i="21"/>
  <c r="X21" i="21"/>
  <c r="AC21" i="21"/>
  <c r="AH21" i="21"/>
  <c r="AM21" i="21"/>
  <c r="AR21" i="21"/>
  <c r="AW21" i="21"/>
  <c r="BC21" i="21"/>
  <c r="D22" i="21"/>
  <c r="I22" i="21"/>
  <c r="N22" i="21"/>
  <c r="S22" i="21"/>
  <c r="X22" i="21"/>
  <c r="AC22" i="21"/>
  <c r="AH22" i="21"/>
  <c r="AM22" i="21"/>
  <c r="AR22" i="21"/>
  <c r="AW22" i="21"/>
  <c r="BC22" i="21"/>
  <c r="D23" i="21"/>
  <c r="I23" i="21"/>
  <c r="N23" i="21"/>
  <c r="S23" i="21"/>
  <c r="X23" i="21"/>
  <c r="AC23" i="21"/>
  <c r="AH23" i="21"/>
  <c r="AM23" i="21"/>
  <c r="AR23" i="21"/>
  <c r="AW23" i="21"/>
  <c r="BC23" i="21"/>
  <c r="D24" i="21"/>
  <c r="I24" i="21"/>
  <c r="N24" i="21"/>
  <c r="S24" i="21"/>
  <c r="X24" i="21"/>
  <c r="AC24" i="21"/>
  <c r="AH24" i="21"/>
  <c r="AM24" i="21"/>
  <c r="AR24" i="21"/>
  <c r="AW24" i="21"/>
  <c r="BC24" i="21"/>
  <c r="D25" i="21"/>
  <c r="I25" i="21"/>
  <c r="N25" i="21"/>
  <c r="S25" i="21"/>
  <c r="X25" i="21"/>
  <c r="AC25" i="21"/>
  <c r="AH25" i="21"/>
  <c r="AM25" i="21"/>
  <c r="AR25" i="21"/>
  <c r="AW25" i="21"/>
  <c r="BC25" i="21"/>
  <c r="D26" i="21"/>
  <c r="I26" i="21"/>
  <c r="N26" i="21"/>
  <c r="S26" i="21"/>
  <c r="X26" i="21"/>
  <c r="AC26" i="21"/>
  <c r="AH26" i="21"/>
  <c r="AM26" i="21"/>
  <c r="AR26" i="21"/>
  <c r="AW26" i="21"/>
  <c r="BC26" i="21"/>
  <c r="D27" i="21"/>
  <c r="I27" i="21"/>
  <c r="N27" i="21"/>
  <c r="S27" i="21"/>
  <c r="X27" i="21"/>
  <c r="AC27" i="21"/>
  <c r="AH27" i="21"/>
  <c r="AM27" i="21"/>
  <c r="AR27" i="21"/>
  <c r="AW27" i="21"/>
  <c r="BC27" i="21"/>
  <c r="D28" i="21"/>
  <c r="I28" i="21"/>
  <c r="N28" i="21"/>
  <c r="S28" i="21"/>
  <c r="X28" i="21"/>
  <c r="AC28" i="21"/>
  <c r="AH28" i="21"/>
  <c r="AM28" i="21"/>
  <c r="AR28" i="21"/>
  <c r="AW28" i="21"/>
  <c r="BC28" i="21"/>
  <c r="D29" i="21"/>
  <c r="I29" i="21"/>
  <c r="N29" i="21"/>
  <c r="S29" i="21"/>
  <c r="X29" i="21"/>
  <c r="AC29" i="21"/>
  <c r="AH29" i="21"/>
  <c r="AM29" i="21"/>
  <c r="AR29" i="21"/>
  <c r="AW29" i="21"/>
  <c r="BC29" i="21"/>
  <c r="B30" i="21"/>
  <c r="B32" i="21" s="1"/>
  <c r="C30" i="21"/>
  <c r="G30" i="21"/>
  <c r="H30" i="21"/>
  <c r="I30" i="21" s="1"/>
  <c r="L30" i="21"/>
  <c r="N30" i="21" s="1"/>
  <c r="M30" i="21"/>
  <c r="Q30" i="21"/>
  <c r="R30" i="21"/>
  <c r="S30" i="21" s="1"/>
  <c r="V30" i="21"/>
  <c r="X30" i="21" s="1"/>
  <c r="W30" i="21"/>
  <c r="AA30" i="21"/>
  <c r="AA32" i="21" s="1"/>
  <c r="AB30" i="21"/>
  <c r="AF30" i="21"/>
  <c r="AG30" i="21"/>
  <c r="AH30" i="21"/>
  <c r="AK30" i="21"/>
  <c r="AL30" i="21"/>
  <c r="AM30" i="21" s="1"/>
  <c r="AP30" i="21"/>
  <c r="AR30" i="21" s="1"/>
  <c r="AQ30" i="21"/>
  <c r="AU30" i="21"/>
  <c r="AV30" i="21"/>
  <c r="AW30" i="21" s="1"/>
  <c r="BA30" i="21"/>
  <c r="BB30" i="21"/>
  <c r="BC30" i="21"/>
  <c r="AQ32" i="21"/>
  <c r="AG32" i="21"/>
  <c r="AH32" i="21"/>
  <c r="C32" i="21"/>
  <c r="D18" i="21"/>
  <c r="H32" i="21"/>
  <c r="I32" i="21" s="1"/>
  <c r="I18" i="21"/>
  <c r="M32" i="21"/>
  <c r="N32" i="21" s="1"/>
  <c r="N18" i="21"/>
  <c r="L32" i="21"/>
  <c r="Q32" i="21"/>
  <c r="AC30" i="21"/>
  <c r="AC18" i="21"/>
  <c r="D32" i="21" l="1"/>
  <c r="AM32" i="21"/>
  <c r="X18" i="21"/>
  <c r="S18" i="21"/>
  <c r="D30" i="21"/>
  <c r="AM18" i="21"/>
  <c r="V32" i="21"/>
  <c r="X32" i="21" s="1"/>
  <c r="AP32" i="21"/>
  <c r="AR32" i="21" s="1"/>
  <c r="BH32" i="21"/>
  <c r="BI32" i="21" s="1"/>
  <c r="BB32" i="21"/>
  <c r="BC32" i="21" s="1"/>
  <c r="AV32" i="21"/>
  <c r="AW32" i="21" s="1"/>
</calcChain>
</file>

<file path=xl/sharedStrings.xml><?xml version="1.0" encoding="utf-8"?>
<sst xmlns="http://schemas.openxmlformats.org/spreadsheetml/2006/main" count="6156" uniqueCount="1656">
  <si>
    <t>Dep</t>
  </si>
  <si>
    <t>Hotel</t>
  </si>
  <si>
    <t>Adresse</t>
  </si>
  <si>
    <t>Brochure</t>
  </si>
  <si>
    <t>mars</t>
  </si>
  <si>
    <t>Janv</t>
  </si>
  <si>
    <t>Fév</t>
  </si>
  <si>
    <t>Avril</t>
  </si>
  <si>
    <t>TOTAL</t>
  </si>
  <si>
    <t>Remarque</t>
  </si>
  <si>
    <t>Total</t>
  </si>
  <si>
    <t>Evol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</si>
  <si>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</si>
  <si>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</si>
  <si>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</si>
  <si>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</si>
  <si>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</si>
  <si>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</si>
  <si>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</si>
  <si>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</si>
  <si>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10ème</t>
  </si>
  <si>
    <t>11ème</t>
  </si>
  <si>
    <t>total Fred</t>
  </si>
  <si>
    <t>9ème</t>
  </si>
  <si>
    <t>12ème</t>
  </si>
  <si>
    <t>13ème</t>
  </si>
  <si>
    <t>14ème</t>
  </si>
  <si>
    <t>15ème</t>
  </si>
  <si>
    <t>16ème</t>
  </si>
  <si>
    <t>17ème</t>
  </si>
  <si>
    <t>18ème</t>
  </si>
  <si>
    <t>19ème</t>
  </si>
  <si>
    <t>20me</t>
  </si>
  <si>
    <t>Total Graz</t>
  </si>
  <si>
    <t xml:space="preserve"> Chiffre d'affaires HOTELS</t>
  </si>
  <si>
    <t>Total Hôtels</t>
  </si>
  <si>
    <t>Potentiel Hotels</t>
  </si>
  <si>
    <t>Mai</t>
  </si>
  <si>
    <t>Juin</t>
  </si>
  <si>
    <t>20ème</t>
  </si>
  <si>
    <t>Juillet</t>
  </si>
  <si>
    <t>Août</t>
  </si>
  <si>
    <t>Sept.</t>
  </si>
  <si>
    <t>Oct</t>
  </si>
  <si>
    <t>Nov.</t>
  </si>
  <si>
    <t>déc</t>
  </si>
  <si>
    <t>dont  hôtels dans le TOP 40</t>
  </si>
  <si>
    <t>Suivi ventes par arrondissement - JANVIER</t>
  </si>
  <si>
    <t>-</t>
  </si>
  <si>
    <t>Suivi ventes par arrondissement - FEVRIER</t>
  </si>
  <si>
    <t>Suivi ventes par arrondissement - MARS</t>
  </si>
  <si>
    <t>Suivi ventes par arrondissement - AVRIL</t>
  </si>
  <si>
    <t>Suivi ventes par arrondissement - MAI</t>
  </si>
  <si>
    <t>Niveau 2012 atteint ou dépassé</t>
  </si>
  <si>
    <t>Suivi ventes par arrondissement - JUIN</t>
  </si>
  <si>
    <t>Suivi ventes par arrondissement - JUILLET</t>
  </si>
  <si>
    <t>au 25/07/14</t>
  </si>
  <si>
    <t>Suivi ventes par arrondissement - AOUT</t>
  </si>
  <si>
    <t>au 31/08/14</t>
  </si>
  <si>
    <t>Suivi ventes par arrondissement -SEPTEMBRE</t>
  </si>
  <si>
    <t>au 30/09/14</t>
  </si>
  <si>
    <t>Suivi ventes par arrondissement -OCTOBRE</t>
  </si>
  <si>
    <t>au 13/10/14</t>
  </si>
  <si>
    <t>Suivi ventes par arrondissement -NOVEMBRE</t>
  </si>
  <si>
    <t>Suivi ventes par arrondissement - DECEMBRE</t>
  </si>
  <si>
    <t>Secteur Frédéric</t>
  </si>
  <si>
    <t>1er Ardt</t>
  </si>
  <si>
    <t>Ca 2014</t>
  </si>
  <si>
    <t>Ca 2013</t>
  </si>
  <si>
    <t>Hotel à voir</t>
  </si>
  <si>
    <t>Commentaire</t>
  </si>
  <si>
    <t>Citadine Prestige les Halles</t>
  </si>
  <si>
    <t>Baisse du Ca depuis oct</t>
  </si>
  <si>
    <t>Louvre Rivoli</t>
  </si>
  <si>
    <t>Baisse Ca 2014</t>
  </si>
  <si>
    <t>Montpensier</t>
  </si>
  <si>
    <t>Novotel Paris les Halles</t>
  </si>
  <si>
    <t>Refus en oct 2013 - A reconquérir</t>
  </si>
  <si>
    <t>Solution proposée</t>
  </si>
  <si>
    <t>Timhotel le Louvre</t>
  </si>
  <si>
    <t>le seul ardt en baisse en 2014</t>
  </si>
  <si>
    <t>alors qu'on a ouvert une agence</t>
  </si>
  <si>
    <t>dans cet arrondissement !!!</t>
  </si>
  <si>
    <t>Pourquoi ?</t>
  </si>
  <si>
    <t xml:space="preserve">2ème Ardt </t>
  </si>
  <si>
    <t>Royal Aboukir</t>
  </si>
  <si>
    <t>Refis d'avril à Nov - A reconquérir</t>
  </si>
  <si>
    <t xml:space="preserve">3ème Ardt </t>
  </si>
  <si>
    <t xml:space="preserve">4ème Ardt </t>
  </si>
  <si>
    <t xml:space="preserve">5ème Ardt </t>
  </si>
  <si>
    <t>Albe St Michel</t>
  </si>
  <si>
    <t>California St Germain</t>
  </si>
  <si>
    <t>Toujours fermé ? A reconquérir</t>
  </si>
  <si>
    <t>Excelsior Latin</t>
  </si>
  <si>
    <t>Familia</t>
  </si>
  <si>
    <t xml:space="preserve">6ème Ardt </t>
  </si>
  <si>
    <t xml:space="preserve">7ème Ardt </t>
  </si>
  <si>
    <t>Le Walt (ex Unesco)</t>
  </si>
  <si>
    <t>Turenne (de)</t>
  </si>
  <si>
    <t xml:space="preserve">8ème Ardt </t>
  </si>
  <si>
    <t>123 Elysées</t>
  </si>
  <si>
    <t>Adagio Haussmann</t>
  </si>
  <si>
    <t>Pavillon St Augustin</t>
  </si>
  <si>
    <t xml:space="preserve">10ème Ardt </t>
  </si>
  <si>
    <t>Eurostar Panorama Hotel</t>
  </si>
  <si>
    <t>Paix République</t>
  </si>
  <si>
    <t>Paris Lafayette</t>
  </si>
  <si>
    <t>Pavillon République les Halles</t>
  </si>
  <si>
    <t>Plus de commande depuis juin</t>
  </si>
  <si>
    <t>Taylor</t>
  </si>
  <si>
    <t xml:space="preserve">11ème Ardt </t>
  </si>
  <si>
    <t>Candide</t>
  </si>
  <si>
    <t>Secteur Graziéna</t>
  </si>
  <si>
    <t xml:space="preserve">9ème Ardt </t>
  </si>
  <si>
    <t>Aida Opéra</t>
  </si>
  <si>
    <t>Atlanta Frochot</t>
  </si>
  <si>
    <t>Citadines Prestige Opéra Vendome</t>
  </si>
  <si>
    <t>Comfort Hotel Opéra Drouot</t>
  </si>
  <si>
    <t>Pavillon Opéra Bourse</t>
  </si>
  <si>
    <t>Touraine Opéra</t>
  </si>
  <si>
    <t>Trinité Plaza</t>
  </si>
  <si>
    <t>Trois Poussins</t>
  </si>
  <si>
    <t>Victoria 9ème</t>
  </si>
  <si>
    <t>Villa Van Gogh</t>
  </si>
  <si>
    <t>Vintage Hotel</t>
  </si>
  <si>
    <t xml:space="preserve">12ème Ardt </t>
  </si>
  <si>
    <t>Kyriad Paris Bercy Expo</t>
  </si>
  <si>
    <t>Pavillon Bercy Gare de Lyon</t>
  </si>
  <si>
    <t xml:space="preserve">13ème Ardt </t>
  </si>
  <si>
    <t>Holiday Inn Express Paris Placide</t>
  </si>
  <si>
    <t xml:space="preserve">14ème Ardt </t>
  </si>
  <si>
    <t>Quality Hotel Paris Orléans</t>
  </si>
  <si>
    <t xml:space="preserve">15ème Ardt </t>
  </si>
  <si>
    <t>Ares Eiffel Paris</t>
  </si>
  <si>
    <t>Mercure Paris Plaza Mirabeau</t>
  </si>
  <si>
    <t>Modern Val Girard</t>
  </si>
  <si>
    <t>Timhotel Tour Eiffel</t>
  </si>
  <si>
    <t>Baisse Ca en nov et déc</t>
  </si>
  <si>
    <t xml:space="preserve">16ème Ardt </t>
  </si>
  <si>
    <t xml:space="preserve">17ème Ardt </t>
  </si>
  <si>
    <t>Beauséjour Montmartre</t>
  </si>
  <si>
    <t>Mirific</t>
  </si>
  <si>
    <t>Pavillon Monceau</t>
  </si>
  <si>
    <t xml:space="preserve">18ème Ardt </t>
  </si>
  <si>
    <t>Citadines Montmartre Paris</t>
  </si>
  <si>
    <t>Timhotel Montmartre</t>
  </si>
  <si>
    <t xml:space="preserve">19ème Ardt </t>
  </si>
  <si>
    <t xml:space="preserve">20ème Ardt </t>
  </si>
  <si>
    <t>Timhotel Nation</t>
  </si>
  <si>
    <t>Ventes 2015 - Hôtels 1er arrondissement</t>
  </si>
  <si>
    <t>Ventes 2015 - Hôtels 2ème arrondissement</t>
  </si>
  <si>
    <t>Ventes 2015 - Hôtels 3ème arrondissement</t>
  </si>
  <si>
    <t>Ventes 2015 - Hôtels 4ème arrondissement</t>
  </si>
  <si>
    <t>Ventes 2015 - Hôtels 5ème arrondissement</t>
  </si>
  <si>
    <t>Ventes 2015 - Hôtels 9ème arrondissement</t>
  </si>
  <si>
    <t>Ventes 2015 - Hôtels 10ème arrondissement</t>
  </si>
  <si>
    <t>Ventes 2015 - Hôtels 12ème arrondissement</t>
  </si>
  <si>
    <t>Ventes 2015 - Hôtels 13ème arrondissement</t>
  </si>
  <si>
    <t>Ventes 2015 - Hôtels 14ème arrondissement</t>
  </si>
  <si>
    <t>Ventes 2015 - Hôtels 15ème arrondissement</t>
  </si>
  <si>
    <t>Ventes 2015 - Hôtels 16ème arrondissement</t>
  </si>
  <si>
    <t>Ventes 2015 - Hôtels 17ème arrondissement</t>
  </si>
  <si>
    <t>Ventes 2015 - Hôtels 18ème arrondissement</t>
  </si>
  <si>
    <t>Ventes 2015 - Hôtels 19ème arrondissement</t>
  </si>
  <si>
    <t>Ventes 2015 - Hôtels 20ème arrondissement</t>
  </si>
  <si>
    <t>Niveau 2014 atteint ou dépassé</t>
  </si>
  <si>
    <t>au 14/01/15</t>
  </si>
  <si>
    <t>BEST WESTERN LOUVRE PIEMONT</t>
  </si>
  <si>
    <t>CITADINES PRESTIGE LES HALLES PARIS</t>
  </si>
  <si>
    <t>4, rue des Innocents</t>
  </si>
  <si>
    <t>GOLDEN TULIP WASHINGTON OPÉRA</t>
  </si>
  <si>
    <t>50, rue de Richelieu </t>
  </si>
  <si>
    <t>GRAND HOTEL DE CHAMPAIGNE</t>
  </si>
  <si>
    <t>17, rue Jean Lantier</t>
  </si>
  <si>
    <t>LONDRES SAINT-HONORE</t>
  </si>
  <si>
    <t>13, rue St Roch</t>
  </si>
  <si>
    <t>NORMANDY</t>
  </si>
  <si>
    <t>7, rue de l'echelle</t>
  </si>
  <si>
    <t>RESIDENCE LA CONCORDE</t>
  </si>
  <si>
    <t>5 rue Cambon </t>
  </si>
  <si>
    <t>SAINT ROCH</t>
  </si>
  <si>
    <t>25, rue Saint Roch </t>
  </si>
  <si>
    <t>TIMHOTEL LE LOUVRE</t>
  </si>
  <si>
    <t>4, rue Croix des Petits Champs </t>
  </si>
  <si>
    <t>TONIC HOTEL LE LOUVRE</t>
  </si>
  <si>
    <t>12 -14, rue du Roule </t>
  </si>
  <si>
    <t>PH</t>
  </si>
  <si>
    <t>FT</t>
  </si>
  <si>
    <t>SC</t>
  </si>
  <si>
    <t>CHOISEUL OPÉRA</t>
  </si>
  <si>
    <t>1, rue Daunou</t>
  </si>
  <si>
    <t>CLERY (LE)</t>
  </si>
  <si>
    <t>13, bd Bonne Nouvelle </t>
  </si>
  <si>
    <t>DE NOAILLES GOLDEN TULIP OPÉRA</t>
  </si>
  <si>
    <t>9, rue de la Michodière </t>
  </si>
  <si>
    <t>AMERICAIN</t>
  </si>
  <si>
    <t>72, rue Charlot</t>
  </si>
  <si>
    <t>PLAT D'ETAIN (DU)</t>
  </si>
  <si>
    <t>69, rue Meslay </t>
  </si>
  <si>
    <t>PARIS RIVOLI</t>
  </si>
  <si>
    <t>19, rue de Rivoli</t>
  </si>
  <si>
    <t>ALBE SAINT MICHEL</t>
  </si>
  <si>
    <t>1, rue de la Harpe</t>
  </si>
  <si>
    <t>AU ROYAL CARDINAL</t>
  </si>
  <si>
    <t>1, rue des Ecoles </t>
  </si>
  <si>
    <t>BEST WESTERN LA TOUR NOTRE DAME</t>
  </si>
  <si>
    <t>20, rue du Sommerard </t>
  </si>
  <si>
    <t>BEST WESTERN ROYAL SAINT MICHEL</t>
  </si>
  <si>
    <t>3, boulevard Saint Michel </t>
  </si>
  <si>
    <t>CENTRAL SAINT GERMAIN</t>
  </si>
  <si>
    <t>3, rue Champollion </t>
  </si>
  <si>
    <t>CLUNY SQUARE</t>
  </si>
  <si>
    <t>21, boulevard Saint Michel</t>
  </si>
  <si>
    <t>EXCELSIOR latin</t>
  </si>
  <si>
    <t>20, rue Cujas </t>
  </si>
  <si>
    <t>LEVANT (DU)</t>
  </si>
  <si>
    <t>18, rue de la Harpe</t>
  </si>
  <si>
    <t>MINERVE</t>
  </si>
  <si>
    <t>13, rue des Ecoles </t>
  </si>
  <si>
    <t>MONT BLANC (DU)</t>
  </si>
  <si>
    <t>28, rue de la Huchette</t>
  </si>
  <si>
    <t>RESIDENCE VILLA D'AUBENTON</t>
  </si>
  <si>
    <t>34, rue de l'Arbalète</t>
  </si>
  <si>
    <t>VILLA PANTHEON</t>
  </si>
  <si>
    <t>41, rue des Ecoles</t>
  </si>
  <si>
    <t>Pas de cde depuis aout-12</t>
  </si>
  <si>
    <t>Pas de cde depuis oct-12</t>
  </si>
  <si>
    <t>APPART HOTEL CITADINES MONTPARNASSE</t>
  </si>
  <si>
    <t>126, rue du Cherche-Midi </t>
  </si>
  <si>
    <t>Hors cible</t>
  </si>
  <si>
    <t>ARAMIS SAINT GERMAIN BEST WEST</t>
  </si>
  <si>
    <t>124, rue de Rennes</t>
  </si>
  <si>
    <t>BEST WESTERN VILLA DES ARTISTES</t>
  </si>
  <si>
    <t>9 rue de la Grande Chaumière </t>
  </si>
  <si>
    <t>HOLIDAY INN PARIS NOTRE DAME</t>
  </si>
  <si>
    <t>4, rue Danton</t>
  </si>
  <si>
    <t>RESIDENCE ET SPA LE PRINCE REGENT</t>
  </si>
  <si>
    <t>28 rue Monsieur le Prince</t>
  </si>
  <si>
    <t>VILLA LUXEMBOURG</t>
  </si>
  <si>
    <t>121 boulevard du Montparnasse</t>
  </si>
  <si>
    <t>DERBY ALMA HOTEL</t>
  </si>
  <si>
    <t>8, avenue Rapp</t>
  </si>
  <si>
    <t>DUQUESNE EIFFEL</t>
  </si>
  <si>
    <t>23, av.Duquesne</t>
  </si>
  <si>
    <t>EIFFEL RIVE GAUCHE (A L')</t>
  </si>
  <si>
    <t>6, rue du Gros caillou</t>
  </si>
  <si>
    <t>SAINT GERMAIN</t>
  </si>
  <si>
    <t>88, rue du Bac</t>
  </si>
  <si>
    <t>UNIVERSITÉ (DE L')</t>
  </si>
  <si>
    <t>22, rue de l'Université </t>
  </si>
  <si>
    <t>BERNE OPERA HOTEL</t>
  </si>
  <si>
    <t>37, rue de Berne</t>
  </si>
  <si>
    <t>CLARIDGE BELLMAN</t>
  </si>
  <si>
    <t>37, rue Francois </t>
  </si>
  <si>
    <t>CLARION COLLECTION ETOILE SAINT HONORE</t>
  </si>
  <si>
    <t>214, rue du Faubourg Saint Honoré </t>
  </si>
  <si>
    <t>EXE PARIS CENTRE (EX FLECHE D'OR OPERA)</t>
  </si>
  <si>
    <t>29, rue d'Amsterdam</t>
  </si>
  <si>
    <t>MADELEINE HAUSSMANN</t>
  </si>
  <si>
    <t>10, rue Pasquier </t>
  </si>
  <si>
    <t>MERCURE ROYAL MADELEINE</t>
  </si>
  <si>
    <t>29, rue de l'Arcade </t>
  </si>
  <si>
    <t>PARK LANE</t>
  </si>
  <si>
    <t>4, rue de la Boetie</t>
  </si>
  <si>
    <t>REGENCE 8ÈME</t>
  </si>
  <si>
    <t>33, rue Saint Petersbourg</t>
  </si>
  <si>
    <t>TIMHOTEL OPERA ST LAZARE</t>
  </si>
  <si>
    <t>9, rue de Constantinople </t>
  </si>
  <si>
    <t>AIDA MARAIS</t>
  </si>
  <si>
    <t>19 rue du Château d'eau </t>
  </si>
  <si>
    <t>ALANE</t>
  </si>
  <si>
    <t>72, boulevard Magenta</t>
  </si>
  <si>
    <t>AMIOT</t>
  </si>
  <si>
    <t>76, boulevard de Strasbourg </t>
  </si>
  <si>
    <t>AVALON HOTEL</t>
  </si>
  <si>
    <t>131 Boulevard de Magenta</t>
  </si>
  <si>
    <t>EUROSTARS PANORAMA HOTEL</t>
  </si>
  <si>
    <t>9, rue des Messageries</t>
  </si>
  <si>
    <t>HOLIDAY INN GARE DE L'EST</t>
  </si>
  <si>
    <t>5, rue du 8 mai 1945 </t>
  </si>
  <si>
    <t>IBIS paris gare de l'est</t>
  </si>
  <si>
    <t>6, rue Saint Laurent</t>
  </si>
  <si>
    <t>IBIS STYLES GARE DE L'EST</t>
  </si>
  <si>
    <t>1-3, rue de Chateau Landon</t>
  </si>
  <si>
    <t>PAIX REPUBLIQUE</t>
  </si>
  <si>
    <t>2 bis, boulevard Saint Martin</t>
  </si>
  <si>
    <t>RICHMOND</t>
  </si>
  <si>
    <t>15, rue de Dunkerque </t>
  </si>
  <si>
    <t>TIMHOTEL PARIS GARE DE L'EST</t>
  </si>
  <si>
    <t>27, rue des Recollets </t>
  </si>
  <si>
    <t>CAMPANILE BASTILLE</t>
  </si>
  <si>
    <t>9, rue du Chemin Vert </t>
  </si>
  <si>
    <t>MARY'S HOTEL 11EME</t>
  </si>
  <si>
    <t>15, rue de Malte</t>
  </si>
  <si>
    <t>AIR DE PARIS</t>
  </si>
  <si>
    <t>41, rue de Clichy</t>
  </si>
  <si>
    <t>AUSTIN'S SAINT LAZARE</t>
  </si>
  <si>
    <t>26, rue d'Amsterdam </t>
  </si>
  <si>
    <t>GOLD HOTEL</t>
  </si>
  <si>
    <t>67, Boulevard de Clichy</t>
  </si>
  <si>
    <t>IBIS STYLES PARIS LAFAYETTE OPERA</t>
  </si>
  <si>
    <t>3/5, rue de Trévise</t>
  </si>
  <si>
    <t>MERCURE MONTY</t>
  </si>
  <si>
    <t>5, rue Montyon</t>
  </si>
  <si>
    <t>PAVILLON OPERA BOURSE</t>
  </si>
  <si>
    <t>15, rue Geoffroy Marie</t>
  </si>
  <si>
    <t>PAX OPERA</t>
  </si>
  <si>
    <t>47, rue de Trévise</t>
  </si>
  <si>
    <t>RESIDHOME PARIS OPERA</t>
  </si>
  <si>
    <t>30 rue Joubert</t>
  </si>
  <si>
    <t>ROYAL MANSART</t>
  </si>
  <si>
    <t>1, rue Mansart</t>
  </si>
  <si>
    <t>TRINITE PLAZA</t>
  </si>
  <si>
    <t>41, rue Jean Baptiste Pigalle</t>
  </si>
  <si>
    <t>TROIS POUSSINS (DES)</t>
  </si>
  <si>
    <t>15, rue Clauzel</t>
  </si>
  <si>
    <t>MOLIERE</t>
  </si>
  <si>
    <t>21, rue Molière</t>
  </si>
  <si>
    <t>NOVOTEL PARIS LES HALLES</t>
  </si>
  <si>
    <t>8, place Marguerite de Navarre</t>
  </si>
  <si>
    <t>refus</t>
  </si>
  <si>
    <t>PAVILLON LOUVRE RIVOLI</t>
  </si>
  <si>
    <t>20, rue Molière</t>
  </si>
  <si>
    <t>CITADINES OPERA GRAND BOULEVARD PARIS</t>
  </si>
  <si>
    <t>18, rue Favart</t>
  </si>
  <si>
    <t>ICONE (OPERA COMIQUE)</t>
  </si>
  <si>
    <t>4 rue d'Amboise</t>
  </si>
  <si>
    <t>Ouverture Hotel - 1ère commande</t>
  </si>
  <si>
    <t>TIMHOTEL PALAIS ROYAL LOUVRE</t>
  </si>
  <si>
    <t>3, rue de la Banque</t>
  </si>
  <si>
    <t>TRYP PARIS FRANCOIS HOTEL</t>
  </si>
  <si>
    <t>3, Bd Montmartre</t>
  </si>
  <si>
    <t>MOLAY</t>
  </si>
  <si>
    <t>94, rue des Archives </t>
  </si>
  <si>
    <t>BASTILLE SPERIA</t>
  </si>
  <si>
    <t>1, rue de la Bastille</t>
  </si>
  <si>
    <t>FRANCE LOUVRE</t>
  </si>
  <si>
    <t>40, rue de Rivoli </t>
  </si>
  <si>
    <t>COMFORT HOTEL ANDRE LATIN SAIN</t>
  </si>
  <si>
    <t>50 -52, rue Gay-Lussac</t>
  </si>
  <si>
    <t>COMFORT INN MOUFFETARD</t>
  </si>
  <si>
    <t>56, rue Mouffetard</t>
  </si>
  <si>
    <t>CUJAS PANTHEON</t>
  </si>
  <si>
    <t>18, rue Cujas</t>
  </si>
  <si>
    <t>EUROPE SAINT SEVERIN</t>
  </si>
  <si>
    <t>38-40 rue St Séverin </t>
  </si>
  <si>
    <t>MERCURE PARIS LA SORBONNE</t>
  </si>
  <si>
    <t>14, rue de la Sorbonne</t>
  </si>
  <si>
    <t>OBSERVATOIRE LUXEMBOURG</t>
  </si>
  <si>
    <t>107, boulevard Saint Michel </t>
  </si>
  <si>
    <t>SAINT CHRISTOPHE</t>
  </si>
  <si>
    <t>17, rue Lacépède</t>
  </si>
  <si>
    <t>BEST WESTERN TRIANON RIVE GAUCHE</t>
  </si>
  <si>
    <t>1 bis, rue de Vaugirard </t>
  </si>
  <si>
    <t>LEGEND HOTEL</t>
  </si>
  <si>
    <t>151 bis rue de Rennes</t>
  </si>
  <si>
    <t>LUXEMBOURG</t>
  </si>
  <si>
    <t>4, rue de Vaugirard</t>
  </si>
  <si>
    <t>NORMANDIE MAYET</t>
  </si>
  <si>
    <t>3, rue Mayet </t>
  </si>
  <si>
    <t>pas de cde depuis nov-13</t>
  </si>
  <si>
    <t>SAINT PIERRE</t>
  </si>
  <si>
    <t>4, rue de l'Ecole de Médecine</t>
  </si>
  <si>
    <t>BOURDONNAIS (LA)</t>
  </si>
  <si>
    <t>111, av de la Bourdonnais</t>
  </si>
  <si>
    <t>DERBY EIFFEL</t>
  </si>
  <si>
    <t>5, avenue Duquesne</t>
  </si>
  <si>
    <t>EIFFEL GARDEN</t>
  </si>
  <si>
    <t>8, rue Amélie </t>
  </si>
  <si>
    <t>SPLENDID 7ÉME</t>
  </si>
  <si>
    <t>29, av de Tourville</t>
  </si>
  <si>
    <t>SUEDE (DE)</t>
  </si>
  <si>
    <t>31, rue Vaneau </t>
  </si>
  <si>
    <t>TOUR EIFFEL (DE LA)</t>
  </si>
  <si>
    <t>17, rue de l'Exposition</t>
  </si>
  <si>
    <t>TURENNE (DE)</t>
  </si>
  <si>
    <t>20, ave de Tourville</t>
  </si>
  <si>
    <t>VILLA SAXE EIFFEL</t>
  </si>
  <si>
    <t>9 Villa Saxe </t>
  </si>
  <si>
    <t>CHAMPS ELYSEES FRIEDLAND</t>
  </si>
  <si>
    <t>177, rue du Fbg Saint-Honoré </t>
  </si>
  <si>
    <t>MADELEINE PLAZA</t>
  </si>
  <si>
    <t>33,Place de La Madeleine</t>
  </si>
  <si>
    <t>MERCURE OPERA GARNIER</t>
  </si>
  <si>
    <t>4, rue de l'Isly</t>
  </si>
  <si>
    <t>NEW HOTEL SAINT LAZARE</t>
  </si>
  <si>
    <t>53, rue d'Amsterdam</t>
  </si>
  <si>
    <t>ROYAL GARDEN CHAMPS ELYSEES</t>
  </si>
  <si>
    <t>218-220, rue du Fbg Saint-Honoré</t>
  </si>
  <si>
    <t>SANGUINE (LA)</t>
  </si>
  <si>
    <t>6, rue de Surène</t>
  </si>
  <si>
    <t>AIDA OPERA</t>
  </si>
  <si>
    <t>11 rue richer</t>
  </si>
  <si>
    <t>ASTON</t>
  </si>
  <si>
    <t>12, cite Bergere</t>
  </si>
  <si>
    <t>BANKE HOTEL</t>
  </si>
  <si>
    <t>20 rue Lafayette </t>
  </si>
  <si>
    <t>BEST WESTERN DIVA OPERA</t>
  </si>
  <si>
    <t>11, rue de Trévise</t>
  </si>
  <si>
    <t>clarion collection opera pavillon</t>
  </si>
  <si>
    <t>7, rue de Parme</t>
  </si>
  <si>
    <t>EDEN HOTEL</t>
  </si>
  <si>
    <t>35, rue Jean Baptiste Pigalle</t>
  </si>
  <si>
    <t>ESPAGNE</t>
  </si>
  <si>
    <t>9, cité Bergère</t>
  </si>
  <si>
    <t>pas de commande depuis oct-13</t>
  </si>
  <si>
    <t>GOLDEN (ex RIBOUTTE LAFAYETTE)</t>
  </si>
  <si>
    <t>5, rue Riboutté </t>
  </si>
  <si>
    <t>HOTEL LODGE DU CENTRE</t>
  </si>
  <si>
    <t>6, rue Geoffroy Marie</t>
  </si>
  <si>
    <t>JOYCE</t>
  </si>
  <si>
    <t>29, rue de La Bruyere</t>
  </si>
  <si>
    <t>MOULIN PLAZA</t>
  </si>
  <si>
    <t>39, rue Pierre Fontaine </t>
  </si>
  <si>
    <t>OPERA LAFAYETTE</t>
  </si>
  <si>
    <t>80, rue Lafayette</t>
  </si>
  <si>
    <t>OPERA ST GEORGES</t>
  </si>
  <si>
    <t>7, rue Navarin</t>
  </si>
  <si>
    <t>PEYRIS</t>
  </si>
  <si>
    <t>10, rue du Conservatoire</t>
  </si>
  <si>
    <t>RESIDENCE DU PRE</t>
  </si>
  <si>
    <t>15, rue Pierre Semard</t>
  </si>
  <si>
    <t>RIVIERA 9ÈME</t>
  </si>
  <si>
    <t>6, rue Turgot </t>
  </si>
  <si>
    <t>SQUARE D'ANVERS (DU)</t>
  </si>
  <si>
    <t>6, place d'Anvers</t>
  </si>
  <si>
    <t>TIMHOTEL SAINT-GEORGES</t>
  </si>
  <si>
    <t>21, boulevard de Clichy</t>
  </si>
  <si>
    <t>TULIP INN CELTE LAFAYETTE</t>
  </si>
  <si>
    <t>25, rue Buffault </t>
  </si>
  <si>
    <t>VICTORIA 9ÈME</t>
  </si>
  <si>
    <t xml:space="preserve">2, bis Cité Bergère </t>
  </si>
  <si>
    <t>ALBERT 1ER</t>
  </si>
  <si>
    <t>162, rue Lafayette </t>
  </si>
  <si>
    <t>COMFORT HOTEL GARE DE L'EST</t>
  </si>
  <si>
    <t>31, boulevard de Strasbourg</t>
  </si>
  <si>
    <t>HAUTEVILLE OPERA</t>
  </si>
  <si>
    <t>41, rue d'Hauteville</t>
  </si>
  <si>
    <t>88, rue de Maubeuge </t>
  </si>
  <si>
    <r>
      <t>MAISON DU PRE</t>
    </r>
    <r>
      <rPr>
        <i/>
        <sz val="10"/>
        <color indexed="8"/>
        <rFont val="Calibri"/>
        <family val="2"/>
      </rPr>
      <t xml:space="preserve"> (GRAND HOTEL DES FLANDRES)</t>
    </r>
  </si>
  <si>
    <t>NORD ET CHAMPAGNE</t>
  </si>
  <si>
    <t>11, rue de Chabrol </t>
  </si>
  <si>
    <t>PARISIANA</t>
  </si>
  <si>
    <t xml:space="preserve">21, rue de Chabrol </t>
  </si>
  <si>
    <t>BASTILLE DE LAUNAY</t>
  </si>
  <si>
    <t>42, rue Amelot </t>
  </si>
  <si>
    <t>CITADINES BASTILLE MARAIS</t>
  </si>
  <si>
    <t>37, Bld Richard Lenoir </t>
  </si>
  <si>
    <t>GRAND HOTEL FRANCAIS</t>
  </si>
  <si>
    <t>223, Bld Voltaire</t>
  </si>
  <si>
    <t>MARAIS BASTILLE</t>
  </si>
  <si>
    <t>36, Bld Richard Lenoir </t>
  </si>
  <si>
    <t>ALLEGRO</t>
  </si>
  <si>
    <t>33, avenue du docteur Arnold Netter </t>
  </si>
  <si>
    <t>CITADINES BASTILLE GARE DE LYON</t>
  </si>
  <si>
    <t>14-18 rue de Chaligny</t>
  </si>
  <si>
    <t>HIPHOTEL PARIS NATION</t>
  </si>
  <si>
    <t>96 cours de Vincennes </t>
  </si>
  <si>
    <t>IBIS STYLES PARIS BERCY</t>
  </si>
  <si>
    <t>77, rue de Bercy</t>
  </si>
  <si>
    <t>KYRIAD PARIS BERCY EXPO</t>
  </si>
  <si>
    <t>19, rue Baron-Leroy</t>
  </si>
  <si>
    <t>PULLMAN</t>
  </si>
  <si>
    <t>1, avenue des Terroirs de France </t>
  </si>
  <si>
    <t>CITADINES PLACE D'ITALIE</t>
  </si>
  <si>
    <t>18, place d' Italie </t>
  </si>
  <si>
    <t>HOLIDAY INN EXPRESS PARIS PLAC</t>
  </si>
  <si>
    <t>178, boulevard Vincent Auriol </t>
  </si>
  <si>
    <t>APOLLON MONTPARNASSE</t>
  </si>
  <si>
    <t>91, rue de l'Ouest </t>
  </si>
  <si>
    <t>holiday inn paris gare montparnasse</t>
  </si>
  <si>
    <t>79/81, avenue du Maine</t>
  </si>
  <si>
    <t>IBIS PARIS ALESIA 14ÈME</t>
  </si>
  <si>
    <t>49, rue des Plantes</t>
  </si>
  <si>
    <t>IBIS STYLE</t>
  </si>
  <si>
    <t>22, rue Hippolyte Maindron</t>
  </si>
  <si>
    <t>M (le)</t>
  </si>
  <si>
    <t>20 bis, rue de la Gaité </t>
  </si>
  <si>
    <t>NOUVEL ORLEANS (LE)</t>
  </si>
  <si>
    <t>25, avenue du général Leclerc</t>
  </si>
  <si>
    <t>QUALITY HOTEL PARIS ORLEANS</t>
  </si>
  <si>
    <t>185 - 187, Boulevard Brune </t>
  </si>
  <si>
    <t>UNIC HOTEL</t>
  </si>
  <si>
    <t>56, rue du Montparnasse </t>
  </si>
  <si>
    <t>VILLA MONTPARNASSE</t>
  </si>
  <si>
    <t>2, rue Boulard</t>
  </si>
  <si>
    <t>ADAGIO PARIS TOUR EIFFEL</t>
  </si>
  <si>
    <t>14, rue du Theatre</t>
  </si>
  <si>
    <t>ADAGIO PARIS XV</t>
  </si>
  <si>
    <t>20 rue d'Oradour sur Glane</t>
  </si>
  <si>
    <t>BALDI</t>
  </si>
  <si>
    <t>42, boulevard Garibaldi</t>
  </si>
  <si>
    <t>BEAUGRENELLE</t>
  </si>
  <si>
    <t>19, rue Viala </t>
  </si>
  <si>
    <t>BEST WESTERN EIFFEL CAMBRONNE</t>
  </si>
  <si>
    <t>46, rue de la Croix Nivert </t>
  </si>
  <si>
    <t>CAMPANILE PARIS TOUR EIFEL</t>
  </si>
  <si>
    <t>30, rue Saint Charles</t>
  </si>
  <si>
    <t>CITADINES TOUR EIFFEL PARIS</t>
  </si>
  <si>
    <t>132, boulevard de Grenelle</t>
  </si>
  <si>
    <t>EDEN 15ÈME</t>
  </si>
  <si>
    <t>110, rue Blomet</t>
  </si>
  <si>
    <t>EIFFEL SAINT CHARLES</t>
  </si>
  <si>
    <t>37 rue Saint Charles</t>
  </si>
  <si>
    <t>1ère commande - Ouverture</t>
  </si>
  <si>
    <t>EIFFEL SEGUR</t>
  </si>
  <si>
    <t>34, boulevard Garibaldi </t>
  </si>
  <si>
    <t>FIRST paris tour eiffel</t>
  </si>
  <si>
    <t>2, boulevard Garibaldi </t>
  </si>
  <si>
    <t>IBIS PARIS CAMBRONNE TOUR EIFF</t>
  </si>
  <si>
    <t>2, rue Cambronne</t>
  </si>
  <si>
    <t>Novotel hotel Paris Tour Eiffel</t>
  </si>
  <si>
    <t>61 quai de grenelle </t>
  </si>
  <si>
    <t>PLATINE</t>
  </si>
  <si>
    <t>20, rue Ingenieur Robert Keller</t>
  </si>
  <si>
    <t>RELAIS DE PARIS EIFFEL CAMBRON</t>
  </si>
  <si>
    <t>166, Bd de Grenelle </t>
  </si>
  <si>
    <t>SAPHIR GRENELLE 15ÈME</t>
  </si>
  <si>
    <t>10, rue du Commerce</t>
  </si>
  <si>
    <t>TOURISME AVENUE</t>
  </si>
  <si>
    <t>66, avenue de la Motte-Picquet</t>
  </si>
  <si>
    <t>AUTEUIL TOUR EIFFEL</t>
  </si>
  <si>
    <t>8-10, rue Félicien David </t>
  </si>
  <si>
    <t>BEST WESTERN HOTEL EIFFEL AUTEUIL</t>
  </si>
  <si>
    <t>11, rue Claude Terrasse </t>
  </si>
  <si>
    <t>CITADINES TROCADERO PARIS</t>
  </si>
  <si>
    <t>29 bis, rue Saint-Didier </t>
  </si>
  <si>
    <t>COURTYARD Paris Boulogne</t>
  </si>
  <si>
    <t>114 route de la Reine, 92 Boulogne</t>
  </si>
  <si>
    <t>pas de cde depuis sept-13</t>
  </si>
  <si>
    <t>LONGCHAMP (de)</t>
  </si>
  <si>
    <t>68, rue de Longchamp</t>
  </si>
  <si>
    <t>VICTOR HUGO</t>
  </si>
  <si>
    <t>19, rue Copernic</t>
  </si>
  <si>
    <t>WALDORF TROCADERO</t>
  </si>
  <si>
    <t>97, rue Lauriston</t>
  </si>
  <si>
    <t>121 PARIS HOTEL</t>
  </si>
  <si>
    <t>121 avenue de Clichy</t>
  </si>
  <si>
    <t>ADAGIO ACCESS PARIS TILSITT CHAMPS- ELYSEE</t>
  </si>
  <si>
    <t>24, rue de Tilsitt </t>
  </si>
  <si>
    <t>AMARANTE PIERRE PARIS ETOIL</t>
  </si>
  <si>
    <t>25, rue Théodore de Banville</t>
  </si>
  <si>
    <t>BELFAST</t>
  </si>
  <si>
    <t>10, rue Carnot </t>
  </si>
  <si>
    <t>BEST WESTERN HOTEL MERCEDES</t>
  </si>
  <si>
    <t>128, avenue de Wagram</t>
  </si>
  <si>
    <t>DOISY</t>
  </si>
  <si>
    <t>55, avenue des Ternes</t>
  </si>
  <si>
    <t>MONCEAU ELYSEES</t>
  </si>
  <si>
    <t>108, rue de Courcelles </t>
  </si>
  <si>
    <t>MONCEAU WAGRAM</t>
  </si>
  <si>
    <t>7, rue Rennequin</t>
  </si>
  <si>
    <t>PAVILLON MONCEAU</t>
  </si>
  <si>
    <t>43, rue Jouffroy d'Abbans</t>
  </si>
  <si>
    <t>PLAZA ETOILE</t>
  </si>
  <si>
    <t>21, avenue Wagram</t>
  </si>
  <si>
    <t>PRINCE ALBERT WAGRAM</t>
  </si>
  <si>
    <t>28 passage Cardinet</t>
  </si>
  <si>
    <t>REGENCE ETOILE</t>
  </si>
  <si>
    <t>24, avenue Carnot</t>
  </si>
  <si>
    <t>ref déf</t>
  </si>
  <si>
    <t>CITADINES MONTMARTRE PARIS</t>
  </si>
  <si>
    <t>16, avenue Rachel </t>
  </si>
  <si>
    <t>MERCURE PARIS MONTMARTRE SACRE COEUR</t>
  </si>
  <si>
    <t>3, rue Caulaincourt</t>
  </si>
  <si>
    <t>TIMHOTEL NATION</t>
  </si>
  <si>
    <t>5/7 rue d'Avron</t>
  </si>
  <si>
    <t>PLACE DU LOUVRE (DE LA)</t>
  </si>
  <si>
    <t>21, rue des Prêtres Saint Germain</t>
  </si>
  <si>
    <t>MESLAY REPUBLIQUE</t>
  </si>
  <si>
    <t>3, rue Meslay </t>
  </si>
  <si>
    <t>JEANNE D'ARC le marais</t>
  </si>
  <si>
    <t>3, rue Jarente</t>
  </si>
  <si>
    <t>GRANDS HOMMES (DES)</t>
  </si>
  <si>
    <t>17, place du Panthéon </t>
  </si>
  <si>
    <t>FLEURIE (DE)</t>
  </si>
  <si>
    <t>32-34 rue Grégoire de Tours</t>
  </si>
  <si>
    <t>BAC SAINT-GERMAIN</t>
  </si>
  <si>
    <t>66, rue du Bac</t>
  </si>
  <si>
    <t>pas de cde depuis mai-13</t>
  </si>
  <si>
    <t>BEAUGENCY</t>
  </si>
  <si>
    <t>21, rue Duvivier </t>
  </si>
  <si>
    <t>MOTTE PICQUET (DE LA)</t>
  </si>
  <si>
    <t>30, ave de la Motte Picquet</t>
  </si>
  <si>
    <t>pas de cde depuis déc-12</t>
  </si>
  <si>
    <t>TOURVILLE (LE)</t>
  </si>
  <si>
    <t>16, av de Tourville</t>
  </si>
  <si>
    <t>CERVANTES PARIS</t>
  </si>
  <si>
    <t>19, rue de Berne</t>
  </si>
  <si>
    <t>OPERA DIAMOND</t>
  </si>
  <si>
    <t>4, rue de la Pepiniere</t>
  </si>
  <si>
    <t>CARLTON'S HOTEL</t>
  </si>
  <si>
    <t>55, Bld Rochechouard </t>
  </si>
  <si>
    <t>MONTEROSA</t>
  </si>
  <si>
    <t>30, rue de La Bruyère</t>
  </si>
  <si>
    <t>R. KIPLING HOTEL</t>
  </si>
  <si>
    <t>65, rue Blanche</t>
  </si>
  <si>
    <t>EXCELSIOR REPUBLIQUE</t>
  </si>
  <si>
    <t>4, rue de Lancry </t>
  </si>
  <si>
    <t>LIBERTEL GARE DE L'EST FRANCAIS</t>
  </si>
  <si>
    <t>13, rue du 8 mai 1945 </t>
  </si>
  <si>
    <t>MARCEL (LE)</t>
  </si>
  <si>
    <t>11, rue du 8 mai 1945 </t>
  </si>
  <si>
    <t>MAUBEUGE (DE)</t>
  </si>
  <si>
    <t>79, rue de Maubeuge</t>
  </si>
  <si>
    <t>pavillon OPERA</t>
  </si>
  <si>
    <t>38, rue de l'Echiqiuer</t>
  </si>
  <si>
    <t>SOFT</t>
  </si>
  <si>
    <t>52 bis, rue Vinaigriers </t>
  </si>
  <si>
    <t>TAYLOR</t>
  </si>
  <si>
    <t>6, rue Taylor</t>
  </si>
  <si>
    <t>CANDIDE</t>
  </si>
  <si>
    <t>3, rue Petion </t>
  </si>
  <si>
    <t>MERCURE PARIS BASTILLE SAINT ANTOINE</t>
  </si>
  <si>
    <t>64, rue Crozatier</t>
  </si>
  <si>
    <t>MERCURE PARIS GARE DE LYON</t>
  </si>
  <si>
    <t>2, place Louis Armand </t>
  </si>
  <si>
    <t>NOVOTEL PARIS BERCY</t>
  </si>
  <si>
    <t>85, rue de Bercy</t>
  </si>
  <si>
    <t>PARIS BASTILLE</t>
  </si>
  <si>
    <t>67, rue de Lyon </t>
  </si>
  <si>
    <t>PRINCE ALBERT lyon bercy</t>
  </si>
  <si>
    <t>108, rue de Charenton </t>
  </si>
  <si>
    <t>TIMHOTEL (GARE DE LYON)</t>
  </si>
  <si>
    <t>1-3, rue d'Austerlitz</t>
  </si>
  <si>
    <t>IBIS BERCY RIVE GAUCHE / MASSENA</t>
  </si>
  <si>
    <t>82/84, rue Régnault </t>
  </si>
  <si>
    <t>MERCURE AUSTERLITZ</t>
  </si>
  <si>
    <t>6, boulevard Vincent Auriol </t>
  </si>
  <si>
    <t>BEST WESTERN BRETAGNE MONTPARNASSE</t>
  </si>
  <si>
    <t>33, rue Raymond Losserand</t>
  </si>
  <si>
    <t>MISTRAL (14ÉME)</t>
  </si>
  <si>
    <t>24, rue Cels</t>
  </si>
  <si>
    <t>MONTPARNASSE ALESIA</t>
  </si>
  <si>
    <t>147 ter rue d'Alesia</t>
  </si>
  <si>
    <t>ADAGIO ACCESS PARIS TOUR EIFFEL SAINT-CHARLES</t>
  </si>
  <si>
    <t>43, rue Saint Charles</t>
  </si>
  <si>
    <t>ARES EIFFEL PARIS</t>
  </si>
  <si>
    <t>7, rue du Général Larminat</t>
  </si>
  <si>
    <t>BEST WESTERN MONTCALM</t>
  </si>
  <si>
    <t>50, avenue Felix Faure</t>
  </si>
  <si>
    <t>HOLIDAY INN PARIS MONTPARNASSE</t>
  </si>
  <si>
    <t>10, rue Gager Gabillot </t>
  </si>
  <si>
    <t>MERCURE eiffel saint charles</t>
  </si>
  <si>
    <t>36-38, rue Rouelle</t>
  </si>
  <si>
    <t>Mercure Paris Plaza Pont Mirabeau</t>
  </si>
  <si>
    <t>10, avenue Emile Zola </t>
  </si>
  <si>
    <t>MERCURE TOUR EIFFEL</t>
  </si>
  <si>
    <t>64, boulevard de Grenelle</t>
  </si>
  <si>
    <t>NOVOTEL PARIS VAUGIRARD</t>
  </si>
  <si>
    <t>257, rue de Vaugirard </t>
  </si>
  <si>
    <t>SUBLIM EIFFEL</t>
  </si>
  <si>
    <t>94, Bld Garibaldi </t>
  </si>
  <si>
    <t>TIMHOTEL TOUR EIFFEL</t>
  </si>
  <si>
    <t>11, rue Juge </t>
  </si>
  <si>
    <t>VICE VERSA</t>
  </si>
  <si>
    <t>213, rue de la Croix Nivert </t>
  </si>
  <si>
    <t>BOIS (DU)</t>
  </si>
  <si>
    <t>11, rue du Dôme</t>
  </si>
  <si>
    <t>ETOILE TROCADERO</t>
  </si>
  <si>
    <t>21, rue Saint Didier </t>
  </si>
  <si>
    <t>ELYSEE FLAUBERT</t>
  </si>
  <si>
    <t>19, rue Rennequin </t>
  </si>
  <si>
    <t>ETOILE ST FERDINAND</t>
  </si>
  <si>
    <t>36, rue Saint Ferdinand</t>
  </si>
  <si>
    <t>GLASGOW monceau</t>
  </si>
  <si>
    <t>3,rue de la Félicité </t>
  </si>
  <si>
    <t>MERCURE ETOILE</t>
  </si>
  <si>
    <t>27, avenue des ternes</t>
  </si>
  <si>
    <t>PAVILLON VILLIERS ETOILE</t>
  </si>
  <si>
    <t>6, rue Lebouteux</t>
  </si>
  <si>
    <t>PRINCESSE CAROLINE</t>
  </si>
  <si>
    <t>1 bis, rue Troyon</t>
  </si>
  <si>
    <t>REGENT'S GARDEN BEST WESTERN</t>
  </si>
  <si>
    <t>6, rue Pierre Demours</t>
  </si>
  <si>
    <t>TIVOLI ETOILE</t>
  </si>
  <si>
    <t>7, rue Brey </t>
  </si>
  <si>
    <t>adagio city aparthotel montmartre</t>
  </si>
  <si>
    <t>10, place Charles Dullin</t>
  </si>
  <si>
    <t>ARTS ( DES) 18ÈME</t>
  </si>
  <si>
    <t>5 , rue Tholosé</t>
  </si>
  <si>
    <t>ref def</t>
  </si>
  <si>
    <t>16, rue de Tholoze </t>
  </si>
  <si>
    <t xml:space="preserve">COMFORT PLACE DU TERTRE </t>
  </si>
  <si>
    <t>LEPIC</t>
  </si>
  <si>
    <t>29, rue Lepic </t>
  </si>
  <si>
    <t>REGYN'S MONTMARTRE</t>
  </si>
  <si>
    <t>18, place des Abesses</t>
  </si>
  <si>
    <t>VICTORIA 18ÈME</t>
  </si>
  <si>
    <t>1, Bld Ornano </t>
  </si>
  <si>
    <t>ADAGIO ACCESS LA VILLETTE</t>
  </si>
  <si>
    <t>28 bis, avenue Corentin Cariou </t>
  </si>
  <si>
    <t>ADAGIO PARIS BUTTES CHAUMONT</t>
  </si>
  <si>
    <t>3 - 5 Cours du 7ème Art</t>
  </si>
  <si>
    <t>BELGRAND HIPHOTEL</t>
  </si>
  <si>
    <t>60, rue Belgrand</t>
  </si>
  <si>
    <t>au 28/02/15</t>
  </si>
  <si>
    <t>au 25/03/15</t>
  </si>
  <si>
    <t>au 27/04/15</t>
  </si>
  <si>
    <t>BEST WESTERN PARIS LOUVRE OPERA</t>
  </si>
  <si>
    <t>4 rue des Moulins 75001</t>
  </si>
  <si>
    <t>BRITANNIQUE</t>
  </si>
  <si>
    <t>20, avenue Victoria 75001</t>
  </si>
  <si>
    <t>CAMBON</t>
  </si>
  <si>
    <t>3, rue Cambon 75001</t>
  </si>
  <si>
    <t>LE RELAIS DES HALLES</t>
  </si>
  <si>
    <t>26, rue Pierre Lescot 75001</t>
  </si>
  <si>
    <t>LOUVRE RIVOLI</t>
  </si>
  <si>
    <t>7, rue Jean Lantier 75001</t>
  </si>
  <si>
    <t>PONT NEUF (du)</t>
  </si>
  <si>
    <t>20, rue du Roule 75001</t>
  </si>
  <si>
    <t>PRINCE ALBERT LOUVRE</t>
  </si>
  <si>
    <t>5, rue Saint- Hyacinthe 75001</t>
  </si>
  <si>
    <t>ROUEN (DE)</t>
  </si>
  <si>
    <t>42, rue Croix des Petits Champs 75001</t>
  </si>
  <si>
    <t>pas de cde depuis aout-12</t>
  </si>
  <si>
    <t>TAMISE (DE LA)</t>
  </si>
  <si>
    <t>4, rue d'Alger 75001</t>
  </si>
  <si>
    <t>pas de cde depuis nov-11</t>
  </si>
  <si>
    <t>123 SEBASTOPOL ASTOTEL</t>
  </si>
  <si>
    <t>123 boulevard de Sébastopol</t>
  </si>
  <si>
    <t>BOULEVARDS (DES)</t>
  </si>
  <si>
    <t>10, rue de la Ville Neuve 75002</t>
  </si>
  <si>
    <t>FRANCE D'ANTIN opera</t>
  </si>
  <si>
    <t>22, rue d' Antin 75002</t>
  </si>
  <si>
    <t>pas de cde depuis juin-12</t>
  </si>
  <si>
    <t>GRAMONT OPÉRA</t>
  </si>
  <si>
    <t>22, rue de Gramont 75002</t>
  </si>
  <si>
    <t>HORSET OPÉRA</t>
  </si>
  <si>
    <t>18, rue d'Antin 75002</t>
  </si>
  <si>
    <t>GOLDEN TULIP LITTLE PALACE</t>
  </si>
  <si>
    <t>4,rue Salomon de Caus 75003</t>
  </si>
  <si>
    <t>VILLA BEAUMARCHAIS</t>
  </si>
  <si>
    <t>5, rue des Arquebusiers 75003</t>
  </si>
  <si>
    <t>CARON</t>
  </si>
  <si>
    <t>3, rue Caron 75004</t>
  </si>
  <si>
    <t>D'WIN</t>
  </si>
  <si>
    <t>20, rue du Temple 75004</t>
  </si>
  <si>
    <t>DUO</t>
  </si>
  <si>
    <t>11, rue du Temple 75004</t>
  </si>
  <si>
    <t>SAINT LOUIS</t>
  </si>
  <si>
    <t>75, rue Saint Louis en l'Ile 75004</t>
  </si>
  <si>
    <t>SAINT LOUIS MARAIS</t>
  </si>
  <si>
    <t>1, rue Charles V 75004</t>
  </si>
  <si>
    <t>SAINT PAUL LE MARAIS</t>
  </si>
  <si>
    <t>8,rue Sévigné 75004</t>
  </si>
  <si>
    <t>TURENNE LE MARAIS</t>
  </si>
  <si>
    <t>6, rue de Turenne 75004</t>
  </si>
  <si>
    <t>AUSTERLITZ - JARDIN DES PLANTES</t>
  </si>
  <si>
    <t>12, boulevard de l'Hôpital</t>
  </si>
  <si>
    <t>CARMES (DES)</t>
  </si>
  <si>
    <t>5, rue des Carmes 75005</t>
  </si>
  <si>
    <t>CLUNY SORBONNE</t>
  </si>
  <si>
    <t>8, rue Victor Cousin 75005</t>
  </si>
  <si>
    <t>FAMILIA</t>
  </si>
  <si>
    <t>11, rue des Ecoles 75005</t>
  </si>
  <si>
    <t>FRANCE quartier latin (DE)</t>
  </si>
  <si>
    <t>108, rue Monge 75005</t>
  </si>
  <si>
    <t>GRAND HOTEL MODERNE SAINT GERMAIN</t>
  </si>
  <si>
    <t>33, rue des Ecoles 75005</t>
  </si>
  <si>
    <t>HOME LATIN (LE)</t>
  </si>
  <si>
    <t>15-17, rue Sommerard 75005</t>
  </si>
  <si>
    <t>JARDINS DU LUXEMBOURG (DES)</t>
  </si>
  <si>
    <t>5 Impasse Royer Collard 75005</t>
  </si>
  <si>
    <t>20, rue du Sommerard 75005</t>
  </si>
  <si>
    <t>MERCURE NOTRE DAME ST GERMAIN</t>
  </si>
  <si>
    <t>Ex La Tour Notre Dame</t>
  </si>
  <si>
    <t>SAINT JACQUES</t>
  </si>
  <si>
    <t>35, rue des Ecoles 75005</t>
  </si>
  <si>
    <t>BAUME (LE)</t>
  </si>
  <si>
    <t>7, rue Casimir Delavigne 75006</t>
  </si>
  <si>
    <t>LOUIS II SAINT GERMAIN</t>
  </si>
  <si>
    <t>2, rue Saint Sulpice 75006</t>
  </si>
  <si>
    <t>MANOIR SAINT GERMAIN DES PRES (au)</t>
  </si>
  <si>
    <t>153, boulevard Saint Germain 75006</t>
  </si>
  <si>
    <t>MARRONNIERS (DES)</t>
  </si>
  <si>
    <t>21, rue Jacob 75006</t>
  </si>
  <si>
    <t>NANTES (DE)</t>
  </si>
  <si>
    <t>33, boulevard du Montparnasse 75006</t>
  </si>
  <si>
    <t>PERLE (LA)</t>
  </si>
  <si>
    <t>14, rue des Canettes 75006</t>
  </si>
  <si>
    <t>PLACIDE saint germain des prés (le)</t>
  </si>
  <si>
    <t>6, rue Saint Placide 75006</t>
  </si>
  <si>
    <t>ROYAL SAINT GERMAIN</t>
  </si>
  <si>
    <t>159, rue de Rennes 75006</t>
  </si>
  <si>
    <t>VILLA D'ESTREES</t>
  </si>
  <si>
    <t>17, rue Gît Le Coeur 75006</t>
  </si>
  <si>
    <t>BEST WESTERN TOUR EIFFEL INVALIDES</t>
  </si>
  <si>
    <t>35, bld de Latour Maubourg</t>
  </si>
  <si>
    <t>D' ORSAY</t>
  </si>
  <si>
    <t>93, rue de Lille 75007</t>
  </si>
  <si>
    <t>GRAND HOTEL LEVEQUE</t>
  </si>
  <si>
    <t>29, rue Cler 75007</t>
  </si>
  <si>
    <t>PONT ROYAL</t>
  </si>
  <si>
    <t>5-7, rue de montalembert</t>
  </si>
  <si>
    <t>QUAI VOLTAIRE (DU)</t>
  </si>
  <si>
    <t>19, quai Voltaire 75007</t>
  </si>
  <si>
    <t>TOUR MAUBOURG (la)</t>
  </si>
  <si>
    <t>150, rue de Grenelle 75007</t>
  </si>
  <si>
    <t>TULIPE (DE LA)</t>
  </si>
  <si>
    <t>33, rue Malar 75007</t>
  </si>
  <si>
    <t>VANEAU SAINT GERMAIN</t>
  </si>
  <si>
    <t>86, rue Vaneau 75007</t>
  </si>
  <si>
    <t>123 ELYSEES</t>
  </si>
  <si>
    <t>123, rue du Faubourg Saint Honoré 75008</t>
  </si>
  <si>
    <t>AMARANTE</t>
  </si>
  <si>
    <t>19, rue Vernet 75008</t>
  </si>
  <si>
    <t>BEST WESTERN ELYSEE SECRET</t>
  </si>
  <si>
    <t>5, rue de Ponthieu 75008</t>
  </si>
  <si>
    <t>CALIFORNIA PARIS CHAMPS-ELYSÉE</t>
  </si>
  <si>
    <t>16, rue de Berri 75008</t>
  </si>
  <si>
    <t>CERCLE NATIONAL DES ARMEES</t>
  </si>
  <si>
    <t>8, place Saint Augustin 75008</t>
  </si>
  <si>
    <t>CONCORTEL</t>
  </si>
  <si>
    <t>19-21, rue Pasquier 75008</t>
  </si>
  <si>
    <t>DELARC</t>
  </si>
  <si>
    <t>7, rue du Colisée 75008</t>
  </si>
  <si>
    <t>ELYSEES OPERA</t>
  </si>
  <si>
    <t>17, rue de turin 75008</t>
  </si>
  <si>
    <t>OPERA MARIGNY</t>
  </si>
  <si>
    <t>11, rue de l’Arcade 75008</t>
  </si>
  <si>
    <t>RESIDENCE MONCEAU</t>
  </si>
  <si>
    <t>85, rue du Rocher 75008</t>
  </si>
  <si>
    <t>ROYAL OPERA</t>
  </si>
  <si>
    <t>5, rue de Castellane 75008</t>
  </si>
  <si>
    <t>1ère cde - Ouverture hôtel</t>
  </si>
  <si>
    <t>SAN REGIS</t>
  </si>
  <si>
    <t>12, rue Jean Goujon 75008</t>
  </si>
  <si>
    <t>VIGNY (DE)</t>
  </si>
  <si>
    <t>9-11, rue Balzac 75008</t>
  </si>
  <si>
    <t>ADAGIO OPERA</t>
  </si>
  <si>
    <t>43, rue Caumartin 75009</t>
  </si>
  <si>
    <t>BEST WESTERN ASTRA OPERA</t>
  </si>
  <si>
    <t>29, rue Caumartin 75009</t>
  </si>
  <si>
    <t>CORONA OPÉRA</t>
  </si>
  <si>
    <t>8, cité Bergère 75009</t>
  </si>
  <si>
    <t>GEORGE OPERA</t>
  </si>
  <si>
    <t>46 rue Notre Dame de Lorette 75009</t>
  </si>
  <si>
    <t>MERCURE PARIS LA FAYETTE</t>
  </si>
  <si>
    <t>7, rue de Trévise 75009</t>
  </si>
  <si>
    <t>MIGNY</t>
  </si>
  <si>
    <t>13,rue Victor Massé 75009</t>
  </si>
  <si>
    <t>MONTE CARLO</t>
  </si>
  <si>
    <t>44, rue du Fbg Montmartre 75009</t>
  </si>
  <si>
    <t>OCÉAN (DE L')</t>
  </si>
  <si>
    <t>7, rue Mayran 75009</t>
  </si>
  <si>
    <t>OPERA VIVALDI</t>
  </si>
  <si>
    <t>10, rue du Helder 75009</t>
  </si>
  <si>
    <t>PAVILLON OPERA GDS BOULEVARDS</t>
  </si>
  <si>
    <t>11, rue Geoffroy Marie 75009</t>
  </si>
  <si>
    <t>PLAZA OPERA</t>
  </si>
  <si>
    <t>12, rue de Maubeuge 75009</t>
  </si>
  <si>
    <t>THE CHESS HOTEL</t>
  </si>
  <si>
    <t>6, rue du Helder 75009</t>
  </si>
  <si>
    <t>TOURAINE OPÉRA</t>
  </si>
  <si>
    <t>73, rue Taitbout 75009</t>
  </si>
  <si>
    <t>TOURING</t>
  </si>
  <si>
    <t>21, rue Buffault 75009</t>
  </si>
  <si>
    <t>TRIANGLE D'OR</t>
  </si>
  <si>
    <t>6, rues Godot de Mauroy 75009</t>
  </si>
  <si>
    <t>pas de cde depuis nov-12</t>
  </si>
  <si>
    <t>VILLA VAN GOGH</t>
  </si>
  <si>
    <t>2 bis, Cité Pigalle 75009</t>
  </si>
  <si>
    <t>ALTONA</t>
  </si>
  <si>
    <t>166, rue du Faubourg Poissionière 75010</t>
  </si>
  <si>
    <t>Best Western faubourg saint martin</t>
  </si>
  <si>
    <t>6, rue Gustave Goublier 75010</t>
  </si>
  <si>
    <t>ELEMENT</t>
  </si>
  <si>
    <t>3 rue d'Aix 75010</t>
  </si>
  <si>
    <t>1ère cde - Ouverture hotel</t>
  </si>
  <si>
    <t>LITTLE</t>
  </si>
  <si>
    <t>3, rue Pierre Chausson 75010</t>
  </si>
  <si>
    <t>MAGENTA PARIS</t>
  </si>
  <si>
    <t>38, boulevard de Magenta 75010</t>
  </si>
  <si>
    <t>PLAZA LA FAYETTE</t>
  </si>
  <si>
    <t>175, rue La Fayette 75010</t>
  </si>
  <si>
    <t>BEST WESTERN MAJESTIC</t>
  </si>
  <si>
    <t xml:space="preserve">114, Bld Richard Lenoir </t>
  </si>
  <si>
    <t>BLC DESIGN PARIS</t>
  </si>
  <si>
    <t>4, rue Richard Lenoir 75011</t>
  </si>
  <si>
    <t>BRISTOL</t>
  </si>
  <si>
    <t>66 rue de Malte 75011</t>
  </si>
  <si>
    <t>CLASSICS HOTEL PARIS BASTILLE</t>
  </si>
  <si>
    <t>131, rue de Charonne 75011</t>
  </si>
  <si>
    <t>GRAND PRIEURE (DU)</t>
  </si>
  <si>
    <t>20, rue du Grand-Prieure 75011</t>
  </si>
  <si>
    <t>IBIS BASTILLE PARIS opera</t>
  </si>
  <si>
    <t>15, rue Bréguet 75011</t>
  </si>
  <si>
    <t>PRINCE EUGENE (DU)</t>
  </si>
  <si>
    <t>247, Bld Voltaire 75011</t>
  </si>
  <si>
    <t>STANDARD HOTEL (VILLA TAINA BASTILLE (Sofia)</t>
  </si>
  <si>
    <t>29, rue des Taillandiers 75011</t>
  </si>
  <si>
    <t>ADAGIO PARIS BERCY</t>
  </si>
  <si>
    <t>1-7 Cour du Minervois 75012</t>
  </si>
  <si>
    <t>ALBE BASTILLE</t>
  </si>
  <si>
    <t>66, rue de Charenton 75012</t>
  </si>
  <si>
    <t>CRAYON</t>
  </si>
  <si>
    <t>25, rue du Bouloi 75001</t>
  </si>
  <si>
    <t>LION D'OR (DU)</t>
  </si>
  <si>
    <t>5, rue de la Sourdière 75001</t>
  </si>
  <si>
    <t>TUILERIES (DES)</t>
  </si>
  <si>
    <t>10, rue St Hyacinthe 75001</t>
  </si>
  <si>
    <t>BONNE NOUVELLE 2ÈME</t>
  </si>
  <si>
    <t>17, rue Beauregard 75002</t>
  </si>
  <si>
    <t>ETATS UNIS OPERA</t>
  </si>
  <si>
    <t>16, rue d' Antin 75002</t>
  </si>
  <si>
    <t>VIEUX SAULE (DU)</t>
  </si>
  <si>
    <t>6, rue de Picardie 75003</t>
  </si>
  <si>
    <t>BEAUBOURG</t>
  </si>
  <si>
    <t>11 Rue Simon le Franc 75004</t>
  </si>
  <si>
    <t>COMPOSTELLE (LE)</t>
  </si>
  <si>
    <t>31, rue du Roi de Sicile 75004</t>
  </si>
  <si>
    <t>VIEUX MARAIS (DU)</t>
  </si>
  <si>
    <t>8, rue du Plâtre 75004</t>
  </si>
  <si>
    <t>BEAUVOIR</t>
  </si>
  <si>
    <t>43, avenue Georges Bernanos</t>
  </si>
  <si>
    <t>BEST WESTERN quartier latin pantheon</t>
  </si>
  <si>
    <t>71, rue Monge 75005</t>
  </si>
  <si>
    <t>CHAPLAIN PARIS RIVE GAUCHE</t>
  </si>
  <si>
    <t>11 bis, rue Jules Chaplain 75006</t>
  </si>
  <si>
    <t>CITADINES PRESTIGE SAINT GERMAIN</t>
  </si>
  <si>
    <t>53, quai des Grands Augustins 75006</t>
  </si>
  <si>
    <t>RELAIS HOTEL VIEUX PARIS</t>
  </si>
  <si>
    <t>9 rue Gît le coeur 75006</t>
  </si>
  <si>
    <t>SAINT ANDRE DES ARTS</t>
  </si>
  <si>
    <t>66, rue Saint André des Arts 75006</t>
  </si>
  <si>
    <t>SEVRES SAINT GERMAIN</t>
  </si>
  <si>
    <t>22, rue Saint Placide 75006</t>
  </si>
  <si>
    <t>PRINCE paris</t>
  </si>
  <si>
    <t>66, avenue Bosquet 75007</t>
  </si>
  <si>
    <t>adagio haussmann</t>
  </si>
  <si>
    <t>129-131, bd Haussmann 75008</t>
  </si>
  <si>
    <t>ALBION (D')</t>
  </si>
  <si>
    <t>15, rue de Penthièvre 75008</t>
  </si>
  <si>
    <t>ALEXANDRINE BALLADINS OP</t>
  </si>
  <si>
    <t>10, rue de Moscou 75008</t>
  </si>
  <si>
    <t>MARIANNE (LE)</t>
  </si>
  <si>
    <t>11 rue Paul Baudry 75008</t>
  </si>
  <si>
    <t>NEWTON OPERA</t>
  </si>
  <si>
    <t>11 bis, rue de l'Arcade 75008</t>
  </si>
  <si>
    <t>BRITANNIA</t>
  </si>
  <si>
    <t>24, rue d'Amsterdam 75009</t>
  </si>
  <si>
    <t>GERANDO</t>
  </si>
  <si>
    <t>11, rue Gérando 75009</t>
  </si>
  <si>
    <t>LEBRON</t>
  </si>
  <si>
    <t>4, rue Lamartine 75009</t>
  </si>
  <si>
    <t>OPERA D'ANTIN Best Western</t>
  </si>
  <si>
    <t>75 rue de Provence 75009</t>
  </si>
  <si>
    <t>OPERA DEAUVILLE</t>
  </si>
  <si>
    <t>40, rue d'Amsterdam 75009</t>
  </si>
  <si>
    <t>OPERA FROCHOT (WINSTON)</t>
  </si>
  <si>
    <t>4, rue Frochot 75009</t>
  </si>
  <si>
    <t>PULITZER OPERA</t>
  </si>
  <si>
    <t>23, rue du Faubourg Montmartre 75009</t>
  </si>
  <si>
    <t>VILLA MARGAUX OPERA MONTMARTRE</t>
  </si>
  <si>
    <t>23, rue Henry Monnier 75009</t>
  </si>
  <si>
    <t>WILLIAMS OPERA</t>
  </si>
  <si>
    <t>3, rue Mayran 75009</t>
  </si>
  <si>
    <t>ARIS NORD</t>
  </si>
  <si>
    <t>133, rue de Faubourg Saint Denis 75010</t>
  </si>
  <si>
    <t>BELTA HOTEL</t>
  </si>
  <si>
    <t>46, rue Lucien Sampaix 75010</t>
  </si>
  <si>
    <t>COMFORT HOTEL PARIS LAFAYETTE</t>
  </si>
  <si>
    <t>23 rue des Messageries 75010</t>
  </si>
  <si>
    <t>GARDEN OPERA</t>
  </si>
  <si>
    <t>65, rue du Chateau d'eau 75010</t>
  </si>
  <si>
    <t>IBIS PARIS GARE DE L'EST CHATEAU LANDON</t>
  </si>
  <si>
    <t>197 -199 rue La Fayette 75010</t>
  </si>
  <si>
    <t>7, rue des Petits Hotels 75010</t>
  </si>
  <si>
    <t>MADEMOISELLE (ex Paris Est Lafayette)</t>
  </si>
  <si>
    <t>GRAND HOTEL VOLTAIRE</t>
  </si>
  <si>
    <t>150, Boulevard Voltaire 75011</t>
  </si>
  <si>
    <t>HIPOTEL</t>
  </si>
  <si>
    <t>37, rue Servan 75011</t>
  </si>
  <si>
    <t>pas de cde depuis fév-12</t>
  </si>
  <si>
    <t>PORTE DOREE (DE LA)</t>
  </si>
  <si>
    <t>273, rue Daumesnil 75012</t>
  </si>
  <si>
    <t>TIMHOTEL ITALIE</t>
  </si>
  <si>
    <t>22, rue Barrault 75013</t>
  </si>
  <si>
    <t>ARCADIE MONTPARNASSE</t>
  </si>
  <si>
    <t>71, avenue du Maine 75014</t>
  </si>
  <si>
    <t>MIDI (DU) 14EME</t>
  </si>
  <si>
    <t>4, avenue René Cotty 75014</t>
  </si>
  <si>
    <t>MONTPARNASSE 55</t>
  </si>
  <si>
    <t>55, rue de Plaisance 75014</t>
  </si>
  <si>
    <t>RASPAIL-MONTPARNASSE</t>
  </si>
  <si>
    <t>203, boulevard Raspail 75014</t>
  </si>
  <si>
    <t>SOPHIE GERMAIN</t>
  </si>
  <si>
    <t>12, rue Sophie Germain 75014</t>
  </si>
  <si>
    <t>TERMINUS ORLEANS</t>
  </si>
  <si>
    <t>197, boulevard Brune 75014</t>
  </si>
  <si>
    <t>ABACA MESSIDOR</t>
  </si>
  <si>
    <t>330, rue de Vaugirard 75015</t>
  </si>
  <si>
    <t>EXPOSITION tour eiffel (DE L')</t>
  </si>
  <si>
    <t>42 bis, rue du Theatre 75015</t>
  </si>
  <si>
    <t>FRANCE EIFFEL</t>
  </si>
  <si>
    <t>8, rue Saint Charles 75015</t>
  </si>
  <si>
    <t>GRENELLE paris tour eiffel</t>
  </si>
  <si>
    <t>140-142, boulevard de Grenelle 75015</t>
  </si>
  <si>
    <t>MEDIAN PORTE DE VERSAILLES</t>
  </si>
  <si>
    <t>1, boulevard Victor 75015</t>
  </si>
  <si>
    <t>MERCURE paris centre tour eiffel</t>
  </si>
  <si>
    <t>20, rue Jean Rey 75015</t>
  </si>
  <si>
    <t>MERCURE PARIS PTE DE VRS EXPO 15e</t>
  </si>
  <si>
    <t>36, 38 rue du Moulin 92000 VANVES 75015</t>
  </si>
  <si>
    <t>refus def</t>
  </si>
  <si>
    <t>ELYSEES UNION</t>
  </si>
  <si>
    <t>44, rue Hamelin 75016</t>
  </si>
  <si>
    <t>KLEBER</t>
  </si>
  <si>
    <t>7, rue de Belloy 75016</t>
  </si>
  <si>
    <t>ARC DE TRIOMPHE</t>
  </si>
  <si>
    <t>10, rue de l'Arc de Triomphe 75017</t>
  </si>
  <si>
    <t>BEST WESTERN ELYSEE PARIS</t>
  </si>
  <si>
    <t>1 rue Brey 75017</t>
  </si>
  <si>
    <t>CHAMPLAIN HOTEL</t>
  </si>
  <si>
    <t>99 bis, rue de Rome 75017</t>
  </si>
  <si>
    <t>EMPIRE ELYSEE BEST WESTERN</t>
  </si>
  <si>
    <t>3, rue Montenotte 75017</t>
  </si>
  <si>
    <t>PAVILLON MONCEAU ETOILE</t>
  </si>
  <si>
    <t>25, rue de Saussure 75017</t>
  </si>
  <si>
    <t>VILLA ALESSANDRA</t>
  </si>
  <si>
    <t>9, Place Boulnois 75017</t>
  </si>
  <si>
    <t>IBIS HOTEL</t>
  </si>
  <si>
    <t>45, rue du Dr Babinski 75018</t>
  </si>
  <si>
    <t>PLUG-INN BOUTIQUE HOSTEL</t>
  </si>
  <si>
    <t>7, rue Aristide Bruant 75018</t>
  </si>
  <si>
    <t>SOFIA</t>
  </si>
  <si>
    <t>21, rue de Sofia 75018</t>
  </si>
  <si>
    <t>FOREST HILL PARIS LA VILLETTE</t>
  </si>
  <si>
    <t>28 Ter Avenue Corentin Cariou 75019</t>
  </si>
  <si>
    <t>ALEXANDRIE</t>
  </si>
  <si>
    <t>19, rue d'Austerlitz 75012</t>
  </si>
  <si>
    <t>grand hotel de FRANCE gare de lyon bastille</t>
  </si>
  <si>
    <t>12, rue de Lyon 75012</t>
  </si>
  <si>
    <t>HOLIDAY INN PARIS BASTILLE - GARE DE LYON</t>
  </si>
  <si>
    <t>11 rue de Lyon 75012</t>
  </si>
  <si>
    <t>PRINTEMPS (DU) 12EME</t>
  </si>
  <si>
    <t>80, Bld Picpus 75012</t>
  </si>
  <si>
    <t>IBIS ITALIE GOBELINS</t>
  </si>
  <si>
    <t>15 bis, avenue d'Italie 75013</t>
  </si>
  <si>
    <t>RICHEMONT</t>
  </si>
  <si>
    <t>17, rue Jean-Colly 75013</t>
  </si>
  <si>
    <t>ACROPOLE</t>
  </si>
  <si>
    <t>199, boulevard Brune 75014</t>
  </si>
  <si>
    <t>BERKELEY</t>
  </si>
  <si>
    <t>2, rue d'Odessa 75014</t>
  </si>
  <si>
    <t>CITADINES PARIS MONTPARNASSE</t>
  </si>
  <si>
    <t>67, avenue du Maine 75014</t>
  </si>
  <si>
    <t>MERCURE PARIS MONTPARNASSE</t>
  </si>
  <si>
    <t>20, rue de la Gaîté 75014</t>
  </si>
  <si>
    <t>RELAIS MERCURE RASPAIL</t>
  </si>
  <si>
    <t>207, boulevard Raspail 75014</t>
  </si>
  <si>
    <t>SAPHIR</t>
  </si>
  <si>
    <t>70, rue Daguerre 75014</t>
  </si>
  <si>
    <t>EIFFEL XV</t>
  </si>
  <si>
    <t>13/15 rue Viala 75015</t>
  </si>
  <si>
    <t>HOME MODERN</t>
  </si>
  <si>
    <t>61, rue Briançon 75015</t>
  </si>
  <si>
    <t>MIRABEAU HOTEL</t>
  </si>
  <si>
    <t>35 rue Sébastien Mercier 75015</t>
  </si>
  <si>
    <t>OCEANIA PARIS PORTE DE VERSAILLES</t>
  </si>
  <si>
    <t>52, rue d'Oradour sur glane 75015</t>
  </si>
  <si>
    <t>PRINTEMPS (LE)</t>
  </si>
  <si>
    <t>31, rue du Commerce 75015</t>
  </si>
  <si>
    <t>TIMHOTEL MONTPARNASSE</t>
  </si>
  <si>
    <t>20-22, rue de l'Arrivée 75015</t>
  </si>
  <si>
    <t>EIFFEL TROCADERO</t>
  </si>
  <si>
    <t>EXELMANS</t>
  </si>
  <si>
    <t>73, rue Boileau 75016</t>
  </si>
  <si>
    <t>HAUTS DE PASSY (LES)</t>
  </si>
  <si>
    <t>MONTFLEURI</t>
  </si>
  <si>
    <t>21, avenue de la Grande Armée 75016</t>
  </si>
  <si>
    <t>RESIDENCE IMPERIALE BEST WEST</t>
  </si>
  <si>
    <t>155, avenue Malakoff 75016</t>
  </si>
  <si>
    <t>pas de cde depuis juil-12</t>
  </si>
  <si>
    <t>HARVEY</t>
  </si>
  <si>
    <t>7 bis, rue du Débarcadère 75017</t>
  </si>
  <si>
    <t>MIRIFIC</t>
  </si>
  <si>
    <t>119, avenue de Clichy 75017</t>
  </si>
  <si>
    <t>TROYON</t>
  </si>
  <si>
    <t>10, rue Troyon 75017</t>
  </si>
  <si>
    <t>HOLIDAY INN PARIS MONTMARTRE</t>
  </si>
  <si>
    <t>23, rue Damremont 75018</t>
  </si>
  <si>
    <t>IBIS PORTE D'ORNANO</t>
  </si>
  <si>
    <t>70, Bld Ornano 75018</t>
  </si>
  <si>
    <t>JARDIN DE PARIS MONTMARTRE</t>
  </si>
  <si>
    <t>131, rue Ordener 75018</t>
  </si>
  <si>
    <t>LAMARCK COMFORT HOTEL</t>
  </si>
  <si>
    <t>147, rue Marcadet 75018</t>
  </si>
  <si>
    <t>LUXIA</t>
  </si>
  <si>
    <t>8, rue Seveste 75018</t>
  </si>
  <si>
    <t>TIMHOTEL MONTMARTRE</t>
  </si>
  <si>
    <t>11, rue Ravignan 75018</t>
  </si>
  <si>
    <t>ADAGIO PARIS PHILIPPE AUGUSTE</t>
  </si>
  <si>
    <t>12 Rue Pierre Bayle 75020</t>
  </si>
  <si>
    <t>ARMSTRONG</t>
  </si>
  <si>
    <t>36, rue de la Croix Saint Simon 75020</t>
  </si>
  <si>
    <t>COMFORT HOTEL DAVOUT NATION</t>
  </si>
  <si>
    <t>110, rue des Orteaux 75020</t>
  </si>
  <si>
    <t>POINTE RIVOLI</t>
  </si>
  <si>
    <t>125, rue St Antoine 75004</t>
  </si>
  <si>
    <t>CARDINAL</t>
  </si>
  <si>
    <t>20-22 rue Pascal 75005</t>
  </si>
  <si>
    <t>CANETTES (DES)</t>
  </si>
  <si>
    <t>17, rue des Canettes 75006</t>
  </si>
  <si>
    <t>PRINCE DE CONTI</t>
  </si>
  <si>
    <t>8 rue Guénégaud 75006</t>
  </si>
  <si>
    <t>ALISON</t>
  </si>
  <si>
    <t>21, rue de Surène 75008</t>
  </si>
  <si>
    <t>MAISON CHAMPS ELYSEES</t>
  </si>
  <si>
    <t>8, rue Jean Goujon 75008</t>
  </si>
  <si>
    <t>NEW ORIENT HOTEL</t>
  </si>
  <si>
    <t>16 rue de Constantinople</t>
  </si>
  <si>
    <t>AULIVIA</t>
  </si>
  <si>
    <t>4, rue des Petites Ecuries </t>
  </si>
  <si>
    <t>CITADINES REPUBLIQUE</t>
  </si>
  <si>
    <t>75 bis, avenue Parmentier</t>
  </si>
  <si>
    <t>L'ANTOINE</t>
  </si>
  <si>
    <t>12 rue de Charonne </t>
  </si>
  <si>
    <t>CONCORDE MONTPARNASSE</t>
  </si>
  <si>
    <t>40, rue du Commandant Mouchotte </t>
  </si>
  <si>
    <t>au 31/05/15</t>
  </si>
  <si>
    <t>CITADINES LOUVRE PARIS</t>
  </si>
  <si>
    <t>8, rue de Richelieu 75001</t>
  </si>
  <si>
    <t>CONTINENT (DU)</t>
  </si>
  <si>
    <t>30, rue du Mont - Thabor 75001</t>
  </si>
  <si>
    <t>MONTPENSIER</t>
  </si>
  <si>
    <t>12, rue de Richelieu 75001</t>
  </si>
  <si>
    <t>RESIDENCE DES HALLES</t>
  </si>
  <si>
    <t>4, rue des Halles 75001</t>
  </si>
  <si>
    <t>pas de cde depuis mai-2013</t>
  </si>
  <si>
    <t>BELLAN</t>
  </si>
  <si>
    <t>20, rue Léopold Bellan 75002</t>
  </si>
  <si>
    <t>WESTMINSTER</t>
  </si>
  <si>
    <t>13, rue de la Paix 75002</t>
  </si>
  <si>
    <t>PARIS FRANCE</t>
  </si>
  <si>
    <t>72, rue de Turbigo 75003</t>
  </si>
  <si>
    <t>CARON DE BEAUMARCHAIS</t>
  </si>
  <si>
    <t>12, rue Vieille du Temple 75004</t>
  </si>
  <si>
    <t>ARENES (DES)</t>
  </si>
  <si>
    <t>51 rue Monge 75005</t>
  </si>
  <si>
    <t>Atmospheres</t>
  </si>
  <si>
    <t>31, rue des Ecoles 75005</t>
  </si>
  <si>
    <t>BRESIL (DU) (5ÉME)</t>
  </si>
  <si>
    <t>10, rue Le Goff 75005</t>
  </si>
  <si>
    <t>CAROFFTEL GOBELINS</t>
  </si>
  <si>
    <t>18, avenue des Gobelins 75005</t>
  </si>
  <si>
    <t>GRANDES ECOLES (DES)</t>
  </si>
  <si>
    <t>75, rue du Cardinal Lemoine</t>
  </si>
  <si>
    <t>MELIA COLBERT BOUTIQUE HOTEL</t>
  </si>
  <si>
    <t>7, rue de l'hôtel Colbert 75005</t>
  </si>
  <si>
    <t>SENLIS (DE)</t>
  </si>
  <si>
    <t>7-9, rue Malebranche 75005</t>
  </si>
  <si>
    <t>TROIS COLLEGES (DES)</t>
  </si>
  <si>
    <t>16, rue Cujas 75005</t>
  </si>
  <si>
    <t>BUCI (DE)</t>
  </si>
  <si>
    <t>22, rue de Buci 75006</t>
  </si>
  <si>
    <t>EUGÉNIE</t>
  </si>
  <si>
    <t>31, rue Saint André des Arts 75006</t>
  </si>
  <si>
    <t>HOLIDAY INN PARIS SAINT GERMAIN</t>
  </si>
  <si>
    <t>92, rue de Vaugirard 75006</t>
  </si>
  <si>
    <t>MICHELET-ODEON</t>
  </si>
  <si>
    <t>6, place de l'Odéon 75006</t>
  </si>
  <si>
    <t>PERREYVE</t>
  </si>
  <si>
    <t>63, rue Madame 75006</t>
  </si>
  <si>
    <t>REGENT (LE)</t>
  </si>
  <si>
    <t>61, rue Dauphine 75006</t>
  </si>
  <si>
    <t>SAINT GERMAIN (DE)</t>
  </si>
  <si>
    <t>50, rue du Four 75006</t>
  </si>
  <si>
    <t>pas de cde depuis mai-11</t>
  </si>
  <si>
    <t>LE WALT ex UNESCO (DE L')</t>
  </si>
  <si>
    <t>37, ave de la Motte Picquet</t>
  </si>
  <si>
    <t>AMARANTE BEAU MANOIR</t>
  </si>
  <si>
    <t>6, rue de l'arcade 75008</t>
  </si>
  <si>
    <t>ARIOSO</t>
  </si>
  <si>
    <t>7, rue d'Argenson 75008</t>
  </si>
  <si>
    <t>Pas de cde depuis oct-13</t>
  </si>
  <si>
    <t>BRADFORD ELYSEES BEST WESTERN</t>
  </si>
  <si>
    <t>10, rue Saint-Philippe du Roule 75008</t>
  </si>
  <si>
    <t>CHAVANEL (ex TRONCHET)</t>
  </si>
  <si>
    <t>22, rue Tronchet 75008</t>
  </si>
  <si>
    <t>LONDRES ET NEW YORK</t>
  </si>
  <si>
    <t>15, place du Havre 75008</t>
  </si>
  <si>
    <t>MINISTERE (DU)</t>
  </si>
  <si>
    <t>31, rue de Surenes 75008</t>
  </si>
  <si>
    <t>PARIS MARRIOTT CHAMPS ELYSEES</t>
  </si>
  <si>
    <t>70, avenue des Champs-Elysées 75008</t>
  </si>
  <si>
    <t>RESIDENCE DU ROY</t>
  </si>
  <si>
    <t>8, rue François 1er 75008</t>
  </si>
  <si>
    <t>ROND POINT DES CHAMPS ELYSEES</t>
  </si>
  <si>
    <t>10, rue de Ponthieu 75008</t>
  </si>
  <si>
    <t>WALDORF MADELEINE</t>
  </si>
  <si>
    <t>12, boulevard Malesherbes 75008</t>
  </si>
  <si>
    <t>BRABANT (DU)</t>
  </si>
  <si>
    <t>18, rue des Petits Hôtels 75010</t>
  </si>
  <si>
    <t>KYRIAD paris gare du nord</t>
  </si>
  <si>
    <t>37, rue Saint Quentin 75010</t>
  </si>
  <si>
    <t>KYRIAD SAMPAIX</t>
  </si>
  <si>
    <t>30, rue Lucien Sampaix 75010</t>
  </si>
  <si>
    <t>LIBERTEL GARE DU NORD SUEDE</t>
  </si>
  <si>
    <t>106 boulevard Magenta 75010</t>
  </si>
  <si>
    <t>REPUBLIQUE HOTEL</t>
  </si>
  <si>
    <t>31, rue Albert Thomas 75010</t>
  </si>
  <si>
    <t>TERRAGE (DU)</t>
  </si>
  <si>
    <t>25, rue du Terrage 75010</t>
  </si>
  <si>
    <t>TROIS NATIONS (DES)</t>
  </si>
  <si>
    <t>13, rue du Chateau d'eau 75010</t>
  </si>
  <si>
    <t>ARTS (DES) 11EME</t>
  </si>
  <si>
    <t>2, rue Geoffroy-Cavaignac 75011</t>
  </si>
  <si>
    <t>BELFORT (DE) 11ÈME</t>
  </si>
  <si>
    <t>22 rue de Belfort 75011</t>
  </si>
  <si>
    <t>pas de cde depuis déc-13</t>
  </si>
  <si>
    <t>COMFORT NATION</t>
  </si>
  <si>
    <t>12 rue Léon Frot 75011</t>
  </si>
  <si>
    <t>GABRIEL PARIS MARAIS</t>
  </si>
  <si>
    <t>25, rue Grand Prieuré 75011</t>
  </si>
  <si>
    <t>HIBISCUS</t>
  </si>
  <si>
    <t>68, rue de Malte 75011</t>
  </si>
  <si>
    <t>METALLOS (DES)</t>
  </si>
  <si>
    <t>50, rue de la Folie-Mericourt 75011</t>
  </si>
  <si>
    <t>PAVILLON NATION HOTEL</t>
  </si>
  <si>
    <t>13, Bld de Charonne 75011</t>
  </si>
  <si>
    <t>RESIDENCE ALHAMBRA</t>
  </si>
  <si>
    <t>13, rue de Malte 75011</t>
  </si>
  <si>
    <t>AURORE MONTMARTRE</t>
  </si>
  <si>
    <t>76, rue de Clichy 75009</t>
  </si>
  <si>
    <t>AXEL BEST WESTERN</t>
  </si>
  <si>
    <t>15, rue Montyon 75009</t>
  </si>
  <si>
    <t>best western premier le carre folies opera</t>
  </si>
  <si>
    <t>13, rue Geoffroy Marie 75009</t>
  </si>
  <si>
    <t>COMFORT HOTEL OPERA DROUOT</t>
  </si>
  <si>
    <t>4, rue de la Grange Batelière 75009</t>
  </si>
  <si>
    <t>GRAND HOTEL DE TURIN</t>
  </si>
  <si>
    <t>6, rue Victor Massé 75009</t>
  </si>
  <si>
    <t>GRAND HOTEL LAFAYETTE BUFFAULT</t>
  </si>
  <si>
    <t>6, rue Buffault 75009</t>
  </si>
  <si>
    <t>HOLIDAY VILLA</t>
  </si>
  <si>
    <t>46, rue de Trevise 75009</t>
  </si>
  <si>
    <t>JOSEPHINE</t>
  </si>
  <si>
    <t>67 rue Blanche 75009</t>
  </si>
  <si>
    <t>exclu City</t>
  </si>
  <si>
    <t>KYRIAD PARIS MONTMARTRE</t>
  </si>
  <si>
    <t>55, rue Jean Baptiste Pigalle 75009</t>
  </si>
  <si>
    <t>MONTMARTRE DUPERRE</t>
  </si>
  <si>
    <t>32, rue Duperré 75009</t>
  </si>
  <si>
    <t>PALM OPERA</t>
  </si>
  <si>
    <t>30, rue de Maubeuge 75009</t>
  </si>
  <si>
    <t>PERFECT</t>
  </si>
  <si>
    <t>39, rue Rodier 75009</t>
  </si>
  <si>
    <t>RELAIS DU PRE</t>
  </si>
  <si>
    <t>16, rue Pierre Semard 75009</t>
  </si>
  <si>
    <t>SAINT GEORGES LAFAYETTE</t>
  </si>
  <si>
    <t>11, rue Victor Massé 75009</t>
  </si>
  <si>
    <t>SAINT PETERSBOURG OPERA</t>
  </si>
  <si>
    <t>33-35, rue Caumartin 75009</t>
  </si>
  <si>
    <t>VILLA OPERA DROUOT</t>
  </si>
  <si>
    <t>2, rue Geoffroy Marie 75009</t>
  </si>
  <si>
    <t>villa opera lamartine</t>
  </si>
  <si>
    <t>39, rue Lamartine 75009</t>
  </si>
  <si>
    <t>GRAND HOTEL DORE</t>
  </si>
  <si>
    <t>201, avenue Daumesnil 75012</t>
  </si>
  <si>
    <t>IBIS GARE DE LYON 12EME (bld Diderot)</t>
  </si>
  <si>
    <t>31 Bis Boulevard Diderot 75012</t>
  </si>
  <si>
    <t>pas de cde depuis juil-13</t>
  </si>
  <si>
    <t>IBIS PARIS BERCY EXPO</t>
  </si>
  <si>
    <t>19, place des vins-de-France 75012</t>
  </si>
  <si>
    <t>NOVOTEL PARIS GARE DE LYON</t>
  </si>
  <si>
    <t>2, rue Hector Malot 75012</t>
  </si>
  <si>
    <t>IBIS PARIS TOLBIAC 13ÈME</t>
  </si>
  <si>
    <t>177, rue de Tolbiac 75013</t>
  </si>
  <si>
    <t>pas de cde depuis oct-12</t>
  </si>
  <si>
    <t>MANUFACTURE (LA)</t>
  </si>
  <si>
    <t>8, rue Philippe de Champagne</t>
  </si>
  <si>
    <t>NEPTUNE</t>
  </si>
  <si>
    <t>15, rue Godefroy 75013</t>
  </si>
  <si>
    <t>ARIANE MONTPARNASSE</t>
  </si>
  <si>
    <t>35, rue de la Sablière 75014</t>
  </si>
  <si>
    <t>CAMPANILE MAINE MONTPARNASSE</t>
  </si>
  <si>
    <t>146, avenue du Maine 75014</t>
  </si>
  <si>
    <t>IBIS PARIS MAINE MONTPARNASSE</t>
  </si>
  <si>
    <t>158/160, rue du chateau 75014</t>
  </si>
  <si>
    <t>marriotte rive gauche hotel et conference center</t>
  </si>
  <si>
    <t>17, boulevard Saint Jacques 75014</t>
  </si>
  <si>
    <t>pas de cde depuis aout-13</t>
  </si>
  <si>
    <t>NEW PARNASSE</t>
  </si>
  <si>
    <t>7, rue Vandamme 75014</t>
  </si>
  <si>
    <t>PAVILLON LOSSERAND MONTPARNASSE</t>
  </si>
  <si>
    <t>76, rue Raymond Losserand 75014</t>
  </si>
  <si>
    <t>TIMHOTEL GAITE MONTPARNASSE</t>
  </si>
  <si>
    <t>8, rue d'Odessa 75014</t>
  </si>
  <si>
    <t>TRANSCONTINENTAL</t>
  </si>
  <si>
    <t>155, avenue du Maine 75014</t>
  </si>
  <si>
    <t>AJIEL</t>
  </si>
  <si>
    <t>237, rue de la Convention 75015</t>
  </si>
  <si>
    <t>CARINA</t>
  </si>
  <si>
    <t>9, rue Ginoux 75015</t>
  </si>
  <si>
    <t>EIFFEL VILLA GARIBALDI</t>
  </si>
  <si>
    <t>48, boulevard Garibaldi 75015</t>
  </si>
  <si>
    <t>ASCOTT ARC DE TRIOMPHE</t>
  </si>
  <si>
    <t>81 Avenue Kléber 75016</t>
  </si>
  <si>
    <t>pas de cde depuis mai-12</t>
  </si>
  <si>
    <t>HOLIDAY INN AUTEUIL</t>
  </si>
  <si>
    <t>21, rue Gudin 75016</t>
  </si>
  <si>
    <t>ABRIAL</t>
  </si>
  <si>
    <t>176, rue Cardinet 75017</t>
  </si>
  <si>
    <t>AMBASSADEUR (17ÉME)</t>
  </si>
  <si>
    <t>153, rue Legendre 75017</t>
  </si>
  <si>
    <t>pas de cde depuis av-13</t>
  </si>
  <si>
    <t>BEST WESTERN OPERA BATIGNOLLES</t>
  </si>
  <si>
    <t>165 rue de Rome 75017</t>
  </si>
  <si>
    <t>COMFORT HOTEL MEDIAN</t>
  </si>
  <si>
    <t>6 Bld de Douaumont 75017</t>
  </si>
  <si>
    <t>MERCURE WAGRAM ARC DE TRIOMPHE</t>
  </si>
  <si>
    <t>3, rue Brey 75017</t>
  </si>
  <si>
    <t>MERIDIONAL HOTEL</t>
  </si>
  <si>
    <t>14, rue du Dr Heulin 75017</t>
  </si>
  <si>
    <t>MONT DORE (DU)</t>
  </si>
  <si>
    <t>19, rue du Mont-Doré 75017</t>
  </si>
  <si>
    <t>RESIDENCE HOTEL MALESHERBES</t>
  </si>
  <si>
    <t>129, rue Cardinet 75017</t>
  </si>
  <si>
    <t>TIMHOTEL BERTHIER</t>
  </si>
  <si>
    <t>4, Boulevard Berthier 75017</t>
  </si>
  <si>
    <t>VILLA EUGENIE</t>
  </si>
  <si>
    <t>167, rue de Rome 75017</t>
  </si>
  <si>
    <t>AMARYS SIMART</t>
  </si>
  <si>
    <t>7, rue Symart 75018</t>
  </si>
  <si>
    <t>pas de cde depuis juin-13</t>
  </si>
  <si>
    <t>CRIMEE (DE)</t>
  </si>
  <si>
    <t>188, rue de Crimée 75019</t>
  </si>
  <si>
    <t>au 29/06/15</t>
  </si>
  <si>
    <t>Hotels prescript.</t>
  </si>
  <si>
    <t>Ventes 2015 - Hôtels 6ème arrondissement</t>
  </si>
  <si>
    <t>Ventes 2015 - Hôtels 7ème arrondissement</t>
  </si>
  <si>
    <t>Ventes 2015 - Hôtels 8ème arrondissement</t>
  </si>
  <si>
    <t>Ventes 2015 - Hôtels 11ème arrondissement</t>
  </si>
  <si>
    <t>37, rue de l'Annonciation</t>
  </si>
  <si>
    <t>35, rue Benjamin Franklin</t>
  </si>
  <si>
    <t>2015-06-01 / 2015-06-30</t>
  </si>
  <si>
    <t>Class.</t>
  </si>
  <si>
    <t>Presence</t>
  </si>
  <si>
    <t>Affichette</t>
  </si>
  <si>
    <t>Depliant</t>
  </si>
  <si>
    <t>C.A.</t>
  </si>
  <si>
    <t>Visites</t>
  </si>
  <si>
    <t>22, rue de Richelieu 75001</t>
  </si>
  <si>
    <t>n/d</t>
  </si>
  <si>
    <t>Oui</t>
  </si>
  <si>
    <t>Présentoir Hôtel</t>
  </si>
  <si>
    <t>X</t>
  </si>
  <si>
    <t>Sous-comptoir</t>
  </si>
  <si>
    <t>4, rue des Innocents 75001</t>
  </si>
  <si>
    <t>Présentoir FT</t>
  </si>
  <si>
    <t>50, rue de Richelieu 75001</t>
  </si>
  <si>
    <t>17, rue Jean Lantier 75001</t>
  </si>
  <si>
    <t>LOUVRE (DU)</t>
  </si>
  <si>
    <t>1 place Andre Malraux 75001</t>
  </si>
  <si>
    <t>MANSART Esprit de France</t>
  </si>
  <si>
    <t>5 rue des Capucines 75001</t>
  </si>
  <si>
    <t>21, rue Molière 75001</t>
  </si>
  <si>
    <t>7, rue de l'echelle 75001</t>
  </si>
  <si>
    <t>20, rue Molière 75001</t>
  </si>
  <si>
    <t>21, rue des Prêtres Saint Germain 75001</t>
  </si>
  <si>
    <t>REGINA PARIS</t>
  </si>
  <si>
    <t>2, place des Pyramides 75001</t>
  </si>
  <si>
    <t>4, rue Croix des Petits Champs 75001</t>
  </si>
  <si>
    <t>12 -14, rue du Roule 75001</t>
  </si>
  <si>
    <t>123 boulevard de Sébastopol 75002</t>
  </si>
  <si>
    <t>1, rue Daunou 75002</t>
  </si>
  <si>
    <t>18, rue Favart 75002</t>
  </si>
  <si>
    <t>CONFORT ILE DE DE FRANCE</t>
  </si>
  <si>
    <t>26, rue Saint-Augustin 75002</t>
  </si>
  <si>
    <t>CYRNOS</t>
  </si>
  <si>
    <t>154, rue Montmartre 75002</t>
  </si>
  <si>
    <t>MAISON FAVART (LA)</t>
  </si>
  <si>
    <t>5, rue Marivaux 75002</t>
  </si>
  <si>
    <t>METROPOLE LYRIC</t>
  </si>
  <si>
    <t>2, rue Gramont 75002</t>
  </si>
  <si>
    <t>3, rue de la Banque 75002</t>
  </si>
  <si>
    <t>3, rue Meslay 75003</t>
  </si>
  <si>
    <t>PARIS BRUXELLES</t>
  </si>
  <si>
    <t>4 rue Meslay 75003</t>
  </si>
  <si>
    <t>69, rue Meslay 75003</t>
  </si>
  <si>
    <t>RELAIS DU MARAIS</t>
  </si>
  <si>
    <t>76, rue de Turbigo 75003</t>
  </si>
  <si>
    <t>SAINTONGE MARAIS</t>
  </si>
  <si>
    <t>16, rue Saintonge 75003</t>
  </si>
  <si>
    <t>1, rue de la Bastille 75004</t>
  </si>
  <si>
    <t>CASTEX</t>
  </si>
  <si>
    <t>5, rue Castex 75004</t>
  </si>
  <si>
    <t>40, rue de Rivoli 75004</t>
  </si>
  <si>
    <t>3, rue Jarente 75004</t>
  </si>
  <si>
    <t>19, rue de Rivoli 75004</t>
  </si>
  <si>
    <t>1, rue de la Harpe 75005</t>
  </si>
  <si>
    <t>1, rue des Ecoles 75005</t>
  </si>
  <si>
    <t>12, boulevard de l'Hôpital 75005</t>
  </si>
  <si>
    <t>3, rue Champollion 75005</t>
  </si>
  <si>
    <t>21, boulevard Saint Michel 75005</t>
  </si>
  <si>
    <t>38-40 rue St Séverin 75005</t>
  </si>
  <si>
    <t>20, rue Cujas 75005</t>
  </si>
  <si>
    <t>GRAND HOTEL SAINT MICHEL</t>
  </si>
  <si>
    <t>19, rue Cujas 75005</t>
  </si>
  <si>
    <t>75, rue du Cardinal Lemoine 75005</t>
  </si>
  <si>
    <t>17, place du Panthéon 75005</t>
  </si>
  <si>
    <t>LAPIN BLANC</t>
  </si>
  <si>
    <t>41, boulevard Saint Michel 75005</t>
  </si>
  <si>
    <t>18, rue de la Harpe 75005</t>
  </si>
  <si>
    <t>14, rue de la Sorbonne 75005</t>
  </si>
  <si>
    <t>107, boulevard Saint Michel 75005</t>
  </si>
  <si>
    <t>ANGLETERRE (D')</t>
  </si>
  <si>
    <t>44, rue Jacob 75006</t>
  </si>
  <si>
    <t>best western LE MONTPARNASSE PARIS</t>
  </si>
  <si>
    <t>37, boulevard du Montparnasse 75006</t>
  </si>
  <si>
    <t>1 bis, rue de Vaugirard 75006</t>
  </si>
  <si>
    <t>9 rue de la Grande Chaumière 75006</t>
  </si>
  <si>
    <t>CLEMENT PARIS</t>
  </si>
  <si>
    <t>6, rue Clément 75006</t>
  </si>
  <si>
    <t>Refus</t>
  </si>
  <si>
    <t>DAUPHINE SAINT GERMAIN DES PRE</t>
  </si>
  <si>
    <t>36, rue Dauphine 75006</t>
  </si>
  <si>
    <t>32-34 rue Grégoire de Tours 75006</t>
  </si>
  <si>
    <t>4, rue Danton 75006</t>
  </si>
  <si>
    <t>151 bis rue de Rennes 75006</t>
  </si>
  <si>
    <t>3, rue Mayet 75006</t>
  </si>
  <si>
    <t>NOVANOX</t>
  </si>
  <si>
    <t>155, boulevard du Montparnasse 75006</t>
  </si>
  <si>
    <t>PETIT TRIANON (LE)</t>
  </si>
  <si>
    <t>2, rue de l'Ancienne Comédie 75006</t>
  </si>
  <si>
    <t>PRINCE DE CONDE</t>
  </si>
  <si>
    <t>39 rue de Seine 75006</t>
  </si>
  <si>
    <t>28 rue Monsieur le Prince 75006</t>
  </si>
  <si>
    <t>TERMINUS MONTPARNASSE</t>
  </si>
  <si>
    <t>59, boulevard du Montparnasse 75006</t>
  </si>
  <si>
    <t>121 boulevard du Montparnasse 75006</t>
  </si>
  <si>
    <t>VILLA MADAME PARIS</t>
  </si>
  <si>
    <t>44, rue Madame 75006</t>
  </si>
  <si>
    <t>WELCOME</t>
  </si>
  <si>
    <t>66, rue de Seine 75006</t>
  </si>
  <si>
    <t>21, rue Duvivier 75007</t>
  </si>
  <si>
    <t>CHOMEL</t>
  </si>
  <si>
    <t>15, rue Chomel 75007</t>
  </si>
  <si>
    <t>CLER HOTEL</t>
  </si>
  <si>
    <t>24 bis, rue Cler 75007</t>
  </si>
  <si>
    <t>Fermeture temporaire</t>
  </si>
  <si>
    <t>8, avenue Rapp 75007</t>
  </si>
  <si>
    <t>5, avenue Duquesne 75007</t>
  </si>
  <si>
    <t>23, av.Duquesne 75007</t>
  </si>
  <si>
    <t>8, rue Amélie 75007</t>
  </si>
  <si>
    <t>6, rue du Gros caillou 75007</t>
  </si>
  <si>
    <t>FRANCE invalides (DE)</t>
  </si>
  <si>
    <t>102, bld de Latour Maubourg 75007</t>
  </si>
  <si>
    <t>37, ave de la Motte Picquet 75007</t>
  </si>
  <si>
    <t>30, ave de la Motte Picquet 75007</t>
  </si>
  <si>
    <t>88, rue du Bac 75007</t>
  </si>
  <si>
    <t>29, av de Tourville 75007</t>
  </si>
  <si>
    <t>31, rue Vaneau 75007</t>
  </si>
  <si>
    <t>16, av de Tourville 75007</t>
  </si>
  <si>
    <t>9 Villa Saxe 75007</t>
  </si>
  <si>
    <t>ATALA</t>
  </si>
  <si>
    <t>10, rue de Chateaubriand 75008</t>
  </si>
  <si>
    <t>37, rue de Berne 75008</t>
  </si>
  <si>
    <t>19, rue de Berne 75008</t>
  </si>
  <si>
    <t>37, rue Francois 1er 75008</t>
  </si>
  <si>
    <t>214, rue du Faubourg Saint Honoré 75008</t>
  </si>
  <si>
    <t>CRISTAL CHAMPS ELYSEES</t>
  </si>
  <si>
    <t>9, rue de Washington 75008</t>
  </si>
  <si>
    <t>29, rue d'Amsterdam 75008</t>
  </si>
  <si>
    <t>3 étoiles</t>
  </si>
  <si>
    <t>10, rue Pasquier 75008</t>
  </si>
  <si>
    <t>MASSENA</t>
  </si>
  <si>
    <t>16, rue Tronchet 75008</t>
  </si>
  <si>
    <t>218-220, rue du Fbg Saint-Honoré 75008</t>
  </si>
  <si>
    <t>6, rue de Surène 75008</t>
  </si>
  <si>
    <t>9, rue de Constantinople 75008</t>
  </si>
  <si>
    <t>4 étoiles</t>
  </si>
  <si>
    <t>12, cite Bergere 75009</t>
  </si>
  <si>
    <t>20 rue Lafayette 75009</t>
  </si>
  <si>
    <t>11, rue de Trévise 75009</t>
  </si>
  <si>
    <t>55, Bld Rochechouard 75009</t>
  </si>
  <si>
    <t>CAUMARTIN opera</t>
  </si>
  <si>
    <t>27, rue de Caumartin 75009</t>
  </si>
  <si>
    <t>35, rue Jean Baptiste Pigalle 75009</t>
  </si>
  <si>
    <t>FIAT</t>
  </si>
  <si>
    <t>36, rue de Douai 75009</t>
  </si>
  <si>
    <t>6, rue Geoffroy Marie 75009</t>
  </si>
  <si>
    <t>IBIS PARIS OPERA LA FAYETTE</t>
  </si>
  <si>
    <t>19, rue buffault 75009</t>
  </si>
  <si>
    <t>29, rue de La Bruyere 75009</t>
  </si>
  <si>
    <t>LE GEORGE SAND</t>
  </si>
  <si>
    <t>26, rue des Mathurins 75009</t>
  </si>
  <si>
    <t>30, rue de La Bruyère 75009</t>
  </si>
  <si>
    <t>NEW HOTEL OPERA</t>
  </si>
  <si>
    <t>4, rue de Liège 75009</t>
  </si>
  <si>
    <t>PARIS MAUBEUGE (DE)</t>
  </si>
  <si>
    <t>37, rue de Maubeuge 75009</t>
  </si>
  <si>
    <t>15, rue Geoffroy Marie 75009</t>
  </si>
  <si>
    <t>PLUMES (LES) - ex CRONSTADT</t>
  </si>
  <si>
    <t>10, rue Lamartine 75009</t>
  </si>
  <si>
    <t>30 rue Joubert 75009</t>
  </si>
  <si>
    <t>6, rue Turgot 75009</t>
  </si>
  <si>
    <t>1, rue Mansart 75009</t>
  </si>
  <si>
    <t>6, place d'Anvers 75009</t>
  </si>
  <si>
    <t>15, rue Clauzel 75009</t>
  </si>
  <si>
    <t>2, bis Cité Bergère 75009</t>
  </si>
  <si>
    <t>VILLATHENA</t>
  </si>
  <si>
    <t>23 rue D'Athènes 75009</t>
  </si>
  <si>
    <t>19 rue du Château d'eau 75010</t>
  </si>
  <si>
    <t>72, boulevard Magenta 75010</t>
  </si>
  <si>
    <t>162, rue Lafayette 75010</t>
  </si>
  <si>
    <t>APPIA</t>
  </si>
  <si>
    <t>13, rue des Deux Gares 75010</t>
  </si>
  <si>
    <t>AUTOGRILL GARE PARIS EST (BEST WESTERN PARIS EST</t>
  </si>
  <si>
    <t>4, rue du 8 Mai 1945 75010</t>
  </si>
  <si>
    <t>131 Boulevard de Magenta, 75010</t>
  </si>
  <si>
    <t>9, rue des Messageries 75010</t>
  </si>
  <si>
    <t>EXPOSITION (de l')</t>
  </si>
  <si>
    <t>4, boulevard Magenta 75010</t>
  </si>
  <si>
    <t>5, rue du 8 mai 1945 75010</t>
  </si>
  <si>
    <t>6, rue Saint Laurent 75010</t>
  </si>
  <si>
    <t>13, rue du 8 mai 1945 75010</t>
  </si>
  <si>
    <t>MADEMOISELLE</t>
  </si>
  <si>
    <t>79, rue de Maubeuge 75010</t>
  </si>
  <si>
    <t>MERCURE PARIS GARE DE L'EST MAGENTA</t>
  </si>
  <si>
    <t>1-3, Cour de la Ferme Saint Lazare 75010</t>
  </si>
  <si>
    <t>MORIS</t>
  </si>
  <si>
    <t>13, rue Rene Boulanger 75010</t>
  </si>
  <si>
    <t>2 bis, boulevard Saint Martin 75010</t>
  </si>
  <si>
    <t>PARIS LIEGE</t>
  </si>
  <si>
    <t>36, rue de Saint Quentin 75010</t>
  </si>
  <si>
    <t>21, rue de Chabrol 75010</t>
  </si>
  <si>
    <t>15, rue de Dunkerque 75010</t>
  </si>
  <si>
    <t>BEST WESTERN - La Patio St Antoine</t>
  </si>
  <si>
    <t>289 bis, rue du Fbg St-Antoine 75011</t>
  </si>
  <si>
    <t>BEST WESTERN MAJESTIC PARIS</t>
  </si>
  <si>
    <t>114, Bld Richard Lenoir 75011</t>
  </si>
  <si>
    <t>9, rue du Chemin Vert 75011</t>
  </si>
  <si>
    <t>3, rue Petion 75011</t>
  </si>
  <si>
    <t>37, Bld Richard Lenoir 75011</t>
  </si>
  <si>
    <t>GARDette park</t>
  </si>
  <si>
    <t>1, rue du General-Blaise 75011</t>
  </si>
  <si>
    <t>223, Bld Voltaire 75011</t>
  </si>
  <si>
    <t>IBIS BASTILLE FAUBOURG SAINT ANTOINE</t>
  </si>
  <si>
    <t>13, rue Trousseau 75011</t>
  </si>
  <si>
    <t>12 rue de Charonne 75011</t>
  </si>
  <si>
    <t>ROYAL BASTILLE</t>
  </si>
  <si>
    <t>14, rue de la Roquette 75011</t>
  </si>
  <si>
    <t>AURORE</t>
  </si>
  <si>
    <t>13, rue Traversière 75012</t>
  </si>
  <si>
    <t>14-18 rue de Chaligny 75012</t>
  </si>
  <si>
    <t>CLARET</t>
  </si>
  <si>
    <t>44, Boulevard de Bercy 75012</t>
  </si>
  <si>
    <t>96 cours de Vincennes 75012</t>
  </si>
  <si>
    <t>77, rue de Bercy 75012</t>
  </si>
  <si>
    <t>19, rue Baron-Leroy 75012</t>
  </si>
  <si>
    <t>2, place Louis Armand 75012</t>
  </si>
  <si>
    <t>67, rue de Lyon 75012</t>
  </si>
  <si>
    <t>PAVILLON BERCY GARE DE LYON</t>
  </si>
  <si>
    <t>209, rue de Charenton 75012</t>
  </si>
  <si>
    <t>108, rue de Charenton 75012</t>
  </si>
  <si>
    <t>1, avenue des Terroirs de France 75012</t>
  </si>
  <si>
    <t>CANTAGREL (LE)</t>
  </si>
  <si>
    <t>90, rue de Patay 75013</t>
  </si>
  <si>
    <t>18, place d' Italie 75013</t>
  </si>
  <si>
    <t>178, boulevard Vincent Auriol 75013</t>
  </si>
  <si>
    <t>82/84, rue Régnault 75013</t>
  </si>
  <si>
    <t>91, rue de l'Ouest 75014</t>
  </si>
  <si>
    <t>33, rue Raymond Losserand 75014</t>
  </si>
  <si>
    <t>79-81 avenue du Maine 75014</t>
  </si>
  <si>
    <t>IBIS STYLE PARIS 14° ALESIA</t>
  </si>
  <si>
    <t>30-32, rue des Plantes 75014</t>
  </si>
  <si>
    <t>20 bis, rue de la Gaité 75014</t>
  </si>
  <si>
    <t>24, rue Cels 75014</t>
  </si>
  <si>
    <t>147 ter rue d'Alesia 75014</t>
  </si>
  <si>
    <t>25, avenue du général Leclerc 75014</t>
  </si>
  <si>
    <t>NOVOTEL PARIS PORTE D'ORLEANS</t>
  </si>
  <si>
    <t>15-19, boulevard Romain-Polland 75014</t>
  </si>
  <si>
    <t>RENOIR</t>
  </si>
  <si>
    <t>39, rue Du Montparnasse 75014</t>
  </si>
  <si>
    <t>56, rue du Montparnasse 75014</t>
  </si>
  <si>
    <t>43, rue Saint Charles 75015</t>
  </si>
  <si>
    <t>14, rue du Theatre 75015</t>
  </si>
  <si>
    <t>20 rue d'Oradour sur Glane 75015</t>
  </si>
  <si>
    <t>7, rue du Général Larminat 75015</t>
  </si>
  <si>
    <t>CACTUS</t>
  </si>
  <si>
    <t>47, rue des Volontaires 75015</t>
  </si>
  <si>
    <t>30, rue Saint Charles 75015</t>
  </si>
  <si>
    <t>CAPITOL EIFFEL</t>
  </si>
  <si>
    <t>9, rue Viala 75015</t>
  </si>
  <si>
    <t>132, boulevard de Grenelle 75015</t>
  </si>
  <si>
    <t>110, rue Blomet 75015</t>
  </si>
  <si>
    <t>37 rue Saint Charles 75015</t>
  </si>
  <si>
    <t>34, boulevard Garibaldi 75015</t>
  </si>
  <si>
    <t>EIFFEL SEINE</t>
  </si>
  <si>
    <t>3, Bd de Grenelle 75015</t>
  </si>
  <si>
    <t>2, boulevard Garibaldi 75015</t>
  </si>
  <si>
    <t>10, rue Gager Gabillot 75015</t>
  </si>
  <si>
    <t>HOTEL PULLMAN PARIS TOUR EIFFEL</t>
  </si>
  <si>
    <t>22 Rue Jean Rey 75015</t>
  </si>
  <si>
    <t>2, rue Cambronne 75015</t>
  </si>
  <si>
    <t>64, boulevard de Grenelle 75015</t>
  </si>
  <si>
    <t>61 quai de grenelle 75015</t>
  </si>
  <si>
    <t>Refus définitif</t>
  </si>
  <si>
    <t>257, rue de Vaugirard 75015</t>
  </si>
  <si>
    <t>20, rue Ingenieur Robert Keller 75015</t>
  </si>
  <si>
    <t>166, Bd de Grenelle 75015</t>
  </si>
  <si>
    <t>10, rue du Commerce 75015</t>
  </si>
  <si>
    <t>11, rue Juge 75015</t>
  </si>
  <si>
    <t>66, avenue de la Motte-Picquet 75015</t>
  </si>
  <si>
    <t>213, rue de la Croix Nivert 75015</t>
  </si>
  <si>
    <t>WALLACE</t>
  </si>
  <si>
    <t>89, rue Fondary 75015</t>
  </si>
  <si>
    <t>8-10, rue Félicien David 75016</t>
  </si>
  <si>
    <t>11, rue Claude Terrasse 75016</t>
  </si>
  <si>
    <t>11, rue du Dôme 75016</t>
  </si>
  <si>
    <t>29 bis, rue Saint-Didier 75116</t>
  </si>
  <si>
    <t>21, rue Saint Didier 75016</t>
  </si>
  <si>
    <t>68, rue de Longchamp 75016</t>
  </si>
  <si>
    <t>MERCURE CHAMPS ELYSEES</t>
  </si>
  <si>
    <t>51, rue de Lauriston 75016</t>
  </si>
  <si>
    <t>TROCADERO LA TOUR</t>
  </si>
  <si>
    <t>5 bis, rue Massenet 75016</t>
  </si>
  <si>
    <t>19, rue Copernic 75016</t>
  </si>
  <si>
    <t>97, rue Lauriston 75016</t>
  </si>
  <si>
    <t>121 avenue de Clichy 75017</t>
  </si>
  <si>
    <t>25, rue Théodore de Banville 75017</t>
  </si>
  <si>
    <t>B SQUARE</t>
  </si>
  <si>
    <t>11, rue des Batignolles 75017</t>
  </si>
  <si>
    <t>128, avenue de Wagram 75017</t>
  </si>
  <si>
    <t>19, rue Rennequin 75017</t>
  </si>
  <si>
    <t>27, avenue des ternes 75017</t>
  </si>
  <si>
    <t>108, rue de Courcelles 75017</t>
  </si>
  <si>
    <t>7, rue Rennequin 75017</t>
  </si>
  <si>
    <t>43, rue Jouffroy d'Abbans 75017</t>
  </si>
  <si>
    <t>6, rue Lebouteux 75017</t>
  </si>
  <si>
    <t>21, avenue Wagram 75017</t>
  </si>
  <si>
    <t>28 passage Cardinet 75017</t>
  </si>
  <si>
    <t>1 bis, rue Troyon 75017</t>
  </si>
  <si>
    <t>24, avenue Carnot 75017</t>
  </si>
  <si>
    <t>7, rue Brey 75017</t>
  </si>
  <si>
    <t>VILLA BRUNEL</t>
  </si>
  <si>
    <t>46, rue Brunel 75017</t>
  </si>
  <si>
    <t>10, place Charles Dullin 75018</t>
  </si>
  <si>
    <t>CHAT NOIR</t>
  </si>
  <si>
    <t>68, Bld de Clichy 75018</t>
  </si>
  <si>
    <t>COMFORT PLACE DU TERTRE (RELAIS DE PARIS SACRE C</t>
  </si>
  <si>
    <t>16, rue de Tholoze 75018</t>
  </si>
  <si>
    <t>29, rue Lepic 75018</t>
  </si>
  <si>
    <t>3, rue Caulaincourt 75018</t>
  </si>
  <si>
    <t>MY HOTEL IN FRANCE MONTMARTRE</t>
  </si>
  <si>
    <t>57, rue des abbesses 75018</t>
  </si>
  <si>
    <t>28 bis, avenue Corentin Cariou 75019</t>
  </si>
  <si>
    <t>60, rue Belgrand 75020</t>
  </si>
  <si>
    <t>5/7 rue d'Avron 75020</t>
  </si>
  <si>
    <t>RENAISSANCE LA DEFENSE</t>
  </si>
  <si>
    <t>60, Jardin de Valmy 92918</t>
  </si>
  <si>
    <t>Colonne1</t>
  </si>
  <si>
    <t>&lt;=== a coller en L4C11 pour comprendre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</si>
</sst>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4" x14ac:knownFonts="1">
    <font>
      <sz val="11"/>
      <color theme="1"/>
      <name val="Calibri"/>
      <family val="2"/>
      <scheme val="minor"/>
    </font>
    <font>
      <i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993366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0"/>
      </top>
      <bottom style="thin">
        <color indexed="0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61" applyNumberFormat="0" applyAlignment="0" applyProtection="0"/>
    <xf numFmtId="0" fontId="6" fillId="0" borderId="62" applyNumberFormat="0" applyFill="0" applyAlignment="0" applyProtection="0"/>
    <xf numFmtId="0" fontId="2" fillId="27" borderId="63" applyNumberFormat="0" applyFont="0" applyAlignment="0" applyProtection="0"/>
    <xf numFmtId="0" fontId="7" fillId="28" borderId="61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9" fontId="2" fillId="0" borderId="0" applyFont="0" applyFill="0" applyBorder="0" applyAlignment="0" applyProtection="0"/>
    <xf numFmtId="0" fontId="10" fillId="31" borderId="0" applyNumberFormat="0" applyBorder="0" applyAlignment="0" applyProtection="0"/>
    <xf numFmtId="0" fontId="11" fillId="26" borderId="6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5" applyNumberFormat="0" applyFill="0" applyAlignment="0" applyProtection="0"/>
    <xf numFmtId="0" fontId="15" fillId="0" borderId="66" applyNumberFormat="0" applyFill="0" applyAlignment="0" applyProtection="0"/>
    <xf numFmtId="0" fontId="16" fillId="0" borderId="6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68" applyNumberFormat="0" applyFill="0" applyAlignment="0" applyProtection="0"/>
    <xf numFmtId="0" fontId="18" fillId="32" borderId="69" applyNumberFormat="0" applyAlignment="0" applyProtection="0"/>
  </cellStyleXfs>
  <cellXfs count="48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ill="1" applyAlignment="1">
      <alignment horizontal="center"/>
    </xf>
    <xf numFmtId="0" fontId="0" fillId="0" borderId="0" xfId="0" applyFill="1"/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0" fillId="0" borderId="1" xfId="0" applyBorder="1"/>
    <xf numFmtId="0" fontId="23" fillId="0" borderId="0" xfId="0" applyFont="1"/>
    <xf numFmtId="3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7" fontId="23" fillId="0" borderId="0" xfId="0" applyNumberFormat="1" applyFont="1"/>
    <xf numFmtId="0" fontId="0" fillId="0" borderId="0" xfId="0" applyBorder="1"/>
    <xf numFmtId="0" fontId="0" fillId="34" borderId="0" xfId="0" applyFill="1"/>
    <xf numFmtId="3" fontId="0" fillId="0" borderId="11" xfId="0" applyNumberFormat="1" applyFill="1" applyBorder="1" applyAlignment="1">
      <alignment horizontal="center"/>
    </xf>
    <xf numFmtId="0" fontId="17" fillId="33" borderId="5" xfId="0" applyFont="1" applyFill="1" applyBorder="1" applyAlignment="1">
      <alignment horizontal="center" vertical="center" wrapText="1"/>
    </xf>
    <xf numFmtId="0" fontId="17" fillId="33" borderId="4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21" fillId="0" borderId="9" xfId="0" applyFont="1" applyBorder="1" applyAlignment="1">
      <alignment horizontal="center" vertical="center" wrapText="1"/>
    </xf>
    <xf numFmtId="9" fontId="4" fillId="0" borderId="17" xfId="32" applyFont="1" applyFill="1" applyBorder="1" applyAlignment="1">
      <alignment horizontal="center"/>
    </xf>
    <xf numFmtId="3" fontId="25" fillId="0" borderId="1" xfId="0" applyNumberFormat="1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 wrapText="1"/>
    </xf>
    <xf numFmtId="0" fontId="0" fillId="0" borderId="1" xfId="0" applyFont="1" applyFill="1" applyBorder="1"/>
    <xf numFmtId="3" fontId="0" fillId="0" borderId="1" xfId="0" quotePrefix="1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27" xfId="0" applyFont="1" applyFill="1" applyBorder="1"/>
    <xf numFmtId="3" fontId="0" fillId="0" borderId="27" xfId="0" quotePrefix="1" applyNumberFormat="1" applyFont="1" applyFill="1" applyBorder="1" applyAlignment="1">
      <alignment horizontal="center"/>
    </xf>
    <xf numFmtId="3" fontId="0" fillId="0" borderId="27" xfId="0" applyNumberFormat="1" applyFont="1" applyFill="1" applyBorder="1" applyAlignment="1">
      <alignment horizontal="center"/>
    </xf>
    <xf numFmtId="0" fontId="20" fillId="0" borderId="10" xfId="0" applyFont="1" applyFill="1" applyBorder="1"/>
    <xf numFmtId="9" fontId="25" fillId="34" borderId="17" xfId="32" applyFont="1" applyFill="1" applyBorder="1" applyAlignment="1">
      <alignment horizontal="center"/>
    </xf>
    <xf numFmtId="3" fontId="26" fillId="0" borderId="12" xfId="0" applyNumberFormat="1" applyFont="1" applyFill="1" applyBorder="1" applyAlignment="1">
      <alignment horizontal="center"/>
    </xf>
    <xf numFmtId="3" fontId="26" fillId="0" borderId="2" xfId="0" applyNumberFormat="1" applyFont="1" applyFill="1" applyBorder="1" applyAlignment="1">
      <alignment horizontal="center"/>
    </xf>
    <xf numFmtId="9" fontId="26" fillId="0" borderId="2" xfId="32" applyFont="1" applyFill="1" applyBorder="1" applyAlignment="1">
      <alignment horizontal="center"/>
    </xf>
    <xf numFmtId="0" fontId="26" fillId="0" borderId="9" xfId="0" applyFont="1" applyFill="1" applyBorder="1"/>
    <xf numFmtId="0" fontId="25" fillId="0" borderId="0" xfId="0" applyFont="1" applyFill="1"/>
    <xf numFmtId="0" fontId="26" fillId="0" borderId="30" xfId="0" applyFont="1" applyFill="1" applyBorder="1"/>
    <xf numFmtId="0" fontId="17" fillId="33" borderId="7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3" fontId="0" fillId="0" borderId="25" xfId="0" quotePrefix="1" applyNumberFormat="1" applyFill="1" applyBorder="1" applyAlignment="1">
      <alignment horizontal="center"/>
    </xf>
    <xf numFmtId="3" fontId="0" fillId="0" borderId="1" xfId="0" quotePrefix="1" applyNumberFormat="1" applyFill="1" applyBorder="1" applyAlignment="1">
      <alignment horizontal="center"/>
    </xf>
    <xf numFmtId="3" fontId="0" fillId="0" borderId="31" xfId="0" applyNumberFormat="1" applyFont="1" applyFill="1" applyBorder="1" applyAlignment="1">
      <alignment horizontal="center"/>
    </xf>
    <xf numFmtId="0" fontId="0" fillId="0" borderId="10" xfId="0" applyFill="1" applyBorder="1"/>
    <xf numFmtId="0" fontId="25" fillId="34" borderId="14" xfId="0" applyFont="1" applyFill="1" applyBorder="1"/>
    <xf numFmtId="0" fontId="4" fillId="0" borderId="14" xfId="0" applyFont="1" applyFill="1" applyBorder="1"/>
    <xf numFmtId="0" fontId="4" fillId="0" borderId="33" xfId="0" applyFont="1" applyFill="1" applyBorder="1"/>
    <xf numFmtId="0" fontId="25" fillId="34" borderId="18" xfId="0" applyFont="1" applyFill="1" applyBorder="1"/>
    <xf numFmtId="164" fontId="26" fillId="0" borderId="34" xfId="32" applyNumberFormat="1" applyFont="1" applyFill="1" applyBorder="1" applyAlignment="1">
      <alignment horizontal="center"/>
    </xf>
    <xf numFmtId="0" fontId="4" fillId="0" borderId="18" xfId="0" applyFont="1" applyFill="1" applyBorder="1"/>
    <xf numFmtId="9" fontId="4" fillId="0" borderId="35" xfId="32" applyFont="1" applyFill="1" applyBorder="1" applyAlignment="1">
      <alignment horizontal="center"/>
    </xf>
    <xf numFmtId="0" fontId="0" fillId="0" borderId="17" xfId="0" applyFill="1" applyBorder="1"/>
    <xf numFmtId="0" fontId="0" fillId="0" borderId="14" xfId="0" applyFill="1" applyBorder="1" applyAlignment="1">
      <alignment horizontal="center"/>
    </xf>
    <xf numFmtId="0" fontId="0" fillId="0" borderId="23" xfId="0" applyFill="1" applyBorder="1"/>
    <xf numFmtId="0" fontId="0" fillId="0" borderId="11" xfId="0" applyFill="1" applyBorder="1" applyAlignment="1">
      <alignment horizontal="center"/>
    </xf>
    <xf numFmtId="3" fontId="0" fillId="0" borderId="11" xfId="0" quotePrefix="1" applyNumberFormat="1" applyFill="1" applyBorder="1" applyAlignment="1">
      <alignment horizontal="center"/>
    </xf>
    <xf numFmtId="0" fontId="25" fillId="34" borderId="33" xfId="0" applyFont="1" applyFill="1" applyBorder="1"/>
    <xf numFmtId="0" fontId="0" fillId="0" borderId="1" xfId="0" applyFont="1" applyFill="1" applyBorder="1" applyAlignment="1">
      <alignment wrapText="1"/>
    </xf>
    <xf numFmtId="0" fontId="0" fillId="0" borderId="0" xfId="0" applyFill="1" applyAlignment="1">
      <alignment vertical="center"/>
    </xf>
    <xf numFmtId="0" fontId="17" fillId="33" borderId="39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17" xfId="0" applyFont="1" applyFill="1" applyBorder="1" applyAlignment="1">
      <alignment wrapText="1"/>
    </xf>
    <xf numFmtId="3" fontId="0" fillId="0" borderId="11" xfId="0" quotePrefix="1" applyNumberFormat="1" applyFont="1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3" fontId="0" fillId="0" borderId="11" xfId="0" quotePrefix="1" applyNumberFormat="1" applyFill="1" applyBorder="1" applyAlignment="1">
      <alignment horizontal="center" vertical="center"/>
    </xf>
    <xf numFmtId="3" fontId="0" fillId="0" borderId="1" xfId="0" quotePrefix="1" applyNumberFormat="1" applyFill="1" applyBorder="1" applyAlignment="1">
      <alignment horizontal="center" vertical="center"/>
    </xf>
    <xf numFmtId="3" fontId="0" fillId="0" borderId="1" xfId="0" quotePrefix="1" applyNumberFormat="1" applyFont="1" applyFill="1" applyBorder="1" applyAlignment="1">
      <alignment horizontal="center" vertical="center"/>
    </xf>
    <xf numFmtId="0" fontId="0" fillId="0" borderId="31" xfId="0" applyFont="1" applyFill="1" applyBorder="1"/>
    <xf numFmtId="0" fontId="0" fillId="0" borderId="11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3" fontId="0" fillId="0" borderId="40" xfId="0" quotePrefix="1" applyNumberFormat="1" applyFill="1" applyBorder="1" applyAlignment="1">
      <alignment horizontal="center"/>
    </xf>
    <xf numFmtId="3" fontId="0" fillId="0" borderId="27" xfId="0" quotePrefix="1" applyNumberFormat="1" applyFill="1" applyBorder="1" applyAlignment="1">
      <alignment horizontal="center"/>
    </xf>
    <xf numFmtId="3" fontId="0" fillId="0" borderId="31" xfId="0" quotePrefix="1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left"/>
    </xf>
    <xf numFmtId="0" fontId="20" fillId="0" borderId="23" xfId="0" applyFont="1" applyFill="1" applyBorder="1" applyAlignment="1">
      <alignment horizontal="left"/>
    </xf>
    <xf numFmtId="0" fontId="17" fillId="0" borderId="0" xfId="0" applyFont="1" applyFill="1"/>
    <xf numFmtId="3" fontId="0" fillId="0" borderId="11" xfId="0" quotePrefix="1" applyNumberFormat="1" applyFont="1" applyFill="1" applyBorder="1" applyAlignment="1">
      <alignment horizontal="center" wrapText="1"/>
    </xf>
    <xf numFmtId="0" fontId="0" fillId="0" borderId="27" xfId="0" applyFont="1" applyFill="1" applyBorder="1" applyAlignment="1">
      <alignment wrapText="1"/>
    </xf>
    <xf numFmtId="0" fontId="26" fillId="0" borderId="44" xfId="0" applyFont="1" applyFill="1" applyBorder="1" applyAlignment="1">
      <alignment horizontal="center"/>
    </xf>
    <xf numFmtId="0" fontId="25" fillId="0" borderId="11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/>
    </xf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0" fontId="0" fillId="0" borderId="16" xfId="0" applyFill="1" applyBorder="1" applyAlignment="1">
      <alignment horizontal="center"/>
    </xf>
    <xf numFmtId="0" fontId="0" fillId="0" borderId="41" xfId="0" applyFont="1" applyFill="1" applyBorder="1"/>
    <xf numFmtId="0" fontId="0" fillId="0" borderId="36" xfId="0" applyFont="1" applyFill="1" applyBorder="1"/>
    <xf numFmtId="3" fontId="0" fillId="0" borderId="40" xfId="0" applyNumberFormat="1" applyFill="1" applyBorder="1" applyAlignment="1">
      <alignment horizontal="center"/>
    </xf>
    <xf numFmtId="0" fontId="0" fillId="0" borderId="38" xfId="0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36" xfId="0" applyFill="1" applyBorder="1"/>
    <xf numFmtId="0" fontId="27" fillId="0" borderId="36" xfId="0" applyFont="1" applyFill="1" applyBorder="1" applyAlignment="1">
      <alignment vertical="center" wrapText="1"/>
    </xf>
    <xf numFmtId="0" fontId="0" fillId="0" borderId="28" xfId="0" applyFill="1" applyBorder="1" applyAlignment="1">
      <alignment horizontal="center"/>
    </xf>
    <xf numFmtId="0" fontId="0" fillId="0" borderId="0" xfId="0"/>
    <xf numFmtId="0" fontId="23" fillId="0" borderId="0" xfId="0" applyFont="1"/>
    <xf numFmtId="17" fontId="23" fillId="0" borderId="0" xfId="0" applyNumberFormat="1" applyFont="1"/>
    <xf numFmtId="0" fontId="0" fillId="34" borderId="0" xfId="0" applyFill="1"/>
    <xf numFmtId="3" fontId="26" fillId="0" borderId="13" xfId="0" applyNumberFormat="1" applyFont="1" applyFill="1" applyBorder="1" applyAlignment="1">
      <alignment horizontal="center"/>
    </xf>
    <xf numFmtId="3" fontId="26" fillId="0" borderId="52" xfId="0" applyNumberFormat="1" applyFont="1" applyFill="1" applyBorder="1" applyAlignment="1">
      <alignment horizontal="center"/>
    </xf>
    <xf numFmtId="0" fontId="26" fillId="0" borderId="2" xfId="0" applyFont="1" applyFill="1" applyBorder="1"/>
    <xf numFmtId="0" fontId="26" fillId="0" borderId="0" xfId="0" applyFont="1" applyFill="1"/>
    <xf numFmtId="0" fontId="20" fillId="0" borderId="23" xfId="0" applyFont="1" applyFill="1" applyBorder="1"/>
    <xf numFmtId="0" fontId="24" fillId="0" borderId="36" xfId="0" applyFont="1" applyFill="1" applyBorder="1" applyAlignment="1">
      <alignment vertical="center" wrapText="1"/>
    </xf>
    <xf numFmtId="0" fontId="0" fillId="0" borderId="37" xfId="0" applyFont="1" applyFill="1" applyBorder="1" applyAlignment="1">
      <alignment horizontal="left" vertical="center" wrapText="1"/>
    </xf>
    <xf numFmtId="0" fontId="0" fillId="0" borderId="43" xfId="0" applyFont="1" applyFill="1" applyBorder="1" applyAlignment="1">
      <alignment horizontal="left" vertical="center" wrapText="1"/>
    </xf>
    <xf numFmtId="0" fontId="0" fillId="0" borderId="25" xfId="0" applyFill="1" applyBorder="1" applyAlignment="1">
      <alignment horizontal="center" vertical="center"/>
    </xf>
    <xf numFmtId="0" fontId="20" fillId="0" borderId="41" xfId="0" applyFont="1" applyFill="1" applyBorder="1"/>
    <xf numFmtId="0" fontId="25" fillId="0" borderId="40" xfId="0" applyFont="1" applyFill="1" applyBorder="1" applyAlignment="1">
      <alignment horizontal="center"/>
    </xf>
    <xf numFmtId="0" fontId="0" fillId="0" borderId="30" xfId="0" applyFill="1" applyBorder="1" applyAlignment="1"/>
    <xf numFmtId="0" fontId="0" fillId="0" borderId="49" xfId="0" applyFill="1" applyBorder="1" applyAlignment="1"/>
    <xf numFmtId="0" fontId="0" fillId="0" borderId="15" xfId="0" applyFill="1" applyBorder="1" applyAlignment="1"/>
    <xf numFmtId="17" fontId="17" fillId="0" borderId="24" xfId="0" applyNumberFormat="1" applyFont="1" applyFill="1" applyBorder="1" applyAlignment="1">
      <alignment horizontal="center"/>
    </xf>
    <xf numFmtId="3" fontId="26" fillId="0" borderId="55" xfId="0" applyNumberFormat="1" applyFont="1" applyFill="1" applyBorder="1" applyAlignment="1">
      <alignment horizontal="center"/>
    </xf>
    <xf numFmtId="17" fontId="17" fillId="0" borderId="22" xfId="0" applyNumberFormat="1" applyFont="1" applyFill="1" applyBorder="1" applyAlignment="1">
      <alignment horizontal="center"/>
    </xf>
    <xf numFmtId="3" fontId="4" fillId="0" borderId="11" xfId="0" applyNumberFormat="1" applyFont="1" applyFill="1" applyBorder="1" applyAlignment="1">
      <alignment horizontal="center"/>
    </xf>
    <xf numFmtId="3" fontId="25" fillId="34" borderId="11" xfId="0" applyNumberFormat="1" applyFont="1" applyFill="1" applyBorder="1" applyAlignment="1">
      <alignment horizontal="center"/>
    </xf>
    <xf numFmtId="3" fontId="4" fillId="0" borderId="46" xfId="0" applyNumberFormat="1" applyFont="1" applyFill="1" applyBorder="1" applyAlignment="1">
      <alignment horizontal="center"/>
    </xf>
    <xf numFmtId="3" fontId="26" fillId="0" borderId="30" xfId="0" applyNumberFormat="1" applyFont="1" applyFill="1" applyBorder="1" applyAlignment="1">
      <alignment horizontal="center"/>
    </xf>
    <xf numFmtId="0" fontId="25" fillId="0" borderId="14" xfId="0" applyFont="1" applyFill="1" applyBorder="1"/>
    <xf numFmtId="9" fontId="25" fillId="0" borderId="17" xfId="32" applyFont="1" applyFill="1" applyBorder="1" applyAlignment="1">
      <alignment horizontal="center"/>
    </xf>
    <xf numFmtId="0" fontId="25" fillId="0" borderId="33" xfId="0" applyFont="1" applyFill="1" applyBorder="1"/>
    <xf numFmtId="3" fontId="25" fillId="0" borderId="20" xfId="0" applyNumberFormat="1" applyFont="1" applyFill="1" applyBorder="1" applyAlignment="1">
      <alignment horizontal="center"/>
    </xf>
    <xf numFmtId="9" fontId="25" fillId="0" borderId="21" xfId="32" applyFont="1" applyFill="1" applyBorder="1" applyAlignment="1">
      <alignment horizontal="center"/>
    </xf>
    <xf numFmtId="3" fontId="25" fillId="34" borderId="1" xfId="0" applyNumberFormat="1" applyFont="1" applyFill="1" applyBorder="1" applyAlignment="1">
      <alignment horizontal="center"/>
    </xf>
    <xf numFmtId="3" fontId="25" fillId="34" borderId="32" xfId="0" applyNumberFormat="1" applyFont="1" applyFill="1" applyBorder="1" applyAlignment="1">
      <alignment horizontal="center"/>
    </xf>
    <xf numFmtId="0" fontId="0" fillId="0" borderId="0" xfId="0" applyFill="1" applyBorder="1"/>
    <xf numFmtId="17" fontId="17" fillId="0" borderId="20" xfId="0" applyNumberFormat="1" applyFont="1" applyFill="1" applyBorder="1" applyAlignment="1">
      <alignment horizontal="center"/>
    </xf>
    <xf numFmtId="0" fontId="0" fillId="0" borderId="44" xfId="0" applyBorder="1"/>
    <xf numFmtId="0" fontId="0" fillId="0" borderId="37" xfId="0" applyBorder="1"/>
    <xf numFmtId="3" fontId="0" fillId="0" borderId="37" xfId="0" applyNumberFormat="1" applyBorder="1" applyAlignment="1">
      <alignment horizontal="center"/>
    </xf>
    <xf numFmtId="0" fontId="0" fillId="0" borderId="17" xfId="0" applyFont="1" applyFill="1" applyBorder="1"/>
    <xf numFmtId="0" fontId="25" fillId="0" borderId="18" xfId="0" applyFont="1" applyFill="1" applyBorder="1"/>
    <xf numFmtId="3" fontId="25" fillId="0" borderId="32" xfId="0" applyNumberFormat="1" applyFont="1" applyFill="1" applyBorder="1" applyAlignment="1">
      <alignment horizontal="center"/>
    </xf>
    <xf numFmtId="0" fontId="26" fillId="0" borderId="25" xfId="0" applyFont="1" applyFill="1" applyBorder="1" applyAlignment="1">
      <alignment horizontal="center"/>
    </xf>
    <xf numFmtId="0" fontId="26" fillId="0" borderId="22" xfId="0" applyFont="1" applyFill="1" applyBorder="1" applyAlignment="1">
      <alignment horizontal="center"/>
    </xf>
    <xf numFmtId="0" fontId="26" fillId="0" borderId="11" xfId="0" applyFont="1" applyFill="1" applyBorder="1" applyAlignment="1">
      <alignment horizontal="center"/>
    </xf>
    <xf numFmtId="0" fontId="0" fillId="0" borderId="8" xfId="0" applyBorder="1"/>
    <xf numFmtId="9" fontId="25" fillId="0" borderId="51" xfId="32" applyFont="1" applyFill="1" applyBorder="1" applyAlignment="1">
      <alignment horizontal="center"/>
    </xf>
    <xf numFmtId="0" fontId="26" fillId="34" borderId="26" xfId="0" applyFont="1" applyFill="1" applyBorder="1" applyAlignment="1">
      <alignment horizontal="center"/>
    </xf>
    <xf numFmtId="0" fontId="26" fillId="34" borderId="25" xfId="0" applyFont="1" applyFill="1" applyBorder="1" applyAlignment="1">
      <alignment horizontal="center"/>
    </xf>
    <xf numFmtId="0" fontId="26" fillId="34" borderId="45" xfId="0" applyFont="1" applyFill="1" applyBorder="1" applyAlignment="1">
      <alignment horizontal="center"/>
    </xf>
    <xf numFmtId="0" fontId="26" fillId="34" borderId="11" xfId="0" applyFont="1" applyFill="1" applyBorder="1" applyAlignment="1">
      <alignment horizontal="center"/>
    </xf>
    <xf numFmtId="17" fontId="17" fillId="0" borderId="19" xfId="0" applyNumberFormat="1" applyFont="1" applyFill="1" applyBorder="1" applyAlignment="1">
      <alignment horizontal="center"/>
    </xf>
    <xf numFmtId="0" fontId="26" fillId="34" borderId="22" xfId="0" applyFont="1" applyFill="1" applyBorder="1" applyAlignment="1">
      <alignment horizontal="center"/>
    </xf>
    <xf numFmtId="3" fontId="25" fillId="34" borderId="20" xfId="0" applyNumberFormat="1" applyFont="1" applyFill="1" applyBorder="1" applyAlignment="1">
      <alignment horizontal="center"/>
    </xf>
    <xf numFmtId="9" fontId="25" fillId="34" borderId="21" xfId="32" applyFont="1" applyFill="1" applyBorder="1" applyAlignment="1">
      <alignment horizontal="center"/>
    </xf>
    <xf numFmtId="0" fontId="0" fillId="0" borderId="40" xfId="0" applyFont="1" applyFill="1" applyBorder="1" applyAlignment="1">
      <alignment horizontal="center" vertical="center" wrapText="1"/>
    </xf>
    <xf numFmtId="0" fontId="0" fillId="0" borderId="40" xfId="0" quotePrefix="1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27" xfId="0" quotePrefix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7" xfId="0" applyFont="1" applyFill="1" applyBorder="1" applyAlignment="1">
      <alignment horizontal="left" vertical="center" wrapText="1"/>
    </xf>
    <xf numFmtId="0" fontId="0" fillId="0" borderId="44" xfId="0" applyBorder="1" applyAlignment="1">
      <alignment horizontal="center"/>
    </xf>
    <xf numFmtId="0" fontId="20" fillId="0" borderId="29" xfId="0" applyFont="1" applyFill="1" applyBorder="1"/>
    <xf numFmtId="0" fontId="25" fillId="35" borderId="33" xfId="0" applyFont="1" applyFill="1" applyBorder="1"/>
    <xf numFmtId="0" fontId="26" fillId="35" borderId="26" xfId="0" applyFont="1" applyFill="1" applyBorder="1" applyAlignment="1">
      <alignment horizontal="center"/>
    </xf>
    <xf numFmtId="9" fontId="25" fillId="35" borderId="17" xfId="32" applyFont="1" applyFill="1" applyBorder="1" applyAlignment="1">
      <alignment horizontal="center"/>
    </xf>
    <xf numFmtId="0" fontId="25" fillId="35" borderId="14" xfId="0" applyFont="1" applyFill="1" applyBorder="1"/>
    <xf numFmtId="0" fontId="26" fillId="35" borderId="25" xfId="0" applyFont="1" applyFill="1" applyBorder="1" applyAlignment="1">
      <alignment horizontal="center"/>
    </xf>
    <xf numFmtId="0" fontId="26" fillId="35" borderId="9" xfId="0" applyFont="1" applyFill="1" applyBorder="1"/>
    <xf numFmtId="3" fontId="26" fillId="35" borderId="52" xfId="0" applyNumberFormat="1" applyFont="1" applyFill="1" applyBorder="1" applyAlignment="1">
      <alignment horizontal="center"/>
    </xf>
    <xf numFmtId="3" fontId="26" fillId="35" borderId="12" xfId="0" applyNumberFormat="1" applyFont="1" applyFill="1" applyBorder="1" applyAlignment="1">
      <alignment horizontal="center"/>
    </xf>
    <xf numFmtId="164" fontId="26" fillId="35" borderId="34" xfId="32" applyNumberFormat="1" applyFont="1" applyFill="1" applyBorder="1" applyAlignment="1">
      <alignment horizontal="center"/>
    </xf>
    <xf numFmtId="0" fontId="26" fillId="35" borderId="2" xfId="0" applyFont="1" applyFill="1" applyBorder="1"/>
    <xf numFmtId="3" fontId="26" fillId="35" borderId="2" xfId="0" applyNumberFormat="1" applyFont="1" applyFill="1" applyBorder="1" applyAlignment="1">
      <alignment horizontal="center"/>
    </xf>
    <xf numFmtId="9" fontId="26" fillId="35" borderId="2" xfId="32" applyFont="1" applyFill="1" applyBorder="1" applyAlignment="1">
      <alignment horizontal="center"/>
    </xf>
    <xf numFmtId="3" fontId="26" fillId="35" borderId="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3" fontId="26" fillId="0" borderId="25" xfId="0" applyNumberFormat="1" applyFont="1" applyFill="1" applyBorder="1" applyAlignment="1">
      <alignment horizontal="center"/>
    </xf>
    <xf numFmtId="3" fontId="26" fillId="0" borderId="45" xfId="0" applyNumberFormat="1" applyFont="1" applyFill="1" applyBorder="1" applyAlignment="1">
      <alignment horizontal="center"/>
    </xf>
    <xf numFmtId="3" fontId="26" fillId="0" borderId="2" xfId="0" applyNumberFormat="1" applyFont="1" applyFill="1" applyBorder="1"/>
    <xf numFmtId="3" fontId="26" fillId="0" borderId="48" xfId="0" applyNumberFormat="1" applyFont="1" applyFill="1" applyBorder="1" applyAlignment="1">
      <alignment horizontal="center"/>
    </xf>
    <xf numFmtId="3" fontId="26" fillId="0" borderId="0" xfId="0" applyNumberFormat="1" applyFont="1" applyFill="1"/>
    <xf numFmtId="3" fontId="25" fillId="0" borderId="0" xfId="0" applyNumberFormat="1" applyFont="1" applyFill="1"/>
    <xf numFmtId="3" fontId="26" fillId="34" borderId="26" xfId="0" applyNumberFormat="1" applyFont="1" applyFill="1" applyBorder="1" applyAlignment="1">
      <alignment horizontal="center"/>
    </xf>
    <xf numFmtId="3" fontId="26" fillId="34" borderId="25" xfId="0" applyNumberFormat="1" applyFont="1" applyFill="1" applyBorder="1" applyAlignment="1">
      <alignment horizontal="center"/>
    </xf>
    <xf numFmtId="3" fontId="26" fillId="34" borderId="22" xfId="0" applyNumberFormat="1" applyFont="1" applyFill="1" applyBorder="1" applyAlignment="1">
      <alignment horizontal="center"/>
    </xf>
    <xf numFmtId="3" fontId="26" fillId="34" borderId="11" xfId="0" applyNumberFormat="1" applyFont="1" applyFill="1" applyBorder="1" applyAlignment="1">
      <alignment horizontal="center"/>
    </xf>
    <xf numFmtId="0" fontId="0" fillId="0" borderId="27" xfId="0" applyBorder="1"/>
    <xf numFmtId="0" fontId="0" fillId="0" borderId="44" xfId="0" applyFont="1" applyFill="1" applyBorder="1" applyAlignment="1">
      <alignment horizontal="center" vertical="center" wrapText="1"/>
    </xf>
    <xf numFmtId="17" fontId="17" fillId="0" borderId="40" xfId="0" applyNumberFormat="1" applyFont="1" applyFill="1" applyBorder="1" applyAlignment="1">
      <alignment horizontal="center"/>
    </xf>
    <xf numFmtId="17" fontId="17" fillId="0" borderId="26" xfId="0" applyNumberFormat="1" applyFont="1" applyFill="1" applyBorder="1" applyAlignment="1">
      <alignment horizontal="center"/>
    </xf>
    <xf numFmtId="3" fontId="25" fillId="35" borderId="1" xfId="0" applyNumberFormat="1" applyFont="1" applyFill="1" applyBorder="1" applyAlignment="1">
      <alignment horizontal="center"/>
    </xf>
    <xf numFmtId="3" fontId="26" fillId="35" borderId="25" xfId="0" applyNumberFormat="1" applyFont="1" applyFill="1" applyBorder="1" applyAlignment="1">
      <alignment horizontal="center"/>
    </xf>
    <xf numFmtId="3" fontId="26" fillId="35" borderId="2" xfId="0" applyNumberFormat="1" applyFont="1" applyFill="1" applyBorder="1"/>
    <xf numFmtId="3" fontId="26" fillId="35" borderId="11" xfId="0" applyNumberFormat="1" applyFont="1" applyFill="1" applyBorder="1" applyAlignment="1">
      <alignment horizontal="center"/>
    </xf>
    <xf numFmtId="0" fontId="25" fillId="35" borderId="0" xfId="0" applyFont="1" applyFill="1"/>
    <xf numFmtId="3" fontId="26" fillId="35" borderId="0" xfId="0" applyNumberFormat="1" applyFont="1" applyFill="1"/>
    <xf numFmtId="3" fontId="25" fillId="35" borderId="0" xfId="0" applyNumberFormat="1" applyFont="1" applyFill="1"/>
    <xf numFmtId="0" fontId="26" fillId="35" borderId="30" xfId="0" applyFont="1" applyFill="1" applyBorder="1"/>
    <xf numFmtId="3" fontId="26" fillId="35" borderId="13" xfId="0" applyNumberFormat="1" applyFont="1" applyFill="1" applyBorder="1" applyAlignment="1">
      <alignment horizontal="center"/>
    </xf>
    <xf numFmtId="3" fontId="26" fillId="34" borderId="45" xfId="0" applyNumberFormat="1" applyFont="1" applyFill="1" applyBorder="1" applyAlignment="1">
      <alignment horizontal="center"/>
    </xf>
    <xf numFmtId="3" fontId="26" fillId="0" borderId="11" xfId="0" applyNumberFormat="1" applyFont="1" applyFill="1" applyBorder="1" applyAlignment="1">
      <alignment horizontal="center"/>
    </xf>
    <xf numFmtId="0" fontId="25" fillId="0" borderId="16" xfId="0" applyFont="1" applyFill="1" applyBorder="1" applyAlignment="1">
      <alignment horizontal="center"/>
    </xf>
    <xf numFmtId="3" fontId="26" fillId="0" borderId="26" xfId="0" applyNumberFormat="1" applyFont="1" applyFill="1" applyBorder="1" applyAlignment="1">
      <alignment horizontal="center"/>
    </xf>
    <xf numFmtId="3" fontId="26" fillId="0" borderId="22" xfId="0" applyNumberFormat="1" applyFont="1" applyFill="1" applyBorder="1" applyAlignment="1">
      <alignment horizontal="center"/>
    </xf>
    <xf numFmtId="9" fontId="3" fillId="36" borderId="17" xfId="32" applyFont="1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3" fontId="25" fillId="34" borderId="25" xfId="0" applyNumberFormat="1" applyFont="1" applyFill="1" applyBorder="1" applyAlignment="1">
      <alignment horizontal="center"/>
    </xf>
    <xf numFmtId="3" fontId="4" fillId="0" borderId="25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3" fontId="4" fillId="0" borderId="26" xfId="0" applyNumberFormat="1" applyFont="1" applyFill="1" applyBorder="1" applyAlignment="1">
      <alignment horizontal="center"/>
    </xf>
    <xf numFmtId="3" fontId="4" fillId="0" borderId="45" xfId="0" applyNumberFormat="1" applyFont="1" applyFill="1" applyBorder="1" applyAlignment="1">
      <alignment horizontal="center"/>
    </xf>
    <xf numFmtId="3" fontId="4" fillId="0" borderId="32" xfId="0" applyNumberFormat="1" applyFont="1" applyFill="1" applyBorder="1" applyAlignment="1">
      <alignment horizontal="center"/>
    </xf>
    <xf numFmtId="3" fontId="25" fillId="34" borderId="22" xfId="0" applyNumberFormat="1" applyFont="1" applyFill="1" applyBorder="1" applyAlignment="1">
      <alignment horizontal="center"/>
    </xf>
    <xf numFmtId="3" fontId="4" fillId="0" borderId="48" xfId="0" applyNumberFormat="1" applyFont="1" applyFill="1" applyBorder="1" applyAlignment="1">
      <alignment horizontal="center"/>
    </xf>
    <xf numFmtId="164" fontId="29" fillId="0" borderId="34" xfId="32" applyNumberFormat="1" applyFont="1" applyFill="1" applyBorder="1" applyAlignment="1">
      <alignment horizontal="center"/>
    </xf>
    <xf numFmtId="164" fontId="29" fillId="35" borderId="34" xfId="32" applyNumberFormat="1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 vertical="center" wrapText="1"/>
    </xf>
    <xf numFmtId="0" fontId="0" fillId="0" borderId="32" xfId="0" applyBorder="1"/>
    <xf numFmtId="9" fontId="4" fillId="0" borderId="45" xfId="32" applyFont="1" applyBorder="1" applyAlignment="1">
      <alignment horizontal="center"/>
    </xf>
    <xf numFmtId="0" fontId="0" fillId="0" borderId="36" xfId="0" applyBorder="1"/>
    <xf numFmtId="0" fontId="0" fillId="0" borderId="26" xfId="0" applyBorder="1"/>
    <xf numFmtId="0" fontId="0" fillId="0" borderId="1" xfId="0" applyBorder="1" applyAlignment="1">
      <alignment horizontal="center"/>
    </xf>
    <xf numFmtId="9" fontId="2" fillId="0" borderId="1" xfId="32" applyFont="1" applyBorder="1" applyAlignment="1">
      <alignment horizontal="center"/>
    </xf>
    <xf numFmtId="3" fontId="0" fillId="0" borderId="57" xfId="0" applyNumberFormat="1" applyBorder="1" applyAlignment="1">
      <alignment horizontal="center"/>
    </xf>
    <xf numFmtId="3" fontId="0" fillId="0" borderId="32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quotePrefix="1" applyBorder="1"/>
    <xf numFmtId="9" fontId="2" fillId="0" borderId="32" xfId="32" applyFont="1" applyBorder="1" applyAlignment="1">
      <alignment horizontal="center"/>
    </xf>
    <xf numFmtId="0" fontId="30" fillId="0" borderId="0" xfId="0" applyFont="1"/>
    <xf numFmtId="3" fontId="0" fillId="0" borderId="0" xfId="0" applyNumberFormat="1" applyAlignment="1">
      <alignment horizontal="center"/>
    </xf>
    <xf numFmtId="9" fontId="2" fillId="0" borderId="37" xfId="32" applyFont="1" applyBorder="1" applyAlignment="1">
      <alignment horizontal="center"/>
    </xf>
    <xf numFmtId="3" fontId="0" fillId="0" borderId="27" xfId="0" applyNumberFormat="1" applyBorder="1" applyAlignment="1">
      <alignment horizontal="center"/>
    </xf>
    <xf numFmtId="9" fontId="2" fillId="0" borderId="27" xfId="32" applyFont="1" applyBorder="1" applyAlignment="1">
      <alignment horizontal="center"/>
    </xf>
    <xf numFmtId="9" fontId="4" fillId="0" borderId="1" xfId="32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20" fillId="0" borderId="1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wrapText="1"/>
    </xf>
    <xf numFmtId="17" fontId="17" fillId="0" borderId="33" xfId="0" applyNumberFormat="1" applyFont="1" applyFill="1" applyBorder="1" applyAlignment="1">
      <alignment horizontal="center"/>
    </xf>
    <xf numFmtId="0" fontId="26" fillId="0" borderId="38" xfId="0" applyFont="1" applyFill="1" applyBorder="1" applyAlignment="1">
      <alignment horizontal="center"/>
    </xf>
    <xf numFmtId="0" fontId="26" fillId="0" borderId="58" xfId="0" applyFont="1" applyFill="1" applyBorder="1" applyAlignment="1">
      <alignment horizontal="center"/>
    </xf>
    <xf numFmtId="3" fontId="26" fillId="0" borderId="59" xfId="0" applyNumberFormat="1" applyFont="1" applyFill="1" applyBorder="1" applyAlignment="1">
      <alignment horizontal="center"/>
    </xf>
    <xf numFmtId="3" fontId="25" fillId="0" borderId="10" xfId="0" applyNumberFormat="1" applyFont="1" applyFill="1" applyBorder="1" applyAlignment="1">
      <alignment horizontal="center"/>
    </xf>
    <xf numFmtId="3" fontId="25" fillId="0" borderId="47" xfId="0" applyNumberFormat="1" applyFont="1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9" fontId="25" fillId="0" borderId="14" xfId="32" applyFont="1" applyFill="1" applyBorder="1" applyAlignment="1">
      <alignment horizontal="center"/>
    </xf>
    <xf numFmtId="164" fontId="26" fillId="0" borderId="9" xfId="32" applyNumberFormat="1" applyFont="1" applyFill="1" applyBorder="1" applyAlignment="1">
      <alignment horizontal="center"/>
    </xf>
    <xf numFmtId="9" fontId="25" fillId="0" borderId="18" xfId="32" applyFont="1" applyFill="1" applyBorder="1" applyAlignment="1">
      <alignment horizontal="center"/>
    </xf>
    <xf numFmtId="0" fontId="26" fillId="34" borderId="38" xfId="0" applyFont="1" applyFill="1" applyBorder="1" applyAlignment="1">
      <alignment horizontal="center"/>
    </xf>
    <xf numFmtId="3" fontId="25" fillId="34" borderId="10" xfId="0" applyNumberFormat="1" applyFont="1" applyFill="1" applyBorder="1" applyAlignment="1">
      <alignment horizontal="center"/>
    </xf>
    <xf numFmtId="9" fontId="25" fillId="34" borderId="14" xfId="32" applyFont="1" applyFill="1" applyBorder="1" applyAlignment="1">
      <alignment horizontal="center"/>
    </xf>
    <xf numFmtId="0" fontId="26" fillId="0" borderId="50" xfId="0" applyFont="1" applyFill="1" applyBorder="1" applyAlignment="1">
      <alignment horizontal="center"/>
    </xf>
    <xf numFmtId="0" fontId="26" fillId="0" borderId="60" xfId="0" applyFont="1" applyFill="1" applyBorder="1" applyAlignment="1">
      <alignment horizontal="center"/>
    </xf>
    <xf numFmtId="3" fontId="25" fillId="0" borderId="24" xfId="0" applyNumberFormat="1" applyFont="1" applyFill="1" applyBorder="1" applyAlignment="1">
      <alignment horizontal="center"/>
    </xf>
    <xf numFmtId="9" fontId="25" fillId="0" borderId="33" xfId="32" applyFont="1" applyFill="1" applyBorder="1" applyAlignment="1">
      <alignment horizontal="center"/>
    </xf>
    <xf numFmtId="3" fontId="25" fillId="0" borderId="11" xfId="0" applyNumberFormat="1" applyFont="1" applyFill="1" applyBorder="1" applyAlignment="1">
      <alignment horizontal="center"/>
    </xf>
    <xf numFmtId="3" fontId="25" fillId="0" borderId="46" xfId="0" applyNumberFormat="1" applyFont="1" applyFill="1" applyBorder="1" applyAlignment="1">
      <alignment horizontal="center"/>
    </xf>
    <xf numFmtId="9" fontId="25" fillId="0" borderId="35" xfId="32" applyFont="1" applyFill="1" applyBorder="1" applyAlignment="1">
      <alignment horizontal="center"/>
    </xf>
    <xf numFmtId="3" fontId="25" fillId="0" borderId="22" xfId="0" applyNumberFormat="1" applyFont="1" applyFill="1" applyBorder="1" applyAlignment="1">
      <alignment horizontal="center"/>
    </xf>
    <xf numFmtId="0" fontId="25" fillId="0" borderId="41" xfId="0" applyFont="1" applyFill="1" applyBorder="1" applyAlignment="1">
      <alignment horizontal="center"/>
    </xf>
    <xf numFmtId="0" fontId="25" fillId="0" borderId="23" xfId="0" applyFont="1" applyFill="1" applyBorder="1" applyAlignment="1">
      <alignment horizontal="center"/>
    </xf>
    <xf numFmtId="0" fontId="25" fillId="0" borderId="54" xfId="0" applyFont="1" applyFill="1" applyBorder="1" applyAlignment="1">
      <alignment horizontal="center"/>
    </xf>
    <xf numFmtId="0" fontId="25" fillId="0" borderId="53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54" xfId="0" applyFont="1" applyFill="1" applyBorder="1" applyAlignment="1">
      <alignment horizontal="center"/>
    </xf>
    <xf numFmtId="3" fontId="0" fillId="38" borderId="27" xfId="0" quotePrefix="1" applyNumberFormat="1" applyFill="1" applyBorder="1" applyAlignment="1">
      <alignment horizontal="center"/>
    </xf>
    <xf numFmtId="0" fontId="0" fillId="37" borderId="27" xfId="0" applyFont="1" applyFill="1" applyBorder="1"/>
    <xf numFmtId="0" fontId="20" fillId="37" borderId="29" xfId="0" applyFont="1" applyFill="1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left" vertical="center" wrapText="1"/>
    </xf>
    <xf numFmtId="0" fontId="0" fillId="37" borderId="1" xfId="0" applyFont="1" applyFill="1" applyBorder="1"/>
    <xf numFmtId="3" fontId="0" fillId="37" borderId="27" xfId="0" quotePrefix="1" applyNumberFormat="1" applyFont="1" applyFill="1" applyBorder="1" applyAlignment="1">
      <alignment horizontal="center"/>
    </xf>
    <xf numFmtId="0" fontId="20" fillId="37" borderId="23" xfId="0" applyFont="1" applyFill="1" applyBorder="1" applyAlignment="1">
      <alignment horizontal="left" vertical="center" wrapText="1"/>
    </xf>
    <xf numFmtId="0" fontId="0" fillId="39" borderId="1" xfId="0" applyFill="1" applyBorder="1"/>
    <xf numFmtId="3" fontId="0" fillId="39" borderId="1" xfId="0" quotePrefix="1" applyNumberFormat="1" applyFill="1" applyBorder="1" applyAlignment="1">
      <alignment horizontal="center"/>
    </xf>
    <xf numFmtId="0" fontId="20" fillId="39" borderId="10" xfId="0" applyFont="1" applyFill="1" applyBorder="1"/>
    <xf numFmtId="3" fontId="0" fillId="39" borderId="11" xfId="0" quotePrefix="1" applyNumberFormat="1" applyFill="1" applyBorder="1" applyAlignment="1">
      <alignment horizontal="center"/>
    </xf>
    <xf numFmtId="0" fontId="20" fillId="37" borderId="41" xfId="0" applyFont="1" applyFill="1" applyBorder="1"/>
    <xf numFmtId="0" fontId="0" fillId="0" borderId="26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left" vertical="center" wrapText="1"/>
    </xf>
    <xf numFmtId="0" fontId="0" fillId="37" borderId="1" xfId="0" applyFont="1" applyFill="1" applyBorder="1" applyAlignment="1">
      <alignment horizontal="left" vertical="center" wrapText="1"/>
    </xf>
    <xf numFmtId="0" fontId="20" fillId="37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0" fillId="37" borderId="1" xfId="0" applyFont="1" applyFill="1" applyBorder="1" applyAlignment="1">
      <alignment wrapText="1"/>
    </xf>
    <xf numFmtId="0" fontId="20" fillId="37" borderId="10" xfId="0" applyFont="1" applyFill="1" applyBorder="1"/>
    <xf numFmtId="3" fontId="0" fillId="0" borderId="27" xfId="0" quotePrefix="1" applyNumberFormat="1" applyFill="1" applyBorder="1" applyAlignment="1">
      <alignment horizontal="center" vertical="center"/>
    </xf>
    <xf numFmtId="0" fontId="0" fillId="0" borderId="14" xfId="0" applyFont="1" applyFill="1" applyBorder="1"/>
    <xf numFmtId="0" fontId="0" fillId="0" borderId="23" xfId="0" applyFont="1" applyFill="1" applyBorder="1" applyAlignment="1">
      <alignment horizontal="center"/>
    </xf>
    <xf numFmtId="9" fontId="2" fillId="0" borderId="17" xfId="32" applyFont="1" applyFill="1" applyBorder="1" applyAlignment="1">
      <alignment horizontal="center"/>
    </xf>
    <xf numFmtId="0" fontId="29" fillId="0" borderId="25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26" fillId="34" borderId="48" xfId="0" applyFont="1" applyFill="1" applyBorder="1" applyAlignment="1">
      <alignment horizontal="center"/>
    </xf>
    <xf numFmtId="9" fontId="25" fillId="34" borderId="51" xfId="32" applyFont="1" applyFill="1" applyBorder="1" applyAlignment="1">
      <alignment horizontal="center"/>
    </xf>
    <xf numFmtId="0" fontId="0" fillId="37" borderId="1" xfId="0" applyFill="1" applyBorder="1"/>
    <xf numFmtId="3" fontId="0" fillId="37" borderId="1" xfId="0" quotePrefix="1" applyNumberForma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/>
    </xf>
    <xf numFmtId="0" fontId="20" fillId="38" borderId="41" xfId="0" applyFont="1" applyFill="1" applyBorder="1"/>
    <xf numFmtId="0" fontId="20" fillId="0" borderId="23" xfId="0" applyFont="1" applyFill="1" applyBorder="1" applyAlignment="1">
      <alignment horizontal="left" vertical="center" wrapText="1"/>
    </xf>
    <xf numFmtId="0" fontId="20" fillId="37" borderId="23" xfId="0" applyFont="1" applyFill="1" applyBorder="1"/>
    <xf numFmtId="0" fontId="0" fillId="38" borderId="27" xfId="0" applyFont="1" applyFill="1" applyBorder="1"/>
    <xf numFmtId="3" fontId="0" fillId="38" borderId="27" xfId="0" quotePrefix="1" applyNumberFormat="1" applyFont="1" applyFill="1" applyBorder="1" applyAlignment="1">
      <alignment horizontal="center"/>
    </xf>
    <xf numFmtId="0" fontId="20" fillId="38" borderId="29" xfId="0" applyFont="1" applyFill="1" applyBorder="1"/>
    <xf numFmtId="0" fontId="0" fillId="0" borderId="23" xfId="0" applyFont="1" applyFill="1" applyBorder="1" applyAlignment="1">
      <alignment wrapText="1"/>
    </xf>
    <xf numFmtId="0" fontId="20" fillId="37" borderId="23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/>
    </xf>
    <xf numFmtId="0" fontId="29" fillId="0" borderId="48" xfId="0" applyFont="1" applyFill="1" applyBorder="1" applyAlignment="1">
      <alignment horizontal="center"/>
    </xf>
    <xf numFmtId="9" fontId="4" fillId="0" borderId="51" xfId="32" applyFont="1" applyFill="1" applyBorder="1" applyAlignment="1">
      <alignment horizontal="center"/>
    </xf>
    <xf numFmtId="0" fontId="26" fillId="0" borderId="45" xfId="0" applyFont="1" applyFill="1" applyBorder="1" applyAlignment="1">
      <alignment horizontal="center"/>
    </xf>
    <xf numFmtId="3" fontId="0" fillId="37" borderId="1" xfId="0" applyNumberFormat="1" applyFont="1" applyFill="1" applyBorder="1" applyAlignment="1">
      <alignment horizontal="center"/>
    </xf>
    <xf numFmtId="3" fontId="0" fillId="37" borderId="1" xfId="0" quotePrefix="1" applyNumberFormat="1" applyFont="1" applyFill="1" applyBorder="1" applyAlignment="1">
      <alignment horizontal="center"/>
    </xf>
    <xf numFmtId="0" fontId="0" fillId="37" borderId="27" xfId="0" applyFont="1" applyFill="1" applyBorder="1" applyAlignment="1">
      <alignment wrapText="1"/>
    </xf>
    <xf numFmtId="0" fontId="0" fillId="38" borderId="1" xfId="0" applyFont="1" applyFill="1" applyBorder="1"/>
    <xf numFmtId="0" fontId="20" fillId="38" borderId="10" xfId="0" applyFont="1" applyFill="1" applyBorder="1"/>
    <xf numFmtId="0" fontId="0" fillId="0" borderId="29" xfId="0" applyFill="1" applyBorder="1" applyAlignment="1">
      <alignment horizontal="center"/>
    </xf>
    <xf numFmtId="0" fontId="0" fillId="37" borderId="11" xfId="0" applyFill="1" applyBorder="1" applyAlignment="1">
      <alignment vertical="center"/>
    </xf>
    <xf numFmtId="0" fontId="0" fillId="37" borderId="27" xfId="0" quotePrefix="1" applyFont="1" applyFill="1" applyBorder="1" applyAlignment="1">
      <alignment horizontal="center" vertical="center" wrapText="1"/>
    </xf>
    <xf numFmtId="0" fontId="24" fillId="37" borderId="36" xfId="0" applyFont="1" applyFill="1" applyBorder="1" applyAlignment="1">
      <alignment vertical="center" wrapText="1"/>
    </xf>
    <xf numFmtId="3" fontId="26" fillId="0" borderId="1" xfId="0" applyNumberFormat="1" applyFont="1" applyFill="1" applyBorder="1" applyAlignment="1">
      <alignment horizontal="center"/>
    </xf>
    <xf numFmtId="3" fontId="26" fillId="0" borderId="32" xfId="0" applyNumberFormat="1" applyFont="1" applyFill="1" applyBorder="1" applyAlignment="1">
      <alignment horizontal="center"/>
    </xf>
    <xf numFmtId="3" fontId="26" fillId="0" borderId="20" xfId="0" applyNumberFormat="1" applyFont="1" applyFill="1" applyBorder="1" applyAlignment="1">
      <alignment horizontal="center"/>
    </xf>
    <xf numFmtId="0" fontId="4" fillId="35" borderId="14" xfId="0" applyFont="1" applyFill="1" applyBorder="1"/>
    <xf numFmtId="0" fontId="29" fillId="35" borderId="25" xfId="0" applyFont="1" applyFill="1" applyBorder="1" applyAlignment="1">
      <alignment horizontal="center"/>
    </xf>
    <xf numFmtId="3" fontId="29" fillId="35" borderId="1" xfId="0" applyNumberFormat="1" applyFont="1" applyFill="1" applyBorder="1" applyAlignment="1">
      <alignment horizontal="center"/>
    </xf>
    <xf numFmtId="9" fontId="4" fillId="35" borderId="17" xfId="32" applyFont="1" applyFill="1" applyBorder="1" applyAlignment="1">
      <alignment horizontal="center"/>
    </xf>
    <xf numFmtId="3" fontId="29" fillId="0" borderId="1" xfId="0" applyNumberFormat="1" applyFont="1" applyFill="1" applyBorder="1" applyAlignment="1">
      <alignment horizontal="center"/>
    </xf>
    <xf numFmtId="3" fontId="29" fillId="0" borderId="32" xfId="0" applyNumberFormat="1" applyFont="1" applyFill="1" applyBorder="1" applyAlignment="1">
      <alignment horizontal="center"/>
    </xf>
    <xf numFmtId="3" fontId="26" fillId="0" borderId="42" xfId="0" applyNumberFormat="1" applyFont="1" applyFill="1" applyBorder="1" applyAlignment="1">
      <alignment horizontal="center"/>
    </xf>
    <xf numFmtId="9" fontId="26" fillId="0" borderId="9" xfId="32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3" fontId="0" fillId="0" borderId="42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3" fontId="0" fillId="0" borderId="34" xfId="0" applyNumberFormat="1" applyFont="1" applyFill="1" applyBorder="1" applyAlignment="1">
      <alignment horizontal="center" vertical="center"/>
    </xf>
    <xf numFmtId="0" fontId="20" fillId="41" borderId="21" xfId="0" applyFont="1" applyFill="1" applyBorder="1" applyAlignment="1">
      <alignment horizontal="right" vertical="center"/>
    </xf>
    <xf numFmtId="9" fontId="20" fillId="41" borderId="51" xfId="32" applyFont="1" applyFill="1" applyBorder="1" applyAlignment="1">
      <alignment horizontal="right" vertical="center"/>
    </xf>
    <xf numFmtId="0" fontId="0" fillId="0" borderId="1" xfId="0" applyFont="1" applyBorder="1" applyAlignment="1">
      <alignment wrapText="1"/>
    </xf>
    <xf numFmtId="0" fontId="0" fillId="0" borderId="17" xfId="0" applyFill="1" applyBorder="1" applyAlignment="1">
      <alignment vertical="center"/>
    </xf>
    <xf numFmtId="0" fontId="25" fillId="0" borderId="11" xfId="0" applyFont="1" applyFill="1" applyBorder="1" applyAlignment="1">
      <alignment horizontal="center" vertical="center"/>
    </xf>
    <xf numFmtId="3" fontId="0" fillId="0" borderId="31" xfId="0" applyNumberFormat="1" applyFont="1" applyFill="1" applyBorder="1" applyAlignment="1">
      <alignment horizontal="center" vertical="center"/>
    </xf>
    <xf numFmtId="3" fontId="0" fillId="0" borderId="17" xfId="0" quotePrefix="1" applyNumberFormat="1" applyFont="1" applyFill="1" applyBorder="1" applyAlignment="1">
      <alignment horizontal="center" vertical="center"/>
    </xf>
    <xf numFmtId="0" fontId="0" fillId="37" borderId="1" xfId="0" applyFill="1" applyBorder="1" applyAlignment="1">
      <alignment vertical="center"/>
    </xf>
    <xf numFmtId="3" fontId="0" fillId="37" borderId="1" xfId="0" quotePrefix="1" applyNumberFormat="1" applyFont="1" applyFill="1" applyBorder="1" applyAlignment="1">
      <alignment horizontal="center" vertical="center"/>
    </xf>
    <xf numFmtId="3" fontId="0" fillId="37" borderId="1" xfId="0" quotePrefix="1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16" xfId="0" applyFill="1" applyBorder="1" applyAlignment="1">
      <alignment horizontal="center" vertical="center"/>
    </xf>
    <xf numFmtId="3" fontId="0" fillId="0" borderId="26" xfId="0" quotePrefix="1" applyNumberFormat="1" applyFill="1" applyBorder="1" applyAlignment="1">
      <alignment horizontal="center" vertical="center"/>
    </xf>
    <xf numFmtId="3" fontId="0" fillId="0" borderId="27" xfId="0" applyNumberFormat="1" applyFont="1" applyFill="1" applyBorder="1" applyAlignment="1">
      <alignment horizontal="center" vertical="center"/>
    </xf>
    <xf numFmtId="3" fontId="0" fillId="0" borderId="27" xfId="0" quotePrefix="1" applyNumberFormat="1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0" fillId="37" borderId="27" xfId="0" applyFill="1" applyBorder="1" applyAlignment="1">
      <alignment vertical="center"/>
    </xf>
    <xf numFmtId="3" fontId="0" fillId="37" borderId="27" xfId="0" quotePrefix="1" applyNumberFormat="1" applyFill="1" applyBorder="1" applyAlignment="1">
      <alignment horizontal="center" vertical="center"/>
    </xf>
    <xf numFmtId="0" fontId="25" fillId="38" borderId="27" xfId="0" applyFont="1" applyFill="1" applyBorder="1" applyAlignment="1">
      <alignment vertical="center"/>
    </xf>
    <xf numFmtId="3" fontId="0" fillId="38" borderId="27" xfId="0" quotePrefix="1" applyNumberFormat="1" applyFill="1" applyBorder="1" applyAlignment="1">
      <alignment horizontal="center" vertical="center"/>
    </xf>
    <xf numFmtId="3" fontId="0" fillId="0" borderId="40" xfId="0" quotePrefix="1" applyNumberFormat="1" applyFill="1" applyBorder="1" applyAlignment="1">
      <alignment horizontal="center" vertical="center"/>
    </xf>
    <xf numFmtId="0" fontId="0" fillId="0" borderId="45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vertical="center" wrapText="1"/>
    </xf>
    <xf numFmtId="0" fontId="0" fillId="0" borderId="35" xfId="0" applyFont="1" applyFill="1" applyBorder="1" applyAlignment="1">
      <alignment vertical="center" wrapText="1"/>
    </xf>
    <xf numFmtId="0" fontId="0" fillId="0" borderId="46" xfId="0" applyFont="1" applyFill="1" applyBorder="1" applyAlignment="1">
      <alignment horizontal="center" vertical="center" wrapText="1"/>
    </xf>
    <xf numFmtId="3" fontId="0" fillId="0" borderId="46" xfId="0" quotePrefix="1" applyNumberFormat="1" applyFont="1" applyFill="1" applyBorder="1" applyAlignment="1">
      <alignment horizontal="center" vertical="center"/>
    </xf>
    <xf numFmtId="3" fontId="0" fillId="0" borderId="32" xfId="0" quotePrefix="1" applyNumberFormat="1" applyFont="1" applyFill="1" applyBorder="1" applyAlignment="1">
      <alignment horizontal="center" vertical="center"/>
    </xf>
    <xf numFmtId="0" fontId="0" fillId="37" borderId="32" xfId="0" applyFont="1" applyFill="1" applyBorder="1" applyAlignment="1">
      <alignment vertical="center" wrapText="1"/>
    </xf>
    <xf numFmtId="3" fontId="0" fillId="37" borderId="46" xfId="0" quotePrefix="1" applyNumberFormat="1" applyFont="1" applyFill="1" applyBorder="1" applyAlignment="1">
      <alignment horizontal="center" vertical="center"/>
    </xf>
    <xf numFmtId="3" fontId="17" fillId="0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0" fillId="0" borderId="23" xfId="0" applyFont="1" applyFill="1" applyBorder="1" applyAlignment="1">
      <alignment vertical="center"/>
    </xf>
    <xf numFmtId="0" fontId="20" fillId="37" borderId="23" xfId="0" applyFont="1" applyFill="1" applyBorder="1" applyAlignment="1">
      <alignment vertical="center"/>
    </xf>
    <xf numFmtId="0" fontId="24" fillId="0" borderId="23" xfId="0" applyFont="1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3" fontId="0" fillId="0" borderId="13" xfId="0" applyNumberFormat="1" applyFill="1" applyBorder="1" applyAlignment="1">
      <alignment horizontal="center" vertical="center"/>
    </xf>
    <xf numFmtId="3" fontId="0" fillId="0" borderId="12" xfId="0" applyNumberFormat="1" applyFill="1" applyBorder="1" applyAlignment="1">
      <alignment horizontal="center" vertical="center"/>
    </xf>
    <xf numFmtId="3" fontId="0" fillId="0" borderId="42" xfId="0" applyNumberFormat="1" applyFill="1" applyBorder="1" applyAlignment="1">
      <alignment horizontal="center" vertical="center"/>
    </xf>
    <xf numFmtId="3" fontId="17" fillId="0" borderId="15" xfId="0" applyNumberFormat="1" applyFont="1" applyFill="1" applyBorder="1" applyAlignment="1">
      <alignment horizontal="center" vertical="center"/>
    </xf>
    <xf numFmtId="0" fontId="22" fillId="41" borderId="22" xfId="0" applyFont="1" applyFill="1" applyBorder="1" applyAlignment="1">
      <alignment horizontal="left" vertical="center" wrapText="1"/>
    </xf>
    <xf numFmtId="9" fontId="2" fillId="0" borderId="0" xfId="32" applyFont="1" applyFill="1" applyAlignment="1">
      <alignment vertical="center"/>
    </xf>
    <xf numFmtId="0" fontId="22" fillId="41" borderId="48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20" fillId="37" borderId="41" xfId="0" applyFont="1" applyFill="1" applyBorder="1" applyAlignment="1">
      <alignment vertical="center"/>
    </xf>
    <xf numFmtId="0" fontId="20" fillId="38" borderId="41" xfId="0" applyFont="1" applyFill="1" applyBorder="1" applyAlignment="1">
      <alignment vertical="center"/>
    </xf>
    <xf numFmtId="0" fontId="20" fillId="0" borderId="47" xfId="0" applyFont="1" applyFill="1" applyBorder="1" applyAlignment="1">
      <alignment vertical="center"/>
    </xf>
    <xf numFmtId="0" fontId="0" fillId="0" borderId="2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3" fontId="0" fillId="0" borderId="25" xfId="0" quotePrefix="1" applyNumberFormat="1" applyFont="1" applyFill="1" applyBorder="1" applyAlignment="1">
      <alignment horizontal="center" vertical="center"/>
    </xf>
    <xf numFmtId="3" fontId="0" fillId="0" borderId="25" xfId="0" applyNumberFormat="1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vertical="center"/>
    </xf>
    <xf numFmtId="0" fontId="0" fillId="0" borderId="28" xfId="0" applyFont="1" applyFill="1" applyBorder="1" applyAlignment="1">
      <alignment horizontal="left" vertical="center"/>
    </xf>
    <xf numFmtId="3" fontId="0" fillId="0" borderId="26" xfId="0" quotePrefix="1" applyNumberFormat="1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vertical="center"/>
    </xf>
    <xf numFmtId="3" fontId="0" fillId="0" borderId="2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37" borderId="27" xfId="0" applyFont="1" applyFill="1" applyBorder="1" applyAlignment="1">
      <alignment vertical="center"/>
    </xf>
    <xf numFmtId="3" fontId="0" fillId="37" borderId="26" xfId="0" quotePrefix="1" applyNumberFormat="1" applyFont="1" applyFill="1" applyBorder="1" applyAlignment="1">
      <alignment horizontal="center" vertical="center"/>
    </xf>
    <xf numFmtId="0" fontId="20" fillId="37" borderId="29" xfId="0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20" fillId="0" borderId="41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5" fillId="0" borderId="17" xfId="0" applyFont="1" applyFill="1" applyBorder="1" applyAlignment="1">
      <alignment horizontal="center" vertical="center" wrapText="1"/>
    </xf>
    <xf numFmtId="3" fontId="0" fillId="37" borderId="25" xfId="0" quotePrefix="1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37" borderId="1" xfId="0" applyFont="1" applyFill="1" applyBorder="1" applyAlignment="1">
      <alignment vertical="center" wrapText="1"/>
    </xf>
    <xf numFmtId="3" fontId="0" fillId="0" borderId="70" xfId="0" applyNumberFormat="1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vertical="center" wrapText="1"/>
    </xf>
    <xf numFmtId="0" fontId="25" fillId="0" borderId="27" xfId="0" applyFont="1" applyFill="1" applyBorder="1" applyAlignment="1">
      <alignment horizontal="center" vertical="center" wrapText="1"/>
    </xf>
    <xf numFmtId="3" fontId="0" fillId="0" borderId="40" xfId="0" quotePrefix="1" applyNumberFormat="1" applyFont="1" applyFill="1" applyBorder="1" applyAlignment="1">
      <alignment horizontal="center" vertical="center" wrapText="1"/>
    </xf>
    <xf numFmtId="3" fontId="0" fillId="0" borderId="27" xfId="0" quotePrefix="1" applyNumberFormat="1" applyFont="1" applyFill="1" applyBorder="1" applyAlignment="1">
      <alignment horizontal="center" vertical="center" wrapText="1"/>
    </xf>
    <xf numFmtId="3" fontId="0" fillId="0" borderId="27" xfId="0" applyNumberFormat="1" applyFont="1" applyFill="1" applyBorder="1" applyAlignment="1">
      <alignment horizontal="center" vertical="center" wrapText="1"/>
    </xf>
    <xf numFmtId="0" fontId="0" fillId="37" borderId="27" xfId="0" applyFont="1" applyFill="1" applyBorder="1" applyAlignment="1">
      <alignment vertical="center" wrapText="1"/>
    </xf>
    <xf numFmtId="3" fontId="0" fillId="37" borderId="27" xfId="0" quotePrefix="1" applyNumberFormat="1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vertical="center" wrapText="1"/>
    </xf>
    <xf numFmtId="0" fontId="0" fillId="38" borderId="36" xfId="0" applyFont="1" applyFill="1" applyBorder="1" applyAlignment="1">
      <alignment vertical="center" wrapText="1"/>
    </xf>
    <xf numFmtId="3" fontId="0" fillId="38" borderId="27" xfId="0" quotePrefix="1" applyNumberFormat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vertical="center" wrapText="1"/>
    </xf>
    <xf numFmtId="0" fontId="0" fillId="37" borderId="36" xfId="0" applyFont="1" applyFill="1" applyBorder="1" applyAlignment="1">
      <alignment vertical="center" wrapText="1"/>
    </xf>
    <xf numFmtId="0" fontId="0" fillId="38" borderId="27" xfId="0" applyFont="1" applyFill="1" applyBorder="1" applyAlignment="1">
      <alignment vertical="center" wrapText="1"/>
    </xf>
    <xf numFmtId="0" fontId="17" fillId="40" borderId="4" xfId="0" applyFont="1" applyFill="1" applyBorder="1" applyAlignment="1">
      <alignment horizontal="center" vertical="center" wrapText="1"/>
    </xf>
    <xf numFmtId="0" fontId="17" fillId="40" borderId="5" xfId="0" applyFont="1" applyFill="1" applyBorder="1" applyAlignment="1">
      <alignment horizontal="center" vertical="center" wrapText="1"/>
    </xf>
    <xf numFmtId="0" fontId="17" fillId="40" borderId="7" xfId="0" applyFont="1" applyFill="1" applyBorder="1" applyAlignment="1">
      <alignment horizontal="center" vertical="center" wrapText="1"/>
    </xf>
    <xf numFmtId="0" fontId="17" fillId="40" borderId="39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wrapText="1"/>
    </xf>
    <xf numFmtId="0" fontId="17" fillId="0" borderId="39" xfId="0" applyFont="1" applyBorder="1" applyAlignment="1">
      <alignment horizontal="center" vertical="center" wrapText="1"/>
    </xf>
    <xf numFmtId="0" fontId="0" fillId="0" borderId="31" xfId="0" applyFill="1" applyBorder="1" applyAlignment="1">
      <alignment vertical="center"/>
    </xf>
    <xf numFmtId="0" fontId="0" fillId="0" borderId="42" xfId="0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0" fillId="37" borderId="14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vertical="center" wrapText="1"/>
    </xf>
    <xf numFmtId="0" fontId="20" fillId="37" borderId="14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0" fillId="0" borderId="28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horizontal="center" vertical="center" wrapText="1"/>
    </xf>
    <xf numFmtId="3" fontId="0" fillId="0" borderId="11" xfId="0" quotePrefix="1" applyNumberFormat="1" applyFont="1" applyFill="1" applyBorder="1" applyAlignment="1">
      <alignment horizontal="center" vertical="center" wrapText="1"/>
    </xf>
    <xf numFmtId="3" fontId="0" fillId="0" borderId="1" xfId="0" quotePrefix="1" applyNumberFormat="1" applyFont="1" applyFill="1" applyBorder="1" applyAlignment="1">
      <alignment horizontal="center" vertical="center" wrapText="1"/>
    </xf>
    <xf numFmtId="3" fontId="0" fillId="37" borderId="1" xfId="0" quotePrefix="1" applyNumberFormat="1" applyFont="1" applyFill="1" applyBorder="1" applyAlignment="1">
      <alignment horizontal="center" vertical="center" wrapText="1"/>
    </xf>
    <xf numFmtId="3" fontId="0" fillId="0" borderId="46" xfId="0" quotePrefix="1" applyNumberFormat="1" applyFont="1" applyFill="1" applyBorder="1" applyAlignment="1">
      <alignment horizontal="center" vertical="center" wrapText="1"/>
    </xf>
    <xf numFmtId="3" fontId="0" fillId="0" borderId="32" xfId="0" quotePrefix="1" applyNumberFormat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left" vertical="center" wrapText="1"/>
    </xf>
    <xf numFmtId="0" fontId="0" fillId="0" borderId="17" xfId="0" applyFont="1" applyFill="1" applyBorder="1" applyAlignment="1">
      <alignment vertical="center" wrapText="1"/>
    </xf>
    <xf numFmtId="0" fontId="0" fillId="37" borderId="1" xfId="0" quotePrefix="1" applyFont="1" applyFill="1" applyBorder="1" applyAlignment="1">
      <alignment horizontal="left" vertical="center" wrapText="1"/>
    </xf>
    <xf numFmtId="0" fontId="0" fillId="0" borderId="32" xfId="0" quotePrefix="1" applyFont="1" applyFill="1" applyBorder="1" applyAlignment="1">
      <alignment horizontal="left" vertical="center" wrapText="1"/>
    </xf>
    <xf numFmtId="0" fontId="0" fillId="37" borderId="32" xfId="0" quotePrefix="1" applyFont="1" applyFill="1" applyBorder="1" applyAlignment="1">
      <alignment horizontal="left" vertical="center" wrapText="1"/>
    </xf>
    <xf numFmtId="0" fontId="0" fillId="0" borderId="31" xfId="0" applyFont="1" applyBorder="1" applyAlignment="1">
      <alignment horizontal="center" wrapText="1"/>
    </xf>
    <xf numFmtId="0" fontId="0" fillId="0" borderId="41" xfId="0" applyFont="1" applyBorder="1" applyAlignment="1">
      <alignment horizontal="center" wrapText="1"/>
    </xf>
    <xf numFmtId="0" fontId="0" fillId="0" borderId="27" xfId="0" applyFont="1" applyBorder="1" applyAlignment="1">
      <alignment wrapText="1"/>
    </xf>
    <xf numFmtId="0" fontId="0" fillId="0" borderId="41" xfId="0" applyFont="1" applyFill="1" applyBorder="1" applyAlignment="1">
      <alignment vertical="center" wrapText="1"/>
    </xf>
    <xf numFmtId="0" fontId="0" fillId="0" borderId="41" xfId="0" applyFont="1" applyBorder="1" applyAlignment="1">
      <alignment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39" borderId="1" xfId="0" applyFont="1" applyFill="1" applyBorder="1" applyAlignment="1">
      <alignment wrapText="1"/>
    </xf>
    <xf numFmtId="3" fontId="0" fillId="39" borderId="1" xfId="0" quotePrefix="1" applyNumberFormat="1" applyFont="1" applyFill="1" applyBorder="1" applyAlignment="1">
      <alignment horizontal="center"/>
    </xf>
    <xf numFmtId="0" fontId="19" fillId="0" borderId="0" xfId="0" applyFont="1"/>
    <xf numFmtId="0" fontId="32" fillId="0" borderId="0" xfId="0" applyFont="1" applyAlignment="1">
      <alignment horizontal="center" vertical="center" wrapText="1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4" fontId="27" fillId="0" borderId="0" xfId="0" applyNumberFormat="1" applyFont="1" applyAlignment="1">
      <alignment wrapText="1"/>
    </xf>
    <xf numFmtId="0" fontId="32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wrapText="1"/>
    </xf>
    <xf numFmtId="0" fontId="0" fillId="0" borderId="0" xfId="0" quotePrefix="1" applyAlignment="1">
      <alignment vertical="center"/>
    </xf>
    <xf numFmtId="0" fontId="0" fillId="36" borderId="0" xfId="0" applyFill="1"/>
    <xf numFmtId="0" fontId="0" fillId="0" borderId="0" xfId="0" quotePrefix="1"/>
    <xf numFmtId="0" fontId="4" fillId="0" borderId="4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7" fontId="23" fillId="0" borderId="0" xfId="0" applyNumberFormat="1" applyFont="1" applyAlignment="1">
      <alignment horizontal="center"/>
    </xf>
    <xf numFmtId="17" fontId="31" fillId="0" borderId="0" xfId="0" applyNumberFormat="1" applyFont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Pourcentage" xfId="32" builtinId="5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853"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i val="0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0"/>
        </top>
        <bottom style="medium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0"/>
        </top>
        <bottom style="thin">
          <color indexed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i val="0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medium">
          <color indexed="64"/>
        </top>
      </border>
    </dxf>
    <dxf>
      <alignment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 outline="0">
        <bottom style="medium">
          <color indexed="64"/>
        </bottom>
      </border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35</xdr:row>
          <xdr:rowOff>85725</xdr:rowOff>
        </xdr:from>
        <xdr:to>
          <xdr:col>9</xdr:col>
          <xdr:colOff>523875</xdr:colOff>
          <xdr:row>35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3366"/>
                  </a:solidFill>
                  <a:latin typeface="Calibri"/>
                </a:rPr>
                <a:t>Juin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3:K342" totalsRowShown="0" headerRowDxfId="852" dataDxfId="851">
  <autoFilter ref="A3:K342"/>
  <tableColumns count="11">
    <tableColumn id="1" name="Dep" dataDxfId="850"/>
    <tableColumn id="2" name="Hotel" dataDxfId="849"/>
    <tableColumn id="3" name="Adresse" dataDxfId="848"/>
    <tableColumn id="4" name="Class." dataDxfId="847"/>
    <tableColumn id="5" name="Brochure" dataDxfId="846"/>
    <tableColumn id="6" name="Presence" dataDxfId="845"/>
    <tableColumn id="7" name="Affichette" dataDxfId="844"/>
    <tableColumn id="8" name="Depliant" dataDxfId="843"/>
    <tableColumn id="9" name="C.A." dataDxfId="842"/>
    <tableColumn id="10" name="Visites" dataDxfId="841"/>
    <tableColumn id="11" name="Colonne1" dataDxfId="840">
      <calculatedColumnFormula>INDEX(INDIRECT("'"&amp;RIGHT(Tableau3[[#This Row],[Dep]],2)*1&amp;"è'"&amp;"!d:d"),MATCH(C4,INDIRECT("'"&amp;RIGHT(Tableau3[[#This Row],[Dep]],2)*1&amp;"è'"&amp;"!c:c"),0))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7" name="Ventes1er" displayName="Ventes1er" ref="A3:R34" totalsRowCount="1" headerRowDxfId="839" dataDxfId="837" totalsRowDxfId="835" headerRowBorderDxfId="838" tableBorderDxfId="836" totalsRowBorderDxfId="834">
  <autoFilter ref="A3:R33"/>
  <tableColumns count="18">
    <tableColumn id="1" name="Dep" totalsRowLabel="Total" dataDxfId="833" totalsRowDxfId="832"/>
    <tableColumn id="2" name="Hotel" totalsRowFunction="count" dataDxfId="831" totalsRowDxfId="830"/>
    <tableColumn id="3" name="Adresse" dataDxfId="829" totalsRowDxfId="828"/>
    <tableColumn id="4" name="Brochure" dataDxfId="827" totalsRowDxfId="826"/>
    <tableColumn id="7" name="Janv" totalsRowFunction="sum" dataDxfId="825" totalsRowDxfId="824"/>
    <tableColumn id="8" name="Fév" totalsRowFunction="sum" dataDxfId="823" totalsRowDxfId="822"/>
    <tableColumn id="9" name="mars" totalsRowFunction="sum" dataDxfId="821" totalsRowDxfId="820"/>
    <tableColumn id="10" name="Avril" totalsRowFunction="sum" dataDxfId="819" totalsRowDxfId="818"/>
    <tableColumn id="16" name="Mai" totalsRowFunction="sum" dataDxfId="817" totalsRowDxfId="816"/>
    <tableColumn id="13" name="Juin" totalsRowFunction="sum" dataDxfId="815" totalsRowDxfId="814"/>
    <tableColumn id="17" name="Juillet" totalsRowFunction="sum" dataDxfId="813" totalsRowDxfId="812"/>
    <tableColumn id="19" name="Août" totalsRowFunction="sum" dataDxfId="811" totalsRowDxfId="810"/>
    <tableColumn id="20" name="Sept." totalsRowFunction="sum" dataDxfId="809" totalsRowDxfId="808"/>
    <tableColumn id="21" name="Oct" totalsRowFunction="sum" dataDxfId="807" totalsRowDxfId="806"/>
    <tableColumn id="22" name="Nov." totalsRowFunction="sum" dataDxfId="805" totalsRowDxfId="804"/>
    <tableColumn id="23" name="déc" totalsRowFunction="sum" dataDxfId="803" totalsRowDxfId="802"/>
    <tableColumn id="11" name="TOTAL" totalsRowFunction="sum" dataDxfId="801" totalsRowDxfId="800">
      <calculatedColumnFormula>SUM(E4:P4)</calculatedColumnFormula>
    </tableColumn>
    <tableColumn id="12" name="Remarque" dataDxfId="799" totalsRowDxfId="798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2" name="Ventes2ème" displayName="Ventes2ème" ref="A3:R20" totalsRowCount="1" headerRowDxfId="797" dataDxfId="795" totalsRowDxfId="793" headerRowBorderDxfId="796" tableBorderDxfId="794" totalsRowBorderDxfId="792">
  <autoFilter ref="A3:R19"/>
  <tableColumns count="18">
    <tableColumn id="1" name="Dep" totalsRowLabel="Total" dataDxfId="791" totalsRowDxfId="790"/>
    <tableColumn id="2" name="Hotel" totalsRowFunction="count" dataDxfId="789" totalsRowDxfId="788"/>
    <tableColumn id="3" name="Adresse" dataDxfId="787" totalsRowDxfId="786"/>
    <tableColumn id="4" name="Brochure" dataDxfId="785" totalsRowDxfId="784"/>
    <tableColumn id="7" name="Janv" totalsRowFunction="sum" dataDxfId="783" totalsRowDxfId="782"/>
    <tableColumn id="8" name="Fév" totalsRowFunction="sum" dataDxfId="781" totalsRowDxfId="780"/>
    <tableColumn id="9" name="mars" totalsRowFunction="sum" dataDxfId="779" totalsRowDxfId="778"/>
    <tableColumn id="10" name="Avril" totalsRowFunction="sum" dataDxfId="777" totalsRowDxfId="776"/>
    <tableColumn id="16" name="Mai" totalsRowFunction="sum" dataDxfId="775" totalsRowDxfId="774"/>
    <tableColumn id="13" name="Juin" totalsRowFunction="sum" dataDxfId="773" totalsRowDxfId="772"/>
    <tableColumn id="17" name="Juillet" totalsRowFunction="sum" dataDxfId="771" totalsRowDxfId="770"/>
    <tableColumn id="19" name="Août" totalsRowFunction="sum" dataDxfId="769" totalsRowDxfId="768"/>
    <tableColumn id="20" name="Sept." totalsRowFunction="sum" dataDxfId="767" totalsRowDxfId="766"/>
    <tableColumn id="21" name="Oct" totalsRowFunction="sum" dataDxfId="765" totalsRowDxfId="764"/>
    <tableColumn id="22" name="Nov." totalsRowFunction="sum" dataDxfId="763" totalsRowDxfId="762"/>
    <tableColumn id="23" name="déc" totalsRowFunction="sum" dataDxfId="761" totalsRowDxfId="760"/>
    <tableColumn id="11" name="TOTAL" totalsRowFunction="sum" dataDxfId="759" totalsRowDxfId="758">
      <calculatedColumnFormula>SUM(E4:P4)</calculatedColumnFormula>
    </tableColumn>
    <tableColumn id="12" name="Remarque" dataDxfId="757" totalsRowDxfId="756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6" name="Ventes3ème" displayName="Ventes3ème" ref="A3:R12" totalsRowCount="1" headerRowDxfId="755" dataDxfId="753" totalsRowDxfId="751" headerRowBorderDxfId="754" tableBorderDxfId="752" totalsRowBorderDxfId="750">
  <autoFilter ref="A3:R11"/>
  <tableColumns count="18">
    <tableColumn id="1" name="Dep" totalsRowLabel="Total" dataDxfId="749" totalsRowDxfId="748"/>
    <tableColumn id="2" name="Hotel" totalsRowFunction="count" dataDxfId="747" totalsRowDxfId="746"/>
    <tableColumn id="3" name="Adresse" dataDxfId="745" totalsRowDxfId="744"/>
    <tableColumn id="4" name="Brochure" dataDxfId="743" totalsRowDxfId="742"/>
    <tableColumn id="7" name="Janv" totalsRowFunction="sum" dataDxfId="741" totalsRowDxfId="740"/>
    <tableColumn id="8" name="Fév" totalsRowFunction="sum" dataDxfId="739" totalsRowDxfId="738"/>
    <tableColumn id="9" name="mars" totalsRowFunction="sum" dataDxfId="737" totalsRowDxfId="736"/>
    <tableColumn id="10" name="Avril" totalsRowFunction="sum" dataDxfId="735" totalsRowDxfId="734"/>
    <tableColumn id="16" name="Mai" totalsRowFunction="sum" dataDxfId="733" totalsRowDxfId="732"/>
    <tableColumn id="13" name="Juin" totalsRowFunction="sum" dataDxfId="731" totalsRowDxfId="730"/>
    <tableColumn id="17" name="Juillet" totalsRowFunction="sum" dataDxfId="729" totalsRowDxfId="728"/>
    <tableColumn id="19" name="Août" totalsRowFunction="sum" dataDxfId="727" totalsRowDxfId="726"/>
    <tableColumn id="20" name="Sept." totalsRowFunction="sum" dataDxfId="725" totalsRowDxfId="724"/>
    <tableColumn id="21" name="Oct" totalsRowFunction="sum" dataDxfId="723" totalsRowDxfId="722"/>
    <tableColumn id="22" name="Nov." totalsRowFunction="sum" dataDxfId="721" totalsRowDxfId="720"/>
    <tableColumn id="23" name="déc" totalsRowFunction="sum" dataDxfId="719" totalsRowDxfId="718"/>
    <tableColumn id="11" name="TOTAL" totalsRowFunction="sum" dataDxfId="717" totalsRowDxfId="716">
      <calculatedColumnFormula>SUM(E4:P4)</calculatedColumnFormula>
    </tableColumn>
    <tableColumn id="12" name="Remarque" dataDxfId="715" totalsRowDxfId="714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7" name="Ventes4ème" displayName="Ventes4ème" ref="A3:R20" totalsRowCount="1" headerRowDxfId="713" dataDxfId="711" totalsRowDxfId="709" headerRowBorderDxfId="712" tableBorderDxfId="710" totalsRowBorderDxfId="708">
  <autoFilter ref="A3:R19"/>
  <tableColumns count="18">
    <tableColumn id="1" name="Dep" totalsRowLabel="Total" dataDxfId="707" totalsRowDxfId="706"/>
    <tableColumn id="2" name="Hotel" totalsRowFunction="count" dataDxfId="705" totalsRowDxfId="704"/>
    <tableColumn id="3" name="Adresse" dataDxfId="703" totalsRowDxfId="702"/>
    <tableColumn id="4" name="Brochure" dataDxfId="701" totalsRowDxfId="700"/>
    <tableColumn id="7" name="Janv" totalsRowFunction="sum" dataDxfId="699" totalsRowDxfId="698"/>
    <tableColumn id="8" name="Fév" totalsRowFunction="sum" dataDxfId="697" totalsRowDxfId="696"/>
    <tableColumn id="9" name="mars" totalsRowFunction="sum" dataDxfId="695" totalsRowDxfId="694"/>
    <tableColumn id="10" name="Avril" totalsRowFunction="sum" dataDxfId="693" totalsRowDxfId="692"/>
    <tableColumn id="16" name="Mai" totalsRowFunction="sum" dataDxfId="691" totalsRowDxfId="690"/>
    <tableColumn id="13" name="Juin" totalsRowFunction="sum" dataDxfId="689" totalsRowDxfId="688"/>
    <tableColumn id="17" name="Juillet" totalsRowFunction="sum" dataDxfId="687" totalsRowDxfId="686"/>
    <tableColumn id="19" name="Août" totalsRowFunction="sum" dataDxfId="685" totalsRowDxfId="684"/>
    <tableColumn id="20" name="Sept." totalsRowFunction="sum" dataDxfId="683" totalsRowDxfId="682"/>
    <tableColumn id="21" name="Oct" totalsRowFunction="sum" dataDxfId="681" totalsRowDxfId="680"/>
    <tableColumn id="22" name="Nov." totalsRowFunction="sum" dataDxfId="679" totalsRowDxfId="678"/>
    <tableColumn id="23" name="déc" totalsRowFunction="sum" dataDxfId="677" totalsRowDxfId="676"/>
    <tableColumn id="11" name="TOTAL" totalsRowFunction="sum" dataDxfId="675" totalsRowDxfId="674">
      <calculatedColumnFormula>SUM(E4:P4)</calculatedColumnFormula>
    </tableColumn>
    <tableColumn id="12" name="Remarque" dataDxfId="673" totalsRowDxfId="672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8" name="Ventes5ème" displayName="Ventes5ème" ref="A3:R45" totalsRowCount="1" headerRowDxfId="671" dataDxfId="669" totalsRowDxfId="667" headerRowBorderDxfId="670" tableBorderDxfId="668" totalsRowBorderDxfId="666">
  <autoFilter ref="A3:R44"/>
  <tableColumns count="18">
    <tableColumn id="1" name="Dep" totalsRowLabel="Total" dataDxfId="665" totalsRowDxfId="664"/>
    <tableColumn id="2" name="Hotel" totalsRowFunction="count" dataDxfId="663" totalsRowDxfId="662"/>
    <tableColumn id="3" name="Adresse" dataDxfId="661" totalsRowDxfId="660"/>
    <tableColumn id="4" name="Brochure" dataDxfId="659" totalsRowDxfId="658"/>
    <tableColumn id="7" name="Janv" totalsRowFunction="sum" dataDxfId="657" totalsRowDxfId="656"/>
    <tableColumn id="8" name="Fév" totalsRowFunction="sum" dataDxfId="655" totalsRowDxfId="654"/>
    <tableColumn id="9" name="mars" totalsRowFunction="sum" dataDxfId="653" totalsRowDxfId="652"/>
    <tableColumn id="10" name="Avril" totalsRowFunction="sum" dataDxfId="651" totalsRowDxfId="650"/>
    <tableColumn id="16" name="Mai" totalsRowFunction="sum" dataDxfId="649" totalsRowDxfId="648"/>
    <tableColumn id="13" name="Juin" totalsRowFunction="sum" dataDxfId="647" totalsRowDxfId="646"/>
    <tableColumn id="17" name="Juillet" totalsRowFunction="sum" dataDxfId="645" totalsRowDxfId="644"/>
    <tableColumn id="19" name="Août" totalsRowFunction="sum" dataDxfId="643" totalsRowDxfId="642"/>
    <tableColumn id="20" name="Sept." totalsRowFunction="sum" dataDxfId="641" totalsRowDxfId="640"/>
    <tableColumn id="21" name="Oct" totalsRowFunction="sum" dataDxfId="639" totalsRowDxfId="638"/>
    <tableColumn id="22" name="Nov." totalsRowFunction="sum" dataDxfId="637" totalsRowDxfId="636"/>
    <tableColumn id="23" name="déc" totalsRowFunction="sum" dataDxfId="635" totalsRowDxfId="634"/>
    <tableColumn id="11" name="TOTAL" totalsRowFunction="sum" dataDxfId="633" totalsRowDxfId="632">
      <calculatedColumnFormula>SUM(E4:P4)</calculatedColumnFormula>
    </tableColumn>
    <tableColumn id="12" name="Remarque" dataDxfId="631" totalsRowDxfId="630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id="9" name="Ventes6ème" displayName="Ventes6ème" ref="A3:R39" totalsRowCount="1" headerRowDxfId="629" dataDxfId="627" totalsRowDxfId="625" headerRowBorderDxfId="628" tableBorderDxfId="626" totalsRowBorderDxfId="624">
  <autoFilter ref="A3:R38"/>
  <tableColumns count="18">
    <tableColumn id="1" name="Dep" totalsRowLabel="Total" dataDxfId="623" totalsRowDxfId="622"/>
    <tableColumn id="2" name="Hotel" totalsRowFunction="count" dataDxfId="621" totalsRowDxfId="620"/>
    <tableColumn id="3" name="Adresse" dataDxfId="619" totalsRowDxfId="618"/>
    <tableColumn id="4" name="Brochure" dataDxfId="617" totalsRowDxfId="616"/>
    <tableColumn id="7" name="Janv" totalsRowFunction="sum" dataDxfId="615" totalsRowDxfId="614"/>
    <tableColumn id="8" name="Fév" totalsRowFunction="sum" dataDxfId="613" totalsRowDxfId="612"/>
    <tableColumn id="9" name="mars" totalsRowFunction="sum" dataDxfId="611" totalsRowDxfId="610"/>
    <tableColumn id="10" name="Avril" totalsRowFunction="sum" dataDxfId="609" totalsRowDxfId="608"/>
    <tableColumn id="16" name="Mai" totalsRowFunction="sum" dataDxfId="607" totalsRowDxfId="606"/>
    <tableColumn id="13" name="Juin" totalsRowFunction="sum" dataDxfId="605" totalsRowDxfId="604"/>
    <tableColumn id="17" name="Juillet" totalsRowFunction="sum" dataDxfId="603" totalsRowDxfId="602"/>
    <tableColumn id="19" name="Août" totalsRowFunction="sum" dataDxfId="601" totalsRowDxfId="600"/>
    <tableColumn id="20" name="Sept." totalsRowFunction="sum" dataDxfId="599" totalsRowDxfId="598"/>
    <tableColumn id="21" name="Oct" totalsRowFunction="sum" dataDxfId="597" totalsRowDxfId="596"/>
    <tableColumn id="22" name="Nov." totalsRowFunction="sum" dataDxfId="595" totalsRowDxfId="594"/>
    <tableColumn id="23" name="déc" totalsRowFunction="sum" dataDxfId="593" totalsRowDxfId="592"/>
    <tableColumn id="11" name="TOTAL" totalsRowFunction="sum" dataDxfId="591" totalsRowDxfId="590">
      <calculatedColumnFormula>SUM(E4:P4)</calculatedColumnFormula>
    </tableColumn>
    <tableColumn id="12" name="Remarque" dataDxfId="589" totalsRowDxfId="588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10" name="Ventes7ème" displayName="Ventes7ème" ref="A3:R31" totalsRowCount="1" headerRowDxfId="587" dataDxfId="585" totalsRowDxfId="583" headerRowBorderDxfId="586" tableBorderDxfId="584" totalsRowBorderDxfId="582">
  <autoFilter ref="A3:R30"/>
  <tableColumns count="18">
    <tableColumn id="1" name="Dep" totalsRowLabel="Total" dataDxfId="581" totalsRowDxfId="580"/>
    <tableColumn id="2" name="Hotel" totalsRowFunction="count" dataDxfId="579" totalsRowDxfId="578"/>
    <tableColumn id="3" name="Adresse" dataDxfId="577" totalsRowDxfId="576"/>
    <tableColumn id="4" name="Brochure" dataDxfId="575" totalsRowDxfId="574"/>
    <tableColumn id="7" name="Janv" totalsRowFunction="sum" dataDxfId="573" totalsRowDxfId="572"/>
    <tableColumn id="8" name="Fév" totalsRowFunction="sum" dataDxfId="571" totalsRowDxfId="570"/>
    <tableColumn id="9" name="mars" totalsRowFunction="sum" dataDxfId="569" totalsRowDxfId="568"/>
    <tableColumn id="10" name="Avril" totalsRowFunction="sum" dataDxfId="567" totalsRowDxfId="566"/>
    <tableColumn id="16" name="Mai" totalsRowFunction="sum" dataDxfId="565" totalsRowDxfId="564"/>
    <tableColumn id="13" name="Juin" totalsRowFunction="sum" dataDxfId="563" totalsRowDxfId="562"/>
    <tableColumn id="17" name="Juillet" totalsRowFunction="sum" dataDxfId="561" totalsRowDxfId="560"/>
    <tableColumn id="19" name="Août" totalsRowFunction="sum" dataDxfId="559" totalsRowDxfId="558"/>
    <tableColumn id="20" name="Sept." totalsRowFunction="sum" dataDxfId="557" totalsRowDxfId="556"/>
    <tableColumn id="21" name="Oct" totalsRowFunction="sum" dataDxfId="555" totalsRowDxfId="554"/>
    <tableColumn id="22" name="Nov." totalsRowFunction="sum" dataDxfId="553" totalsRowDxfId="552"/>
    <tableColumn id="23" name="déc" totalsRowFunction="sum" dataDxfId="551" totalsRowDxfId="550"/>
    <tableColumn id="11" name="TOTAL" totalsRowFunction="sum" dataDxfId="549" totalsRowDxfId="548">
      <calculatedColumnFormula>SUM(E4:P4)</calculatedColumnFormula>
    </tableColumn>
    <tableColumn id="12" name="Remarque" dataDxfId="547" totalsRowDxfId="546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id="12" name="Ventes8ème" displayName="Ventes8ème" ref="A3:R52" totalsRowCount="1" headerRowDxfId="545" dataDxfId="543" totalsRowDxfId="541" headerRowBorderDxfId="544" tableBorderDxfId="542" totalsRowBorderDxfId="540">
  <autoFilter ref="A3:R51"/>
  <tableColumns count="18">
    <tableColumn id="1" name="Dep" totalsRowLabel="Total" dataDxfId="539" totalsRowDxfId="538"/>
    <tableColumn id="2" name="Hotel" totalsRowFunction="count" dataDxfId="537" totalsRowDxfId="536"/>
    <tableColumn id="3" name="Adresse" dataDxfId="535" totalsRowDxfId="534"/>
    <tableColumn id="4" name="Brochure" dataDxfId="533" totalsRowDxfId="532"/>
    <tableColumn id="7" name="Janv" totalsRowFunction="sum" dataDxfId="531" totalsRowDxfId="530"/>
    <tableColumn id="8" name="Fév" totalsRowFunction="sum" dataDxfId="529" totalsRowDxfId="528"/>
    <tableColumn id="9" name="mars" totalsRowFunction="sum" dataDxfId="527" totalsRowDxfId="526"/>
    <tableColumn id="10" name="Avril" totalsRowFunction="sum" dataDxfId="525" totalsRowDxfId="524"/>
    <tableColumn id="16" name="Mai" totalsRowFunction="sum" dataDxfId="523" totalsRowDxfId="522"/>
    <tableColumn id="13" name="Juin" totalsRowFunction="sum" dataDxfId="521" totalsRowDxfId="520"/>
    <tableColumn id="17" name="Juillet" totalsRowFunction="sum" dataDxfId="519" totalsRowDxfId="518"/>
    <tableColumn id="19" name="Août" totalsRowFunction="sum" dataDxfId="517" totalsRowDxfId="516"/>
    <tableColumn id="20" name="Sept." totalsRowFunction="sum" dataDxfId="515" totalsRowDxfId="514"/>
    <tableColumn id="21" name="Oct" totalsRowFunction="sum" dataDxfId="513" totalsRowDxfId="512"/>
    <tableColumn id="22" name="Nov." totalsRowFunction="sum" dataDxfId="511" totalsRowDxfId="510"/>
    <tableColumn id="23" name="déc" totalsRowFunction="sum" dataDxfId="509" totalsRowDxfId="508"/>
    <tableColumn id="11" name="TOTAL" totalsRowFunction="sum" dataDxfId="507" totalsRowDxfId="506">
      <calculatedColumnFormula>SUM(E4:P4)</calculatedColumnFormula>
    </tableColumn>
    <tableColumn id="12" name="Remarque" dataDxfId="505" totalsRowDxfId="504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id="13" name="Ventes9ème" displayName="Ventes9ème" ref="A3:R80" totalsRowCount="1" headerRowDxfId="503" dataDxfId="501" totalsRowDxfId="499" headerRowBorderDxfId="502" tableBorderDxfId="500" totalsRowBorderDxfId="498">
  <autoFilter ref="A3:R79"/>
  <tableColumns count="18">
    <tableColumn id="1" name="Dep" totalsRowLabel="Total" dataDxfId="497" totalsRowDxfId="496"/>
    <tableColumn id="2" name="Hotel" totalsRowFunction="count" dataDxfId="495" totalsRowDxfId="494"/>
    <tableColumn id="3" name="Adresse" dataDxfId="493" totalsRowDxfId="492"/>
    <tableColumn id="4" name="Brochure" dataDxfId="491" totalsRowDxfId="490"/>
    <tableColumn id="7" name="Janv" totalsRowFunction="sum" dataDxfId="489" totalsRowDxfId="488"/>
    <tableColumn id="8" name="Fév" totalsRowFunction="sum" dataDxfId="487" totalsRowDxfId="486"/>
    <tableColumn id="9" name="mars" totalsRowFunction="sum" dataDxfId="485" totalsRowDxfId="484"/>
    <tableColumn id="10" name="Avril" totalsRowFunction="sum" dataDxfId="483" totalsRowDxfId="482"/>
    <tableColumn id="16" name="Mai" totalsRowFunction="sum" dataDxfId="481" totalsRowDxfId="480"/>
    <tableColumn id="13" name="Juin" totalsRowFunction="sum" dataDxfId="479" totalsRowDxfId="478"/>
    <tableColumn id="17" name="Juillet" totalsRowFunction="sum" dataDxfId="477" totalsRowDxfId="476"/>
    <tableColumn id="19" name="Août" totalsRowFunction="sum" dataDxfId="475" totalsRowDxfId="474"/>
    <tableColumn id="20" name="Sept." totalsRowFunction="sum" dataDxfId="473" totalsRowDxfId="472"/>
    <tableColumn id="21" name="Oct" totalsRowFunction="sum" dataDxfId="471" totalsRowDxfId="470"/>
    <tableColumn id="22" name="Nov." totalsRowFunction="sum" dataDxfId="469" totalsRowDxfId="468"/>
    <tableColumn id="23" name="déc" totalsRowFunction="sum" dataDxfId="467" totalsRowDxfId="466"/>
    <tableColumn id="11" name="TOTAL" totalsRowFunction="sum" dataDxfId="465" totalsRowDxfId="464">
      <calculatedColumnFormula>SUM(E4:P4)</calculatedColumnFormula>
    </tableColumn>
    <tableColumn id="12" name="Remarque" dataDxfId="463" totalsRowDxfId="462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4" name="Ventes10ème" displayName="Ventes10ème" ref="A3:R48" totalsRowCount="1" headerRowDxfId="461" dataDxfId="459" totalsRowDxfId="457" headerRowBorderDxfId="460" tableBorderDxfId="458" totalsRowBorderDxfId="456">
  <autoFilter ref="A3:R47"/>
  <tableColumns count="18">
    <tableColumn id="1" name="Dep" totalsRowLabel="Total" dataDxfId="455" totalsRowDxfId="454"/>
    <tableColumn id="2" name="Hotel" totalsRowFunction="count" dataDxfId="453" totalsRowDxfId="452"/>
    <tableColumn id="3" name="Adresse" dataDxfId="451" totalsRowDxfId="450"/>
    <tableColumn id="4" name="Brochure" dataDxfId="449" totalsRowDxfId="448"/>
    <tableColumn id="7" name="Janv" totalsRowFunction="sum" dataDxfId="447" totalsRowDxfId="446"/>
    <tableColumn id="8" name="Fév" totalsRowFunction="sum" dataDxfId="445" totalsRowDxfId="444"/>
    <tableColumn id="9" name="mars" totalsRowFunction="sum" dataDxfId="443" totalsRowDxfId="442"/>
    <tableColumn id="10" name="Avril" totalsRowFunction="sum" dataDxfId="441" totalsRowDxfId="440"/>
    <tableColumn id="16" name="Mai" totalsRowFunction="sum" dataDxfId="439" totalsRowDxfId="438"/>
    <tableColumn id="13" name="Juin" totalsRowFunction="sum" dataDxfId="437" totalsRowDxfId="436"/>
    <tableColumn id="17" name="Juillet" totalsRowFunction="sum" dataDxfId="435" totalsRowDxfId="434"/>
    <tableColumn id="19" name="Août" totalsRowFunction="sum" dataDxfId="433" totalsRowDxfId="432"/>
    <tableColumn id="20" name="Sept." totalsRowFunction="sum" dataDxfId="431" totalsRowDxfId="430"/>
    <tableColumn id="21" name="Oct" totalsRowFunction="sum" dataDxfId="429" totalsRowDxfId="428"/>
    <tableColumn id="22" name="Nov." totalsRowFunction="sum" dataDxfId="427" totalsRowDxfId="426"/>
    <tableColumn id="23" name="déc" totalsRowFunction="sum" dataDxfId="425" totalsRowDxfId="424"/>
    <tableColumn id="11" name="TOTAL" totalsRowFunction="sum" dataDxfId="423" totalsRowDxfId="422">
      <calculatedColumnFormula>SUM(E4:P4)</calculatedColumnFormula>
    </tableColumn>
    <tableColumn id="12" name="Remarque" dataDxfId="421" totalsRowDxfId="420"/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id="15" name="Ventes11ème" displayName="Ventes11ème" ref="A3:R31" totalsRowCount="1" headerRowDxfId="419" dataDxfId="417" totalsRowDxfId="415" headerRowBorderDxfId="418" tableBorderDxfId="416" totalsRowBorderDxfId="414">
  <autoFilter ref="A3:R30"/>
  <tableColumns count="18">
    <tableColumn id="1" name="Dep" totalsRowLabel="Total" dataDxfId="413" totalsRowDxfId="412"/>
    <tableColumn id="2" name="Hotel" totalsRowFunction="count" dataDxfId="411" totalsRowDxfId="410"/>
    <tableColumn id="3" name="Adresse" dataDxfId="409" totalsRowDxfId="408"/>
    <tableColumn id="4" name="Brochure" dataDxfId="407" totalsRowDxfId="406"/>
    <tableColumn id="7" name="Janv" totalsRowFunction="sum" dataDxfId="405" totalsRowDxfId="404"/>
    <tableColumn id="8" name="Fév" totalsRowFunction="sum" dataDxfId="403" totalsRowDxfId="402"/>
    <tableColumn id="9" name="mars" totalsRowFunction="sum" dataDxfId="401" totalsRowDxfId="400"/>
    <tableColumn id="10" name="Avril" totalsRowFunction="sum" dataDxfId="399" totalsRowDxfId="398"/>
    <tableColumn id="16" name="Mai" totalsRowFunction="sum" dataDxfId="397" totalsRowDxfId="396"/>
    <tableColumn id="13" name="Juin" totalsRowFunction="sum" dataDxfId="395" totalsRowDxfId="394"/>
    <tableColumn id="17" name="Juillet" totalsRowFunction="sum" dataDxfId="393" totalsRowDxfId="392"/>
    <tableColumn id="19" name="Août" totalsRowFunction="sum" dataDxfId="391" totalsRowDxfId="390"/>
    <tableColumn id="20" name="Sept." totalsRowFunction="sum" dataDxfId="389" totalsRowDxfId="388"/>
    <tableColumn id="21" name="Oct" totalsRowFunction="sum" dataDxfId="387" totalsRowDxfId="386"/>
    <tableColumn id="22" name="Nov." totalsRowFunction="sum" dataDxfId="385" totalsRowDxfId="384"/>
    <tableColumn id="23" name="déc" totalsRowFunction="sum" dataDxfId="383" totalsRowDxfId="382"/>
    <tableColumn id="11" name="TOTAL" totalsRowFunction="sum" dataDxfId="381" totalsRowDxfId="380">
      <calculatedColumnFormula>SUM(E4:P4)</calculatedColumnFormula>
    </tableColumn>
    <tableColumn id="12" name="Remarque" dataDxfId="379" totalsRowDxfId="378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id="16" name="Ventes12ème" displayName="Ventes12ème" ref="A3:R27" totalsRowCount="1" headerRowDxfId="377" dataDxfId="375" totalsRowDxfId="373" headerRowBorderDxfId="376" tableBorderDxfId="374" totalsRowBorderDxfId="372">
  <autoFilter ref="A3:R26"/>
  <tableColumns count="18">
    <tableColumn id="1" name="Dep" totalsRowLabel="Total" dataDxfId="371" totalsRowDxfId="370"/>
    <tableColumn id="2" name="Hotel" totalsRowFunction="count" dataDxfId="369" totalsRowDxfId="368"/>
    <tableColumn id="3" name="Adresse" dataDxfId="367" totalsRowDxfId="366"/>
    <tableColumn id="4" name="Brochure" dataDxfId="365" totalsRowDxfId="364"/>
    <tableColumn id="7" name="Janv" totalsRowFunction="sum" dataDxfId="363" totalsRowDxfId="362"/>
    <tableColumn id="8" name="Fév" totalsRowFunction="sum" dataDxfId="361" totalsRowDxfId="360"/>
    <tableColumn id="9" name="mars" totalsRowFunction="sum" dataDxfId="359" totalsRowDxfId="358"/>
    <tableColumn id="10" name="Avril" totalsRowFunction="sum" dataDxfId="357" totalsRowDxfId="356"/>
    <tableColumn id="16" name="Mai" totalsRowFunction="sum" dataDxfId="355" totalsRowDxfId="354"/>
    <tableColumn id="13" name="Juin" totalsRowFunction="sum" dataDxfId="353" totalsRowDxfId="352"/>
    <tableColumn id="17" name="Juillet" totalsRowFunction="sum" dataDxfId="351" totalsRowDxfId="350"/>
    <tableColumn id="19" name="Août" totalsRowFunction="sum" dataDxfId="349" totalsRowDxfId="348"/>
    <tableColumn id="20" name="Sept." totalsRowFunction="sum" dataDxfId="347" totalsRowDxfId="346"/>
    <tableColumn id="21" name="Oct" totalsRowFunction="sum" dataDxfId="345" totalsRowDxfId="344"/>
    <tableColumn id="22" name="Nov." totalsRowFunction="sum" dataDxfId="343" totalsRowDxfId="342"/>
    <tableColumn id="23" name="déc" totalsRowFunction="sum" dataDxfId="341" totalsRowDxfId="340"/>
    <tableColumn id="11" name="TOTAL" totalsRowFunction="sum" dataDxfId="339" totalsRowDxfId="338">
      <calculatedColumnFormula>SUM(E4:P4)</calculatedColumnFormula>
    </tableColumn>
    <tableColumn id="12" name="Remarque" dataDxfId="337" totalsRowDxfId="336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7" name="Ventes13ème" displayName="Ventes13ème" ref="A3:R14" totalsRowCount="1" headerRowDxfId="335" dataDxfId="333" totalsRowDxfId="331" headerRowBorderDxfId="334" tableBorderDxfId="332" totalsRowBorderDxfId="330">
  <autoFilter ref="A3:R13"/>
  <tableColumns count="18">
    <tableColumn id="1" name="Dep" totalsRowLabel="Total" dataDxfId="329" totalsRowDxfId="328"/>
    <tableColumn id="2" name="Hotel" totalsRowFunction="count" dataDxfId="327" totalsRowDxfId="326"/>
    <tableColumn id="3" name="Adresse" dataDxfId="325" totalsRowDxfId="324"/>
    <tableColumn id="4" name="Brochure" dataDxfId="323" totalsRowDxfId="322"/>
    <tableColumn id="7" name="Janv" totalsRowFunction="sum" dataDxfId="321" totalsRowDxfId="320"/>
    <tableColumn id="8" name="Fév" totalsRowFunction="sum" dataDxfId="319" totalsRowDxfId="318"/>
    <tableColumn id="9" name="mars" totalsRowFunction="sum" dataDxfId="317" totalsRowDxfId="316"/>
    <tableColumn id="10" name="Avril" totalsRowFunction="sum" dataDxfId="315" totalsRowDxfId="314"/>
    <tableColumn id="16" name="Mai" totalsRowFunction="sum" dataDxfId="313" totalsRowDxfId="312"/>
    <tableColumn id="13" name="Juin" totalsRowFunction="sum" dataDxfId="311" totalsRowDxfId="310"/>
    <tableColumn id="17" name="Juillet" totalsRowFunction="sum" dataDxfId="309" totalsRowDxfId="308"/>
    <tableColumn id="19" name="Août" totalsRowFunction="sum" dataDxfId="307" totalsRowDxfId="306"/>
    <tableColumn id="20" name="Sept." totalsRowFunction="sum" dataDxfId="305" totalsRowDxfId="304"/>
    <tableColumn id="21" name="Oct" totalsRowFunction="sum" dataDxfId="303" totalsRowDxfId="302"/>
    <tableColumn id="22" name="Nov." totalsRowFunction="sum" dataDxfId="301" totalsRowDxfId="300"/>
    <tableColumn id="23" name="déc" totalsRowFunction="sum" dataDxfId="299" totalsRowDxfId="298"/>
    <tableColumn id="11" name="TOTAL" totalsRowFunction="sum" dataDxfId="297" totalsRowDxfId="296">
      <calculatedColumnFormula>SUM(E4:P4)</calculatedColumnFormula>
    </tableColumn>
    <tableColumn id="12" name="Remarque" dataDxfId="295" totalsRowDxfId="29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21" name="Ventes14ème" displayName="Ventes14ème" ref="A3:R37" totalsRowCount="1" headerRowDxfId="293" dataDxfId="291" totalsRowDxfId="289" headerRowBorderDxfId="292" tableBorderDxfId="290" totalsRowBorderDxfId="288">
  <autoFilter ref="A3:R36"/>
  <tableColumns count="18">
    <tableColumn id="1" name="Dep" totalsRowLabel="Total" dataDxfId="287" totalsRowDxfId="286"/>
    <tableColumn id="2" name="Hotel" totalsRowFunction="count" dataDxfId="285" totalsRowDxfId="284"/>
    <tableColumn id="3" name="Adresse" dataDxfId="283" totalsRowDxfId="282"/>
    <tableColumn id="4" name="Brochure" dataDxfId="281" totalsRowDxfId="280"/>
    <tableColumn id="7" name="Janv" totalsRowFunction="sum" dataDxfId="279" totalsRowDxfId="278"/>
    <tableColumn id="8" name="Fév" totalsRowFunction="sum" dataDxfId="277" totalsRowDxfId="276"/>
    <tableColumn id="9" name="mars" totalsRowFunction="sum" dataDxfId="275" totalsRowDxfId="274"/>
    <tableColumn id="10" name="Avril" totalsRowFunction="sum" dataDxfId="273" totalsRowDxfId="272"/>
    <tableColumn id="16" name="Mai" totalsRowFunction="sum" dataDxfId="271" totalsRowDxfId="270"/>
    <tableColumn id="13" name="Juin" totalsRowFunction="sum" dataDxfId="269" totalsRowDxfId="268"/>
    <tableColumn id="17" name="Juillet" totalsRowFunction="sum" dataDxfId="267" totalsRowDxfId="266"/>
    <tableColumn id="19" name="Août" totalsRowFunction="sum" dataDxfId="265" totalsRowDxfId="264"/>
    <tableColumn id="20" name="Sept." totalsRowFunction="sum" dataDxfId="263" totalsRowDxfId="262"/>
    <tableColumn id="21" name="Oct" totalsRowFunction="sum" dataDxfId="261" totalsRowDxfId="260"/>
    <tableColumn id="22" name="Nov." totalsRowFunction="sum" dataDxfId="259" totalsRowDxfId="258"/>
    <tableColumn id="23" name="déc" totalsRowFunction="sum" dataDxfId="257" totalsRowDxfId="256"/>
    <tableColumn id="11" name="TOTAL" totalsRowFunction="sum" dataDxfId="255" totalsRowDxfId="254">
      <calculatedColumnFormula>SUM(E4:P4)</calculatedColumnFormula>
    </tableColumn>
    <tableColumn id="12" name="Remarque" dataDxfId="253" totalsRowDxfId="252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22" name="Ventes15ème" displayName="Ventes15ème" ref="A3:R48" totalsRowCount="1" headerRowDxfId="251" dataDxfId="249" totalsRowDxfId="247" headerRowBorderDxfId="250" tableBorderDxfId="248" totalsRowBorderDxfId="246">
  <autoFilter ref="A3:R47"/>
  <tableColumns count="18">
    <tableColumn id="1" name="Dep" totalsRowLabel="Total" dataDxfId="245" totalsRowDxfId="244"/>
    <tableColumn id="2" name="Hotel" totalsRowFunction="count" dataDxfId="243" totalsRowDxfId="242"/>
    <tableColumn id="3" name="Adresse" dataDxfId="241" totalsRowDxfId="240"/>
    <tableColumn id="4" name="Brochure" dataDxfId="239" totalsRowDxfId="238"/>
    <tableColumn id="7" name="Janv" totalsRowFunction="sum" dataDxfId="237" totalsRowDxfId="236"/>
    <tableColumn id="8" name="Fév" totalsRowFunction="sum" dataDxfId="235" totalsRowDxfId="234"/>
    <tableColumn id="9" name="mars" totalsRowFunction="sum" dataDxfId="233" totalsRowDxfId="232"/>
    <tableColumn id="10" name="Avril" totalsRowFunction="sum" dataDxfId="231" totalsRowDxfId="230"/>
    <tableColumn id="16" name="Mai" totalsRowFunction="sum" dataDxfId="229" totalsRowDxfId="228"/>
    <tableColumn id="13" name="Juin" totalsRowFunction="sum" dataDxfId="227" totalsRowDxfId="226"/>
    <tableColumn id="17" name="Juillet" totalsRowFunction="sum" dataDxfId="225" totalsRowDxfId="224"/>
    <tableColumn id="19" name="Août" totalsRowFunction="sum" dataDxfId="223" totalsRowDxfId="222"/>
    <tableColumn id="20" name="Sept." totalsRowFunction="sum" dataDxfId="221" totalsRowDxfId="220"/>
    <tableColumn id="21" name="Oct" totalsRowFunction="sum" dataDxfId="219" totalsRowDxfId="218"/>
    <tableColumn id="22" name="Nov." totalsRowFunction="sum" dataDxfId="217" totalsRowDxfId="216"/>
    <tableColumn id="23" name="déc" totalsRowFunction="sum" dataDxfId="215" totalsRowDxfId="214"/>
    <tableColumn id="11" name="TOTAL" totalsRowFunction="sum" dataDxfId="213" totalsRowDxfId="212">
      <calculatedColumnFormula>SUM(E4:P4)</calculatedColumnFormula>
    </tableColumn>
    <tableColumn id="12" name="Remarque" dataDxfId="211" totalsRowDxfId="210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id="23" name="Ventes16ème" displayName="Ventes16ème" ref="A3:R22" totalsRowCount="1" headerRowDxfId="209" dataDxfId="207" totalsRowDxfId="205" headerRowBorderDxfId="208" tableBorderDxfId="206" totalsRowBorderDxfId="204">
  <autoFilter ref="A3:R21"/>
  <tableColumns count="18">
    <tableColumn id="1" name="Dep" totalsRowLabel="Total" dataDxfId="203" totalsRowDxfId="202"/>
    <tableColumn id="2" name="Hotel" totalsRowFunction="count" dataDxfId="201" totalsRowDxfId="200"/>
    <tableColumn id="3" name="Adresse" dataDxfId="199" totalsRowDxfId="198"/>
    <tableColumn id="4" name="Brochure" dataDxfId="197" totalsRowDxfId="196"/>
    <tableColumn id="7" name="Janv" totalsRowFunction="sum" dataDxfId="195" totalsRowDxfId="194"/>
    <tableColumn id="8" name="Fév" totalsRowFunction="sum" dataDxfId="193" totalsRowDxfId="192"/>
    <tableColumn id="9" name="mars" totalsRowFunction="sum" dataDxfId="191" totalsRowDxfId="190"/>
    <tableColumn id="10" name="Avril" totalsRowFunction="sum" dataDxfId="189" totalsRowDxfId="188"/>
    <tableColumn id="16" name="Mai" totalsRowFunction="sum" dataDxfId="187" totalsRowDxfId="186"/>
    <tableColumn id="13" name="Juin" totalsRowFunction="sum" dataDxfId="185" totalsRowDxfId="184"/>
    <tableColumn id="17" name="Juillet" totalsRowFunction="sum" dataDxfId="183" totalsRowDxfId="182"/>
    <tableColumn id="19" name="Août" totalsRowFunction="sum" dataDxfId="181" totalsRowDxfId="180"/>
    <tableColumn id="20" name="Sept." totalsRowFunction="sum" dataDxfId="179" totalsRowDxfId="178"/>
    <tableColumn id="21" name="Oct" totalsRowFunction="sum" dataDxfId="177" totalsRowDxfId="176"/>
    <tableColumn id="22" name="Nov." totalsRowFunction="sum" dataDxfId="175" totalsRowDxfId="174"/>
    <tableColumn id="23" name="déc" totalsRowFunction="sum" dataDxfId="173" totalsRowDxfId="172"/>
    <tableColumn id="11" name="TOTAL" totalsRowFunction="sum" dataDxfId="171" totalsRowDxfId="170">
      <calculatedColumnFormula>SUM(E4:P4)</calculatedColumnFormula>
    </tableColumn>
    <tableColumn id="12" name="Remarque" dataDxfId="169" totalsRowDxfId="168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id="24" name="Ventes17ème" displayName="Ventes17ème" ref="A3:R43" totalsRowCount="1" headerRowDxfId="167" dataDxfId="165" totalsRowDxfId="163" headerRowBorderDxfId="166" tableBorderDxfId="164" totalsRowBorderDxfId="162">
  <autoFilter ref="A3:R42"/>
  <tableColumns count="18">
    <tableColumn id="1" name="Dep" totalsRowLabel="Total" dataDxfId="161" totalsRowDxfId="160"/>
    <tableColumn id="2" name="Hotel" totalsRowFunction="count" dataDxfId="159" totalsRowDxfId="158"/>
    <tableColumn id="3" name="Adresse" dataDxfId="157" totalsRowDxfId="156"/>
    <tableColumn id="4" name="Brochure" dataDxfId="155" totalsRowDxfId="154"/>
    <tableColumn id="7" name="Janv" totalsRowFunction="sum" dataDxfId="153" totalsRowDxfId="152"/>
    <tableColumn id="8" name="Fév" totalsRowFunction="sum" dataDxfId="151" totalsRowDxfId="150"/>
    <tableColumn id="9" name="mars" totalsRowFunction="sum" dataDxfId="149" totalsRowDxfId="148"/>
    <tableColumn id="10" name="Avril" totalsRowFunction="sum" dataDxfId="147" totalsRowDxfId="146"/>
    <tableColumn id="16" name="Mai" totalsRowFunction="sum" dataDxfId="145" totalsRowDxfId="144"/>
    <tableColumn id="13" name="Juin" totalsRowFunction="sum" dataDxfId="143" totalsRowDxfId="142"/>
    <tableColumn id="17" name="Juillet" totalsRowFunction="sum" dataDxfId="141" totalsRowDxfId="140"/>
    <tableColumn id="19" name="Août" totalsRowFunction="sum" dataDxfId="139" totalsRowDxfId="138"/>
    <tableColumn id="20" name="Sept." totalsRowFunction="sum" dataDxfId="137" totalsRowDxfId="136"/>
    <tableColumn id="21" name="Oct" totalsRowFunction="sum" dataDxfId="135" totalsRowDxfId="134"/>
    <tableColumn id="22" name="Nov." totalsRowFunction="sum" dataDxfId="133" totalsRowDxfId="132"/>
    <tableColumn id="23" name="déc" totalsRowFunction="sum" dataDxfId="131" totalsRowDxfId="130"/>
    <tableColumn id="11" name="TOTAL" totalsRowFunction="sum" dataDxfId="129" totalsRowDxfId="128">
      <calculatedColumnFormula>SUM(E4:P4)</calculatedColumnFormula>
    </tableColumn>
    <tableColumn id="12" name="Remarque" dataDxfId="127" totalsRowDxfId="126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id="25" name="Ventes18ème" displayName="Ventes18ème" ref="A3:R22" totalsRowCount="1" headerRowDxfId="125" dataDxfId="123" totalsRowDxfId="121" headerRowBorderDxfId="124" tableBorderDxfId="122" totalsRowBorderDxfId="120">
  <autoFilter ref="A3:R21"/>
  <tableColumns count="18">
    <tableColumn id="1" name="Dep" totalsRowLabel="Total" dataDxfId="119" totalsRowDxfId="118"/>
    <tableColumn id="2" name="Hotel" totalsRowFunction="count" dataDxfId="117" totalsRowDxfId="116"/>
    <tableColumn id="3" name="Adresse" dataDxfId="115" totalsRowDxfId="114"/>
    <tableColumn id="4" name="Brochure" dataDxfId="113" totalsRowDxfId="112"/>
    <tableColumn id="7" name="Janv" totalsRowFunction="sum" dataDxfId="111" totalsRowDxfId="110"/>
    <tableColumn id="8" name="Fév" totalsRowFunction="sum" dataDxfId="109" totalsRowDxfId="108"/>
    <tableColumn id="9" name="mars" totalsRowFunction="sum" dataDxfId="107" totalsRowDxfId="106"/>
    <tableColumn id="10" name="Avril" totalsRowFunction="sum" dataDxfId="105" totalsRowDxfId="104"/>
    <tableColumn id="16" name="Mai" totalsRowFunction="sum" dataDxfId="103" totalsRowDxfId="102"/>
    <tableColumn id="13" name="Juin" totalsRowFunction="sum" dataDxfId="101" totalsRowDxfId="100"/>
    <tableColumn id="17" name="Juillet" totalsRowFunction="sum" dataDxfId="99" totalsRowDxfId="98"/>
    <tableColumn id="19" name="Août" totalsRowFunction="sum" dataDxfId="97" totalsRowDxfId="96"/>
    <tableColumn id="20" name="Sept." totalsRowFunction="sum" dataDxfId="95" totalsRowDxfId="94"/>
    <tableColumn id="21" name="Oct" totalsRowFunction="sum" dataDxfId="93" totalsRowDxfId="92"/>
    <tableColumn id="22" name="Nov." totalsRowFunction="sum" dataDxfId="91" totalsRowDxfId="90"/>
    <tableColumn id="23" name="déc" totalsRowFunction="sum" dataDxfId="89" totalsRowDxfId="88"/>
    <tableColumn id="11" name="TOTAL" totalsRowFunction="sum" dataDxfId="87" totalsRowDxfId="86">
      <calculatedColumnFormula>SUM(E4:P4)</calculatedColumnFormula>
    </tableColumn>
    <tableColumn id="12" name="Remarque" dataDxfId="85" totalsRowDxfId="84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id="20" name="Ventes19ème" displayName="Ventes19ème" ref="A3:R8" totalsRowCount="1" headerRowDxfId="83" dataDxfId="81" totalsRowDxfId="79" headerRowBorderDxfId="82" tableBorderDxfId="80" totalsRowBorderDxfId="78">
  <autoFilter ref="A3:R7"/>
  <tableColumns count="18">
    <tableColumn id="1" name="Dep" totalsRowLabel="Total" dataDxfId="77" totalsRowDxfId="76"/>
    <tableColumn id="2" name="Hotel" totalsRowFunction="count" dataDxfId="75" totalsRowDxfId="74"/>
    <tableColumn id="3" name="Adresse" dataDxfId="73" totalsRowDxfId="72"/>
    <tableColumn id="4" name="Brochure" dataDxfId="71" totalsRowDxfId="70"/>
    <tableColumn id="7" name="Janv" totalsRowFunction="sum" dataDxfId="69" totalsRowDxfId="68"/>
    <tableColumn id="8" name="Fév" totalsRowFunction="sum" dataDxfId="67" totalsRowDxfId="66"/>
    <tableColumn id="9" name="mars" totalsRowFunction="sum" dataDxfId="65" totalsRowDxfId="64"/>
    <tableColumn id="10" name="Avril" totalsRowFunction="sum" dataDxfId="63" totalsRowDxfId="62"/>
    <tableColumn id="16" name="Mai" totalsRowFunction="sum" dataDxfId="61" totalsRowDxfId="60"/>
    <tableColumn id="13" name="Juin" totalsRowFunction="sum" dataDxfId="59" totalsRowDxfId="58"/>
    <tableColumn id="17" name="Juillet" totalsRowFunction="sum" dataDxfId="57" totalsRowDxfId="56"/>
    <tableColumn id="19" name="Août" totalsRowFunction="sum" dataDxfId="55" totalsRowDxfId="54"/>
    <tableColumn id="20" name="Sept." totalsRowFunction="sum" dataDxfId="53" totalsRowDxfId="52"/>
    <tableColumn id="21" name="Oct" totalsRowFunction="sum" dataDxfId="51" totalsRowDxfId="50"/>
    <tableColumn id="22" name="Nov." totalsRowFunction="sum" dataDxfId="49" totalsRowDxfId="48"/>
    <tableColumn id="23" name="déc" totalsRowFunction="sum" dataDxfId="47" totalsRowDxfId="46"/>
    <tableColumn id="11" name="TOTAL" totalsRowFunction="sum" dataDxfId="45" totalsRowDxfId="44">
      <calculatedColumnFormula>SUM(E4:P4)</calculatedColumnFormula>
    </tableColumn>
    <tableColumn id="12" name="Remarque" dataDxfId="43" totalsRowDxfId="42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id="19" name="Ventes20ème" displayName="Ventes20ème" ref="A3:R9" totalsRowCount="1" headerRowDxfId="41" dataDxfId="39" totalsRowDxfId="37" headerRowBorderDxfId="40" tableBorderDxfId="38" totalsRowBorderDxfId="36">
  <autoFilter ref="A3:R8"/>
  <tableColumns count="18">
    <tableColumn id="1" name="Dep" totalsRowLabel="Total" dataDxfId="35" totalsRowDxfId="34"/>
    <tableColumn id="2" name="Hotel" totalsRowFunction="count" dataDxfId="33" totalsRowDxfId="32"/>
    <tableColumn id="3" name="Adresse" dataDxfId="31" totalsRowDxfId="30"/>
    <tableColumn id="4" name="Brochure" dataDxfId="29" totalsRowDxfId="28"/>
    <tableColumn id="7" name="Janv" totalsRowFunction="sum" dataDxfId="27" totalsRowDxfId="26"/>
    <tableColumn id="8" name="Fév" totalsRowFunction="sum" dataDxfId="25" totalsRowDxfId="24"/>
    <tableColumn id="9" name="mars" totalsRowFunction="sum" dataDxfId="23" totalsRowDxfId="22"/>
    <tableColumn id="10" name="Avril" totalsRowFunction="sum" dataDxfId="21" totalsRowDxfId="20"/>
    <tableColumn id="16" name="Mai" totalsRowFunction="sum" dataDxfId="19" totalsRowDxfId="18"/>
    <tableColumn id="13" name="Juin" totalsRowFunction="sum" dataDxfId="17" totalsRowDxfId="16"/>
    <tableColumn id="17" name="Juillet" totalsRowFunction="sum" dataDxfId="15" totalsRowDxfId="14"/>
    <tableColumn id="19" name="Août" totalsRowFunction="sum" dataDxfId="13" totalsRowDxfId="12"/>
    <tableColumn id="20" name="Sept." totalsRowFunction="sum" dataDxfId="11" totalsRowDxfId="10"/>
    <tableColumn id="21" name="Oct" totalsRowFunction="sum" dataDxfId="9" totalsRowDxfId="8"/>
    <tableColumn id="22" name="Nov." totalsRowFunction="sum" dataDxfId="7" totalsRowDxfId="6"/>
    <tableColumn id="23" name="déc" totalsRowFunction="sum" dataDxfId="5" totalsRowDxfId="4"/>
    <tableColumn id="11" name="TOTAL" totalsRowFunction="sum" dataDxfId="3" totalsRowDxfId="2">
      <calculatedColumnFormula>SUM(E4:P4)</calculatedColumnFormula>
    </tableColumn>
    <tableColumn id="12" name="Remarque" dataDxfId="1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2"/>
  <sheetViews>
    <sheetView tabSelected="1" topLeftCell="A94" workbookViewId="0">
      <selection activeCell="K4" sqref="K4"/>
    </sheetView>
  </sheetViews>
  <sheetFormatPr baseColWidth="10" defaultRowHeight="15" x14ac:dyDescent="0.25"/>
  <cols>
    <col min="1" max="1" width="6.28515625" style="99" customWidth="1"/>
    <col min="2" max="2" width="43.140625" style="99" bestFit="1" customWidth="1"/>
    <col min="3" max="3" width="34.28515625" style="99" bestFit="1" customWidth="1"/>
    <col min="4" max="4" width="7.7109375" style="99" customWidth="1"/>
    <col min="5" max="5" width="18.140625" style="99" bestFit="1" customWidth="1"/>
    <col min="6" max="6" width="13.7109375" style="99" bestFit="1" customWidth="1"/>
    <col min="7" max="7" width="11" style="99" customWidth="1"/>
    <col min="8" max="8" width="9.7109375" style="99" customWidth="1"/>
    <col min="9" max="9" width="7.85546875" style="99" customWidth="1"/>
    <col min="10" max="10" width="8.28515625" style="99" customWidth="1"/>
    <col min="11" max="11" width="11.42578125" style="4"/>
    <col min="12" max="16384" width="11.42578125" style="99"/>
  </cols>
  <sheetData>
    <row r="1" spans="1:13" ht="31.5" x14ac:dyDescent="0.5">
      <c r="A1" s="468" t="s">
        <v>1337</v>
      </c>
    </row>
    <row r="3" spans="1:13" x14ac:dyDescent="0.25">
      <c r="A3" s="469" t="s">
        <v>0</v>
      </c>
      <c r="B3" s="469" t="s">
        <v>1</v>
      </c>
      <c r="C3" s="469" t="s">
        <v>2</v>
      </c>
      <c r="D3" s="469" t="s">
        <v>1338</v>
      </c>
      <c r="E3" s="469" t="s">
        <v>3</v>
      </c>
      <c r="F3" s="469" t="s">
        <v>1339</v>
      </c>
      <c r="G3" s="469" t="s">
        <v>1340</v>
      </c>
      <c r="H3" s="469" t="s">
        <v>1341</v>
      </c>
      <c r="I3" s="469" t="s">
        <v>1342</v>
      </c>
      <c r="J3" s="469" t="s">
        <v>1343</v>
      </c>
      <c r="K3" s="473" t="s">
        <v>1654</v>
      </c>
    </row>
    <row r="4" spans="1:13" x14ac:dyDescent="0.25">
      <c r="A4" s="470">
        <v>75001</v>
      </c>
      <c r="B4" s="470" t="s">
        <v>167</v>
      </c>
      <c r="C4" s="470" t="s">
        <v>1344</v>
      </c>
      <c r="D4" s="470" t="s">
        <v>1345</v>
      </c>
      <c r="E4" s="470" t="s">
        <v>1346</v>
      </c>
      <c r="F4" s="470" t="s">
        <v>1347</v>
      </c>
      <c r="G4" s="470" t="s">
        <v>1348</v>
      </c>
      <c r="H4" s="471"/>
      <c r="I4" s="470">
        <v>886</v>
      </c>
      <c r="J4" s="470">
        <v>0</v>
      </c>
      <c r="K4" s="477" t="str">
        <f ca="1">INDEX(INDIRECT("'"&amp;RIGHT(Tableau3[[#This Row],[Dep]],2)*1&amp;"è'"&amp;"!d:d"),MATCH(C4,INDIRECT("'"&amp;RIGHT(Tableau3[[#This Row],[Dep]],2)*1&amp;"è'"&amp;"!c:c"),0))</f>
        <v>PH</v>
      </c>
      <c r="L4" s="99" t="e">
        <f>IF(Tableau3[Dep]=75001,(VLOOKUP(Tableau3[Hotel],'1è'!C:E,3,FALSE)),(IF(Tableau3[Dep]=75002,(VLOOKUP(Tableau3[Hotel],'2è'!C:E,3,FALSE)),(IF(Tableau3[Dep]=75003,(VLOOKUP(Tableau3[Hotel],'3è'!C:E,3,FALSE)),(IF(Tableau3[Dep]=75004,(VLOOKUP(Tableau3[Hotel],'4è'!C:E,3,FALSE)),(IF(Tableau3[Dep]=75005,(VLOOKUP(Tableau3[Hotel],'5è'!C:E,3,FALSE)),(IF(Tableau3[Dep]=75006,(VLOOKUP(Tableau3[Hotel],'6è'!C:E,3,FALSE)),(IF(Tableau3[Dep]=75007,(VLOOKUP(Tableau3[Hotel],'7è'!C:E,3,FALSE)),(IF(Tableau3[Dep]=75008,(VLOOKUP(Tableau3[Hotel],'8è'!C:E,3,FALSE)),(IF(Tableau3[Dep]=75009,(VLOOKUP(Tableau3[Hotel],'9è'!C:E,3,FALSE)),(IF(Tableau3[Dep]=75010,(VLOOKUP(Tableau3[Hotel],'10è'!C:E,3,FALSE)),(IF(Tableau3[Dep]=75011,(VLOOKUP(Tableau3[Hotel],'11è'!C:E,3,FALSE)),(IF(Tableau3[Dep]=75012,(VLOOKUP(Tableau3[Hotel],'12è'!C:E,3,FALSE)),(IF(Tableau3[Dep]=75013,(VLOOKUP(Tableau3[Hotel],'13è'!C:E,3,FALSE)),(IF(Tableau3[Dep]=75014,(VLOOKUP(Tableau3[Hotel],'14è'!C:E,3,FALSE)),(IF(Tableau3[Dep]=75015,(VLOOKUP(Tableau3[Hotel],'15è'!C:E,3,FALSE)),(IF(Tableau3[Dep]=75016,(VLOOKUP(Tableau3[Hotel],'16è'!C:E,3,FALSE)),(IF(Tableau3[Dep]=75017,(VLOOKUP(Tableau3[Hotel],'17è'!C:E,3,FALSE)),(IF(Tableau3[Dep]=75018,(VLOOKUP(Tableau3[Hotel],'18è'!C:E,3,FALSE)),(IF(Tableau3[Dep]=75019,(VLOOKUP(Tableau3[Hotel],'19è'!C:E,3,FALSE)),(IF(Tableau3[Dep]=75020,(VLOOKUP(Tableau3[Hotel],'20è'!C:E,3,FALSE)))))))))))))))))))))))))))))))))))))))))</f>
        <v>#N/A</v>
      </c>
      <c r="M4" s="476" t="s">
        <v>1655</v>
      </c>
    </row>
    <row r="5" spans="1:13" x14ac:dyDescent="0.25">
      <c r="A5" s="470">
        <v>75001</v>
      </c>
      <c r="B5" s="470" t="s">
        <v>699</v>
      </c>
      <c r="C5" s="470" t="s">
        <v>700</v>
      </c>
      <c r="D5" s="470" t="s">
        <v>1345</v>
      </c>
      <c r="E5" s="470" t="s">
        <v>1346</v>
      </c>
      <c r="F5" s="470" t="s">
        <v>1347</v>
      </c>
      <c r="G5" s="471"/>
      <c r="H5" s="471"/>
      <c r="I5" s="470">
        <v>88</v>
      </c>
      <c r="J5" s="470">
        <v>0</v>
      </c>
      <c r="K5" s="474" t="str">
        <f ca="1">INDEX(INDIRECT("'"&amp;RIGHT(Tableau3[[#This Row],[Dep]],2)*1&amp;"è'"&amp;"!d:d"),MATCH(C5,INDIRECT("'"&amp;RIGHT(Tableau3[[#This Row],[Dep]],2)*1&amp;"è'"&amp;"!c:c"),0))</f>
        <v>SC</v>
      </c>
    </row>
    <row r="6" spans="1:13" x14ac:dyDescent="0.25">
      <c r="A6" s="470">
        <v>75001</v>
      </c>
      <c r="B6" s="470" t="s">
        <v>701</v>
      </c>
      <c r="C6" s="470" t="s">
        <v>702</v>
      </c>
      <c r="D6" s="470" t="s">
        <v>1345</v>
      </c>
      <c r="E6" s="470" t="s">
        <v>1346</v>
      </c>
      <c r="F6" s="470" t="s">
        <v>1349</v>
      </c>
      <c r="G6" s="471"/>
      <c r="H6" s="471"/>
      <c r="I6" s="470">
        <v>407</v>
      </c>
      <c r="J6" s="470">
        <v>0</v>
      </c>
      <c r="K6" s="474" t="str">
        <f ca="1">INDEX(INDIRECT("'"&amp;RIGHT(Tableau3[[#This Row],[Dep]],2)*1&amp;"è'"&amp;"!d:d"),MATCH(C6,INDIRECT("'"&amp;RIGHT(Tableau3[[#This Row],[Dep]],2)*1&amp;"è'"&amp;"!c:c"),0))</f>
        <v>SC</v>
      </c>
    </row>
    <row r="7" spans="1:13" x14ac:dyDescent="0.25">
      <c r="A7" s="470">
        <v>75001</v>
      </c>
      <c r="B7" s="470" t="s">
        <v>168</v>
      </c>
      <c r="C7" s="470" t="s">
        <v>1350</v>
      </c>
      <c r="D7" s="470" t="s">
        <v>1345</v>
      </c>
      <c r="E7" s="470" t="s">
        <v>1346</v>
      </c>
      <c r="F7" s="470" t="s">
        <v>1351</v>
      </c>
      <c r="G7" s="471"/>
      <c r="H7" s="471"/>
      <c r="I7" s="472">
        <v>1526</v>
      </c>
      <c r="J7" s="470">
        <v>0</v>
      </c>
      <c r="K7" s="474" t="e">
        <f ca="1">INDEX(INDIRECT("'"&amp;RIGHT(Tableau3[[#This Row],[Dep]],2)*1&amp;"è'"&amp;"!d:d"),MATCH(C7,INDIRECT("'"&amp;RIGHT(Tableau3[[#This Row],[Dep]],2)*1&amp;"è'"&amp;"!c:c"),0))</f>
        <v>#N/A</v>
      </c>
    </row>
    <row r="8" spans="1:13" x14ac:dyDescent="0.25">
      <c r="A8" s="470">
        <v>75001</v>
      </c>
      <c r="B8" s="470" t="s">
        <v>1124</v>
      </c>
      <c r="C8" s="470" t="s">
        <v>1125</v>
      </c>
      <c r="D8" s="470" t="s">
        <v>1345</v>
      </c>
      <c r="E8" s="470" t="s">
        <v>1346</v>
      </c>
      <c r="F8" s="470" t="s">
        <v>1347</v>
      </c>
      <c r="G8" s="471"/>
      <c r="H8" s="471"/>
      <c r="I8" s="470">
        <v>298</v>
      </c>
      <c r="J8" s="470">
        <v>0</v>
      </c>
      <c r="K8" s="474" t="str">
        <f ca="1">INDEX(INDIRECT("'"&amp;RIGHT(Tableau3[[#This Row],[Dep]],2)*1&amp;"è'"&amp;"!d:d"),MATCH(C8,INDIRECT("'"&amp;RIGHT(Tableau3[[#This Row],[Dep]],2)*1&amp;"è'"&amp;"!c:c"),0))</f>
        <v>PH</v>
      </c>
    </row>
    <row r="9" spans="1:13" x14ac:dyDescent="0.25">
      <c r="A9" s="470">
        <v>75001</v>
      </c>
      <c r="B9" s="470" t="s">
        <v>896</v>
      </c>
      <c r="C9" s="470" t="s">
        <v>897</v>
      </c>
      <c r="D9" s="470" t="s">
        <v>1345</v>
      </c>
      <c r="E9" s="470" t="s">
        <v>1346</v>
      </c>
      <c r="F9" s="470" t="s">
        <v>1349</v>
      </c>
      <c r="G9" s="471"/>
      <c r="H9" s="471"/>
      <c r="I9" s="470">
        <v>168</v>
      </c>
      <c r="J9" s="470">
        <v>0</v>
      </c>
      <c r="K9" s="474" t="str">
        <f ca="1">INDEX(INDIRECT("'"&amp;RIGHT(Tableau3[[#This Row],[Dep]],2)*1&amp;"è'"&amp;"!d:d"),MATCH(C9,INDIRECT("'"&amp;RIGHT(Tableau3[[#This Row],[Dep]],2)*1&amp;"è'"&amp;"!c:c"),0))</f>
        <v>SC</v>
      </c>
    </row>
    <row r="10" spans="1:13" x14ac:dyDescent="0.25">
      <c r="A10" s="470">
        <v>75001</v>
      </c>
      <c r="B10" s="470" t="s">
        <v>170</v>
      </c>
      <c r="C10" s="470" t="s">
        <v>1352</v>
      </c>
      <c r="D10" s="470" t="s">
        <v>1345</v>
      </c>
      <c r="E10" s="470" t="s">
        <v>1346</v>
      </c>
      <c r="F10" s="470" t="s">
        <v>1349</v>
      </c>
      <c r="G10" s="471"/>
      <c r="H10" s="471"/>
      <c r="I10" s="470">
        <v>201</v>
      </c>
      <c r="J10" s="470">
        <v>0</v>
      </c>
      <c r="K10" s="474" t="e">
        <f ca="1">INDEX(INDIRECT("'"&amp;RIGHT(Tableau3[[#This Row],[Dep]],2)*1&amp;"è'"&amp;"!d:d"),MATCH(C10,INDIRECT("'"&amp;RIGHT(Tableau3[[#This Row],[Dep]],2)*1&amp;"è'"&amp;"!c:c"),0))</f>
        <v>#N/A</v>
      </c>
    </row>
    <row r="11" spans="1:13" x14ac:dyDescent="0.25">
      <c r="A11" s="470">
        <v>75001</v>
      </c>
      <c r="B11" s="470" t="s">
        <v>172</v>
      </c>
      <c r="C11" s="470" t="s">
        <v>1353</v>
      </c>
      <c r="D11" s="470" t="s">
        <v>1345</v>
      </c>
      <c r="E11" s="470" t="s">
        <v>1346</v>
      </c>
      <c r="F11" s="470" t="s">
        <v>1347</v>
      </c>
      <c r="G11" s="470" t="s">
        <v>1348</v>
      </c>
      <c r="H11" s="471"/>
      <c r="I11" s="472">
        <v>1040</v>
      </c>
      <c r="J11" s="470">
        <v>0</v>
      </c>
      <c r="K11" s="474" t="e">
        <f ca="1">INDEX(INDIRECT("'"&amp;RIGHT(Tableau3[[#This Row],[Dep]],2)*1&amp;"è'"&amp;"!d:d"),MATCH(C11,INDIRECT("'"&amp;RIGHT(Tableau3[[#This Row],[Dep]],2)*1&amp;"è'"&amp;"!c:c"),0))</f>
        <v>#N/A</v>
      </c>
    </row>
    <row r="12" spans="1:13" x14ac:dyDescent="0.25">
      <c r="A12" s="470">
        <v>75001</v>
      </c>
      <c r="B12" s="470" t="s">
        <v>1354</v>
      </c>
      <c r="C12" s="470" t="s">
        <v>1355</v>
      </c>
      <c r="D12" s="470" t="s">
        <v>1345</v>
      </c>
      <c r="E12" s="470" t="s">
        <v>1346</v>
      </c>
      <c r="F12" s="470" t="s">
        <v>1349</v>
      </c>
      <c r="G12" s="471"/>
      <c r="H12" s="471"/>
      <c r="I12" s="470">
        <v>120</v>
      </c>
      <c r="J12" s="470">
        <v>0</v>
      </c>
      <c r="K12" s="474" t="e">
        <f ca="1">INDEX(INDIRECT("'"&amp;RIGHT(Tableau3[[#This Row],[Dep]],2)*1&amp;"è'"&amp;"!d:d"),MATCH(C12,INDIRECT("'"&amp;RIGHT(Tableau3[[#This Row],[Dep]],2)*1&amp;"è'"&amp;"!c:c"),0))</f>
        <v>#N/A</v>
      </c>
    </row>
    <row r="13" spans="1:13" x14ac:dyDescent="0.25">
      <c r="A13" s="470">
        <v>75001</v>
      </c>
      <c r="B13" s="470" t="s">
        <v>707</v>
      </c>
      <c r="C13" s="470" t="s">
        <v>708</v>
      </c>
      <c r="D13" s="470" t="s">
        <v>1345</v>
      </c>
      <c r="E13" s="470" t="s">
        <v>1346</v>
      </c>
      <c r="F13" s="470" t="s">
        <v>1351</v>
      </c>
      <c r="G13" s="470" t="s">
        <v>1348</v>
      </c>
      <c r="H13" s="471"/>
      <c r="I13" s="470">
        <v>554</v>
      </c>
      <c r="J13" s="470">
        <v>0</v>
      </c>
      <c r="K13" s="474" t="str">
        <f ca="1">INDEX(INDIRECT("'"&amp;RIGHT(Tableau3[[#This Row],[Dep]],2)*1&amp;"è'"&amp;"!d:d"),MATCH(C13,INDIRECT("'"&amp;RIGHT(Tableau3[[#This Row],[Dep]],2)*1&amp;"è'"&amp;"!c:c"),0))</f>
        <v>FT</v>
      </c>
    </row>
    <row r="14" spans="1:13" x14ac:dyDescent="0.25">
      <c r="A14" s="470">
        <v>75001</v>
      </c>
      <c r="B14" s="470" t="s">
        <v>1356</v>
      </c>
      <c r="C14" s="470" t="s">
        <v>1357</v>
      </c>
      <c r="D14" s="470" t="s">
        <v>1345</v>
      </c>
      <c r="E14" s="470" t="s">
        <v>1346</v>
      </c>
      <c r="F14" s="470" t="s">
        <v>1349</v>
      </c>
      <c r="G14" s="471"/>
      <c r="H14" s="471"/>
      <c r="I14" s="470">
        <v>340</v>
      </c>
      <c r="J14" s="470">
        <v>0</v>
      </c>
      <c r="K14" s="474" t="e">
        <f ca="1">INDEX(INDIRECT("'"&amp;RIGHT(Tableau3[[#This Row],[Dep]],2)*1&amp;"è'"&amp;"!d:d"),MATCH(C14,INDIRECT("'"&amp;RIGHT(Tableau3[[#This Row],[Dep]],2)*1&amp;"è'"&amp;"!c:c"),0))</f>
        <v>#N/A</v>
      </c>
    </row>
    <row r="15" spans="1:13" x14ac:dyDescent="0.25">
      <c r="A15" s="470">
        <v>75001</v>
      </c>
      <c r="B15" s="470" t="s">
        <v>316</v>
      </c>
      <c r="C15" s="470" t="s">
        <v>1358</v>
      </c>
      <c r="D15" s="470" t="s">
        <v>1345</v>
      </c>
      <c r="E15" s="470" t="s">
        <v>1346</v>
      </c>
      <c r="F15" s="470" t="s">
        <v>1349</v>
      </c>
      <c r="G15" s="471"/>
      <c r="H15" s="470" t="s">
        <v>1348</v>
      </c>
      <c r="I15" s="470">
        <v>600</v>
      </c>
      <c r="J15" s="470">
        <v>0</v>
      </c>
      <c r="K15" s="474" t="e">
        <f ca="1">INDEX(INDIRECT("'"&amp;RIGHT(Tableau3[[#This Row],[Dep]],2)*1&amp;"è'"&amp;"!d:d"),MATCH(C15,INDIRECT("'"&amp;RIGHT(Tableau3[[#This Row],[Dep]],2)*1&amp;"è'"&amp;"!c:c"),0))</f>
        <v>#N/A</v>
      </c>
    </row>
    <row r="16" spans="1:13" x14ac:dyDescent="0.25">
      <c r="A16" s="470">
        <v>75001</v>
      </c>
      <c r="B16" s="470" t="s">
        <v>1126</v>
      </c>
      <c r="C16" s="470" t="s">
        <v>1127</v>
      </c>
      <c r="D16" s="470" t="s">
        <v>1345</v>
      </c>
      <c r="E16" s="470" t="s">
        <v>1346</v>
      </c>
      <c r="F16" s="470" t="s">
        <v>1351</v>
      </c>
      <c r="G16" s="470" t="s">
        <v>1348</v>
      </c>
      <c r="H16" s="470" t="s">
        <v>1348</v>
      </c>
      <c r="I16" s="470">
        <v>220</v>
      </c>
      <c r="J16" s="470">
        <v>0</v>
      </c>
      <c r="K16" s="474" t="str">
        <f ca="1">INDEX(INDIRECT("'"&amp;RIGHT(Tableau3[[#This Row],[Dep]],2)*1&amp;"è'"&amp;"!d:d"),MATCH(C16,INDIRECT("'"&amp;RIGHT(Tableau3[[#This Row],[Dep]],2)*1&amp;"è'"&amp;"!c:c"),0))</f>
        <v>FT</v>
      </c>
    </row>
    <row r="17" spans="1:11" x14ac:dyDescent="0.25">
      <c r="A17" s="470">
        <v>75001</v>
      </c>
      <c r="B17" s="470" t="s">
        <v>176</v>
      </c>
      <c r="C17" s="470" t="s">
        <v>1359</v>
      </c>
      <c r="D17" s="470" t="s">
        <v>1345</v>
      </c>
      <c r="E17" s="470" t="s">
        <v>1346</v>
      </c>
      <c r="F17" s="470" t="s">
        <v>1349</v>
      </c>
      <c r="G17" s="471"/>
      <c r="H17" s="471"/>
      <c r="I17" s="470">
        <v>120</v>
      </c>
      <c r="J17" s="470">
        <v>0</v>
      </c>
      <c r="K17" s="474" t="e">
        <f ca="1">INDEX(INDIRECT("'"&amp;RIGHT(Tableau3[[#This Row],[Dep]],2)*1&amp;"è'"&amp;"!d:d"),MATCH(C17,INDIRECT("'"&amp;RIGHT(Tableau3[[#This Row],[Dep]],2)*1&amp;"è'"&amp;"!c:c"),0))</f>
        <v>#N/A</v>
      </c>
    </row>
    <row r="18" spans="1:11" x14ac:dyDescent="0.25">
      <c r="A18" s="470">
        <v>75001</v>
      </c>
      <c r="B18" s="470" t="s">
        <v>321</v>
      </c>
      <c r="C18" s="470" t="s">
        <v>1360</v>
      </c>
      <c r="D18" s="470" t="s">
        <v>1345</v>
      </c>
      <c r="E18" s="470" t="s">
        <v>1346</v>
      </c>
      <c r="F18" s="470" t="s">
        <v>1351</v>
      </c>
      <c r="G18" s="470" t="s">
        <v>1348</v>
      </c>
      <c r="H18" s="471"/>
      <c r="I18" s="470">
        <v>170</v>
      </c>
      <c r="J18" s="470">
        <v>0</v>
      </c>
      <c r="K18" s="474" t="e">
        <f ca="1">INDEX(INDIRECT("'"&amp;RIGHT(Tableau3[[#This Row],[Dep]],2)*1&amp;"è'"&amp;"!d:d"),MATCH(C18,INDIRECT("'"&amp;RIGHT(Tableau3[[#This Row],[Dep]],2)*1&amp;"è'"&amp;"!c:c"),0))</f>
        <v>#N/A</v>
      </c>
    </row>
    <row r="19" spans="1:11" x14ac:dyDescent="0.25">
      <c r="A19" s="470">
        <v>75001</v>
      </c>
      <c r="B19" s="470" t="s">
        <v>567</v>
      </c>
      <c r="C19" s="470" t="s">
        <v>1361</v>
      </c>
      <c r="D19" s="470" t="s">
        <v>1345</v>
      </c>
      <c r="E19" s="470" t="s">
        <v>1346</v>
      </c>
      <c r="F19" s="470" t="s">
        <v>1347</v>
      </c>
      <c r="G19" s="471"/>
      <c r="H19" s="471"/>
      <c r="I19" s="470">
        <v>68</v>
      </c>
      <c r="J19" s="470">
        <v>0</v>
      </c>
      <c r="K19" s="474" t="e">
        <f ca="1">INDEX(INDIRECT("'"&amp;RIGHT(Tableau3[[#This Row],[Dep]],2)*1&amp;"è'"&amp;"!d:d"),MATCH(C19,INDIRECT("'"&amp;RIGHT(Tableau3[[#This Row],[Dep]],2)*1&amp;"è'"&amp;"!c:c"),0))</f>
        <v>#N/A</v>
      </c>
    </row>
    <row r="20" spans="1:11" x14ac:dyDescent="0.25">
      <c r="A20" s="470">
        <v>75001</v>
      </c>
      <c r="B20" s="470" t="s">
        <v>709</v>
      </c>
      <c r="C20" s="470" t="s">
        <v>710</v>
      </c>
      <c r="D20" s="470" t="s">
        <v>1345</v>
      </c>
      <c r="E20" s="470" t="s">
        <v>1346</v>
      </c>
      <c r="F20" s="470" t="s">
        <v>1351</v>
      </c>
      <c r="G20" s="471"/>
      <c r="H20" s="471"/>
      <c r="I20" s="470">
        <v>39</v>
      </c>
      <c r="J20" s="470">
        <v>0</v>
      </c>
      <c r="K20" s="474" t="str">
        <f ca="1">INDEX(INDIRECT("'"&amp;RIGHT(Tableau3[[#This Row],[Dep]],2)*1&amp;"è'"&amp;"!d:d"),MATCH(C20,INDIRECT("'"&amp;RIGHT(Tableau3[[#This Row],[Dep]],2)*1&amp;"è'"&amp;"!c:c"),0))</f>
        <v>FT</v>
      </c>
    </row>
    <row r="21" spans="1:11" x14ac:dyDescent="0.25">
      <c r="A21" s="470">
        <v>75001</v>
      </c>
      <c r="B21" s="470" t="s">
        <v>711</v>
      </c>
      <c r="C21" s="470" t="s">
        <v>712</v>
      </c>
      <c r="D21" s="470" t="s">
        <v>1345</v>
      </c>
      <c r="E21" s="470" t="s">
        <v>1346</v>
      </c>
      <c r="F21" s="470" t="s">
        <v>1351</v>
      </c>
      <c r="G21" s="471"/>
      <c r="H21" s="471"/>
      <c r="I21" s="470">
        <v>509</v>
      </c>
      <c r="J21" s="470">
        <v>0</v>
      </c>
      <c r="K21" s="474" t="str">
        <f ca="1">INDEX(INDIRECT("'"&amp;RIGHT(Tableau3[[#This Row],[Dep]],2)*1&amp;"è'"&amp;"!d:d"),MATCH(C21,INDIRECT("'"&amp;RIGHT(Tableau3[[#This Row],[Dep]],2)*1&amp;"è'"&amp;"!c:c"),0))</f>
        <v>FT</v>
      </c>
    </row>
    <row r="22" spans="1:11" x14ac:dyDescent="0.25">
      <c r="A22" s="470">
        <v>75001</v>
      </c>
      <c r="B22" s="470" t="s">
        <v>1362</v>
      </c>
      <c r="C22" s="470" t="s">
        <v>1363</v>
      </c>
      <c r="D22" s="470" t="s">
        <v>1345</v>
      </c>
      <c r="E22" s="470" t="s">
        <v>1346</v>
      </c>
      <c r="F22" s="470" t="s">
        <v>1349</v>
      </c>
      <c r="G22" s="471"/>
      <c r="H22" s="471"/>
      <c r="I22" s="470">
        <v>88</v>
      </c>
      <c r="J22" s="470">
        <v>0</v>
      </c>
      <c r="K22" s="474" t="e">
        <f ca="1">INDEX(INDIRECT("'"&amp;RIGHT(Tableau3[[#This Row],[Dep]],2)*1&amp;"è'"&amp;"!d:d"),MATCH(C22,INDIRECT("'"&amp;RIGHT(Tableau3[[#This Row],[Dep]],2)*1&amp;"è'"&amp;"!c:c"),0))</f>
        <v>#N/A</v>
      </c>
    </row>
    <row r="23" spans="1:11" x14ac:dyDescent="0.25">
      <c r="A23" s="470">
        <v>75001</v>
      </c>
      <c r="B23" s="470" t="s">
        <v>182</v>
      </c>
      <c r="C23" s="470" t="s">
        <v>1364</v>
      </c>
      <c r="D23" s="470" t="s">
        <v>1345</v>
      </c>
      <c r="E23" s="470" t="s">
        <v>1346</v>
      </c>
      <c r="F23" s="470" t="s">
        <v>1351</v>
      </c>
      <c r="G23" s="470" t="s">
        <v>1348</v>
      </c>
      <c r="H23" s="471"/>
      <c r="I23" s="470">
        <v>675</v>
      </c>
      <c r="J23" s="470">
        <v>0</v>
      </c>
      <c r="K23" s="474" t="e">
        <f ca="1">INDEX(INDIRECT("'"&amp;RIGHT(Tableau3[[#This Row],[Dep]],2)*1&amp;"è'"&amp;"!d:d"),MATCH(C23,INDIRECT("'"&amp;RIGHT(Tableau3[[#This Row],[Dep]],2)*1&amp;"è'"&amp;"!c:c"),0))</f>
        <v>#N/A</v>
      </c>
    </row>
    <row r="24" spans="1:11" x14ac:dyDescent="0.25">
      <c r="A24" s="470">
        <v>75001</v>
      </c>
      <c r="B24" s="470" t="s">
        <v>184</v>
      </c>
      <c r="C24" s="470" t="s">
        <v>1365</v>
      </c>
      <c r="D24" s="470" t="s">
        <v>1345</v>
      </c>
      <c r="E24" s="470" t="s">
        <v>1346</v>
      </c>
      <c r="F24" s="470" t="s">
        <v>1351</v>
      </c>
      <c r="G24" s="471"/>
      <c r="H24" s="471"/>
      <c r="I24" s="470">
        <v>572</v>
      </c>
      <c r="J24" s="470">
        <v>0</v>
      </c>
      <c r="K24" s="474" t="e">
        <f ca="1">INDEX(INDIRECT("'"&amp;RIGHT(Tableau3[[#This Row],[Dep]],2)*1&amp;"è'"&amp;"!d:d"),MATCH(C24,INDIRECT("'"&amp;RIGHT(Tableau3[[#This Row],[Dep]],2)*1&amp;"è'"&amp;"!c:c"),0))</f>
        <v>#N/A</v>
      </c>
    </row>
    <row r="25" spans="1:11" x14ac:dyDescent="0.25">
      <c r="A25" s="470">
        <v>75001</v>
      </c>
      <c r="B25" s="470" t="s">
        <v>900</v>
      </c>
      <c r="C25" s="470" t="s">
        <v>901</v>
      </c>
      <c r="D25" s="470" t="s">
        <v>1345</v>
      </c>
      <c r="E25" s="470" t="s">
        <v>1346</v>
      </c>
      <c r="F25" s="470" t="s">
        <v>1349</v>
      </c>
      <c r="G25" s="470" t="s">
        <v>1348</v>
      </c>
      <c r="H25" s="471"/>
      <c r="I25" s="470">
        <v>219</v>
      </c>
      <c r="J25" s="470">
        <v>0</v>
      </c>
      <c r="K25" s="474" t="str">
        <f ca="1">INDEX(INDIRECT("'"&amp;RIGHT(Tableau3[[#This Row],[Dep]],2)*1&amp;"è'"&amp;"!d:d"),MATCH(C25,INDIRECT("'"&amp;RIGHT(Tableau3[[#This Row],[Dep]],2)*1&amp;"è'"&amp;"!c:c"),0))</f>
        <v>SC</v>
      </c>
    </row>
    <row r="26" spans="1:11" x14ac:dyDescent="0.25">
      <c r="A26" s="470">
        <v>75002</v>
      </c>
      <c r="B26" s="470" t="s">
        <v>719</v>
      </c>
      <c r="C26" s="470" t="s">
        <v>1366</v>
      </c>
      <c r="D26" s="470" t="s">
        <v>1345</v>
      </c>
      <c r="E26" s="470" t="s">
        <v>1346</v>
      </c>
      <c r="F26" s="470" t="s">
        <v>1349</v>
      </c>
      <c r="G26" s="471"/>
      <c r="H26" s="471"/>
      <c r="I26" s="472">
        <v>1682</v>
      </c>
      <c r="J26" s="470">
        <v>0</v>
      </c>
      <c r="K26" s="474" t="e">
        <f ca="1">INDEX(INDIRECT("'"&amp;RIGHT(Tableau3[[#This Row],[Dep]],2)*1&amp;"è'"&amp;"!d:d"),MATCH(C26,INDIRECT("'"&amp;RIGHT(Tableau3[[#This Row],[Dep]],2)*1&amp;"è'"&amp;"!c:c"),0))</f>
        <v>#N/A</v>
      </c>
    </row>
    <row r="27" spans="1:11" x14ac:dyDescent="0.25">
      <c r="A27" s="470">
        <v>75002</v>
      </c>
      <c r="B27" s="470" t="s">
        <v>189</v>
      </c>
      <c r="C27" s="470" t="s">
        <v>1367</v>
      </c>
      <c r="D27" s="470" t="s">
        <v>1345</v>
      </c>
      <c r="E27" s="470" t="s">
        <v>1346</v>
      </c>
      <c r="F27" s="470" t="s">
        <v>1347</v>
      </c>
      <c r="G27" s="471"/>
      <c r="H27" s="471"/>
      <c r="I27" s="470">
        <v>84</v>
      </c>
      <c r="J27" s="470">
        <v>0</v>
      </c>
      <c r="K27" s="474" t="e">
        <f ca="1">INDEX(INDIRECT("'"&amp;RIGHT(Tableau3[[#This Row],[Dep]],2)*1&amp;"è'"&amp;"!d:d"),MATCH(C27,INDIRECT("'"&amp;RIGHT(Tableau3[[#This Row],[Dep]],2)*1&amp;"è'"&amp;"!c:c"),0))</f>
        <v>#N/A</v>
      </c>
    </row>
    <row r="28" spans="1:11" x14ac:dyDescent="0.25">
      <c r="A28" s="470">
        <v>75002</v>
      </c>
      <c r="B28" s="470" t="s">
        <v>323</v>
      </c>
      <c r="C28" s="470" t="s">
        <v>1368</v>
      </c>
      <c r="D28" s="470" t="s">
        <v>1345</v>
      </c>
      <c r="E28" s="470" t="s">
        <v>1346</v>
      </c>
      <c r="F28" s="470" t="s">
        <v>1351</v>
      </c>
      <c r="G28" s="471"/>
      <c r="H28" s="471"/>
      <c r="I28" s="470">
        <v>214.5</v>
      </c>
      <c r="J28" s="470">
        <v>0</v>
      </c>
      <c r="K28" s="474" t="e">
        <f ca="1">INDEX(INDIRECT("'"&amp;RIGHT(Tableau3[[#This Row],[Dep]],2)*1&amp;"è'"&amp;"!d:d"),MATCH(C28,INDIRECT("'"&amp;RIGHT(Tableau3[[#This Row],[Dep]],2)*1&amp;"è'"&amp;"!c:c"),0))</f>
        <v>#N/A</v>
      </c>
    </row>
    <row r="29" spans="1:11" x14ac:dyDescent="0.25">
      <c r="A29" s="470">
        <v>75002</v>
      </c>
      <c r="B29" s="470" t="s">
        <v>1369</v>
      </c>
      <c r="C29" s="470" t="s">
        <v>1370</v>
      </c>
      <c r="D29" s="470" t="s">
        <v>1345</v>
      </c>
      <c r="E29" s="470" t="s">
        <v>1346</v>
      </c>
      <c r="F29" s="470" t="s">
        <v>1351</v>
      </c>
      <c r="G29" s="471"/>
      <c r="H29" s="471"/>
      <c r="I29" s="470">
        <v>217</v>
      </c>
      <c r="J29" s="470">
        <v>0</v>
      </c>
      <c r="K29" s="474" t="e">
        <f ca="1">INDEX(INDIRECT("'"&amp;RIGHT(Tableau3[[#This Row],[Dep]],2)*1&amp;"è'"&amp;"!d:d"),MATCH(C29,INDIRECT("'"&amp;RIGHT(Tableau3[[#This Row],[Dep]],2)*1&amp;"è'"&amp;"!c:c"),0))</f>
        <v>#N/A</v>
      </c>
    </row>
    <row r="30" spans="1:11" x14ac:dyDescent="0.25">
      <c r="A30" s="470">
        <v>75002</v>
      </c>
      <c r="B30" s="470" t="s">
        <v>1371</v>
      </c>
      <c r="C30" s="470" t="s">
        <v>1372</v>
      </c>
      <c r="D30" s="470" t="s">
        <v>1345</v>
      </c>
      <c r="E30" s="470" t="s">
        <v>1346</v>
      </c>
      <c r="F30" s="470" t="s">
        <v>1347</v>
      </c>
      <c r="G30" s="471"/>
      <c r="H30" s="471"/>
      <c r="I30" s="470">
        <v>108</v>
      </c>
      <c r="J30" s="470">
        <v>0</v>
      </c>
      <c r="K30" s="474" t="e">
        <f ca="1">INDEX(INDIRECT("'"&amp;RIGHT(Tableau3[[#This Row],[Dep]],2)*1&amp;"è'"&amp;"!d:d"),MATCH(C30,INDIRECT("'"&amp;RIGHT(Tableau3[[#This Row],[Dep]],2)*1&amp;"è'"&amp;"!c:c"),0))</f>
        <v>#N/A</v>
      </c>
    </row>
    <row r="31" spans="1:11" x14ac:dyDescent="0.25">
      <c r="A31" s="470">
        <v>75002</v>
      </c>
      <c r="B31" s="470" t="s">
        <v>904</v>
      </c>
      <c r="C31" s="470" t="s">
        <v>905</v>
      </c>
      <c r="D31" s="470" t="s">
        <v>1345</v>
      </c>
      <c r="E31" s="470" t="s">
        <v>1346</v>
      </c>
      <c r="F31" s="470" t="s">
        <v>1351</v>
      </c>
      <c r="G31" s="471"/>
      <c r="H31" s="471"/>
      <c r="I31" s="470">
        <v>102</v>
      </c>
      <c r="J31" s="470">
        <v>0</v>
      </c>
      <c r="K31" s="474" t="str">
        <f ca="1">INDEX(INDIRECT("'"&amp;RIGHT(Tableau3[[#This Row],[Dep]],2)*1&amp;"è'"&amp;"!d:d"),MATCH(C31,INDIRECT("'"&amp;RIGHT(Tableau3[[#This Row],[Dep]],2)*1&amp;"è'"&amp;"!c:c"),0))</f>
        <v>FT</v>
      </c>
    </row>
    <row r="32" spans="1:11" x14ac:dyDescent="0.25">
      <c r="A32" s="470">
        <v>75002</v>
      </c>
      <c r="B32" s="470" t="s">
        <v>728</v>
      </c>
      <c r="C32" s="470" t="s">
        <v>729</v>
      </c>
      <c r="D32" s="470" t="s">
        <v>1345</v>
      </c>
      <c r="E32" s="470" t="s">
        <v>1346</v>
      </c>
      <c r="F32" s="470" t="s">
        <v>1349</v>
      </c>
      <c r="G32" s="471"/>
      <c r="H32" s="471"/>
      <c r="I32" s="470">
        <v>37</v>
      </c>
      <c r="J32" s="470">
        <v>0</v>
      </c>
      <c r="K32" s="474" t="str">
        <f ca="1">INDEX(INDIRECT("'"&amp;RIGHT(Tableau3[[#This Row],[Dep]],2)*1&amp;"è'"&amp;"!d:d"),MATCH(C32,INDIRECT("'"&amp;RIGHT(Tableau3[[#This Row],[Dep]],2)*1&amp;"è'"&amp;"!c:c"),0))</f>
        <v>SC</v>
      </c>
    </row>
    <row r="33" spans="1:11" x14ac:dyDescent="0.25">
      <c r="A33" s="470">
        <v>75002</v>
      </c>
      <c r="B33" s="470" t="s">
        <v>1373</v>
      </c>
      <c r="C33" s="470" t="s">
        <v>1374</v>
      </c>
      <c r="D33" s="470" t="s">
        <v>1345</v>
      </c>
      <c r="E33" s="470" t="s">
        <v>1346</v>
      </c>
      <c r="F33" s="470" t="s">
        <v>1349</v>
      </c>
      <c r="G33" s="471"/>
      <c r="H33" s="471"/>
      <c r="I33" s="470">
        <v>68</v>
      </c>
      <c r="J33" s="470">
        <v>0</v>
      </c>
      <c r="K33" s="474" t="e">
        <f ca="1">INDEX(INDIRECT("'"&amp;RIGHT(Tableau3[[#This Row],[Dep]],2)*1&amp;"è'"&amp;"!d:d"),MATCH(C33,INDIRECT("'"&amp;RIGHT(Tableau3[[#This Row],[Dep]],2)*1&amp;"è'"&amp;"!c:c"),0))</f>
        <v>#N/A</v>
      </c>
    </row>
    <row r="34" spans="1:11" x14ac:dyDescent="0.25">
      <c r="A34" s="470">
        <v>75002</v>
      </c>
      <c r="B34" s="470" t="s">
        <v>1375</v>
      </c>
      <c r="C34" s="470" t="s">
        <v>1376</v>
      </c>
      <c r="D34" s="470" t="s">
        <v>1345</v>
      </c>
      <c r="E34" s="470" t="s">
        <v>1346</v>
      </c>
      <c r="F34" s="470" t="s">
        <v>1349</v>
      </c>
      <c r="G34" s="470" t="s">
        <v>1348</v>
      </c>
      <c r="H34" s="471"/>
      <c r="I34" s="470">
        <v>553</v>
      </c>
      <c r="J34" s="470">
        <v>0</v>
      </c>
      <c r="K34" s="474" t="e">
        <f ca="1">INDEX(INDIRECT("'"&amp;RIGHT(Tableau3[[#This Row],[Dep]],2)*1&amp;"è'"&amp;"!d:d"),MATCH(C34,INDIRECT("'"&amp;RIGHT(Tableau3[[#This Row],[Dep]],2)*1&amp;"è'"&amp;"!c:c"),0))</f>
        <v>#N/A</v>
      </c>
    </row>
    <row r="35" spans="1:11" x14ac:dyDescent="0.25">
      <c r="A35" s="470">
        <v>75002</v>
      </c>
      <c r="B35" s="470" t="s">
        <v>328</v>
      </c>
      <c r="C35" s="470" t="s">
        <v>1377</v>
      </c>
      <c r="D35" s="470" t="s">
        <v>1345</v>
      </c>
      <c r="E35" s="470" t="s">
        <v>1346</v>
      </c>
      <c r="F35" s="470" t="s">
        <v>1351</v>
      </c>
      <c r="G35" s="470" t="s">
        <v>1348</v>
      </c>
      <c r="H35" s="470" t="s">
        <v>1348</v>
      </c>
      <c r="I35" s="470">
        <v>128</v>
      </c>
      <c r="J35" s="470">
        <v>0</v>
      </c>
      <c r="K35" s="474" t="e">
        <f ca="1">INDEX(INDIRECT("'"&amp;RIGHT(Tableau3[[#This Row],[Dep]],2)*1&amp;"è'"&amp;"!d:d"),MATCH(C35,INDIRECT("'"&amp;RIGHT(Tableau3[[#This Row],[Dep]],2)*1&amp;"è'"&amp;"!c:c"),0))</f>
        <v>#N/A</v>
      </c>
    </row>
    <row r="36" spans="1:11" x14ac:dyDescent="0.25">
      <c r="A36" s="470">
        <v>75003</v>
      </c>
      <c r="B36" s="470" t="s">
        <v>730</v>
      </c>
      <c r="C36" s="470" t="s">
        <v>731</v>
      </c>
      <c r="D36" s="470" t="s">
        <v>1345</v>
      </c>
      <c r="E36" s="470" t="s">
        <v>1346</v>
      </c>
      <c r="F36" s="470" t="s">
        <v>1351</v>
      </c>
      <c r="G36" s="471"/>
      <c r="H36" s="471"/>
      <c r="I36" s="470">
        <v>465</v>
      </c>
      <c r="J36" s="470">
        <v>0</v>
      </c>
      <c r="K36" s="474" t="str">
        <f ca="1">INDEX(INDIRECT("'"&amp;RIGHT(Tableau3[[#This Row],[Dep]],2)*1&amp;"è'"&amp;"!d:d"),MATCH(C36,INDIRECT("'"&amp;RIGHT(Tableau3[[#This Row],[Dep]],2)*1&amp;"è'"&amp;"!c:c"),0))</f>
        <v>FT</v>
      </c>
    </row>
    <row r="37" spans="1:11" x14ac:dyDescent="0.25">
      <c r="A37" s="470">
        <v>75003</v>
      </c>
      <c r="B37" s="470" t="s">
        <v>569</v>
      </c>
      <c r="C37" s="470" t="s">
        <v>1378</v>
      </c>
      <c r="D37" s="470" t="s">
        <v>1345</v>
      </c>
      <c r="E37" s="470" t="s">
        <v>1346</v>
      </c>
      <c r="F37" s="470" t="s">
        <v>1351</v>
      </c>
      <c r="G37" s="470" t="s">
        <v>1348</v>
      </c>
      <c r="H37" s="471"/>
      <c r="I37" s="472">
        <v>2738</v>
      </c>
      <c r="J37" s="470">
        <v>0</v>
      </c>
      <c r="K37" s="474" t="e">
        <f ca="1">INDEX(INDIRECT("'"&amp;RIGHT(Tableau3[[#This Row],[Dep]],2)*1&amp;"è'"&amp;"!d:d"),MATCH(C37,INDIRECT("'"&amp;RIGHT(Tableau3[[#This Row],[Dep]],2)*1&amp;"è'"&amp;"!c:c"),0))</f>
        <v>#N/A</v>
      </c>
    </row>
    <row r="38" spans="1:11" x14ac:dyDescent="0.25">
      <c r="A38" s="470">
        <v>75003</v>
      </c>
      <c r="B38" s="470" t="s">
        <v>1379</v>
      </c>
      <c r="C38" s="470" t="s">
        <v>1380</v>
      </c>
      <c r="D38" s="470" t="s">
        <v>1345</v>
      </c>
      <c r="E38" s="470" t="s">
        <v>1346</v>
      </c>
      <c r="F38" s="470" t="s">
        <v>1349</v>
      </c>
      <c r="G38" s="471"/>
      <c r="H38" s="470" t="s">
        <v>1348</v>
      </c>
      <c r="I38" s="470">
        <v>200</v>
      </c>
      <c r="J38" s="470">
        <v>0</v>
      </c>
      <c r="K38" s="474" t="e">
        <f ca="1">INDEX(INDIRECT("'"&amp;RIGHT(Tableau3[[#This Row],[Dep]],2)*1&amp;"è'"&amp;"!d:d"),MATCH(C38,INDIRECT("'"&amp;RIGHT(Tableau3[[#This Row],[Dep]],2)*1&amp;"è'"&amp;"!c:c"),0))</f>
        <v>#N/A</v>
      </c>
    </row>
    <row r="39" spans="1:11" x14ac:dyDescent="0.25">
      <c r="A39" s="470">
        <v>75003</v>
      </c>
      <c r="B39" s="470" t="s">
        <v>197</v>
      </c>
      <c r="C39" s="470" t="s">
        <v>1381</v>
      </c>
      <c r="D39" s="470" t="s">
        <v>1345</v>
      </c>
      <c r="E39" s="470" t="s">
        <v>1346</v>
      </c>
      <c r="F39" s="470" t="s">
        <v>1351</v>
      </c>
      <c r="G39" s="470" t="s">
        <v>1348</v>
      </c>
      <c r="H39" s="471"/>
      <c r="I39" s="470">
        <v>49</v>
      </c>
      <c r="J39" s="470">
        <v>0</v>
      </c>
      <c r="K39" s="474" t="e">
        <f ca="1">INDEX(INDIRECT("'"&amp;RIGHT(Tableau3[[#This Row],[Dep]],2)*1&amp;"è'"&amp;"!d:d"),MATCH(C39,INDIRECT("'"&amp;RIGHT(Tableau3[[#This Row],[Dep]],2)*1&amp;"è'"&amp;"!c:c"),0))</f>
        <v>#N/A</v>
      </c>
    </row>
    <row r="40" spans="1:11" x14ac:dyDescent="0.25">
      <c r="A40" s="470">
        <v>75003</v>
      </c>
      <c r="B40" s="470" t="s">
        <v>1382</v>
      </c>
      <c r="C40" s="470" t="s">
        <v>1383</v>
      </c>
      <c r="D40" s="470" t="s">
        <v>1345</v>
      </c>
      <c r="E40" s="470" t="s">
        <v>1346</v>
      </c>
      <c r="F40" s="470" t="s">
        <v>1347</v>
      </c>
      <c r="G40" s="471"/>
      <c r="H40" s="471"/>
      <c r="I40" s="470">
        <v>158</v>
      </c>
      <c r="J40" s="470">
        <v>0</v>
      </c>
      <c r="K40" s="474" t="e">
        <f ca="1">INDEX(INDIRECT("'"&amp;RIGHT(Tableau3[[#This Row],[Dep]],2)*1&amp;"è'"&amp;"!d:d"),MATCH(C40,INDIRECT("'"&amp;RIGHT(Tableau3[[#This Row],[Dep]],2)*1&amp;"è'"&amp;"!c:c"),0))</f>
        <v>#N/A</v>
      </c>
    </row>
    <row r="41" spans="1:11" x14ac:dyDescent="0.25">
      <c r="A41" s="470">
        <v>75003</v>
      </c>
      <c r="B41" s="470" t="s">
        <v>1384</v>
      </c>
      <c r="C41" s="470" t="s">
        <v>1385</v>
      </c>
      <c r="D41" s="470" t="s">
        <v>1345</v>
      </c>
      <c r="E41" s="470" t="s">
        <v>1346</v>
      </c>
      <c r="F41" s="470" t="s">
        <v>1349</v>
      </c>
      <c r="G41" s="471"/>
      <c r="H41" s="471"/>
      <c r="I41" s="470">
        <v>68</v>
      </c>
      <c r="J41" s="470">
        <v>0</v>
      </c>
      <c r="K41" s="474" t="e">
        <f ca="1">INDEX(INDIRECT("'"&amp;RIGHT(Tableau3[[#This Row],[Dep]],2)*1&amp;"è'"&amp;"!d:d"),MATCH(C41,INDIRECT("'"&amp;RIGHT(Tableau3[[#This Row],[Dep]],2)*1&amp;"è'"&amp;"!c:c"),0))</f>
        <v>#N/A</v>
      </c>
    </row>
    <row r="42" spans="1:11" x14ac:dyDescent="0.25">
      <c r="A42" s="470">
        <v>75003</v>
      </c>
      <c r="B42" s="470" t="s">
        <v>732</v>
      </c>
      <c r="C42" s="470" t="s">
        <v>733</v>
      </c>
      <c r="D42" s="470" t="s">
        <v>1345</v>
      </c>
      <c r="E42" s="470" t="s">
        <v>1346</v>
      </c>
      <c r="F42" s="470" t="s">
        <v>1349</v>
      </c>
      <c r="G42" s="471"/>
      <c r="H42" s="471"/>
      <c r="I42" s="470">
        <v>367</v>
      </c>
      <c r="J42" s="470">
        <v>0</v>
      </c>
      <c r="K42" s="474" t="str">
        <f ca="1">INDEX(INDIRECT("'"&amp;RIGHT(Tableau3[[#This Row],[Dep]],2)*1&amp;"è'"&amp;"!d:d"),MATCH(C42,INDIRECT("'"&amp;RIGHT(Tableau3[[#This Row],[Dep]],2)*1&amp;"è'"&amp;"!c:c"),0))</f>
        <v>SC</v>
      </c>
    </row>
    <row r="43" spans="1:11" x14ac:dyDescent="0.25">
      <c r="A43" s="470">
        <v>75004</v>
      </c>
      <c r="B43" s="470" t="s">
        <v>334</v>
      </c>
      <c r="C43" s="470" t="s">
        <v>1386</v>
      </c>
      <c r="D43" s="470" t="s">
        <v>1345</v>
      </c>
      <c r="E43" s="470" t="s">
        <v>1346</v>
      </c>
      <c r="F43" s="470" t="s">
        <v>1347</v>
      </c>
      <c r="G43" s="471"/>
      <c r="H43" s="470" t="s">
        <v>1348</v>
      </c>
      <c r="I43" s="470">
        <v>48</v>
      </c>
      <c r="J43" s="470">
        <v>0</v>
      </c>
      <c r="K43" s="474" t="e">
        <f ca="1">INDEX(INDIRECT("'"&amp;RIGHT(Tableau3[[#This Row],[Dep]],2)*1&amp;"è'"&amp;"!d:d"),MATCH(C43,INDIRECT("'"&amp;RIGHT(Tableau3[[#This Row],[Dep]],2)*1&amp;"è'"&amp;"!c:c"),0))</f>
        <v>#N/A</v>
      </c>
    </row>
    <row r="44" spans="1:11" x14ac:dyDescent="0.25">
      <c r="A44" s="470">
        <v>75004</v>
      </c>
      <c r="B44" s="470" t="s">
        <v>908</v>
      </c>
      <c r="C44" s="470" t="s">
        <v>909</v>
      </c>
      <c r="D44" s="470" t="s">
        <v>1345</v>
      </c>
      <c r="E44" s="470" t="s">
        <v>1346</v>
      </c>
      <c r="F44" s="470" t="s">
        <v>1347</v>
      </c>
      <c r="G44" s="471"/>
      <c r="H44" s="471"/>
      <c r="I44" s="470">
        <v>97</v>
      </c>
      <c r="J44" s="470">
        <v>0</v>
      </c>
      <c r="K44" s="474" t="str">
        <f ca="1">INDEX(INDIRECT("'"&amp;RIGHT(Tableau3[[#This Row],[Dep]],2)*1&amp;"è'"&amp;"!d:d"),MATCH(C44,INDIRECT("'"&amp;RIGHT(Tableau3[[#This Row],[Dep]],2)*1&amp;"è'"&amp;"!c:c"),0))</f>
        <v>PH</v>
      </c>
    </row>
    <row r="45" spans="1:11" x14ac:dyDescent="0.25">
      <c r="A45" s="470">
        <v>75004</v>
      </c>
      <c r="B45" s="470" t="s">
        <v>734</v>
      </c>
      <c r="C45" s="470" t="s">
        <v>735</v>
      </c>
      <c r="D45" s="470" t="s">
        <v>1345</v>
      </c>
      <c r="E45" s="470" t="s">
        <v>1346</v>
      </c>
      <c r="F45" s="470" t="s">
        <v>1347</v>
      </c>
      <c r="G45" s="471"/>
      <c r="H45" s="471"/>
      <c r="I45" s="470">
        <v>58</v>
      </c>
      <c r="J45" s="470">
        <v>0</v>
      </c>
      <c r="K45" s="474" t="str">
        <f ca="1">INDEX(INDIRECT("'"&amp;RIGHT(Tableau3[[#This Row],[Dep]],2)*1&amp;"è'"&amp;"!d:d"),MATCH(C45,INDIRECT("'"&amp;RIGHT(Tableau3[[#This Row],[Dep]],2)*1&amp;"è'"&amp;"!c:c"),0))</f>
        <v>PH</v>
      </c>
    </row>
    <row r="46" spans="1:11" x14ac:dyDescent="0.25">
      <c r="A46" s="470">
        <v>75004</v>
      </c>
      <c r="B46" s="470" t="s">
        <v>1387</v>
      </c>
      <c r="C46" s="470" t="s">
        <v>1388</v>
      </c>
      <c r="D46" s="470" t="s">
        <v>1345</v>
      </c>
      <c r="E46" s="470" t="s">
        <v>1346</v>
      </c>
      <c r="F46" s="470" t="s">
        <v>1347</v>
      </c>
      <c r="G46" s="470" t="s">
        <v>1348</v>
      </c>
      <c r="H46" s="471"/>
      <c r="I46" s="470">
        <v>448</v>
      </c>
      <c r="J46" s="470">
        <v>0</v>
      </c>
      <c r="K46" s="474" t="e">
        <f ca="1">INDEX(INDIRECT("'"&amp;RIGHT(Tableau3[[#This Row],[Dep]],2)*1&amp;"è'"&amp;"!d:d"),MATCH(C46,INDIRECT("'"&amp;RIGHT(Tableau3[[#This Row],[Dep]],2)*1&amp;"è'"&amp;"!c:c"),0))</f>
        <v>#N/A</v>
      </c>
    </row>
    <row r="47" spans="1:11" x14ac:dyDescent="0.25">
      <c r="A47" s="470">
        <v>75004</v>
      </c>
      <c r="B47" s="470" t="s">
        <v>738</v>
      </c>
      <c r="C47" s="470" t="s">
        <v>739</v>
      </c>
      <c r="D47" s="470" t="s">
        <v>1345</v>
      </c>
      <c r="E47" s="470" t="s">
        <v>1346</v>
      </c>
      <c r="F47" s="470" t="s">
        <v>1347</v>
      </c>
      <c r="G47" s="471"/>
      <c r="H47" s="471"/>
      <c r="I47" s="470">
        <v>308</v>
      </c>
      <c r="J47" s="470">
        <v>0</v>
      </c>
      <c r="K47" s="474" t="str">
        <f ca="1">INDEX(INDIRECT("'"&amp;RIGHT(Tableau3[[#This Row],[Dep]],2)*1&amp;"è'"&amp;"!d:d"),MATCH(C47,INDIRECT("'"&amp;RIGHT(Tableau3[[#This Row],[Dep]],2)*1&amp;"è'"&amp;"!c:c"),0))</f>
        <v>PH</v>
      </c>
    </row>
    <row r="48" spans="1:11" x14ac:dyDescent="0.25">
      <c r="A48" s="470">
        <v>75004</v>
      </c>
      <c r="B48" s="470" t="s">
        <v>336</v>
      </c>
      <c r="C48" s="470" t="s">
        <v>1389</v>
      </c>
      <c r="D48" s="470" t="s">
        <v>1345</v>
      </c>
      <c r="E48" s="470" t="s">
        <v>1346</v>
      </c>
      <c r="F48" s="470" t="s">
        <v>1351</v>
      </c>
      <c r="G48" s="470" t="s">
        <v>1348</v>
      </c>
      <c r="H48" s="471"/>
      <c r="I48" s="470">
        <v>68</v>
      </c>
      <c r="J48" s="470">
        <v>0</v>
      </c>
      <c r="K48" s="474" t="e">
        <f ca="1">INDEX(INDIRECT("'"&amp;RIGHT(Tableau3[[#This Row],[Dep]],2)*1&amp;"è'"&amp;"!d:d"),MATCH(C48,INDIRECT("'"&amp;RIGHT(Tableau3[[#This Row],[Dep]],2)*1&amp;"è'"&amp;"!c:c"),0))</f>
        <v>#N/A</v>
      </c>
    </row>
    <row r="49" spans="1:11" x14ac:dyDescent="0.25">
      <c r="A49" s="470">
        <v>75004</v>
      </c>
      <c r="B49" s="470" t="s">
        <v>571</v>
      </c>
      <c r="C49" s="470" t="s">
        <v>1390</v>
      </c>
      <c r="D49" s="470" t="s">
        <v>1345</v>
      </c>
      <c r="E49" s="470" t="s">
        <v>1346</v>
      </c>
      <c r="F49" s="470" t="s">
        <v>1351</v>
      </c>
      <c r="G49" s="470" t="s">
        <v>1348</v>
      </c>
      <c r="H49" s="471"/>
      <c r="I49" s="470">
        <v>129</v>
      </c>
      <c r="J49" s="470">
        <v>0</v>
      </c>
      <c r="K49" s="474" t="e">
        <f ca="1">INDEX(INDIRECT("'"&amp;RIGHT(Tableau3[[#This Row],[Dep]],2)*1&amp;"è'"&amp;"!d:d"),MATCH(C49,INDIRECT("'"&amp;RIGHT(Tableau3[[#This Row],[Dep]],2)*1&amp;"è'"&amp;"!c:c"),0))</f>
        <v>#N/A</v>
      </c>
    </row>
    <row r="50" spans="1:11" x14ac:dyDescent="0.25">
      <c r="A50" s="470">
        <v>75004</v>
      </c>
      <c r="B50" s="470" t="s">
        <v>199</v>
      </c>
      <c r="C50" s="470" t="s">
        <v>1391</v>
      </c>
      <c r="D50" s="470" t="s">
        <v>1345</v>
      </c>
      <c r="E50" s="470" t="s">
        <v>1346</v>
      </c>
      <c r="F50" s="470" t="s">
        <v>1351</v>
      </c>
      <c r="G50" s="470" t="s">
        <v>1348</v>
      </c>
      <c r="H50" s="470" t="s">
        <v>1348</v>
      </c>
      <c r="I50" s="470">
        <v>641</v>
      </c>
      <c r="J50" s="470">
        <v>0</v>
      </c>
      <c r="K50" s="474" t="e">
        <f ca="1">INDEX(INDIRECT("'"&amp;RIGHT(Tableau3[[#This Row],[Dep]],2)*1&amp;"è'"&amp;"!d:d"),MATCH(C50,INDIRECT("'"&amp;RIGHT(Tableau3[[#This Row],[Dep]],2)*1&amp;"è'"&amp;"!c:c"),0))</f>
        <v>#N/A</v>
      </c>
    </row>
    <row r="51" spans="1:11" x14ac:dyDescent="0.25">
      <c r="A51" s="470">
        <v>75005</v>
      </c>
      <c r="B51" s="470" t="s">
        <v>201</v>
      </c>
      <c r="C51" s="470" t="s">
        <v>1392</v>
      </c>
      <c r="D51" s="470" t="s">
        <v>1345</v>
      </c>
      <c r="E51" s="470" t="s">
        <v>1346</v>
      </c>
      <c r="F51" s="470" t="s">
        <v>1351</v>
      </c>
      <c r="G51" s="471"/>
      <c r="H51" s="471"/>
      <c r="I51" s="470">
        <v>130</v>
      </c>
      <c r="J51" s="470">
        <v>0</v>
      </c>
      <c r="K51" s="474" t="e">
        <f ca="1">INDEX(INDIRECT("'"&amp;RIGHT(Tableau3[[#This Row],[Dep]],2)*1&amp;"è'"&amp;"!d:d"),MATCH(C51,INDIRECT("'"&amp;RIGHT(Tableau3[[#This Row],[Dep]],2)*1&amp;"è'"&amp;"!c:c"),0))</f>
        <v>#N/A</v>
      </c>
    </row>
    <row r="52" spans="1:11" x14ac:dyDescent="0.25">
      <c r="A52" s="470">
        <v>75005</v>
      </c>
      <c r="B52" s="470" t="s">
        <v>1139</v>
      </c>
      <c r="C52" s="470" t="s">
        <v>1140</v>
      </c>
      <c r="D52" s="470" t="s">
        <v>1345</v>
      </c>
      <c r="E52" s="470" t="s">
        <v>1346</v>
      </c>
      <c r="F52" s="470" t="s">
        <v>1351</v>
      </c>
      <c r="G52" s="471"/>
      <c r="H52" s="471"/>
      <c r="I52" s="470">
        <v>571</v>
      </c>
      <c r="J52" s="470">
        <v>0</v>
      </c>
      <c r="K52" s="474" t="str">
        <f ca="1">INDEX(INDIRECT("'"&amp;RIGHT(Tableau3[[#This Row],[Dep]],2)*1&amp;"è'"&amp;"!d:d"),MATCH(C52,INDIRECT("'"&amp;RIGHT(Tableau3[[#This Row],[Dep]],2)*1&amp;"è'"&amp;"!c:c"),0))</f>
        <v>FT</v>
      </c>
    </row>
    <row r="53" spans="1:11" x14ac:dyDescent="0.25">
      <c r="A53" s="470">
        <v>75005</v>
      </c>
      <c r="B53" s="470" t="s">
        <v>1141</v>
      </c>
      <c r="C53" s="470" t="s">
        <v>1142</v>
      </c>
      <c r="D53" s="470" t="s">
        <v>1345</v>
      </c>
      <c r="E53" s="470" t="s">
        <v>1346</v>
      </c>
      <c r="F53" s="470" t="s">
        <v>1349</v>
      </c>
      <c r="G53" s="471"/>
      <c r="H53" s="471"/>
      <c r="I53" s="470">
        <v>132</v>
      </c>
      <c r="J53" s="470">
        <v>0</v>
      </c>
      <c r="K53" s="474" t="str">
        <f ca="1">INDEX(INDIRECT("'"&amp;RIGHT(Tableau3[[#This Row],[Dep]],2)*1&amp;"è'"&amp;"!d:d"),MATCH(C53,INDIRECT("'"&amp;RIGHT(Tableau3[[#This Row],[Dep]],2)*1&amp;"è'"&amp;"!c:c"),0))</f>
        <v>SC</v>
      </c>
    </row>
    <row r="54" spans="1:11" x14ac:dyDescent="0.25">
      <c r="A54" s="470">
        <v>75005</v>
      </c>
      <c r="B54" s="470" t="s">
        <v>203</v>
      </c>
      <c r="C54" s="470" t="s">
        <v>1393</v>
      </c>
      <c r="D54" s="470" t="s">
        <v>1345</v>
      </c>
      <c r="E54" s="470" t="s">
        <v>1346</v>
      </c>
      <c r="F54" s="470" t="s">
        <v>1351</v>
      </c>
      <c r="G54" s="470" t="s">
        <v>1348</v>
      </c>
      <c r="H54" s="471"/>
      <c r="I54" s="470">
        <v>913</v>
      </c>
      <c r="J54" s="470">
        <v>0</v>
      </c>
      <c r="K54" s="474" t="e">
        <f ca="1">INDEX(INDIRECT("'"&amp;RIGHT(Tableau3[[#This Row],[Dep]],2)*1&amp;"è'"&amp;"!d:d"),MATCH(C54,INDIRECT("'"&amp;RIGHT(Tableau3[[#This Row],[Dep]],2)*1&amp;"è'"&amp;"!c:c"),0))</f>
        <v>#N/A</v>
      </c>
    </row>
    <row r="55" spans="1:11" x14ac:dyDescent="0.25">
      <c r="A55" s="470">
        <v>75005</v>
      </c>
      <c r="B55" s="470" t="s">
        <v>748</v>
      </c>
      <c r="C55" s="470" t="s">
        <v>1394</v>
      </c>
      <c r="D55" s="470" t="s">
        <v>1345</v>
      </c>
      <c r="E55" s="470" t="s">
        <v>1346</v>
      </c>
      <c r="F55" s="470" t="s">
        <v>1351</v>
      </c>
      <c r="G55" s="471"/>
      <c r="H55" s="471"/>
      <c r="I55" s="470">
        <v>330</v>
      </c>
      <c r="J55" s="470">
        <v>0</v>
      </c>
      <c r="K55" s="474" t="e">
        <f ca="1">INDEX(INDIRECT("'"&amp;RIGHT(Tableau3[[#This Row],[Dep]],2)*1&amp;"è'"&amp;"!d:d"),MATCH(C55,INDIRECT("'"&amp;RIGHT(Tableau3[[#This Row],[Dep]],2)*1&amp;"è'"&amp;"!c:c"),0))</f>
        <v>#N/A</v>
      </c>
    </row>
    <row r="56" spans="1:11" x14ac:dyDescent="0.25">
      <c r="A56" s="470">
        <v>75005</v>
      </c>
      <c r="B56" s="470" t="s">
        <v>1101</v>
      </c>
      <c r="C56" s="470" t="s">
        <v>1102</v>
      </c>
      <c r="D56" s="470" t="s">
        <v>1345</v>
      </c>
      <c r="E56" s="470" t="s">
        <v>1346</v>
      </c>
      <c r="F56" s="470" t="s">
        <v>1351</v>
      </c>
      <c r="G56" s="470" t="s">
        <v>1348</v>
      </c>
      <c r="H56" s="471"/>
      <c r="I56" s="470">
        <v>670</v>
      </c>
      <c r="J56" s="470">
        <v>0</v>
      </c>
      <c r="K56" s="474" t="str">
        <f ca="1">INDEX(INDIRECT("'"&amp;RIGHT(Tableau3[[#This Row],[Dep]],2)*1&amp;"è'"&amp;"!d:d"),MATCH(C56,INDIRECT("'"&amp;RIGHT(Tableau3[[#This Row],[Dep]],2)*1&amp;"è'"&amp;"!c:c"),0))</f>
        <v>FT</v>
      </c>
    </row>
    <row r="57" spans="1:11" x14ac:dyDescent="0.25">
      <c r="A57" s="470">
        <v>75005</v>
      </c>
      <c r="B57" s="470" t="s">
        <v>209</v>
      </c>
      <c r="C57" s="470" t="s">
        <v>1395</v>
      </c>
      <c r="D57" s="470" t="s">
        <v>1345</v>
      </c>
      <c r="E57" s="470" t="s">
        <v>1346</v>
      </c>
      <c r="F57" s="470" t="s">
        <v>1349</v>
      </c>
      <c r="G57" s="471"/>
      <c r="H57" s="471"/>
      <c r="I57" s="470">
        <v>286</v>
      </c>
      <c r="J57" s="470">
        <v>0</v>
      </c>
      <c r="K57" s="474" t="e">
        <f ca="1">INDEX(INDIRECT("'"&amp;RIGHT(Tableau3[[#This Row],[Dep]],2)*1&amp;"è'"&amp;"!d:d"),MATCH(C57,INDIRECT("'"&amp;RIGHT(Tableau3[[#This Row],[Dep]],2)*1&amp;"è'"&amp;"!c:c"),0))</f>
        <v>#N/A</v>
      </c>
    </row>
    <row r="58" spans="1:11" x14ac:dyDescent="0.25">
      <c r="A58" s="470">
        <v>75005</v>
      </c>
      <c r="B58" s="470" t="s">
        <v>211</v>
      </c>
      <c r="C58" s="470" t="s">
        <v>1396</v>
      </c>
      <c r="D58" s="470" t="s">
        <v>1345</v>
      </c>
      <c r="E58" s="470" t="s">
        <v>1346</v>
      </c>
      <c r="F58" s="470" t="s">
        <v>1351</v>
      </c>
      <c r="G58" s="470" t="s">
        <v>1348</v>
      </c>
      <c r="H58" s="470" t="s">
        <v>1348</v>
      </c>
      <c r="I58" s="472">
        <v>1189.5</v>
      </c>
      <c r="J58" s="470">
        <v>0</v>
      </c>
      <c r="K58" s="474" t="e">
        <f ca="1">INDEX(INDIRECT("'"&amp;RIGHT(Tableau3[[#This Row],[Dep]],2)*1&amp;"è'"&amp;"!d:d"),MATCH(C58,INDIRECT("'"&amp;RIGHT(Tableau3[[#This Row],[Dep]],2)*1&amp;"è'"&amp;"!c:c"),0))</f>
        <v>#N/A</v>
      </c>
    </row>
    <row r="59" spans="1:11" x14ac:dyDescent="0.25">
      <c r="A59" s="470">
        <v>75005</v>
      </c>
      <c r="B59" s="470" t="s">
        <v>344</v>
      </c>
      <c r="C59" s="470" t="s">
        <v>1397</v>
      </c>
      <c r="D59" s="470" t="s">
        <v>1345</v>
      </c>
      <c r="E59" s="470" t="s">
        <v>1346</v>
      </c>
      <c r="F59" s="470" t="s">
        <v>1351</v>
      </c>
      <c r="G59" s="471"/>
      <c r="H59" s="471"/>
      <c r="I59" s="470">
        <v>568</v>
      </c>
      <c r="J59" s="470">
        <v>0</v>
      </c>
      <c r="K59" s="474" t="e">
        <f ca="1">INDEX(INDIRECT("'"&amp;RIGHT(Tableau3[[#This Row],[Dep]],2)*1&amp;"è'"&amp;"!d:d"),MATCH(C59,INDIRECT("'"&amp;RIGHT(Tableau3[[#This Row],[Dep]],2)*1&amp;"è'"&amp;"!c:c"),0))</f>
        <v>#N/A</v>
      </c>
    </row>
    <row r="60" spans="1:11" x14ac:dyDescent="0.25">
      <c r="A60" s="470">
        <v>75005</v>
      </c>
      <c r="B60" s="470" t="s">
        <v>213</v>
      </c>
      <c r="C60" s="470" t="s">
        <v>1398</v>
      </c>
      <c r="D60" s="470" t="s">
        <v>1345</v>
      </c>
      <c r="E60" s="470" t="s">
        <v>1346</v>
      </c>
      <c r="F60" s="470" t="s">
        <v>1351</v>
      </c>
      <c r="G60" s="470" t="s">
        <v>1348</v>
      </c>
      <c r="H60" s="470" t="s">
        <v>1348</v>
      </c>
      <c r="I60" s="470">
        <v>818</v>
      </c>
      <c r="J60" s="470">
        <v>0</v>
      </c>
      <c r="K60" s="474" t="e">
        <f ca="1">INDEX(INDIRECT("'"&amp;RIGHT(Tableau3[[#This Row],[Dep]],2)*1&amp;"è'"&amp;"!d:d"),MATCH(C60,INDIRECT("'"&amp;RIGHT(Tableau3[[#This Row],[Dep]],2)*1&amp;"è'"&amp;"!c:c"),0))</f>
        <v>#N/A</v>
      </c>
    </row>
    <row r="61" spans="1:11" x14ac:dyDescent="0.25">
      <c r="A61" s="470">
        <v>75005</v>
      </c>
      <c r="B61" s="470" t="s">
        <v>758</v>
      </c>
      <c r="C61" s="470" t="s">
        <v>759</v>
      </c>
      <c r="D61" s="470" t="s">
        <v>1345</v>
      </c>
      <c r="E61" s="470" t="s">
        <v>1346</v>
      </c>
      <c r="F61" s="470" t="s">
        <v>1347</v>
      </c>
      <c r="G61" s="471"/>
      <c r="H61" s="471"/>
      <c r="I61" s="470">
        <v>392</v>
      </c>
      <c r="J61" s="470">
        <v>0</v>
      </c>
      <c r="K61" s="474" t="str">
        <f ca="1">INDEX(INDIRECT("'"&amp;RIGHT(Tableau3[[#This Row],[Dep]],2)*1&amp;"è'"&amp;"!d:d"),MATCH(C61,INDIRECT("'"&amp;RIGHT(Tableau3[[#This Row],[Dep]],2)*1&amp;"è'"&amp;"!c:c"),0))</f>
        <v>PH</v>
      </c>
    </row>
    <row r="62" spans="1:11" x14ac:dyDescent="0.25">
      <c r="A62" s="470">
        <v>75005</v>
      </c>
      <c r="B62" s="470" t="s">
        <v>1399</v>
      </c>
      <c r="C62" s="470" t="s">
        <v>1400</v>
      </c>
      <c r="D62" s="470" t="s">
        <v>1345</v>
      </c>
      <c r="E62" s="470" t="s">
        <v>1346</v>
      </c>
      <c r="F62" s="470" t="s">
        <v>1349</v>
      </c>
      <c r="G62" s="471"/>
      <c r="H62" s="471"/>
      <c r="I62" s="470">
        <v>258</v>
      </c>
      <c r="J62" s="470">
        <v>0</v>
      </c>
      <c r="K62" s="474" t="e">
        <f ca="1">INDEX(INDIRECT("'"&amp;RIGHT(Tableau3[[#This Row],[Dep]],2)*1&amp;"è'"&amp;"!d:d"),MATCH(C62,INDIRECT("'"&amp;RIGHT(Tableau3[[#This Row],[Dep]],2)*1&amp;"è'"&amp;"!c:c"),0))</f>
        <v>#N/A</v>
      </c>
    </row>
    <row r="63" spans="1:11" x14ac:dyDescent="0.25">
      <c r="A63" s="470">
        <v>75005</v>
      </c>
      <c r="B63" s="470" t="s">
        <v>1147</v>
      </c>
      <c r="C63" s="470" t="s">
        <v>1401</v>
      </c>
      <c r="D63" s="470" t="s">
        <v>1345</v>
      </c>
      <c r="E63" s="470" t="s">
        <v>1346</v>
      </c>
      <c r="F63" s="470" t="s">
        <v>1351</v>
      </c>
      <c r="G63" s="470" t="s">
        <v>1348</v>
      </c>
      <c r="H63" s="470" t="s">
        <v>1348</v>
      </c>
      <c r="I63" s="470">
        <v>276</v>
      </c>
      <c r="J63" s="470">
        <v>0</v>
      </c>
      <c r="K63" s="474" t="e">
        <f ca="1">INDEX(INDIRECT("'"&amp;RIGHT(Tableau3[[#This Row],[Dep]],2)*1&amp;"è'"&amp;"!d:d"),MATCH(C63,INDIRECT("'"&amp;RIGHT(Tableau3[[#This Row],[Dep]],2)*1&amp;"è'"&amp;"!c:c"),0))</f>
        <v>#N/A</v>
      </c>
    </row>
    <row r="64" spans="1:11" x14ac:dyDescent="0.25">
      <c r="A64" s="470">
        <v>75005</v>
      </c>
      <c r="B64" s="470" t="s">
        <v>573</v>
      </c>
      <c r="C64" s="470" t="s">
        <v>1402</v>
      </c>
      <c r="D64" s="470" t="s">
        <v>1345</v>
      </c>
      <c r="E64" s="470" t="s">
        <v>1346</v>
      </c>
      <c r="F64" s="470" t="s">
        <v>1349</v>
      </c>
      <c r="G64" s="471"/>
      <c r="H64" s="471"/>
      <c r="I64" s="470">
        <v>120</v>
      </c>
      <c r="J64" s="470">
        <v>0</v>
      </c>
      <c r="K64" s="474" t="e">
        <f ca="1">INDEX(INDIRECT("'"&amp;RIGHT(Tableau3[[#This Row],[Dep]],2)*1&amp;"è'"&amp;"!d:d"),MATCH(C64,INDIRECT("'"&amp;RIGHT(Tableau3[[#This Row],[Dep]],2)*1&amp;"è'"&amp;"!c:c"),0))</f>
        <v>#N/A</v>
      </c>
    </row>
    <row r="65" spans="1:11" x14ac:dyDescent="0.25">
      <c r="A65" s="470">
        <v>75005</v>
      </c>
      <c r="B65" s="470" t="s">
        <v>760</v>
      </c>
      <c r="C65" s="470" t="s">
        <v>761</v>
      </c>
      <c r="D65" s="470" t="s">
        <v>1345</v>
      </c>
      <c r="E65" s="470" t="s">
        <v>1346</v>
      </c>
      <c r="F65" s="470" t="s">
        <v>1347</v>
      </c>
      <c r="G65" s="471"/>
      <c r="H65" s="470" t="s">
        <v>1348</v>
      </c>
      <c r="I65" s="470">
        <v>997</v>
      </c>
      <c r="J65" s="470">
        <v>0</v>
      </c>
      <c r="K65" s="474" t="str">
        <f ca="1">INDEX(INDIRECT("'"&amp;RIGHT(Tableau3[[#This Row],[Dep]],2)*1&amp;"è'"&amp;"!d:d"),MATCH(C65,INDIRECT("'"&amp;RIGHT(Tableau3[[#This Row],[Dep]],2)*1&amp;"è'"&amp;"!c:c"),0))</f>
        <v>PH</v>
      </c>
    </row>
    <row r="66" spans="1:11" x14ac:dyDescent="0.25">
      <c r="A66" s="470">
        <v>75005</v>
      </c>
      <c r="B66" s="470" t="s">
        <v>762</v>
      </c>
      <c r="C66" s="470" t="s">
        <v>763</v>
      </c>
      <c r="D66" s="470" t="s">
        <v>1345</v>
      </c>
      <c r="E66" s="470" t="s">
        <v>1346</v>
      </c>
      <c r="F66" s="470" t="s">
        <v>1351</v>
      </c>
      <c r="G66" s="471"/>
      <c r="H66" s="471"/>
      <c r="I66" s="470">
        <v>117</v>
      </c>
      <c r="J66" s="470">
        <v>0</v>
      </c>
      <c r="K66" s="474" t="str">
        <f ca="1">INDEX(INDIRECT("'"&amp;RIGHT(Tableau3[[#This Row],[Dep]],2)*1&amp;"è'"&amp;"!d:d"),MATCH(C66,INDIRECT("'"&amp;RIGHT(Tableau3[[#This Row],[Dep]],2)*1&amp;"è'"&amp;"!c:c"),0))</f>
        <v>FT</v>
      </c>
    </row>
    <row r="67" spans="1:11" x14ac:dyDescent="0.25">
      <c r="A67" s="470">
        <v>75005</v>
      </c>
      <c r="B67" s="470" t="s">
        <v>1403</v>
      </c>
      <c r="C67" s="470" t="s">
        <v>1404</v>
      </c>
      <c r="D67" s="470" t="s">
        <v>1345</v>
      </c>
      <c r="E67" s="470" t="s">
        <v>1346</v>
      </c>
      <c r="F67" s="470" t="s">
        <v>1351</v>
      </c>
      <c r="G67" s="471"/>
      <c r="H67" s="471"/>
      <c r="I67" s="472">
        <v>1307</v>
      </c>
      <c r="J67" s="470">
        <v>0</v>
      </c>
      <c r="K67" s="474" t="e">
        <f ca="1">INDEX(INDIRECT("'"&amp;RIGHT(Tableau3[[#This Row],[Dep]],2)*1&amp;"è'"&amp;"!d:d"),MATCH(C67,INDIRECT("'"&amp;RIGHT(Tableau3[[#This Row],[Dep]],2)*1&amp;"è'"&amp;"!c:c"),0))</f>
        <v>#N/A</v>
      </c>
    </row>
    <row r="68" spans="1:11" x14ac:dyDescent="0.25">
      <c r="A68" s="470">
        <v>75005</v>
      </c>
      <c r="B68" s="470" t="s">
        <v>215</v>
      </c>
      <c r="C68" s="470" t="s">
        <v>1405</v>
      </c>
      <c r="D68" s="470" t="s">
        <v>1345</v>
      </c>
      <c r="E68" s="470" t="s">
        <v>1346</v>
      </c>
      <c r="F68" s="470" t="s">
        <v>1349</v>
      </c>
      <c r="G68" s="471"/>
      <c r="H68" s="471"/>
      <c r="I68" s="470">
        <v>249</v>
      </c>
      <c r="J68" s="470">
        <v>0</v>
      </c>
      <c r="K68" s="474" t="e">
        <f ca="1">INDEX(INDIRECT("'"&amp;RIGHT(Tableau3[[#This Row],[Dep]],2)*1&amp;"è'"&amp;"!d:d"),MATCH(C68,INDIRECT("'"&amp;RIGHT(Tableau3[[#This Row],[Dep]],2)*1&amp;"è'"&amp;"!c:c"),0))</f>
        <v>#N/A</v>
      </c>
    </row>
    <row r="69" spans="1:11" x14ac:dyDescent="0.25">
      <c r="A69" s="470">
        <v>75005</v>
      </c>
      <c r="B69" s="470" t="s">
        <v>346</v>
      </c>
      <c r="C69" s="470" t="s">
        <v>1406</v>
      </c>
      <c r="D69" s="470" t="s">
        <v>1345</v>
      </c>
      <c r="E69" s="470" t="s">
        <v>1346</v>
      </c>
      <c r="F69" s="470" t="s">
        <v>1351</v>
      </c>
      <c r="G69" s="471"/>
      <c r="H69" s="471"/>
      <c r="I69" s="470">
        <v>238</v>
      </c>
      <c r="J69" s="470">
        <v>0</v>
      </c>
      <c r="K69" s="474" t="e">
        <f ca="1">INDEX(INDIRECT("'"&amp;RIGHT(Tableau3[[#This Row],[Dep]],2)*1&amp;"è'"&amp;"!d:d"),MATCH(C69,INDIRECT("'"&amp;RIGHT(Tableau3[[#This Row],[Dep]],2)*1&amp;"è'"&amp;"!c:c"),0))</f>
        <v>#N/A</v>
      </c>
    </row>
    <row r="70" spans="1:11" x14ac:dyDescent="0.25">
      <c r="A70" s="470">
        <v>75005</v>
      </c>
      <c r="B70" s="470" t="s">
        <v>348</v>
      </c>
      <c r="C70" s="470" t="s">
        <v>1407</v>
      </c>
      <c r="D70" s="470" t="s">
        <v>1345</v>
      </c>
      <c r="E70" s="470" t="s">
        <v>1346</v>
      </c>
      <c r="F70" s="470" t="s">
        <v>1349</v>
      </c>
      <c r="G70" s="471"/>
      <c r="H70" s="471"/>
      <c r="I70" s="470">
        <v>916</v>
      </c>
      <c r="J70" s="470">
        <v>0</v>
      </c>
      <c r="K70" s="474" t="e">
        <f ca="1">INDEX(INDIRECT("'"&amp;RIGHT(Tableau3[[#This Row],[Dep]],2)*1&amp;"è'"&amp;"!d:d"),MATCH(C70,INDIRECT("'"&amp;RIGHT(Tableau3[[#This Row],[Dep]],2)*1&amp;"è'"&amp;"!c:c"),0))</f>
        <v>#N/A</v>
      </c>
    </row>
    <row r="71" spans="1:11" x14ac:dyDescent="0.25">
      <c r="A71" s="470">
        <v>75005</v>
      </c>
      <c r="B71" s="470" t="s">
        <v>767</v>
      </c>
      <c r="C71" s="470" t="s">
        <v>768</v>
      </c>
      <c r="D71" s="470" t="s">
        <v>1345</v>
      </c>
      <c r="E71" s="470" t="s">
        <v>1346</v>
      </c>
      <c r="F71" s="470" t="s">
        <v>1349</v>
      </c>
      <c r="G71" s="471"/>
      <c r="H71" s="471"/>
      <c r="I71" s="470">
        <v>37</v>
      </c>
      <c r="J71" s="470">
        <v>0</v>
      </c>
      <c r="K71" s="474" t="str">
        <f ca="1">INDEX(INDIRECT("'"&amp;RIGHT(Tableau3[[#This Row],[Dep]],2)*1&amp;"è'"&amp;"!d:d"),MATCH(C71,INDIRECT("'"&amp;RIGHT(Tableau3[[#This Row],[Dep]],2)*1&amp;"è'"&amp;"!c:c"),0))</f>
        <v>SC</v>
      </c>
    </row>
    <row r="72" spans="1:11" x14ac:dyDescent="0.25">
      <c r="A72" s="470">
        <v>75006</v>
      </c>
      <c r="B72" s="470" t="s">
        <v>1408</v>
      </c>
      <c r="C72" s="470" t="s">
        <v>1409</v>
      </c>
      <c r="D72" s="470" t="s">
        <v>1345</v>
      </c>
      <c r="E72" s="470" t="s">
        <v>1346</v>
      </c>
      <c r="F72" s="470" t="s">
        <v>1347</v>
      </c>
      <c r="G72" s="471"/>
      <c r="H72" s="471"/>
      <c r="I72" s="470">
        <v>264</v>
      </c>
      <c r="J72" s="470">
        <v>0</v>
      </c>
      <c r="K72" s="474" t="e">
        <f ca="1">INDEX(INDIRECT("'"&amp;RIGHT(Tableau3[[#This Row],[Dep]],2)*1&amp;"è'"&amp;"!d:d"),MATCH(C72,INDIRECT("'"&amp;RIGHT(Tableau3[[#This Row],[Dep]],2)*1&amp;"è'"&amp;"!c:c"),0))</f>
        <v>#N/A</v>
      </c>
    </row>
    <row r="73" spans="1:11" x14ac:dyDescent="0.25">
      <c r="A73" s="470">
        <v>75006</v>
      </c>
      <c r="B73" s="470" t="s">
        <v>769</v>
      </c>
      <c r="C73" s="470" t="s">
        <v>770</v>
      </c>
      <c r="D73" s="470" t="s">
        <v>1345</v>
      </c>
      <c r="E73" s="470" t="s">
        <v>1346</v>
      </c>
      <c r="F73" s="470" t="s">
        <v>1349</v>
      </c>
      <c r="G73" s="471"/>
      <c r="H73" s="470" t="s">
        <v>1348</v>
      </c>
      <c r="I73" s="470">
        <v>40</v>
      </c>
      <c r="J73" s="470">
        <v>0</v>
      </c>
      <c r="K73" s="474" t="str">
        <f ca="1">INDEX(INDIRECT("'"&amp;RIGHT(Tableau3[[#This Row],[Dep]],2)*1&amp;"è'"&amp;"!d:d"),MATCH(C73,INDIRECT("'"&amp;RIGHT(Tableau3[[#This Row],[Dep]],2)*1&amp;"è'"&amp;"!c:c"),0))</f>
        <v>SC</v>
      </c>
    </row>
    <row r="74" spans="1:11" x14ac:dyDescent="0.25">
      <c r="A74" s="470">
        <v>75006</v>
      </c>
      <c r="B74" s="470" t="s">
        <v>1410</v>
      </c>
      <c r="C74" s="470" t="s">
        <v>1411</v>
      </c>
      <c r="D74" s="470" t="s">
        <v>1345</v>
      </c>
      <c r="E74" s="470" t="s">
        <v>1346</v>
      </c>
      <c r="F74" s="470" t="s">
        <v>1349</v>
      </c>
      <c r="G74" s="471"/>
      <c r="H74" s="470" t="s">
        <v>1348</v>
      </c>
      <c r="I74" s="470">
        <v>327</v>
      </c>
      <c r="J74" s="470">
        <v>0</v>
      </c>
      <c r="K74" s="474" t="e">
        <f ca="1">INDEX(INDIRECT("'"&amp;RIGHT(Tableau3[[#This Row],[Dep]],2)*1&amp;"è'"&amp;"!d:d"),MATCH(C74,INDIRECT("'"&amp;RIGHT(Tableau3[[#This Row],[Dep]],2)*1&amp;"è'"&amp;"!c:c"),0))</f>
        <v>#N/A</v>
      </c>
    </row>
    <row r="75" spans="1:11" x14ac:dyDescent="0.25">
      <c r="A75" s="470">
        <v>75006</v>
      </c>
      <c r="B75" s="470" t="s">
        <v>352</v>
      </c>
      <c r="C75" s="470" t="s">
        <v>1412</v>
      </c>
      <c r="D75" s="470" t="s">
        <v>1345</v>
      </c>
      <c r="E75" s="470" t="s">
        <v>1346</v>
      </c>
      <c r="F75" s="470" t="s">
        <v>1351</v>
      </c>
      <c r="G75" s="470" t="s">
        <v>1348</v>
      </c>
      <c r="H75" s="471"/>
      <c r="I75" s="470">
        <v>340</v>
      </c>
      <c r="J75" s="470">
        <v>0</v>
      </c>
      <c r="K75" s="474" t="e">
        <f ca="1">INDEX(INDIRECT("'"&amp;RIGHT(Tableau3[[#This Row],[Dep]],2)*1&amp;"è'"&amp;"!d:d"),MATCH(C75,INDIRECT("'"&amp;RIGHT(Tableau3[[#This Row],[Dep]],2)*1&amp;"è'"&amp;"!c:c"),0))</f>
        <v>#N/A</v>
      </c>
    </row>
    <row r="76" spans="1:11" x14ac:dyDescent="0.25">
      <c r="A76" s="470">
        <v>75006</v>
      </c>
      <c r="B76" s="470" t="s">
        <v>232</v>
      </c>
      <c r="C76" s="470" t="s">
        <v>1413</v>
      </c>
      <c r="D76" s="470" t="s">
        <v>1345</v>
      </c>
      <c r="E76" s="470" t="s">
        <v>1346</v>
      </c>
      <c r="F76" s="470" t="s">
        <v>1347</v>
      </c>
      <c r="G76" s="471"/>
      <c r="H76" s="471"/>
      <c r="I76" s="470">
        <v>198</v>
      </c>
      <c r="J76" s="470">
        <v>0</v>
      </c>
      <c r="K76" s="474" t="e">
        <f ca="1">INDEX(INDIRECT("'"&amp;RIGHT(Tableau3[[#This Row],[Dep]],2)*1&amp;"è'"&amp;"!d:d"),MATCH(C76,INDIRECT("'"&amp;RIGHT(Tableau3[[#This Row],[Dep]],2)*1&amp;"è'"&amp;"!c:c"),0))</f>
        <v>#N/A</v>
      </c>
    </row>
    <row r="77" spans="1:11" x14ac:dyDescent="0.25">
      <c r="A77" s="470">
        <v>75006</v>
      </c>
      <c r="B77" s="470" t="s">
        <v>918</v>
      </c>
      <c r="C77" s="470" t="s">
        <v>919</v>
      </c>
      <c r="D77" s="470" t="s">
        <v>1345</v>
      </c>
      <c r="E77" s="470" t="s">
        <v>1346</v>
      </c>
      <c r="F77" s="470" t="s">
        <v>1349</v>
      </c>
      <c r="G77" s="471"/>
      <c r="H77" s="471"/>
      <c r="I77" s="470">
        <v>80</v>
      </c>
      <c r="J77" s="470">
        <v>0</v>
      </c>
      <c r="K77" s="474" t="str">
        <f ca="1">INDEX(INDIRECT("'"&amp;RIGHT(Tableau3[[#This Row],[Dep]],2)*1&amp;"è'"&amp;"!d:d"),MATCH(C77,INDIRECT("'"&amp;RIGHT(Tableau3[[#This Row],[Dep]],2)*1&amp;"è'"&amp;"!c:c"),0))</f>
        <v>SC</v>
      </c>
    </row>
    <row r="78" spans="1:11" x14ac:dyDescent="0.25">
      <c r="A78" s="470">
        <v>75006</v>
      </c>
      <c r="B78" s="470" t="s">
        <v>1414</v>
      </c>
      <c r="C78" s="470" t="s">
        <v>1415</v>
      </c>
      <c r="D78" s="470" t="s">
        <v>1345</v>
      </c>
      <c r="E78" s="470" t="s">
        <v>1416</v>
      </c>
      <c r="F78" s="471"/>
      <c r="G78" s="471"/>
      <c r="H78" s="471"/>
      <c r="I78" s="470">
        <v>25</v>
      </c>
      <c r="J78" s="470">
        <v>0</v>
      </c>
      <c r="K78" s="474" t="e">
        <f ca="1">INDEX(INDIRECT("'"&amp;RIGHT(Tableau3[[#This Row],[Dep]],2)*1&amp;"è'"&amp;"!d:d"),MATCH(C78,INDIRECT("'"&amp;RIGHT(Tableau3[[#This Row],[Dep]],2)*1&amp;"è'"&amp;"!c:c"),0))</f>
        <v>#N/A</v>
      </c>
    </row>
    <row r="79" spans="1:11" x14ac:dyDescent="0.25">
      <c r="A79" s="470">
        <v>75006</v>
      </c>
      <c r="B79" s="470" t="s">
        <v>1417</v>
      </c>
      <c r="C79" s="470" t="s">
        <v>1418</v>
      </c>
      <c r="D79" s="470" t="s">
        <v>1345</v>
      </c>
      <c r="E79" s="470" t="s">
        <v>1346</v>
      </c>
      <c r="F79" s="470" t="s">
        <v>1349</v>
      </c>
      <c r="G79" s="471"/>
      <c r="H79" s="471"/>
      <c r="I79" s="470">
        <v>152</v>
      </c>
      <c r="J79" s="470">
        <v>0</v>
      </c>
      <c r="K79" s="474" t="e">
        <f ca="1">INDEX(INDIRECT("'"&amp;RIGHT(Tableau3[[#This Row],[Dep]],2)*1&amp;"è'"&amp;"!d:d"),MATCH(C79,INDIRECT("'"&amp;RIGHT(Tableau3[[#This Row],[Dep]],2)*1&amp;"è'"&amp;"!c:c"),0))</f>
        <v>#N/A</v>
      </c>
    </row>
    <row r="80" spans="1:11" x14ac:dyDescent="0.25">
      <c r="A80" s="470">
        <v>75006</v>
      </c>
      <c r="B80" s="470" t="s">
        <v>575</v>
      </c>
      <c r="C80" s="470" t="s">
        <v>1419</v>
      </c>
      <c r="D80" s="470" t="s">
        <v>1345</v>
      </c>
      <c r="E80" s="470" t="s">
        <v>1346</v>
      </c>
      <c r="F80" s="470" t="s">
        <v>1349</v>
      </c>
      <c r="G80" s="471"/>
      <c r="H80" s="471"/>
      <c r="I80" s="470">
        <v>591</v>
      </c>
      <c r="J80" s="470">
        <v>0</v>
      </c>
      <c r="K80" s="474" t="e">
        <f ca="1">INDEX(INDIRECT("'"&amp;RIGHT(Tableau3[[#This Row],[Dep]],2)*1&amp;"è'"&amp;"!d:d"),MATCH(C80,INDIRECT("'"&amp;RIGHT(Tableau3[[#This Row],[Dep]],2)*1&amp;"è'"&amp;"!c:c"),0))</f>
        <v>#N/A</v>
      </c>
    </row>
    <row r="81" spans="1:11" x14ac:dyDescent="0.25">
      <c r="A81" s="470">
        <v>75006</v>
      </c>
      <c r="B81" s="470" t="s">
        <v>234</v>
      </c>
      <c r="C81" s="470" t="s">
        <v>1420</v>
      </c>
      <c r="D81" s="470" t="s">
        <v>1345</v>
      </c>
      <c r="E81" s="470" t="s">
        <v>1346</v>
      </c>
      <c r="F81" s="470" t="s">
        <v>1347</v>
      </c>
      <c r="G81" s="471"/>
      <c r="H81" s="471"/>
      <c r="I81" s="470">
        <v>360</v>
      </c>
      <c r="J81" s="470">
        <v>0</v>
      </c>
      <c r="K81" s="474" t="e">
        <f ca="1">INDEX(INDIRECT("'"&amp;RIGHT(Tableau3[[#This Row],[Dep]],2)*1&amp;"è'"&amp;"!d:d"),MATCH(C81,INDIRECT("'"&amp;RIGHT(Tableau3[[#This Row],[Dep]],2)*1&amp;"è'"&amp;"!c:c"),0))</f>
        <v>#N/A</v>
      </c>
    </row>
    <row r="82" spans="1:11" x14ac:dyDescent="0.25">
      <c r="A82" s="470">
        <v>75006</v>
      </c>
      <c r="B82" s="470" t="s">
        <v>354</v>
      </c>
      <c r="C82" s="470" t="s">
        <v>1421</v>
      </c>
      <c r="D82" s="470" t="s">
        <v>1345</v>
      </c>
      <c r="E82" s="470" t="s">
        <v>1346</v>
      </c>
      <c r="F82" s="470" t="s">
        <v>1349</v>
      </c>
      <c r="G82" s="471"/>
      <c r="H82" s="471"/>
      <c r="I82" s="470">
        <v>982</v>
      </c>
      <c r="J82" s="470">
        <v>0</v>
      </c>
      <c r="K82" s="474" t="e">
        <f ca="1">INDEX(INDIRECT("'"&amp;RIGHT(Tableau3[[#This Row],[Dep]],2)*1&amp;"è'"&amp;"!d:d"),MATCH(C82,INDIRECT("'"&amp;RIGHT(Tableau3[[#This Row],[Dep]],2)*1&amp;"è'"&amp;"!c:c"),0))</f>
        <v>#N/A</v>
      </c>
    </row>
    <row r="83" spans="1:11" x14ac:dyDescent="0.25">
      <c r="A83" s="470">
        <v>75006</v>
      </c>
      <c r="B83" s="470" t="s">
        <v>775</v>
      </c>
      <c r="C83" s="470" t="s">
        <v>776</v>
      </c>
      <c r="D83" s="470" t="s">
        <v>1345</v>
      </c>
      <c r="E83" s="470" t="s">
        <v>1346</v>
      </c>
      <c r="F83" s="470" t="s">
        <v>1351</v>
      </c>
      <c r="G83" s="471"/>
      <c r="H83" s="471"/>
      <c r="I83" s="470">
        <v>154</v>
      </c>
      <c r="J83" s="470">
        <v>0</v>
      </c>
      <c r="K83" s="474" t="str">
        <f ca="1">INDEX(INDIRECT("'"&amp;RIGHT(Tableau3[[#This Row],[Dep]],2)*1&amp;"è'"&amp;"!d:d"),MATCH(C83,INDIRECT("'"&amp;RIGHT(Tableau3[[#This Row],[Dep]],2)*1&amp;"è'"&amp;"!c:c"),0))</f>
        <v>FT</v>
      </c>
    </row>
    <row r="84" spans="1:11" x14ac:dyDescent="0.25">
      <c r="A84" s="470">
        <v>75006</v>
      </c>
      <c r="B84" s="470" t="s">
        <v>777</v>
      </c>
      <c r="C84" s="470" t="s">
        <v>778</v>
      </c>
      <c r="D84" s="470" t="s">
        <v>1345</v>
      </c>
      <c r="E84" s="470" t="s">
        <v>1346</v>
      </c>
      <c r="F84" s="470" t="s">
        <v>1349</v>
      </c>
      <c r="G84" s="470" t="s">
        <v>1348</v>
      </c>
      <c r="H84" s="470" t="s">
        <v>1348</v>
      </c>
      <c r="I84" s="470">
        <v>542</v>
      </c>
      <c r="J84" s="470">
        <v>0</v>
      </c>
      <c r="K84" s="474" t="str">
        <f ca="1">INDEX(INDIRECT("'"&amp;RIGHT(Tableau3[[#This Row],[Dep]],2)*1&amp;"è'"&amp;"!d:d"),MATCH(C84,INDIRECT("'"&amp;RIGHT(Tableau3[[#This Row],[Dep]],2)*1&amp;"è'"&amp;"!c:c"),0))</f>
        <v>SC</v>
      </c>
    </row>
    <row r="85" spans="1:11" x14ac:dyDescent="0.25">
      <c r="A85" s="470">
        <v>75006</v>
      </c>
      <c r="B85" s="470" t="s">
        <v>358</v>
      </c>
      <c r="C85" s="470" t="s">
        <v>1422</v>
      </c>
      <c r="D85" s="470" t="s">
        <v>1345</v>
      </c>
      <c r="E85" s="470" t="s">
        <v>1346</v>
      </c>
      <c r="F85" s="470" t="s">
        <v>1351</v>
      </c>
      <c r="G85" s="471"/>
      <c r="H85" s="471"/>
      <c r="I85" s="470">
        <v>262</v>
      </c>
      <c r="J85" s="470">
        <v>0</v>
      </c>
      <c r="K85" s="474" t="e">
        <f ca="1">INDEX(INDIRECT("'"&amp;RIGHT(Tableau3[[#This Row],[Dep]],2)*1&amp;"è'"&amp;"!d:d"),MATCH(C85,INDIRECT("'"&amp;RIGHT(Tableau3[[#This Row],[Dep]],2)*1&amp;"è'"&amp;"!c:c"),0))</f>
        <v>#N/A</v>
      </c>
    </row>
    <row r="86" spans="1:11" x14ac:dyDescent="0.25">
      <c r="A86" s="470">
        <v>75006</v>
      </c>
      <c r="B86" s="470" t="s">
        <v>1423</v>
      </c>
      <c r="C86" s="470" t="s">
        <v>1424</v>
      </c>
      <c r="D86" s="470" t="s">
        <v>1345</v>
      </c>
      <c r="E86" s="470" t="s">
        <v>1346</v>
      </c>
      <c r="F86" s="470" t="s">
        <v>1347</v>
      </c>
      <c r="G86" s="471"/>
      <c r="H86" s="471"/>
      <c r="I86" s="470">
        <v>90</v>
      </c>
      <c r="J86" s="470">
        <v>0</v>
      </c>
      <c r="K86" s="474" t="e">
        <f ca="1">INDEX(INDIRECT("'"&amp;RIGHT(Tableau3[[#This Row],[Dep]],2)*1&amp;"è'"&amp;"!d:d"),MATCH(C86,INDIRECT("'"&amp;RIGHT(Tableau3[[#This Row],[Dep]],2)*1&amp;"è'"&amp;"!c:c"),0))</f>
        <v>#N/A</v>
      </c>
    </row>
    <row r="87" spans="1:11" x14ac:dyDescent="0.25">
      <c r="A87" s="470">
        <v>75006</v>
      </c>
      <c r="B87" s="470" t="s">
        <v>779</v>
      </c>
      <c r="C87" s="470" t="s">
        <v>780</v>
      </c>
      <c r="D87" s="470" t="s">
        <v>1345</v>
      </c>
      <c r="E87" s="470" t="s">
        <v>1346</v>
      </c>
      <c r="F87" s="470" t="s">
        <v>1347</v>
      </c>
      <c r="G87" s="471"/>
      <c r="H87" s="471"/>
      <c r="I87" s="470">
        <v>305</v>
      </c>
      <c r="J87" s="470">
        <v>0</v>
      </c>
      <c r="K87" s="474" t="str">
        <f ca="1">INDEX(INDIRECT("'"&amp;RIGHT(Tableau3[[#This Row],[Dep]],2)*1&amp;"è'"&amp;"!d:d"),MATCH(C87,INDIRECT("'"&amp;RIGHT(Tableau3[[#This Row],[Dep]],2)*1&amp;"è'"&amp;"!c:c"),0))</f>
        <v>PH</v>
      </c>
    </row>
    <row r="88" spans="1:11" x14ac:dyDescent="0.25">
      <c r="A88" s="470">
        <v>75006</v>
      </c>
      <c r="B88" s="470" t="s">
        <v>1425</v>
      </c>
      <c r="C88" s="470" t="s">
        <v>1426</v>
      </c>
      <c r="D88" s="470" t="s">
        <v>1345</v>
      </c>
      <c r="E88" s="470" t="s">
        <v>1346</v>
      </c>
      <c r="F88" s="470" t="s">
        <v>1351</v>
      </c>
      <c r="G88" s="471"/>
      <c r="H88" s="471"/>
      <c r="I88" s="470">
        <v>200</v>
      </c>
      <c r="J88" s="470">
        <v>0</v>
      </c>
      <c r="K88" s="474" t="e">
        <f ca="1">INDEX(INDIRECT("'"&amp;RIGHT(Tableau3[[#This Row],[Dep]],2)*1&amp;"è'"&amp;"!d:d"),MATCH(C88,INDIRECT("'"&amp;RIGHT(Tableau3[[#This Row],[Dep]],2)*1&amp;"è'"&amp;"!c:c"),0))</f>
        <v>#N/A</v>
      </c>
    </row>
    <row r="89" spans="1:11" x14ac:dyDescent="0.25">
      <c r="A89" s="470">
        <v>75006</v>
      </c>
      <c r="B89" s="470" t="s">
        <v>1427</v>
      </c>
      <c r="C89" s="470" t="s">
        <v>1428</v>
      </c>
      <c r="D89" s="470" t="s">
        <v>1345</v>
      </c>
      <c r="E89" s="470" t="s">
        <v>1346</v>
      </c>
      <c r="F89" s="470" t="s">
        <v>1351</v>
      </c>
      <c r="G89" s="470" t="s">
        <v>1348</v>
      </c>
      <c r="H89" s="471"/>
      <c r="I89" s="470">
        <v>138</v>
      </c>
      <c r="J89" s="470">
        <v>0</v>
      </c>
      <c r="K89" s="474" t="e">
        <f ca="1">INDEX(INDIRECT("'"&amp;RIGHT(Tableau3[[#This Row],[Dep]],2)*1&amp;"è'"&amp;"!d:d"),MATCH(C89,INDIRECT("'"&amp;RIGHT(Tableau3[[#This Row],[Dep]],2)*1&amp;"è'"&amp;"!c:c"),0))</f>
        <v>#N/A</v>
      </c>
    </row>
    <row r="90" spans="1:11" x14ac:dyDescent="0.25">
      <c r="A90" s="470">
        <v>75006</v>
      </c>
      <c r="B90" s="470" t="s">
        <v>1105</v>
      </c>
      <c r="C90" s="470" t="s">
        <v>1106</v>
      </c>
      <c r="D90" s="470" t="s">
        <v>1345</v>
      </c>
      <c r="E90" s="470" t="s">
        <v>1346</v>
      </c>
      <c r="F90" s="470" t="s">
        <v>1347</v>
      </c>
      <c r="G90" s="471"/>
      <c r="H90" s="471"/>
      <c r="I90" s="470">
        <v>108</v>
      </c>
      <c r="J90" s="470">
        <v>0</v>
      </c>
      <c r="K90" s="474" t="str">
        <f ca="1">INDEX(INDIRECT("'"&amp;RIGHT(Tableau3[[#This Row],[Dep]],2)*1&amp;"è'"&amp;"!d:d"),MATCH(C90,INDIRECT("'"&amp;RIGHT(Tableau3[[#This Row],[Dep]],2)*1&amp;"è'"&amp;"!c:c"),0))</f>
        <v>PH</v>
      </c>
    </row>
    <row r="91" spans="1:11" x14ac:dyDescent="0.25">
      <c r="A91" s="470">
        <v>75006</v>
      </c>
      <c r="B91" s="470" t="s">
        <v>922</v>
      </c>
      <c r="C91" s="470" t="s">
        <v>923</v>
      </c>
      <c r="D91" s="470" t="s">
        <v>1345</v>
      </c>
      <c r="E91" s="470" t="s">
        <v>1346</v>
      </c>
      <c r="F91" s="470" t="s">
        <v>1347</v>
      </c>
      <c r="G91" s="471"/>
      <c r="H91" s="471"/>
      <c r="I91" s="470">
        <v>338</v>
      </c>
      <c r="J91" s="470">
        <v>0</v>
      </c>
      <c r="K91" s="474" t="str">
        <f ca="1">INDEX(INDIRECT("'"&amp;RIGHT(Tableau3[[#This Row],[Dep]],2)*1&amp;"è'"&amp;"!d:d"),MATCH(C91,INDIRECT("'"&amp;RIGHT(Tableau3[[#This Row],[Dep]],2)*1&amp;"è'"&amp;"!c:c"),0))</f>
        <v>PH</v>
      </c>
    </row>
    <row r="92" spans="1:11" x14ac:dyDescent="0.25">
      <c r="A92" s="470">
        <v>75006</v>
      </c>
      <c r="B92" s="470" t="s">
        <v>236</v>
      </c>
      <c r="C92" s="470" t="s">
        <v>1429</v>
      </c>
      <c r="D92" s="470" t="s">
        <v>1345</v>
      </c>
      <c r="E92" s="470" t="s">
        <v>1346</v>
      </c>
      <c r="F92" s="470" t="s">
        <v>1349</v>
      </c>
      <c r="G92" s="470" t="s">
        <v>1348</v>
      </c>
      <c r="H92" s="471"/>
      <c r="I92" s="470">
        <v>97</v>
      </c>
      <c r="J92" s="470">
        <v>0</v>
      </c>
      <c r="K92" s="474" t="e">
        <f ca="1">INDEX(INDIRECT("'"&amp;RIGHT(Tableau3[[#This Row],[Dep]],2)*1&amp;"è'"&amp;"!d:d"),MATCH(C92,INDIRECT("'"&amp;RIGHT(Tableau3[[#This Row],[Dep]],2)*1&amp;"è'"&amp;"!c:c"),0))</f>
        <v>#N/A</v>
      </c>
    </row>
    <row r="93" spans="1:11" x14ac:dyDescent="0.25">
      <c r="A93" s="470">
        <v>75006</v>
      </c>
      <c r="B93" s="470" t="s">
        <v>1167</v>
      </c>
      <c r="C93" s="470" t="s">
        <v>1168</v>
      </c>
      <c r="D93" s="470" t="s">
        <v>1345</v>
      </c>
      <c r="E93" s="470" t="s">
        <v>1346</v>
      </c>
      <c r="F93" s="470" t="s">
        <v>1351</v>
      </c>
      <c r="G93" s="471"/>
      <c r="H93" s="471"/>
      <c r="I93" s="470">
        <v>755</v>
      </c>
      <c r="J93" s="470">
        <v>0</v>
      </c>
      <c r="K93" s="474" t="str">
        <f ca="1">INDEX(INDIRECT("'"&amp;RIGHT(Tableau3[[#This Row],[Dep]],2)*1&amp;"è'"&amp;"!d:d"),MATCH(C93,INDIRECT("'"&amp;RIGHT(Tableau3[[#This Row],[Dep]],2)*1&amp;"è'"&amp;"!c:c"),0))</f>
        <v>FT</v>
      </c>
    </row>
    <row r="94" spans="1:11" x14ac:dyDescent="0.25">
      <c r="A94" s="470">
        <v>75006</v>
      </c>
      <c r="B94" s="470" t="s">
        <v>926</v>
      </c>
      <c r="C94" s="470" t="s">
        <v>927</v>
      </c>
      <c r="D94" s="470" t="s">
        <v>1345</v>
      </c>
      <c r="E94" s="470" t="s">
        <v>1346</v>
      </c>
      <c r="F94" s="470" t="s">
        <v>1347</v>
      </c>
      <c r="G94" s="471"/>
      <c r="H94" s="471"/>
      <c r="I94" s="470">
        <v>40</v>
      </c>
      <c r="J94" s="470">
        <v>0</v>
      </c>
      <c r="K94" s="474" t="str">
        <f ca="1">INDEX(INDIRECT("'"&amp;RIGHT(Tableau3[[#This Row],[Dep]],2)*1&amp;"è'"&amp;"!d:d"),MATCH(C94,INDIRECT("'"&amp;RIGHT(Tableau3[[#This Row],[Dep]],2)*1&amp;"è'"&amp;"!c:c"),0))</f>
        <v>PH</v>
      </c>
    </row>
    <row r="95" spans="1:11" x14ac:dyDescent="0.25">
      <c r="A95" s="470">
        <v>75006</v>
      </c>
      <c r="B95" s="470" t="s">
        <v>1430</v>
      </c>
      <c r="C95" s="470" t="s">
        <v>1431</v>
      </c>
      <c r="D95" s="470" t="s">
        <v>1345</v>
      </c>
      <c r="E95" s="470" t="s">
        <v>1346</v>
      </c>
      <c r="F95" s="470" t="s">
        <v>1347</v>
      </c>
      <c r="G95" s="470" t="s">
        <v>1348</v>
      </c>
      <c r="H95" s="471"/>
      <c r="I95" s="470">
        <v>229</v>
      </c>
      <c r="J95" s="470">
        <v>0</v>
      </c>
      <c r="K95" s="474" t="e">
        <f ca="1">INDEX(INDIRECT("'"&amp;RIGHT(Tableau3[[#This Row],[Dep]],2)*1&amp;"è'"&amp;"!d:d"),MATCH(C95,INDIRECT("'"&amp;RIGHT(Tableau3[[#This Row],[Dep]],2)*1&amp;"è'"&amp;"!c:c"),0))</f>
        <v>#N/A</v>
      </c>
    </row>
    <row r="96" spans="1:11" x14ac:dyDescent="0.25">
      <c r="A96" s="470">
        <v>75006</v>
      </c>
      <c r="B96" s="470" t="s">
        <v>238</v>
      </c>
      <c r="C96" s="470" t="s">
        <v>1432</v>
      </c>
      <c r="D96" s="470" t="s">
        <v>1345</v>
      </c>
      <c r="E96" s="470" t="s">
        <v>1346</v>
      </c>
      <c r="F96" s="470" t="s">
        <v>1351</v>
      </c>
      <c r="G96" s="470" t="s">
        <v>1348</v>
      </c>
      <c r="H96" s="471"/>
      <c r="I96" s="470">
        <v>238</v>
      </c>
      <c r="J96" s="470">
        <v>0</v>
      </c>
      <c r="K96" s="474" t="e">
        <f ca="1">INDEX(INDIRECT("'"&amp;RIGHT(Tableau3[[#This Row],[Dep]],2)*1&amp;"è'"&amp;"!d:d"),MATCH(C96,INDIRECT("'"&amp;RIGHT(Tableau3[[#This Row],[Dep]],2)*1&amp;"è'"&amp;"!c:c"),0))</f>
        <v>#N/A</v>
      </c>
    </row>
    <row r="97" spans="1:11" x14ac:dyDescent="0.25">
      <c r="A97" s="470">
        <v>75006</v>
      </c>
      <c r="B97" s="470" t="s">
        <v>1433</v>
      </c>
      <c r="C97" s="470" t="s">
        <v>1434</v>
      </c>
      <c r="D97" s="470" t="s">
        <v>1345</v>
      </c>
      <c r="E97" s="470" t="s">
        <v>1346</v>
      </c>
      <c r="F97" s="470" t="s">
        <v>1349</v>
      </c>
      <c r="G97" s="471"/>
      <c r="H97" s="471"/>
      <c r="I97" s="470">
        <v>102</v>
      </c>
      <c r="J97" s="470">
        <v>0</v>
      </c>
      <c r="K97" s="474" t="e">
        <f ca="1">INDEX(INDIRECT("'"&amp;RIGHT(Tableau3[[#This Row],[Dep]],2)*1&amp;"è'"&amp;"!d:d"),MATCH(C97,INDIRECT("'"&amp;RIGHT(Tableau3[[#This Row],[Dep]],2)*1&amp;"è'"&amp;"!c:c"),0))</f>
        <v>#N/A</v>
      </c>
    </row>
    <row r="98" spans="1:11" x14ac:dyDescent="0.25">
      <c r="A98" s="470">
        <v>75006</v>
      </c>
      <c r="B98" s="470" t="s">
        <v>1435</v>
      </c>
      <c r="C98" s="470" t="s">
        <v>1436</v>
      </c>
      <c r="D98" s="470" t="s">
        <v>1345</v>
      </c>
      <c r="E98" s="470" t="s">
        <v>1346</v>
      </c>
      <c r="F98" s="470" t="s">
        <v>1351</v>
      </c>
      <c r="G98" s="471"/>
      <c r="H98" s="471"/>
      <c r="I98" s="470">
        <v>661</v>
      </c>
      <c r="J98" s="470">
        <v>0</v>
      </c>
      <c r="K98" s="474" t="e">
        <f ca="1">INDEX(INDIRECT("'"&amp;RIGHT(Tableau3[[#This Row],[Dep]],2)*1&amp;"è'"&amp;"!d:d"),MATCH(C98,INDIRECT("'"&amp;RIGHT(Tableau3[[#This Row],[Dep]],2)*1&amp;"è'"&amp;"!c:c"),0))</f>
        <v>#N/A</v>
      </c>
    </row>
    <row r="99" spans="1:11" x14ac:dyDescent="0.25">
      <c r="A99" s="470">
        <v>75007</v>
      </c>
      <c r="B99" s="470" t="s">
        <v>580</v>
      </c>
      <c r="C99" s="470" t="s">
        <v>1437</v>
      </c>
      <c r="D99" s="470" t="s">
        <v>1345</v>
      </c>
      <c r="E99" s="470" t="s">
        <v>1346</v>
      </c>
      <c r="F99" s="470" t="s">
        <v>1351</v>
      </c>
      <c r="G99" s="470" t="s">
        <v>1348</v>
      </c>
      <c r="H99" s="471"/>
      <c r="I99" s="470">
        <v>20</v>
      </c>
      <c r="J99" s="470">
        <v>0</v>
      </c>
      <c r="K99" s="474" t="e">
        <f ca="1">INDEX(INDIRECT("'"&amp;RIGHT(Tableau3[[#This Row],[Dep]],2)*1&amp;"è'"&amp;"!d:d"),MATCH(C99,INDIRECT("'"&amp;RIGHT(Tableau3[[#This Row],[Dep]],2)*1&amp;"è'"&amp;"!c:c"),0))</f>
        <v>#N/A</v>
      </c>
    </row>
    <row r="100" spans="1:11" x14ac:dyDescent="0.25">
      <c r="A100" s="470">
        <v>75007</v>
      </c>
      <c r="B100" s="470" t="s">
        <v>1438</v>
      </c>
      <c r="C100" s="470" t="s">
        <v>1439</v>
      </c>
      <c r="D100" s="470" t="s">
        <v>1345</v>
      </c>
      <c r="E100" s="470" t="s">
        <v>1416</v>
      </c>
      <c r="F100" s="471"/>
      <c r="G100" s="471"/>
      <c r="H100" s="471"/>
      <c r="I100" s="470">
        <v>380</v>
      </c>
      <c r="J100" s="470">
        <v>0</v>
      </c>
      <c r="K100" s="474" t="e">
        <f ca="1">INDEX(INDIRECT("'"&amp;RIGHT(Tableau3[[#This Row],[Dep]],2)*1&amp;"è'"&amp;"!d:d"),MATCH(C100,INDIRECT("'"&amp;RIGHT(Tableau3[[#This Row],[Dep]],2)*1&amp;"è'"&amp;"!c:c"),0))</f>
        <v>#N/A</v>
      </c>
    </row>
    <row r="101" spans="1:11" x14ac:dyDescent="0.25">
      <c r="A101" s="470">
        <v>75007</v>
      </c>
      <c r="B101" s="470" t="s">
        <v>1440</v>
      </c>
      <c r="C101" s="470" t="s">
        <v>1441</v>
      </c>
      <c r="D101" s="470" t="s">
        <v>1345</v>
      </c>
      <c r="E101" s="470" t="s">
        <v>1442</v>
      </c>
      <c r="F101" s="471"/>
      <c r="G101" s="471"/>
      <c r="H101" s="471"/>
      <c r="I101" s="470">
        <v>878</v>
      </c>
      <c r="J101" s="470">
        <v>0</v>
      </c>
      <c r="K101" s="474" t="e">
        <f ca="1">INDEX(INDIRECT("'"&amp;RIGHT(Tableau3[[#This Row],[Dep]],2)*1&amp;"è'"&amp;"!d:d"),MATCH(C101,INDIRECT("'"&amp;RIGHT(Tableau3[[#This Row],[Dep]],2)*1&amp;"è'"&amp;"!c:c"),0))</f>
        <v>#N/A</v>
      </c>
    </row>
    <row r="102" spans="1:11" x14ac:dyDescent="0.25">
      <c r="A102" s="470">
        <v>75007</v>
      </c>
      <c r="B102" s="470" t="s">
        <v>789</v>
      </c>
      <c r="C102" s="470" t="s">
        <v>790</v>
      </c>
      <c r="D102" s="470" t="s">
        <v>1345</v>
      </c>
      <c r="E102" s="470" t="s">
        <v>1346</v>
      </c>
      <c r="F102" s="470" t="s">
        <v>1351</v>
      </c>
      <c r="G102" s="471"/>
      <c r="H102" s="471"/>
      <c r="I102" s="470">
        <v>224</v>
      </c>
      <c r="J102" s="470">
        <v>0</v>
      </c>
      <c r="K102" s="474" t="str">
        <f ca="1">INDEX(INDIRECT("'"&amp;RIGHT(Tableau3[[#This Row],[Dep]],2)*1&amp;"è'"&amp;"!d:d"),MATCH(C102,INDIRECT("'"&amp;RIGHT(Tableau3[[#This Row],[Dep]],2)*1&amp;"è'"&amp;"!c:c"),0))</f>
        <v>FT</v>
      </c>
    </row>
    <row r="103" spans="1:11" x14ac:dyDescent="0.25">
      <c r="A103" s="470">
        <v>75007</v>
      </c>
      <c r="B103" s="470" t="s">
        <v>240</v>
      </c>
      <c r="C103" s="470" t="s">
        <v>1443</v>
      </c>
      <c r="D103" s="470" t="s">
        <v>1345</v>
      </c>
      <c r="E103" s="470" t="s">
        <v>1346</v>
      </c>
      <c r="F103" s="470" t="s">
        <v>1351</v>
      </c>
      <c r="G103" s="471"/>
      <c r="H103" s="471"/>
      <c r="I103" s="472">
        <v>1989</v>
      </c>
      <c r="J103" s="470">
        <v>0</v>
      </c>
      <c r="K103" s="474" t="e">
        <f ca="1">INDEX(INDIRECT("'"&amp;RIGHT(Tableau3[[#This Row],[Dep]],2)*1&amp;"è'"&amp;"!d:d"),MATCH(C103,INDIRECT("'"&amp;RIGHT(Tableau3[[#This Row],[Dep]],2)*1&amp;"è'"&amp;"!c:c"),0))</f>
        <v>#N/A</v>
      </c>
    </row>
    <row r="104" spans="1:11" x14ac:dyDescent="0.25">
      <c r="A104" s="470">
        <v>75007</v>
      </c>
      <c r="B104" s="470" t="s">
        <v>365</v>
      </c>
      <c r="C104" s="470" t="s">
        <v>1444</v>
      </c>
      <c r="D104" s="470" t="s">
        <v>1345</v>
      </c>
      <c r="E104" s="470" t="s">
        <v>1346</v>
      </c>
      <c r="F104" s="470" t="s">
        <v>1351</v>
      </c>
      <c r="G104" s="471"/>
      <c r="H104" s="470" t="s">
        <v>1348</v>
      </c>
      <c r="I104" s="472">
        <v>1219</v>
      </c>
      <c r="J104" s="470">
        <v>0</v>
      </c>
      <c r="K104" s="474" t="e">
        <f ca="1">INDEX(INDIRECT("'"&amp;RIGHT(Tableau3[[#This Row],[Dep]],2)*1&amp;"è'"&amp;"!d:d"),MATCH(C104,INDIRECT("'"&amp;RIGHT(Tableau3[[#This Row],[Dep]],2)*1&amp;"è'"&amp;"!c:c"),0))</f>
        <v>#N/A</v>
      </c>
    </row>
    <row r="105" spans="1:11" x14ac:dyDescent="0.25">
      <c r="A105" s="470">
        <v>75007</v>
      </c>
      <c r="B105" s="470" t="s">
        <v>242</v>
      </c>
      <c r="C105" s="470" t="s">
        <v>1445</v>
      </c>
      <c r="D105" s="470" t="s">
        <v>1345</v>
      </c>
      <c r="E105" s="470" t="s">
        <v>1346</v>
      </c>
      <c r="F105" s="470" t="s">
        <v>1347</v>
      </c>
      <c r="G105" s="470" t="s">
        <v>1348</v>
      </c>
      <c r="H105" s="471"/>
      <c r="I105" s="470">
        <v>265.5</v>
      </c>
      <c r="J105" s="470">
        <v>0</v>
      </c>
      <c r="K105" s="474" t="e">
        <f ca="1">INDEX(INDIRECT("'"&amp;RIGHT(Tableau3[[#This Row],[Dep]],2)*1&amp;"è'"&amp;"!d:d"),MATCH(C105,INDIRECT("'"&amp;RIGHT(Tableau3[[#This Row],[Dep]],2)*1&amp;"è'"&amp;"!c:c"),0))</f>
        <v>#N/A</v>
      </c>
    </row>
    <row r="106" spans="1:11" x14ac:dyDescent="0.25">
      <c r="A106" s="470">
        <v>75007</v>
      </c>
      <c r="B106" s="470" t="s">
        <v>367</v>
      </c>
      <c r="C106" s="470" t="s">
        <v>1446</v>
      </c>
      <c r="D106" s="470" t="s">
        <v>1345</v>
      </c>
      <c r="E106" s="470" t="s">
        <v>1346</v>
      </c>
      <c r="F106" s="470" t="s">
        <v>1347</v>
      </c>
      <c r="G106" s="471"/>
      <c r="H106" s="470" t="s">
        <v>1348</v>
      </c>
      <c r="I106" s="470">
        <v>286</v>
      </c>
      <c r="J106" s="470">
        <v>0</v>
      </c>
      <c r="K106" s="474" t="e">
        <f ca="1">INDEX(INDIRECT("'"&amp;RIGHT(Tableau3[[#This Row],[Dep]],2)*1&amp;"è'"&amp;"!d:d"),MATCH(C106,INDIRECT("'"&amp;RIGHT(Tableau3[[#This Row],[Dep]],2)*1&amp;"è'"&amp;"!c:c"),0))</f>
        <v>#N/A</v>
      </c>
    </row>
    <row r="107" spans="1:11" x14ac:dyDescent="0.25">
      <c r="A107" s="470">
        <v>75007</v>
      </c>
      <c r="B107" s="470" t="s">
        <v>244</v>
      </c>
      <c r="C107" s="470" t="s">
        <v>1447</v>
      </c>
      <c r="D107" s="470" t="s">
        <v>1345</v>
      </c>
      <c r="E107" s="470" t="s">
        <v>1346</v>
      </c>
      <c r="F107" s="470" t="s">
        <v>1349</v>
      </c>
      <c r="G107" s="470" t="s">
        <v>1348</v>
      </c>
      <c r="H107" s="471"/>
      <c r="I107" s="470">
        <v>200</v>
      </c>
      <c r="J107" s="470">
        <v>0</v>
      </c>
      <c r="K107" s="474" t="e">
        <f ca="1">INDEX(INDIRECT("'"&amp;RIGHT(Tableau3[[#This Row],[Dep]],2)*1&amp;"è'"&amp;"!d:d"),MATCH(C107,INDIRECT("'"&amp;RIGHT(Tableau3[[#This Row],[Dep]],2)*1&amp;"è'"&amp;"!c:c"),0))</f>
        <v>#N/A</v>
      </c>
    </row>
    <row r="108" spans="1:11" x14ac:dyDescent="0.25">
      <c r="A108" s="470">
        <v>75007</v>
      </c>
      <c r="B108" s="470" t="s">
        <v>1448</v>
      </c>
      <c r="C108" s="470" t="s">
        <v>1449</v>
      </c>
      <c r="D108" s="470" t="s">
        <v>1345</v>
      </c>
      <c r="E108" s="470" t="s">
        <v>1346</v>
      </c>
      <c r="F108" s="470" t="s">
        <v>1351</v>
      </c>
      <c r="G108" s="471"/>
      <c r="H108" s="470" t="s">
        <v>1348</v>
      </c>
      <c r="I108" s="470">
        <v>200</v>
      </c>
      <c r="J108" s="470">
        <v>0</v>
      </c>
      <c r="K108" s="474" t="e">
        <f ca="1">INDEX(INDIRECT("'"&amp;RIGHT(Tableau3[[#This Row],[Dep]],2)*1&amp;"è'"&amp;"!d:d"),MATCH(C108,INDIRECT("'"&amp;RIGHT(Tableau3[[#This Row],[Dep]],2)*1&amp;"è'"&amp;"!c:c"),0))</f>
        <v>#N/A</v>
      </c>
    </row>
    <row r="109" spans="1:11" x14ac:dyDescent="0.25">
      <c r="A109" s="470">
        <v>75007</v>
      </c>
      <c r="B109" s="470" t="s">
        <v>1170</v>
      </c>
      <c r="C109" s="470" t="s">
        <v>1450</v>
      </c>
      <c r="D109" s="470" t="s">
        <v>1345</v>
      </c>
      <c r="E109" s="470" t="s">
        <v>1346</v>
      </c>
      <c r="F109" s="470" t="s">
        <v>1347</v>
      </c>
      <c r="G109" s="471"/>
      <c r="H109" s="471"/>
      <c r="I109" s="470">
        <v>148</v>
      </c>
      <c r="J109" s="470">
        <v>0</v>
      </c>
      <c r="K109" s="474" t="e">
        <f ca="1">INDEX(INDIRECT("'"&amp;RIGHT(Tableau3[[#This Row],[Dep]],2)*1&amp;"è'"&amp;"!d:d"),MATCH(C109,INDIRECT("'"&amp;RIGHT(Tableau3[[#This Row],[Dep]],2)*1&amp;"è'"&amp;"!c:c"),0))</f>
        <v>#N/A</v>
      </c>
    </row>
    <row r="110" spans="1:11" x14ac:dyDescent="0.25">
      <c r="A110" s="470">
        <v>75007</v>
      </c>
      <c r="B110" s="470" t="s">
        <v>582</v>
      </c>
      <c r="C110" s="470" t="s">
        <v>1451</v>
      </c>
      <c r="D110" s="470" t="s">
        <v>1345</v>
      </c>
      <c r="E110" s="470" t="s">
        <v>1346</v>
      </c>
      <c r="F110" s="470" t="s">
        <v>1347</v>
      </c>
      <c r="G110" s="471"/>
      <c r="H110" s="471"/>
      <c r="I110" s="470">
        <v>258</v>
      </c>
      <c r="J110" s="470">
        <v>0</v>
      </c>
      <c r="K110" s="474" t="e">
        <f ca="1">INDEX(INDIRECT("'"&amp;RIGHT(Tableau3[[#This Row],[Dep]],2)*1&amp;"è'"&amp;"!d:d"),MATCH(C110,INDIRECT("'"&amp;RIGHT(Tableau3[[#This Row],[Dep]],2)*1&amp;"è'"&amp;"!c:c"),0))</f>
        <v>#N/A</v>
      </c>
    </row>
    <row r="111" spans="1:11" x14ac:dyDescent="0.25">
      <c r="A111" s="470">
        <v>75007</v>
      </c>
      <c r="B111" s="470" t="s">
        <v>246</v>
      </c>
      <c r="C111" s="470" t="s">
        <v>1452</v>
      </c>
      <c r="D111" s="470" t="s">
        <v>1345</v>
      </c>
      <c r="E111" s="470" t="s">
        <v>1346</v>
      </c>
      <c r="F111" s="470" t="s">
        <v>1349</v>
      </c>
      <c r="G111" s="471"/>
      <c r="H111" s="471"/>
      <c r="I111" s="470">
        <v>217</v>
      </c>
      <c r="J111" s="470">
        <v>0</v>
      </c>
      <c r="K111" s="474" t="e">
        <f ca="1">INDEX(INDIRECT("'"&amp;RIGHT(Tableau3[[#This Row],[Dep]],2)*1&amp;"è'"&amp;"!d:d"),MATCH(C111,INDIRECT("'"&amp;RIGHT(Tableau3[[#This Row],[Dep]],2)*1&amp;"è'"&amp;"!c:c"),0))</f>
        <v>#N/A</v>
      </c>
    </row>
    <row r="112" spans="1:11" x14ac:dyDescent="0.25">
      <c r="A112" s="470">
        <v>75007</v>
      </c>
      <c r="B112" s="470" t="s">
        <v>369</v>
      </c>
      <c r="C112" s="470" t="s">
        <v>1453</v>
      </c>
      <c r="D112" s="470" t="s">
        <v>1345</v>
      </c>
      <c r="E112" s="470" t="s">
        <v>1346</v>
      </c>
      <c r="F112" s="470" t="s">
        <v>1347</v>
      </c>
      <c r="G112" s="471"/>
      <c r="H112" s="471"/>
      <c r="I112" s="470">
        <v>453</v>
      </c>
      <c r="J112" s="470">
        <v>0</v>
      </c>
      <c r="K112" s="474" t="e">
        <f ca="1">INDEX(INDIRECT("'"&amp;RIGHT(Tableau3[[#This Row],[Dep]],2)*1&amp;"è'"&amp;"!d:d"),MATCH(C112,INDIRECT("'"&amp;RIGHT(Tableau3[[#This Row],[Dep]],2)*1&amp;"è'"&amp;"!c:c"),0))</f>
        <v>#N/A</v>
      </c>
    </row>
    <row r="113" spans="1:11" x14ac:dyDescent="0.25">
      <c r="A113" s="470">
        <v>75007</v>
      </c>
      <c r="B113" s="470" t="s">
        <v>371</v>
      </c>
      <c r="C113" s="470" t="s">
        <v>1454</v>
      </c>
      <c r="D113" s="470" t="s">
        <v>1345</v>
      </c>
      <c r="E113" s="470" t="s">
        <v>1346</v>
      </c>
      <c r="F113" s="470" t="s">
        <v>1351</v>
      </c>
      <c r="G113" s="471"/>
      <c r="H113" s="470" t="s">
        <v>1348</v>
      </c>
      <c r="I113" s="470">
        <v>515</v>
      </c>
      <c r="J113" s="470">
        <v>0</v>
      </c>
      <c r="K113" s="474" t="e">
        <f ca="1">INDEX(INDIRECT("'"&amp;RIGHT(Tableau3[[#This Row],[Dep]],2)*1&amp;"è'"&amp;"!d:d"),MATCH(C113,INDIRECT("'"&amp;RIGHT(Tableau3[[#This Row],[Dep]],2)*1&amp;"è'"&amp;"!c:c"),0))</f>
        <v>#N/A</v>
      </c>
    </row>
    <row r="114" spans="1:11" x14ac:dyDescent="0.25">
      <c r="A114" s="470">
        <v>75007</v>
      </c>
      <c r="B114" s="470" t="s">
        <v>585</v>
      </c>
      <c r="C114" s="470" t="s">
        <v>1455</v>
      </c>
      <c r="D114" s="470" t="s">
        <v>1345</v>
      </c>
      <c r="E114" s="470" t="s">
        <v>1346</v>
      </c>
      <c r="F114" s="470" t="s">
        <v>1349</v>
      </c>
      <c r="G114" s="471"/>
      <c r="H114" s="471"/>
      <c r="I114" s="470">
        <v>380</v>
      </c>
      <c r="J114" s="470">
        <v>0</v>
      </c>
      <c r="K114" s="474" t="e">
        <f ca="1">INDEX(INDIRECT("'"&amp;RIGHT(Tableau3[[#This Row],[Dep]],2)*1&amp;"è'"&amp;"!d:d"),MATCH(C114,INDIRECT("'"&amp;RIGHT(Tableau3[[#This Row],[Dep]],2)*1&amp;"è'"&amp;"!c:c"),0))</f>
        <v>#N/A</v>
      </c>
    </row>
    <row r="115" spans="1:11" x14ac:dyDescent="0.25">
      <c r="A115" s="470">
        <v>75007</v>
      </c>
      <c r="B115" s="470" t="s">
        <v>799</v>
      </c>
      <c r="C115" s="470" t="s">
        <v>800</v>
      </c>
      <c r="D115" s="470" t="s">
        <v>1345</v>
      </c>
      <c r="E115" s="470" t="s">
        <v>1346</v>
      </c>
      <c r="F115" s="470" t="s">
        <v>1347</v>
      </c>
      <c r="G115" s="471"/>
      <c r="H115" s="470" t="s">
        <v>1348</v>
      </c>
      <c r="I115" s="470">
        <v>269</v>
      </c>
      <c r="J115" s="470">
        <v>0</v>
      </c>
      <c r="K115" s="474" t="str">
        <f ca="1">INDEX(INDIRECT("'"&amp;RIGHT(Tableau3[[#This Row],[Dep]],2)*1&amp;"è'"&amp;"!d:d"),MATCH(C115,INDIRECT("'"&amp;RIGHT(Tableau3[[#This Row],[Dep]],2)*1&amp;"è'"&amp;"!c:c"),0))</f>
        <v>PH</v>
      </c>
    </row>
    <row r="116" spans="1:11" x14ac:dyDescent="0.25">
      <c r="A116" s="470">
        <v>75007</v>
      </c>
      <c r="B116" s="470" t="s">
        <v>801</v>
      </c>
      <c r="C116" s="470" t="s">
        <v>802</v>
      </c>
      <c r="D116" s="470" t="s">
        <v>1345</v>
      </c>
      <c r="E116" s="470" t="s">
        <v>1346</v>
      </c>
      <c r="F116" s="470" t="s">
        <v>1347</v>
      </c>
      <c r="G116" s="471"/>
      <c r="H116" s="471"/>
      <c r="I116" s="470">
        <v>287</v>
      </c>
      <c r="J116" s="470">
        <v>0</v>
      </c>
      <c r="K116" s="474" t="str">
        <f ca="1">INDEX(INDIRECT("'"&amp;RIGHT(Tableau3[[#This Row],[Dep]],2)*1&amp;"è'"&amp;"!d:d"),MATCH(C116,INDIRECT("'"&amp;RIGHT(Tableau3[[#This Row],[Dep]],2)*1&amp;"è'"&amp;"!c:c"),0))</f>
        <v>PH</v>
      </c>
    </row>
    <row r="117" spans="1:11" x14ac:dyDescent="0.25">
      <c r="A117" s="470">
        <v>75007</v>
      </c>
      <c r="B117" s="470" t="s">
        <v>377</v>
      </c>
      <c r="C117" s="470" t="s">
        <v>1456</v>
      </c>
      <c r="D117" s="470" t="s">
        <v>1345</v>
      </c>
      <c r="E117" s="470" t="s">
        <v>1346</v>
      </c>
      <c r="F117" s="470" t="s">
        <v>1349</v>
      </c>
      <c r="G117" s="471"/>
      <c r="H117" s="471"/>
      <c r="I117" s="470">
        <v>706</v>
      </c>
      <c r="J117" s="470">
        <v>0</v>
      </c>
      <c r="K117" s="474" t="e">
        <f ca="1">INDEX(INDIRECT("'"&amp;RIGHT(Tableau3[[#This Row],[Dep]],2)*1&amp;"è'"&amp;"!d:d"),MATCH(C117,INDIRECT("'"&amp;RIGHT(Tableau3[[#This Row],[Dep]],2)*1&amp;"è'"&amp;"!c:c"),0))</f>
        <v>#N/A</v>
      </c>
    </row>
    <row r="118" spans="1:11" x14ac:dyDescent="0.25">
      <c r="A118" s="470">
        <v>75008</v>
      </c>
      <c r="B118" s="470" t="s">
        <v>803</v>
      </c>
      <c r="C118" s="470" t="s">
        <v>804</v>
      </c>
      <c r="D118" s="470" t="s">
        <v>1345</v>
      </c>
      <c r="E118" s="470" t="s">
        <v>1346</v>
      </c>
      <c r="F118" s="470" t="s">
        <v>1347</v>
      </c>
      <c r="G118" s="471"/>
      <c r="H118" s="471"/>
      <c r="I118" s="470">
        <v>824</v>
      </c>
      <c r="J118" s="470">
        <v>0</v>
      </c>
      <c r="K118" s="474" t="str">
        <f ca="1">INDEX(INDIRECT("'"&amp;RIGHT(Tableau3[[#This Row],[Dep]],2)*1&amp;"è'"&amp;"!d:d"),MATCH(C118,INDIRECT("'"&amp;RIGHT(Tableau3[[#This Row],[Dep]],2)*1&amp;"è'"&amp;"!c:c"),0))</f>
        <v>PH</v>
      </c>
    </row>
    <row r="119" spans="1:11" x14ac:dyDescent="0.25">
      <c r="A119" s="470">
        <v>75008</v>
      </c>
      <c r="B119" s="470" t="s">
        <v>930</v>
      </c>
      <c r="C119" s="470" t="s">
        <v>931</v>
      </c>
      <c r="D119" s="470" t="s">
        <v>1345</v>
      </c>
      <c r="E119" s="470" t="s">
        <v>1346</v>
      </c>
      <c r="F119" s="470" t="s">
        <v>1347</v>
      </c>
      <c r="G119" s="470" t="s">
        <v>1348</v>
      </c>
      <c r="H119" s="470" t="s">
        <v>1348</v>
      </c>
      <c r="I119" s="470">
        <v>226</v>
      </c>
      <c r="J119" s="470">
        <v>0</v>
      </c>
      <c r="K119" s="474" t="str">
        <f ca="1">INDEX(INDIRECT("'"&amp;RIGHT(Tableau3[[#This Row],[Dep]],2)*1&amp;"è'"&amp;"!d:d"),MATCH(C119,INDIRECT("'"&amp;RIGHT(Tableau3[[#This Row],[Dep]],2)*1&amp;"è'"&amp;"!c:c"),0))</f>
        <v>PH</v>
      </c>
    </row>
    <row r="120" spans="1:11" x14ac:dyDescent="0.25">
      <c r="A120" s="470">
        <v>75008</v>
      </c>
      <c r="B120" s="470" t="s">
        <v>1172</v>
      </c>
      <c r="C120" s="470" t="s">
        <v>1173</v>
      </c>
      <c r="D120" s="470" t="s">
        <v>1345</v>
      </c>
      <c r="E120" s="470" t="s">
        <v>1346</v>
      </c>
      <c r="F120" s="470" t="s">
        <v>1349</v>
      </c>
      <c r="G120" s="471"/>
      <c r="H120" s="471"/>
      <c r="I120" s="470">
        <v>111</v>
      </c>
      <c r="J120" s="470">
        <v>0</v>
      </c>
      <c r="K120" s="474" t="str">
        <f ca="1">INDEX(INDIRECT("'"&amp;RIGHT(Tableau3[[#This Row],[Dep]],2)*1&amp;"è'"&amp;"!d:d"),MATCH(C120,INDIRECT("'"&amp;RIGHT(Tableau3[[#This Row],[Dep]],2)*1&amp;"è'"&amp;"!c:c"),0))</f>
        <v>SC</v>
      </c>
    </row>
    <row r="121" spans="1:11" x14ac:dyDescent="0.25">
      <c r="A121" s="470">
        <v>75008</v>
      </c>
      <c r="B121" s="470" t="s">
        <v>1457</v>
      </c>
      <c r="C121" s="470" t="s">
        <v>1458</v>
      </c>
      <c r="D121" s="470" t="s">
        <v>1345</v>
      </c>
      <c r="E121" s="470" t="s">
        <v>1346</v>
      </c>
      <c r="F121" s="470" t="s">
        <v>1349</v>
      </c>
      <c r="G121" s="471"/>
      <c r="H121" s="471"/>
      <c r="I121" s="470">
        <v>428</v>
      </c>
      <c r="J121" s="470">
        <v>0</v>
      </c>
      <c r="K121" s="474" t="e">
        <f ca="1">INDEX(INDIRECT("'"&amp;RIGHT(Tableau3[[#This Row],[Dep]],2)*1&amp;"è'"&amp;"!d:d"),MATCH(C121,INDIRECT("'"&amp;RIGHT(Tableau3[[#This Row],[Dep]],2)*1&amp;"è'"&amp;"!c:c"),0))</f>
        <v>#N/A</v>
      </c>
    </row>
    <row r="122" spans="1:11" x14ac:dyDescent="0.25">
      <c r="A122" s="470">
        <v>75008</v>
      </c>
      <c r="B122" s="470" t="s">
        <v>250</v>
      </c>
      <c r="C122" s="470" t="s">
        <v>1459</v>
      </c>
      <c r="D122" s="470" t="s">
        <v>1345</v>
      </c>
      <c r="E122" s="470" t="s">
        <v>1346</v>
      </c>
      <c r="F122" s="470" t="s">
        <v>1349</v>
      </c>
      <c r="G122" s="471"/>
      <c r="H122" s="471"/>
      <c r="I122" s="470">
        <v>835</v>
      </c>
      <c r="J122" s="470">
        <v>0</v>
      </c>
      <c r="K122" s="474" t="e">
        <f ca="1">INDEX(INDIRECT("'"&amp;RIGHT(Tableau3[[#This Row],[Dep]],2)*1&amp;"è'"&amp;"!d:d"),MATCH(C122,INDIRECT("'"&amp;RIGHT(Tableau3[[#This Row],[Dep]],2)*1&amp;"è'"&amp;"!c:c"),0))</f>
        <v>#N/A</v>
      </c>
    </row>
    <row r="123" spans="1:11" x14ac:dyDescent="0.25">
      <c r="A123" s="470">
        <v>75008</v>
      </c>
      <c r="B123" s="470" t="s">
        <v>1177</v>
      </c>
      <c r="C123" s="470" t="s">
        <v>1178</v>
      </c>
      <c r="D123" s="470" t="s">
        <v>1345</v>
      </c>
      <c r="E123" s="470" t="s">
        <v>1346</v>
      </c>
      <c r="F123" s="470" t="s">
        <v>1349</v>
      </c>
      <c r="G123" s="471"/>
      <c r="H123" s="471"/>
      <c r="I123" s="470">
        <v>608</v>
      </c>
      <c r="J123" s="470">
        <v>0</v>
      </c>
      <c r="K123" s="474" t="str">
        <f ca="1">INDEX(INDIRECT("'"&amp;RIGHT(Tableau3[[#This Row],[Dep]],2)*1&amp;"è'"&amp;"!d:d"),MATCH(C123,INDIRECT("'"&amp;RIGHT(Tableau3[[#This Row],[Dep]],2)*1&amp;"è'"&amp;"!c:c"),0))</f>
        <v>SC</v>
      </c>
    </row>
    <row r="124" spans="1:11" x14ac:dyDescent="0.25">
      <c r="A124" s="470">
        <v>75008</v>
      </c>
      <c r="B124" s="470" t="s">
        <v>809</v>
      </c>
      <c r="C124" s="470" t="s">
        <v>810</v>
      </c>
      <c r="D124" s="470" t="s">
        <v>1345</v>
      </c>
      <c r="E124" s="470" t="s">
        <v>1346</v>
      </c>
      <c r="F124" s="470" t="s">
        <v>1349</v>
      </c>
      <c r="G124" s="471"/>
      <c r="H124" s="471"/>
      <c r="I124" s="470">
        <v>675.5</v>
      </c>
      <c r="J124" s="470">
        <v>0</v>
      </c>
      <c r="K124" s="474" t="str">
        <f ca="1">INDEX(INDIRECT("'"&amp;RIGHT(Tableau3[[#This Row],[Dep]],2)*1&amp;"è'"&amp;"!d:d"),MATCH(C124,INDIRECT("'"&amp;RIGHT(Tableau3[[#This Row],[Dep]],2)*1&amp;"è'"&amp;"!c:c"),0))</f>
        <v>SC</v>
      </c>
    </row>
    <row r="125" spans="1:11" x14ac:dyDescent="0.25">
      <c r="A125" s="470">
        <v>75008</v>
      </c>
      <c r="B125" s="470" t="s">
        <v>587</v>
      </c>
      <c r="C125" s="470" t="s">
        <v>1460</v>
      </c>
      <c r="D125" s="470" t="s">
        <v>1345</v>
      </c>
      <c r="E125" s="470" t="s">
        <v>1346</v>
      </c>
      <c r="F125" s="470" t="s">
        <v>1351</v>
      </c>
      <c r="G125" s="470" t="s">
        <v>1348</v>
      </c>
      <c r="H125" s="471"/>
      <c r="I125" s="470">
        <v>759</v>
      </c>
      <c r="J125" s="470">
        <v>0</v>
      </c>
      <c r="K125" s="474" t="e">
        <f ca="1">INDEX(INDIRECT("'"&amp;RIGHT(Tableau3[[#This Row],[Dep]],2)*1&amp;"è'"&amp;"!d:d"),MATCH(C125,INDIRECT("'"&amp;RIGHT(Tableau3[[#This Row],[Dep]],2)*1&amp;"è'"&amp;"!c:c"),0))</f>
        <v>#N/A</v>
      </c>
    </row>
    <row r="126" spans="1:11" x14ac:dyDescent="0.25">
      <c r="A126" s="470">
        <v>75008</v>
      </c>
      <c r="B126" s="470" t="s">
        <v>252</v>
      </c>
      <c r="C126" s="470" t="s">
        <v>1461</v>
      </c>
      <c r="D126" s="470" t="s">
        <v>1345</v>
      </c>
      <c r="E126" s="470" t="s">
        <v>1346</v>
      </c>
      <c r="F126" s="470" t="s">
        <v>1349</v>
      </c>
      <c r="G126" s="471"/>
      <c r="H126" s="471"/>
      <c r="I126" s="470">
        <v>293</v>
      </c>
      <c r="J126" s="470">
        <v>0</v>
      </c>
      <c r="K126" s="474" t="e">
        <f ca="1">INDEX(INDIRECT("'"&amp;RIGHT(Tableau3[[#This Row],[Dep]],2)*1&amp;"è'"&amp;"!d:d"),MATCH(C126,INDIRECT("'"&amp;RIGHT(Tableau3[[#This Row],[Dep]],2)*1&amp;"è'"&amp;"!c:c"),0))</f>
        <v>#N/A</v>
      </c>
    </row>
    <row r="127" spans="1:11" x14ac:dyDescent="0.25">
      <c r="A127" s="470">
        <v>75008</v>
      </c>
      <c r="B127" s="470" t="s">
        <v>254</v>
      </c>
      <c r="C127" s="470" t="s">
        <v>1462</v>
      </c>
      <c r="D127" s="470" t="s">
        <v>1345</v>
      </c>
      <c r="E127" s="470" t="s">
        <v>1346</v>
      </c>
      <c r="F127" s="470" t="s">
        <v>1347</v>
      </c>
      <c r="G127" s="471"/>
      <c r="H127" s="471"/>
      <c r="I127" s="472">
        <v>1028</v>
      </c>
      <c r="J127" s="470">
        <v>0</v>
      </c>
      <c r="K127" s="474" t="e">
        <f ca="1">INDEX(INDIRECT("'"&amp;RIGHT(Tableau3[[#This Row],[Dep]],2)*1&amp;"è'"&amp;"!d:d"),MATCH(C127,INDIRECT("'"&amp;RIGHT(Tableau3[[#This Row],[Dep]],2)*1&amp;"è'"&amp;"!c:c"),0))</f>
        <v>#N/A</v>
      </c>
    </row>
    <row r="128" spans="1:11" x14ac:dyDescent="0.25">
      <c r="A128" s="470">
        <v>75008</v>
      </c>
      <c r="B128" s="470" t="s">
        <v>813</v>
      </c>
      <c r="C128" s="470" t="s">
        <v>814</v>
      </c>
      <c r="D128" s="470" t="s">
        <v>1345</v>
      </c>
      <c r="E128" s="470" t="s">
        <v>1346</v>
      </c>
      <c r="F128" s="470" t="s">
        <v>1347</v>
      </c>
      <c r="G128" s="470" t="s">
        <v>1348</v>
      </c>
      <c r="H128" s="471"/>
      <c r="I128" s="470">
        <v>418</v>
      </c>
      <c r="J128" s="470">
        <v>0</v>
      </c>
      <c r="K128" s="474" t="str">
        <f ca="1">INDEX(INDIRECT("'"&amp;RIGHT(Tableau3[[#This Row],[Dep]],2)*1&amp;"è'"&amp;"!d:d"),MATCH(C128,INDIRECT("'"&amp;RIGHT(Tableau3[[#This Row],[Dep]],2)*1&amp;"è'"&amp;"!c:c"),0))</f>
        <v>PH</v>
      </c>
    </row>
    <row r="129" spans="1:11" x14ac:dyDescent="0.25">
      <c r="A129" s="470">
        <v>75008</v>
      </c>
      <c r="B129" s="470" t="s">
        <v>1463</v>
      </c>
      <c r="C129" s="470" t="s">
        <v>1464</v>
      </c>
      <c r="D129" s="470" t="s">
        <v>1345</v>
      </c>
      <c r="E129" s="470" t="s">
        <v>1346</v>
      </c>
      <c r="F129" s="470" t="s">
        <v>1351</v>
      </c>
      <c r="G129" s="471"/>
      <c r="H129" s="471"/>
      <c r="I129" s="470">
        <v>414</v>
      </c>
      <c r="J129" s="470">
        <v>0</v>
      </c>
      <c r="K129" s="474" t="e">
        <f ca="1">INDEX(INDIRECT("'"&amp;RIGHT(Tableau3[[#This Row],[Dep]],2)*1&amp;"è'"&amp;"!d:d"),MATCH(C129,INDIRECT("'"&amp;RIGHT(Tableau3[[#This Row],[Dep]],2)*1&amp;"è'"&amp;"!c:c"),0))</f>
        <v>#N/A</v>
      </c>
    </row>
    <row r="130" spans="1:11" x14ac:dyDescent="0.25">
      <c r="A130" s="470">
        <v>75008</v>
      </c>
      <c r="B130" s="470" t="s">
        <v>817</v>
      </c>
      <c r="C130" s="470" t="s">
        <v>818</v>
      </c>
      <c r="D130" s="470" t="s">
        <v>1345</v>
      </c>
      <c r="E130" s="470" t="s">
        <v>1346</v>
      </c>
      <c r="F130" s="470" t="s">
        <v>1351</v>
      </c>
      <c r="G130" s="471"/>
      <c r="H130" s="471"/>
      <c r="I130" s="470">
        <v>690</v>
      </c>
      <c r="J130" s="470">
        <v>0</v>
      </c>
      <c r="K130" s="474" t="str">
        <f ca="1">INDEX(INDIRECT("'"&amp;RIGHT(Tableau3[[#This Row],[Dep]],2)*1&amp;"è'"&amp;"!d:d"),MATCH(C130,INDIRECT("'"&amp;RIGHT(Tableau3[[#This Row],[Dep]],2)*1&amp;"è'"&amp;"!c:c"),0))</f>
        <v>FT</v>
      </c>
    </row>
    <row r="131" spans="1:11" x14ac:dyDescent="0.25">
      <c r="A131" s="470">
        <v>75008</v>
      </c>
      <c r="B131" s="470" t="s">
        <v>256</v>
      </c>
      <c r="C131" s="470" t="s">
        <v>1465</v>
      </c>
      <c r="D131" s="470" t="s">
        <v>1466</v>
      </c>
      <c r="E131" s="470" t="s">
        <v>1346</v>
      </c>
      <c r="F131" s="470" t="s">
        <v>1351</v>
      </c>
      <c r="G131" s="470" t="s">
        <v>1348</v>
      </c>
      <c r="H131" s="471"/>
      <c r="I131" s="472">
        <v>2314</v>
      </c>
      <c r="J131" s="470">
        <v>0</v>
      </c>
      <c r="K131" s="474" t="e">
        <f ca="1">INDEX(INDIRECT("'"&amp;RIGHT(Tableau3[[#This Row],[Dep]],2)*1&amp;"è'"&amp;"!d:d"),MATCH(C131,INDIRECT("'"&amp;RIGHT(Tableau3[[#This Row],[Dep]],2)*1&amp;"è'"&amp;"!c:c"),0))</f>
        <v>#N/A</v>
      </c>
    </row>
    <row r="132" spans="1:11" x14ac:dyDescent="0.25">
      <c r="A132" s="470">
        <v>75008</v>
      </c>
      <c r="B132" s="470" t="s">
        <v>258</v>
      </c>
      <c r="C132" s="470" t="s">
        <v>1467</v>
      </c>
      <c r="D132" s="470" t="s">
        <v>1345</v>
      </c>
      <c r="E132" s="470" t="s">
        <v>1346</v>
      </c>
      <c r="F132" s="470" t="s">
        <v>1349</v>
      </c>
      <c r="G132" s="471"/>
      <c r="H132" s="470" t="s">
        <v>1348</v>
      </c>
      <c r="I132" s="470">
        <v>204</v>
      </c>
      <c r="J132" s="470">
        <v>0</v>
      </c>
      <c r="K132" s="474" t="e">
        <f ca="1">INDEX(INDIRECT("'"&amp;RIGHT(Tableau3[[#This Row],[Dep]],2)*1&amp;"è'"&amp;"!d:d"),MATCH(C132,INDIRECT("'"&amp;RIGHT(Tableau3[[#This Row],[Dep]],2)*1&amp;"è'"&amp;"!c:c"),0))</f>
        <v>#N/A</v>
      </c>
    </row>
    <row r="133" spans="1:11" x14ac:dyDescent="0.25">
      <c r="A133" s="470">
        <v>75008</v>
      </c>
      <c r="B133" s="470" t="s">
        <v>936</v>
      </c>
      <c r="C133" s="470" t="s">
        <v>937</v>
      </c>
      <c r="D133" s="470" t="s">
        <v>1345</v>
      </c>
      <c r="E133" s="470" t="s">
        <v>1346</v>
      </c>
      <c r="F133" s="470" t="s">
        <v>1349</v>
      </c>
      <c r="G133" s="471"/>
      <c r="H133" s="471"/>
      <c r="I133" s="470">
        <v>88</v>
      </c>
      <c r="J133" s="470">
        <v>0</v>
      </c>
      <c r="K133" s="474" t="str">
        <f ca="1">INDEX(INDIRECT("'"&amp;RIGHT(Tableau3[[#This Row],[Dep]],2)*1&amp;"è'"&amp;"!d:d"),MATCH(C133,INDIRECT("'"&amp;RIGHT(Tableau3[[#This Row],[Dep]],2)*1&amp;"è'"&amp;"!c:c"),0))</f>
        <v>SC</v>
      </c>
    </row>
    <row r="134" spans="1:11" x14ac:dyDescent="0.25">
      <c r="A134" s="470">
        <v>75008</v>
      </c>
      <c r="B134" s="470" t="s">
        <v>1468</v>
      </c>
      <c r="C134" s="470" t="s">
        <v>1469</v>
      </c>
      <c r="D134" s="470" t="s">
        <v>1345</v>
      </c>
      <c r="E134" s="470" t="s">
        <v>1346</v>
      </c>
      <c r="F134" s="470" t="s">
        <v>1351</v>
      </c>
      <c r="G134" s="471"/>
      <c r="H134" s="471"/>
      <c r="I134" s="470">
        <v>51.6</v>
      </c>
      <c r="J134" s="470">
        <v>0</v>
      </c>
      <c r="K134" s="474" t="e">
        <f ca="1">INDEX(INDIRECT("'"&amp;RIGHT(Tableau3[[#This Row],[Dep]],2)*1&amp;"è'"&amp;"!d:d"),MATCH(C134,INDIRECT("'"&amp;RIGHT(Tableau3[[#This Row],[Dep]],2)*1&amp;"è'"&amp;"!c:c"),0))</f>
        <v>#N/A</v>
      </c>
    </row>
    <row r="135" spans="1:11" x14ac:dyDescent="0.25">
      <c r="A135" s="470">
        <v>75008</v>
      </c>
      <c r="B135" s="470" t="s">
        <v>387</v>
      </c>
      <c r="C135" s="470" t="s">
        <v>1470</v>
      </c>
      <c r="D135" s="470" t="s">
        <v>1345</v>
      </c>
      <c r="E135" s="470" t="s">
        <v>1346</v>
      </c>
      <c r="F135" s="470" t="s">
        <v>1351</v>
      </c>
      <c r="G135" s="471"/>
      <c r="H135" s="471"/>
      <c r="I135" s="470">
        <v>156.5</v>
      </c>
      <c r="J135" s="470">
        <v>0</v>
      </c>
      <c r="K135" s="474" t="e">
        <f ca="1">INDEX(INDIRECT("'"&amp;RIGHT(Tableau3[[#This Row],[Dep]],2)*1&amp;"è'"&amp;"!d:d"),MATCH(C135,INDIRECT("'"&amp;RIGHT(Tableau3[[#This Row],[Dep]],2)*1&amp;"è'"&amp;"!c:c"),0))</f>
        <v>#N/A</v>
      </c>
    </row>
    <row r="136" spans="1:11" x14ac:dyDescent="0.25">
      <c r="A136" s="470">
        <v>75008</v>
      </c>
      <c r="B136" s="470" t="s">
        <v>823</v>
      </c>
      <c r="C136" s="470" t="s">
        <v>824</v>
      </c>
      <c r="D136" s="470" t="s">
        <v>1345</v>
      </c>
      <c r="E136" s="470" t="s">
        <v>1416</v>
      </c>
      <c r="F136" s="471"/>
      <c r="G136" s="471"/>
      <c r="H136" s="471"/>
      <c r="I136" s="470">
        <v>348</v>
      </c>
      <c r="J136" s="470">
        <v>0</v>
      </c>
      <c r="K136" s="474" t="str">
        <f ca="1">INDEX(INDIRECT("'"&amp;RIGHT(Tableau3[[#This Row],[Dep]],2)*1&amp;"è'"&amp;"!d:d"),MATCH(C136,INDIRECT("'"&amp;RIGHT(Tableau3[[#This Row],[Dep]],2)*1&amp;"è'"&amp;"!c:c"),0))</f>
        <v>refus</v>
      </c>
    </row>
    <row r="137" spans="1:11" x14ac:dyDescent="0.25">
      <c r="A137" s="470">
        <v>75008</v>
      </c>
      <c r="B137" s="470" t="s">
        <v>389</v>
      </c>
      <c r="C137" s="470" t="s">
        <v>1471</v>
      </c>
      <c r="D137" s="470" t="s">
        <v>1345</v>
      </c>
      <c r="E137" s="470" t="s">
        <v>1346</v>
      </c>
      <c r="F137" s="470" t="s">
        <v>1347</v>
      </c>
      <c r="G137" s="471"/>
      <c r="H137" s="471"/>
      <c r="I137" s="470">
        <v>60</v>
      </c>
      <c r="J137" s="470">
        <v>0</v>
      </c>
      <c r="K137" s="474" t="e">
        <f ca="1">INDEX(INDIRECT("'"&amp;RIGHT(Tableau3[[#This Row],[Dep]],2)*1&amp;"è'"&amp;"!d:d"),MATCH(C137,INDIRECT("'"&amp;RIGHT(Tableau3[[#This Row],[Dep]],2)*1&amp;"è'"&amp;"!c:c"),0))</f>
        <v>#N/A</v>
      </c>
    </row>
    <row r="138" spans="1:11" x14ac:dyDescent="0.25">
      <c r="A138" s="470">
        <v>75008</v>
      </c>
      <c r="B138" s="470" t="s">
        <v>266</v>
      </c>
      <c r="C138" s="470" t="s">
        <v>1472</v>
      </c>
      <c r="D138" s="470" t="s">
        <v>1345</v>
      </c>
      <c r="E138" s="470" t="s">
        <v>1346</v>
      </c>
      <c r="F138" s="470" t="s">
        <v>1351</v>
      </c>
      <c r="G138" s="470" t="s">
        <v>1348</v>
      </c>
      <c r="H138" s="470" t="s">
        <v>1348</v>
      </c>
      <c r="I138" s="470">
        <v>227</v>
      </c>
      <c r="J138" s="470">
        <v>0</v>
      </c>
      <c r="K138" s="474" t="e">
        <f ca="1">INDEX(INDIRECT("'"&amp;RIGHT(Tableau3[[#This Row],[Dep]],2)*1&amp;"è'"&amp;"!d:d"),MATCH(C138,INDIRECT("'"&amp;RIGHT(Tableau3[[#This Row],[Dep]],2)*1&amp;"è'"&amp;"!c:c"),0))</f>
        <v>#N/A</v>
      </c>
    </row>
    <row r="139" spans="1:11" x14ac:dyDescent="0.25">
      <c r="A139" s="470">
        <v>75008</v>
      </c>
      <c r="B139" s="470" t="s">
        <v>828</v>
      </c>
      <c r="C139" s="470" t="s">
        <v>829</v>
      </c>
      <c r="D139" s="470" t="s">
        <v>1345</v>
      </c>
      <c r="E139" s="470" t="s">
        <v>1346</v>
      </c>
      <c r="F139" s="470" t="s">
        <v>1349</v>
      </c>
      <c r="G139" s="471"/>
      <c r="H139" s="471"/>
      <c r="I139" s="470">
        <v>188</v>
      </c>
      <c r="J139" s="470">
        <v>0</v>
      </c>
      <c r="K139" s="474" t="str">
        <f ca="1">INDEX(INDIRECT("'"&amp;RIGHT(Tableau3[[#This Row],[Dep]],2)*1&amp;"è'"&amp;"!d:d"),MATCH(C139,INDIRECT("'"&amp;RIGHT(Tableau3[[#This Row],[Dep]],2)*1&amp;"è'"&amp;"!c:c"),0))</f>
        <v>SC</v>
      </c>
    </row>
    <row r="140" spans="1:11" x14ac:dyDescent="0.25">
      <c r="A140" s="470">
        <v>75009</v>
      </c>
      <c r="B140" s="470" t="s">
        <v>830</v>
      </c>
      <c r="C140" s="470" t="s">
        <v>831</v>
      </c>
      <c r="D140" s="470" t="s">
        <v>1473</v>
      </c>
      <c r="E140" s="470" t="s">
        <v>1346</v>
      </c>
      <c r="F140" s="470" t="s">
        <v>1351</v>
      </c>
      <c r="G140" s="470" t="s">
        <v>1348</v>
      </c>
      <c r="H140" s="470" t="s">
        <v>1348</v>
      </c>
      <c r="I140" s="470">
        <v>536</v>
      </c>
      <c r="J140" s="470">
        <v>0</v>
      </c>
      <c r="K140" s="474" t="str">
        <f ca="1">INDEX(INDIRECT("'"&amp;RIGHT(Tableau3[[#This Row],[Dep]],2)*1&amp;"è'"&amp;"!d:d"),MATCH(C140,INDIRECT("'"&amp;RIGHT(Tableau3[[#This Row],[Dep]],2)*1&amp;"è'"&amp;"!c:c"),0))</f>
        <v>FT</v>
      </c>
    </row>
    <row r="141" spans="1:11" x14ac:dyDescent="0.25">
      <c r="A141" s="470">
        <v>75009</v>
      </c>
      <c r="B141" s="470" t="s">
        <v>393</v>
      </c>
      <c r="C141" s="470" t="s">
        <v>1474</v>
      </c>
      <c r="D141" s="470" t="s">
        <v>1345</v>
      </c>
      <c r="E141" s="470" t="s">
        <v>1346</v>
      </c>
      <c r="F141" s="470" t="s">
        <v>1349</v>
      </c>
      <c r="G141" s="471"/>
      <c r="H141" s="471"/>
      <c r="I141" s="470">
        <v>258</v>
      </c>
      <c r="J141" s="470">
        <v>0</v>
      </c>
      <c r="K141" s="474" t="e">
        <f ca="1">INDEX(INDIRECT("'"&amp;RIGHT(Tableau3[[#This Row],[Dep]],2)*1&amp;"è'"&amp;"!d:d"),MATCH(C141,INDIRECT("'"&amp;RIGHT(Tableau3[[#This Row],[Dep]],2)*1&amp;"è'"&amp;"!c:c"),0))</f>
        <v>#N/A</v>
      </c>
    </row>
    <row r="142" spans="1:11" x14ac:dyDescent="0.25">
      <c r="A142" s="470">
        <v>75009</v>
      </c>
      <c r="B142" s="470" t="s">
        <v>395</v>
      </c>
      <c r="C142" s="470" t="s">
        <v>1475</v>
      </c>
      <c r="D142" s="470" t="s">
        <v>1345</v>
      </c>
      <c r="E142" s="470" t="s">
        <v>1346</v>
      </c>
      <c r="F142" s="470" t="s">
        <v>1349</v>
      </c>
      <c r="G142" s="471"/>
      <c r="H142" s="471"/>
      <c r="I142" s="470">
        <v>970</v>
      </c>
      <c r="J142" s="470">
        <v>0</v>
      </c>
      <c r="K142" s="474" t="e">
        <f ca="1">INDEX(INDIRECT("'"&amp;RIGHT(Tableau3[[#This Row],[Dep]],2)*1&amp;"è'"&amp;"!d:d"),MATCH(C142,INDIRECT("'"&amp;RIGHT(Tableau3[[#This Row],[Dep]],2)*1&amp;"è'"&amp;"!c:c"),0))</f>
        <v>#N/A</v>
      </c>
    </row>
    <row r="143" spans="1:11" x14ac:dyDescent="0.25">
      <c r="A143" s="470">
        <v>75009</v>
      </c>
      <c r="B143" s="470" t="s">
        <v>397</v>
      </c>
      <c r="C143" s="470" t="s">
        <v>1476</v>
      </c>
      <c r="D143" s="470" t="s">
        <v>1345</v>
      </c>
      <c r="E143" s="470" t="s">
        <v>1346</v>
      </c>
      <c r="F143" s="470" t="s">
        <v>1349</v>
      </c>
      <c r="G143" s="471"/>
      <c r="H143" s="471"/>
      <c r="I143" s="470">
        <v>108</v>
      </c>
      <c r="J143" s="470">
        <v>0</v>
      </c>
      <c r="K143" s="474" t="e">
        <f ca="1">INDEX(INDIRECT("'"&amp;RIGHT(Tableau3[[#This Row],[Dep]],2)*1&amp;"è'"&amp;"!d:d"),MATCH(C143,INDIRECT("'"&amp;RIGHT(Tableau3[[#This Row],[Dep]],2)*1&amp;"è'"&amp;"!c:c"),0))</f>
        <v>#N/A</v>
      </c>
    </row>
    <row r="144" spans="1:11" x14ac:dyDescent="0.25">
      <c r="A144" s="470">
        <v>75009</v>
      </c>
      <c r="B144" s="470" t="s">
        <v>591</v>
      </c>
      <c r="C144" s="470" t="s">
        <v>1477</v>
      </c>
      <c r="D144" s="470" t="s">
        <v>1345</v>
      </c>
      <c r="E144" s="470" t="s">
        <v>1346</v>
      </c>
      <c r="F144" s="470" t="s">
        <v>1349</v>
      </c>
      <c r="G144" s="471"/>
      <c r="H144" s="471"/>
      <c r="I144" s="470">
        <v>611</v>
      </c>
      <c r="J144" s="470">
        <v>0</v>
      </c>
      <c r="K144" s="474" t="e">
        <f ca="1">INDEX(INDIRECT("'"&amp;RIGHT(Tableau3[[#This Row],[Dep]],2)*1&amp;"è'"&amp;"!d:d"),MATCH(C144,INDIRECT("'"&amp;RIGHT(Tableau3[[#This Row],[Dep]],2)*1&amp;"è'"&amp;"!c:c"),0))</f>
        <v>#N/A</v>
      </c>
    </row>
    <row r="145" spans="1:11" x14ac:dyDescent="0.25">
      <c r="A145" s="470">
        <v>75009</v>
      </c>
      <c r="B145" s="470" t="s">
        <v>1478</v>
      </c>
      <c r="C145" s="470" t="s">
        <v>1479</v>
      </c>
      <c r="D145" s="470" t="s">
        <v>1345</v>
      </c>
      <c r="E145" s="470" t="s">
        <v>1346</v>
      </c>
      <c r="F145" s="470" t="s">
        <v>1349</v>
      </c>
      <c r="G145" s="471"/>
      <c r="H145" s="470" t="s">
        <v>1348</v>
      </c>
      <c r="I145" s="470">
        <v>44</v>
      </c>
      <c r="J145" s="470">
        <v>0</v>
      </c>
      <c r="K145" s="474" t="e">
        <f ca="1">INDEX(INDIRECT("'"&amp;RIGHT(Tableau3[[#This Row],[Dep]],2)*1&amp;"è'"&amp;"!d:d"),MATCH(C145,INDIRECT("'"&amp;RIGHT(Tableau3[[#This Row],[Dep]],2)*1&amp;"è'"&amp;"!c:c"),0))</f>
        <v>#N/A</v>
      </c>
    </row>
    <row r="146" spans="1:11" x14ac:dyDescent="0.25">
      <c r="A146" s="470">
        <v>75009</v>
      </c>
      <c r="B146" s="470" t="s">
        <v>1230</v>
      </c>
      <c r="C146" s="470" t="s">
        <v>1231</v>
      </c>
      <c r="D146" s="470" t="s">
        <v>1345</v>
      </c>
      <c r="E146" s="470" t="s">
        <v>1346</v>
      </c>
      <c r="F146" s="470" t="s">
        <v>1347</v>
      </c>
      <c r="G146" s="471"/>
      <c r="H146" s="471"/>
      <c r="I146" s="470">
        <v>115</v>
      </c>
      <c r="J146" s="470">
        <v>0</v>
      </c>
      <c r="K146" s="474" t="str">
        <f ca="1">INDEX(INDIRECT("'"&amp;RIGHT(Tableau3[[#This Row],[Dep]],2)*1&amp;"è'"&amp;"!d:d"),MATCH(C146,INDIRECT("'"&amp;RIGHT(Tableau3[[#This Row],[Dep]],2)*1&amp;"è'"&amp;"!c:c"),0))</f>
        <v>PH</v>
      </c>
    </row>
    <row r="147" spans="1:11" x14ac:dyDescent="0.25">
      <c r="A147" s="470">
        <v>75009</v>
      </c>
      <c r="B147" s="470" t="s">
        <v>834</v>
      </c>
      <c r="C147" s="470" t="s">
        <v>835</v>
      </c>
      <c r="D147" s="470" t="s">
        <v>1345</v>
      </c>
      <c r="E147" s="470" t="s">
        <v>1346</v>
      </c>
      <c r="F147" s="470" t="s">
        <v>1347</v>
      </c>
      <c r="G147" s="471"/>
      <c r="H147" s="471"/>
      <c r="I147" s="470">
        <v>790</v>
      </c>
      <c r="J147" s="470">
        <v>0</v>
      </c>
      <c r="K147" s="474" t="str">
        <f ca="1">INDEX(INDIRECT("'"&amp;RIGHT(Tableau3[[#This Row],[Dep]],2)*1&amp;"è'"&amp;"!d:d"),MATCH(C147,INDIRECT("'"&amp;RIGHT(Tableau3[[#This Row],[Dep]],2)*1&amp;"è'"&amp;"!c:c"),0))</f>
        <v>PH</v>
      </c>
    </row>
    <row r="148" spans="1:11" x14ac:dyDescent="0.25">
      <c r="A148" s="470">
        <v>75009</v>
      </c>
      <c r="B148" s="470" t="s">
        <v>401</v>
      </c>
      <c r="C148" s="470" t="s">
        <v>1480</v>
      </c>
      <c r="D148" s="470" t="s">
        <v>1345</v>
      </c>
      <c r="E148" s="470" t="s">
        <v>1346</v>
      </c>
      <c r="F148" s="470" t="s">
        <v>1347</v>
      </c>
      <c r="G148" s="471"/>
      <c r="H148" s="470" t="s">
        <v>1348</v>
      </c>
      <c r="I148" s="470">
        <v>200</v>
      </c>
      <c r="J148" s="470">
        <v>0</v>
      </c>
      <c r="K148" s="474" t="e">
        <f ca="1">INDEX(INDIRECT("'"&amp;RIGHT(Tableau3[[#This Row],[Dep]],2)*1&amp;"è'"&amp;"!d:d"),MATCH(C148,INDIRECT("'"&amp;RIGHT(Tableau3[[#This Row],[Dep]],2)*1&amp;"è'"&amp;"!c:c"),0))</f>
        <v>#N/A</v>
      </c>
    </row>
    <row r="149" spans="1:11" x14ac:dyDescent="0.25">
      <c r="A149" s="470">
        <v>75009</v>
      </c>
      <c r="B149" s="470" t="s">
        <v>1481</v>
      </c>
      <c r="C149" s="470" t="s">
        <v>1482</v>
      </c>
      <c r="D149" s="470" t="s">
        <v>1345</v>
      </c>
      <c r="E149" s="470" t="s">
        <v>1346</v>
      </c>
      <c r="F149" s="470" t="s">
        <v>1347</v>
      </c>
      <c r="G149" s="470" t="s">
        <v>1348</v>
      </c>
      <c r="H149" s="470" t="s">
        <v>1348</v>
      </c>
      <c r="I149" s="470">
        <v>176</v>
      </c>
      <c r="J149" s="470">
        <v>0</v>
      </c>
      <c r="K149" s="474" t="e">
        <f ca="1">INDEX(INDIRECT("'"&amp;RIGHT(Tableau3[[#This Row],[Dep]],2)*1&amp;"è'"&amp;"!d:d"),MATCH(C149,INDIRECT("'"&amp;RIGHT(Tableau3[[#This Row],[Dep]],2)*1&amp;"è'"&amp;"!c:c"),0))</f>
        <v>#N/A</v>
      </c>
    </row>
    <row r="150" spans="1:11" x14ac:dyDescent="0.25">
      <c r="A150" s="470">
        <v>75009</v>
      </c>
      <c r="B150" s="470" t="s">
        <v>1232</v>
      </c>
      <c r="C150" s="470" t="s">
        <v>1233</v>
      </c>
      <c r="D150" s="470" t="s">
        <v>1345</v>
      </c>
      <c r="E150" s="470" t="s">
        <v>1346</v>
      </c>
      <c r="F150" s="470" t="s">
        <v>1351</v>
      </c>
      <c r="G150" s="471"/>
      <c r="H150" s="470" t="s">
        <v>1348</v>
      </c>
      <c r="I150" s="470">
        <v>488</v>
      </c>
      <c r="J150" s="470">
        <v>0</v>
      </c>
      <c r="K150" s="474" t="str">
        <f ca="1">INDEX(INDIRECT("'"&amp;RIGHT(Tableau3[[#This Row],[Dep]],2)*1&amp;"è'"&amp;"!d:d"),MATCH(C150,INDIRECT("'"&amp;RIGHT(Tableau3[[#This Row],[Dep]],2)*1&amp;"è'"&amp;"!c:c"),0))</f>
        <v>FT</v>
      </c>
    </row>
    <row r="151" spans="1:11" x14ac:dyDescent="0.25">
      <c r="A151" s="470">
        <v>75009</v>
      </c>
      <c r="B151" s="470" t="s">
        <v>1234</v>
      </c>
      <c r="C151" s="470" t="s">
        <v>1235</v>
      </c>
      <c r="D151" s="470" t="s">
        <v>1345</v>
      </c>
      <c r="E151" s="470" t="s">
        <v>1346</v>
      </c>
      <c r="F151" s="470" t="s">
        <v>1347</v>
      </c>
      <c r="G151" s="471"/>
      <c r="H151" s="470" t="s">
        <v>1348</v>
      </c>
      <c r="I151" s="470">
        <v>198</v>
      </c>
      <c r="J151" s="470">
        <v>0</v>
      </c>
      <c r="K151" s="474" t="str">
        <f ca="1">INDEX(INDIRECT("'"&amp;RIGHT(Tableau3[[#This Row],[Dep]],2)*1&amp;"è'"&amp;"!d:d"),MATCH(C151,INDIRECT("'"&amp;RIGHT(Tableau3[[#This Row],[Dep]],2)*1&amp;"è'"&amp;"!c:c"),0))</f>
        <v>PH</v>
      </c>
    </row>
    <row r="152" spans="1:11" x14ac:dyDescent="0.25">
      <c r="A152" s="470">
        <v>75009</v>
      </c>
      <c r="B152" s="470" t="s">
        <v>408</v>
      </c>
      <c r="C152" s="470" t="s">
        <v>1483</v>
      </c>
      <c r="D152" s="470" t="s">
        <v>1345</v>
      </c>
      <c r="E152" s="470" t="s">
        <v>1346</v>
      </c>
      <c r="F152" s="470" t="s">
        <v>1349</v>
      </c>
      <c r="G152" s="471"/>
      <c r="H152" s="470" t="s">
        <v>1348</v>
      </c>
      <c r="I152" s="470">
        <v>100</v>
      </c>
      <c r="J152" s="470">
        <v>0</v>
      </c>
      <c r="K152" s="474" t="e">
        <f ca="1">INDEX(INDIRECT("'"&amp;RIGHT(Tableau3[[#This Row],[Dep]],2)*1&amp;"è'"&amp;"!d:d"),MATCH(C152,INDIRECT("'"&amp;RIGHT(Tableau3[[#This Row],[Dep]],2)*1&amp;"è'"&amp;"!c:c"),0))</f>
        <v>#N/A</v>
      </c>
    </row>
    <row r="153" spans="1:11" x14ac:dyDescent="0.25">
      <c r="A153" s="470">
        <v>75009</v>
      </c>
      <c r="B153" s="470" t="s">
        <v>1484</v>
      </c>
      <c r="C153" s="470" t="s">
        <v>1485</v>
      </c>
      <c r="D153" s="470" t="s">
        <v>1345</v>
      </c>
      <c r="E153" s="470" t="s">
        <v>1416</v>
      </c>
      <c r="F153" s="471"/>
      <c r="G153" s="471"/>
      <c r="H153" s="471"/>
      <c r="I153" s="470">
        <v>436</v>
      </c>
      <c r="J153" s="470">
        <v>0</v>
      </c>
      <c r="K153" s="474" t="e">
        <f ca="1">INDEX(INDIRECT("'"&amp;RIGHT(Tableau3[[#This Row],[Dep]],2)*1&amp;"è'"&amp;"!d:d"),MATCH(C153,INDIRECT("'"&amp;RIGHT(Tableau3[[#This Row],[Dep]],2)*1&amp;"è'"&amp;"!c:c"),0))</f>
        <v>#N/A</v>
      </c>
    </row>
    <row r="154" spans="1:11" x14ac:dyDescent="0.25">
      <c r="A154" s="470">
        <v>75009</v>
      </c>
      <c r="B154" s="470" t="s">
        <v>410</v>
      </c>
      <c r="C154" s="470" t="s">
        <v>1486</v>
      </c>
      <c r="D154" s="470" t="s">
        <v>1345</v>
      </c>
      <c r="E154" s="470" t="s">
        <v>1346</v>
      </c>
      <c r="F154" s="470" t="s">
        <v>1349</v>
      </c>
      <c r="G154" s="471"/>
      <c r="H154" s="471"/>
      <c r="I154" s="470">
        <v>121</v>
      </c>
      <c r="J154" s="470">
        <v>0</v>
      </c>
      <c r="K154" s="474" t="e">
        <f ca="1">INDEX(INDIRECT("'"&amp;RIGHT(Tableau3[[#This Row],[Dep]],2)*1&amp;"è'"&amp;"!d:d"),MATCH(C154,INDIRECT("'"&amp;RIGHT(Tableau3[[#This Row],[Dep]],2)*1&amp;"è'"&amp;"!c:c"),0))</f>
        <v>#N/A</v>
      </c>
    </row>
    <row r="155" spans="1:11" x14ac:dyDescent="0.25">
      <c r="A155" s="470">
        <v>75009</v>
      </c>
      <c r="B155" s="470" t="s">
        <v>1487</v>
      </c>
      <c r="C155" s="470" t="s">
        <v>1488</v>
      </c>
      <c r="D155" s="470" t="s">
        <v>1345</v>
      </c>
      <c r="E155" s="470" t="s">
        <v>1416</v>
      </c>
      <c r="F155" s="471"/>
      <c r="G155" s="471"/>
      <c r="H155" s="471"/>
      <c r="I155" s="470">
        <v>200</v>
      </c>
      <c r="J155" s="470">
        <v>0</v>
      </c>
      <c r="K155" s="474" t="e">
        <f ca="1">INDEX(INDIRECT("'"&amp;RIGHT(Tableau3[[#This Row],[Dep]],2)*1&amp;"è'"&amp;"!d:d"),MATCH(C155,INDIRECT("'"&amp;RIGHT(Tableau3[[#This Row],[Dep]],2)*1&amp;"è'"&amp;"!c:c"),0))</f>
        <v>#N/A</v>
      </c>
    </row>
    <row r="156" spans="1:11" x14ac:dyDescent="0.25">
      <c r="A156" s="470">
        <v>75009</v>
      </c>
      <c r="B156" s="470" t="s">
        <v>840</v>
      </c>
      <c r="C156" s="470" t="s">
        <v>841</v>
      </c>
      <c r="D156" s="470" t="s">
        <v>1345</v>
      </c>
      <c r="E156" s="470" t="s">
        <v>1346</v>
      </c>
      <c r="F156" s="470" t="s">
        <v>1351</v>
      </c>
      <c r="G156" s="470" t="s">
        <v>1348</v>
      </c>
      <c r="H156" s="470" t="s">
        <v>1348</v>
      </c>
      <c r="I156" s="470">
        <v>270</v>
      </c>
      <c r="J156" s="470">
        <v>0</v>
      </c>
      <c r="K156" s="474" t="str">
        <f ca="1">INDEX(INDIRECT("'"&amp;RIGHT(Tableau3[[#This Row],[Dep]],2)*1&amp;"è'"&amp;"!d:d"),MATCH(C156,INDIRECT("'"&amp;RIGHT(Tableau3[[#This Row],[Dep]],2)*1&amp;"è'"&amp;"!c:c"),0))</f>
        <v>FT</v>
      </c>
    </row>
    <row r="157" spans="1:11" x14ac:dyDescent="0.25">
      <c r="A157" s="470">
        <v>75009</v>
      </c>
      <c r="B157" s="470" t="s">
        <v>593</v>
      </c>
      <c r="C157" s="470" t="s">
        <v>1489</v>
      </c>
      <c r="D157" s="470" t="s">
        <v>1345</v>
      </c>
      <c r="E157" s="470" t="s">
        <v>1346</v>
      </c>
      <c r="F157" s="470" t="s">
        <v>1349</v>
      </c>
      <c r="G157" s="471"/>
      <c r="H157" s="470" t="s">
        <v>1348</v>
      </c>
      <c r="I157" s="470">
        <v>588</v>
      </c>
      <c r="J157" s="470">
        <v>0</v>
      </c>
      <c r="K157" s="474" t="e">
        <f ca="1">INDEX(INDIRECT("'"&amp;RIGHT(Tableau3[[#This Row],[Dep]],2)*1&amp;"è'"&amp;"!d:d"),MATCH(C157,INDIRECT("'"&amp;RIGHT(Tableau3[[#This Row],[Dep]],2)*1&amp;"è'"&amp;"!c:c"),0))</f>
        <v>#N/A</v>
      </c>
    </row>
    <row r="158" spans="1:11" x14ac:dyDescent="0.25">
      <c r="A158" s="470">
        <v>75009</v>
      </c>
      <c r="B158" s="470" t="s">
        <v>1243</v>
      </c>
      <c r="C158" s="470" t="s">
        <v>1244</v>
      </c>
      <c r="D158" s="470" t="s">
        <v>1345</v>
      </c>
      <c r="E158" s="470" t="s">
        <v>1346</v>
      </c>
      <c r="F158" s="470" t="s">
        <v>1351</v>
      </c>
      <c r="G158" s="471"/>
      <c r="H158" s="471"/>
      <c r="I158" s="470">
        <v>68</v>
      </c>
      <c r="J158" s="470">
        <v>0</v>
      </c>
      <c r="K158" s="474" t="str">
        <f ca="1">INDEX(INDIRECT("'"&amp;RIGHT(Tableau3[[#This Row],[Dep]],2)*1&amp;"è'"&amp;"!d:d"),MATCH(C158,INDIRECT("'"&amp;RIGHT(Tableau3[[#This Row],[Dep]],2)*1&amp;"è'"&amp;"!c:c"),0))</f>
        <v>FT</v>
      </c>
    </row>
    <row r="159" spans="1:11" x14ac:dyDescent="0.25">
      <c r="A159" s="470">
        <v>75009</v>
      </c>
      <c r="B159" s="470" t="s">
        <v>1490</v>
      </c>
      <c r="C159" s="470" t="s">
        <v>1491</v>
      </c>
      <c r="D159" s="470" t="s">
        <v>1345</v>
      </c>
      <c r="E159" s="470" t="s">
        <v>1416</v>
      </c>
      <c r="F159" s="471"/>
      <c r="G159" s="470" t="s">
        <v>1348</v>
      </c>
      <c r="H159" s="471"/>
      <c r="I159" s="470">
        <v>573</v>
      </c>
      <c r="J159" s="470">
        <v>0</v>
      </c>
      <c r="K159" s="474" t="e">
        <f ca="1">INDEX(INDIRECT("'"&amp;RIGHT(Tableau3[[#This Row],[Dep]],2)*1&amp;"è'"&amp;"!d:d"),MATCH(C159,INDIRECT("'"&amp;RIGHT(Tableau3[[#This Row],[Dep]],2)*1&amp;"è'"&amp;"!c:c"),0))</f>
        <v>#N/A</v>
      </c>
    </row>
    <row r="160" spans="1:11" x14ac:dyDescent="0.25">
      <c r="A160" s="470">
        <v>75009</v>
      </c>
      <c r="B160" s="470" t="s">
        <v>844</v>
      </c>
      <c r="C160" s="470" t="s">
        <v>845</v>
      </c>
      <c r="D160" s="470" t="s">
        <v>1345</v>
      </c>
      <c r="E160" s="470" t="s">
        <v>1346</v>
      </c>
      <c r="F160" s="470" t="s">
        <v>1347</v>
      </c>
      <c r="G160" s="471"/>
      <c r="H160" s="470" t="s">
        <v>1348</v>
      </c>
      <c r="I160" s="470">
        <v>34</v>
      </c>
      <c r="J160" s="470">
        <v>0</v>
      </c>
      <c r="K160" s="474" t="str">
        <f ca="1">INDEX(INDIRECT("'"&amp;RIGHT(Tableau3[[#This Row],[Dep]],2)*1&amp;"è'"&amp;"!d:d"),MATCH(C160,INDIRECT("'"&amp;RIGHT(Tableau3[[#This Row],[Dep]],2)*1&amp;"è'"&amp;"!c:c"),0))</f>
        <v>PH</v>
      </c>
    </row>
    <row r="161" spans="1:11" x14ac:dyDescent="0.25">
      <c r="A161" s="470">
        <v>75009</v>
      </c>
      <c r="B161" s="470" t="s">
        <v>846</v>
      </c>
      <c r="C161" s="470" t="s">
        <v>847</v>
      </c>
      <c r="D161" s="470" t="s">
        <v>1345</v>
      </c>
      <c r="E161" s="470" t="s">
        <v>1346</v>
      </c>
      <c r="F161" s="470" t="s">
        <v>1347</v>
      </c>
      <c r="G161" s="471"/>
      <c r="H161" s="471"/>
      <c r="I161" s="470">
        <v>217</v>
      </c>
      <c r="J161" s="470">
        <v>0</v>
      </c>
      <c r="K161" s="474" t="str">
        <f ca="1">INDEX(INDIRECT("'"&amp;RIGHT(Tableau3[[#This Row],[Dep]],2)*1&amp;"è'"&amp;"!d:d"),MATCH(C161,INDIRECT("'"&amp;RIGHT(Tableau3[[#This Row],[Dep]],2)*1&amp;"è'"&amp;"!c:c"),0))</f>
        <v>PH</v>
      </c>
    </row>
    <row r="162" spans="1:11" x14ac:dyDescent="0.25">
      <c r="A162" s="470">
        <v>75009</v>
      </c>
      <c r="B162" s="470" t="s">
        <v>1492</v>
      </c>
      <c r="C162" s="470" t="s">
        <v>1493</v>
      </c>
      <c r="D162" s="470" t="s">
        <v>1345</v>
      </c>
      <c r="E162" s="470" t="s">
        <v>1346</v>
      </c>
      <c r="F162" s="470" t="s">
        <v>1347</v>
      </c>
      <c r="G162" s="470" t="s">
        <v>1348</v>
      </c>
      <c r="H162" s="470" t="s">
        <v>1348</v>
      </c>
      <c r="I162" s="470">
        <v>229</v>
      </c>
      <c r="J162" s="470">
        <v>0</v>
      </c>
      <c r="K162" s="474" t="e">
        <f ca="1">INDEX(INDIRECT("'"&amp;RIGHT(Tableau3[[#This Row],[Dep]],2)*1&amp;"è'"&amp;"!d:d"),MATCH(C162,INDIRECT("'"&amp;RIGHT(Tableau3[[#This Row],[Dep]],2)*1&amp;"è'"&amp;"!c:c"),0))</f>
        <v>#N/A</v>
      </c>
    </row>
    <row r="163" spans="1:11" x14ac:dyDescent="0.25">
      <c r="A163" s="470">
        <v>75009</v>
      </c>
      <c r="B163" s="470" t="s">
        <v>304</v>
      </c>
      <c r="C163" s="470" t="s">
        <v>1494</v>
      </c>
      <c r="D163" s="470" t="s">
        <v>1345</v>
      </c>
      <c r="E163" s="470" t="s">
        <v>1346</v>
      </c>
      <c r="F163" s="470" t="s">
        <v>1349</v>
      </c>
      <c r="G163" s="471"/>
      <c r="H163" s="471"/>
      <c r="I163" s="470">
        <v>324</v>
      </c>
      <c r="J163" s="470">
        <v>0</v>
      </c>
      <c r="K163" s="474" t="e">
        <f ca="1">INDEX(INDIRECT("'"&amp;RIGHT(Tableau3[[#This Row],[Dep]],2)*1&amp;"è'"&amp;"!d:d"),MATCH(C163,INDIRECT("'"&amp;RIGHT(Tableau3[[#This Row],[Dep]],2)*1&amp;"è'"&amp;"!c:c"),0))</f>
        <v>#N/A</v>
      </c>
    </row>
    <row r="164" spans="1:11" x14ac:dyDescent="0.25">
      <c r="A164" s="470">
        <v>75009</v>
      </c>
      <c r="B164" s="470" t="s">
        <v>848</v>
      </c>
      <c r="C164" s="470" t="s">
        <v>849</v>
      </c>
      <c r="D164" s="470" t="s">
        <v>1345</v>
      </c>
      <c r="E164" s="470" t="s">
        <v>1346</v>
      </c>
      <c r="F164" s="470" t="s">
        <v>1349</v>
      </c>
      <c r="G164" s="471"/>
      <c r="H164" s="471"/>
      <c r="I164" s="470">
        <v>68</v>
      </c>
      <c r="J164" s="470">
        <v>0</v>
      </c>
      <c r="K164" s="474" t="str">
        <f ca="1">INDEX(INDIRECT("'"&amp;RIGHT(Tableau3[[#This Row],[Dep]],2)*1&amp;"è'"&amp;"!d:d"),MATCH(C164,INDIRECT("'"&amp;RIGHT(Tableau3[[#This Row],[Dep]],2)*1&amp;"è'"&amp;"!c:c"),0))</f>
        <v>SC</v>
      </c>
    </row>
    <row r="165" spans="1:11" x14ac:dyDescent="0.25">
      <c r="A165" s="470">
        <v>75009</v>
      </c>
      <c r="B165" s="470" t="s">
        <v>1247</v>
      </c>
      <c r="C165" s="470" t="s">
        <v>1248</v>
      </c>
      <c r="D165" s="470" t="s">
        <v>1345</v>
      </c>
      <c r="E165" s="470" t="s">
        <v>1346</v>
      </c>
      <c r="F165" s="470" t="s">
        <v>1351</v>
      </c>
      <c r="G165" s="470" t="s">
        <v>1348</v>
      </c>
      <c r="H165" s="470" t="s">
        <v>1348</v>
      </c>
      <c r="I165" s="470">
        <v>120</v>
      </c>
      <c r="J165" s="470">
        <v>0</v>
      </c>
      <c r="K165" s="474" t="str">
        <f ca="1">INDEX(INDIRECT("'"&amp;RIGHT(Tableau3[[#This Row],[Dep]],2)*1&amp;"è'"&amp;"!d:d"),MATCH(C165,INDIRECT("'"&amp;RIGHT(Tableau3[[#This Row],[Dep]],2)*1&amp;"è'"&amp;"!c:c"),0))</f>
        <v>FT</v>
      </c>
    </row>
    <row r="166" spans="1:11" x14ac:dyDescent="0.25">
      <c r="A166" s="470">
        <v>75009</v>
      </c>
      <c r="B166" s="470" t="s">
        <v>1495</v>
      </c>
      <c r="C166" s="470" t="s">
        <v>1496</v>
      </c>
      <c r="D166" s="470" t="s">
        <v>1345</v>
      </c>
      <c r="E166" s="470" t="s">
        <v>1346</v>
      </c>
      <c r="F166" s="470" t="s">
        <v>1349</v>
      </c>
      <c r="G166" s="471"/>
      <c r="H166" s="470" t="s">
        <v>1348</v>
      </c>
      <c r="I166" s="470">
        <v>354</v>
      </c>
      <c r="J166" s="470">
        <v>0</v>
      </c>
      <c r="K166" s="474" t="e">
        <f ca="1">INDEX(INDIRECT("'"&amp;RIGHT(Tableau3[[#This Row],[Dep]],2)*1&amp;"è'"&amp;"!d:d"),MATCH(C166,INDIRECT("'"&amp;RIGHT(Tableau3[[#This Row],[Dep]],2)*1&amp;"è'"&amp;"!c:c"),0))</f>
        <v>#N/A</v>
      </c>
    </row>
    <row r="167" spans="1:11" x14ac:dyDescent="0.25">
      <c r="A167" s="470">
        <v>75009</v>
      </c>
      <c r="B167" s="470" t="s">
        <v>308</v>
      </c>
      <c r="C167" s="470" t="s">
        <v>1497</v>
      </c>
      <c r="D167" s="470" t="s">
        <v>1345</v>
      </c>
      <c r="E167" s="470" t="s">
        <v>1346</v>
      </c>
      <c r="F167" s="470" t="s">
        <v>1351</v>
      </c>
      <c r="G167" s="471"/>
      <c r="H167" s="471"/>
      <c r="I167" s="472">
        <v>1019.5</v>
      </c>
      <c r="J167" s="470">
        <v>0</v>
      </c>
      <c r="K167" s="474" t="e">
        <f ca="1">INDEX(INDIRECT("'"&amp;RIGHT(Tableau3[[#This Row],[Dep]],2)*1&amp;"è'"&amp;"!d:d"),MATCH(C167,INDIRECT("'"&amp;RIGHT(Tableau3[[#This Row],[Dep]],2)*1&amp;"è'"&amp;"!c:c"),0))</f>
        <v>#N/A</v>
      </c>
    </row>
    <row r="168" spans="1:11" x14ac:dyDescent="0.25">
      <c r="A168" s="470">
        <v>75009</v>
      </c>
      <c r="B168" s="470" t="s">
        <v>422</v>
      </c>
      <c r="C168" s="470" t="s">
        <v>1498</v>
      </c>
      <c r="D168" s="470" t="s">
        <v>1345</v>
      </c>
      <c r="E168" s="470" t="s">
        <v>1346</v>
      </c>
      <c r="F168" s="470" t="s">
        <v>1351</v>
      </c>
      <c r="G168" s="470" t="s">
        <v>1348</v>
      </c>
      <c r="H168" s="470" t="s">
        <v>1348</v>
      </c>
      <c r="I168" s="470">
        <v>500</v>
      </c>
      <c r="J168" s="470">
        <v>0</v>
      </c>
      <c r="K168" s="474" t="e">
        <f ca="1">INDEX(INDIRECT("'"&amp;RIGHT(Tableau3[[#This Row],[Dep]],2)*1&amp;"è'"&amp;"!d:d"),MATCH(C168,INDIRECT("'"&amp;RIGHT(Tableau3[[#This Row],[Dep]],2)*1&amp;"è'"&amp;"!c:c"),0))</f>
        <v>#N/A</v>
      </c>
    </row>
    <row r="169" spans="1:11" x14ac:dyDescent="0.25">
      <c r="A169" s="470">
        <v>75009</v>
      </c>
      <c r="B169" s="470" t="s">
        <v>310</v>
      </c>
      <c r="C169" s="470" t="s">
        <v>1499</v>
      </c>
      <c r="D169" s="470" t="s">
        <v>1345</v>
      </c>
      <c r="E169" s="470" t="s">
        <v>1346</v>
      </c>
      <c r="F169" s="470" t="s">
        <v>1351</v>
      </c>
      <c r="G169" s="470" t="s">
        <v>1348</v>
      </c>
      <c r="H169" s="470" t="s">
        <v>1348</v>
      </c>
      <c r="I169" s="470">
        <v>396</v>
      </c>
      <c r="J169" s="470">
        <v>0</v>
      </c>
      <c r="K169" s="474" t="e">
        <f ca="1">INDEX(INDIRECT("'"&amp;RIGHT(Tableau3[[#This Row],[Dep]],2)*1&amp;"è'"&amp;"!d:d"),MATCH(C169,INDIRECT("'"&amp;RIGHT(Tableau3[[#This Row],[Dep]],2)*1&amp;"è'"&amp;"!c:c"),0))</f>
        <v>#N/A</v>
      </c>
    </row>
    <row r="170" spans="1:11" x14ac:dyDescent="0.25">
      <c r="A170" s="470">
        <v>75009</v>
      </c>
      <c r="B170" s="470" t="s">
        <v>1253</v>
      </c>
      <c r="C170" s="470" t="s">
        <v>1254</v>
      </c>
      <c r="D170" s="470" t="s">
        <v>1345</v>
      </c>
      <c r="E170" s="470" t="s">
        <v>1416</v>
      </c>
      <c r="F170" s="471"/>
      <c r="G170" s="471"/>
      <c r="H170" s="471"/>
      <c r="I170" s="470">
        <v>688</v>
      </c>
      <c r="J170" s="470">
        <v>0</v>
      </c>
      <c r="K170" s="474" t="str">
        <f ca="1">INDEX(INDIRECT("'"&amp;RIGHT(Tableau3[[#This Row],[Dep]],2)*1&amp;"è'"&amp;"!d:d"),MATCH(C170,INDIRECT("'"&amp;RIGHT(Tableau3[[#This Row],[Dep]],2)*1&amp;"è'"&amp;"!c:c"),0))</f>
        <v>refus</v>
      </c>
    </row>
    <row r="171" spans="1:11" x14ac:dyDescent="0.25">
      <c r="A171" s="470">
        <v>75009</v>
      </c>
      <c r="B171" s="470" t="s">
        <v>424</v>
      </c>
      <c r="C171" s="470" t="s">
        <v>1500</v>
      </c>
      <c r="D171" s="470" t="s">
        <v>1345</v>
      </c>
      <c r="E171" s="470" t="s">
        <v>1346</v>
      </c>
      <c r="F171" s="470" t="s">
        <v>1351</v>
      </c>
      <c r="G171" s="470" t="s">
        <v>1348</v>
      </c>
      <c r="H171" s="470" t="s">
        <v>1348</v>
      </c>
      <c r="I171" s="470">
        <v>40</v>
      </c>
      <c r="J171" s="470">
        <v>0</v>
      </c>
      <c r="K171" s="474" t="e">
        <f ca="1">INDEX(INDIRECT("'"&amp;RIGHT(Tableau3[[#This Row],[Dep]],2)*1&amp;"è'"&amp;"!d:d"),MATCH(C171,INDIRECT("'"&amp;RIGHT(Tableau3[[#This Row],[Dep]],2)*1&amp;"è'"&amp;"!c:c"),0))</f>
        <v>#N/A</v>
      </c>
    </row>
    <row r="172" spans="1:11" x14ac:dyDescent="0.25">
      <c r="A172" s="470">
        <v>75009</v>
      </c>
      <c r="B172" s="470" t="s">
        <v>852</v>
      </c>
      <c r="C172" s="470" t="s">
        <v>853</v>
      </c>
      <c r="D172" s="470" t="s">
        <v>1345</v>
      </c>
      <c r="E172" s="470" t="s">
        <v>1346</v>
      </c>
      <c r="F172" s="470" t="s">
        <v>1349</v>
      </c>
      <c r="G172" s="471"/>
      <c r="H172" s="471"/>
      <c r="I172" s="470">
        <v>537</v>
      </c>
      <c r="J172" s="470">
        <v>0</v>
      </c>
      <c r="K172" s="474" t="str">
        <f ca="1">INDEX(INDIRECT("'"&amp;RIGHT(Tableau3[[#This Row],[Dep]],2)*1&amp;"è'"&amp;"!d:d"),MATCH(C172,INDIRECT("'"&amp;RIGHT(Tableau3[[#This Row],[Dep]],2)*1&amp;"è'"&amp;"!c:c"),0))</f>
        <v>SC</v>
      </c>
    </row>
    <row r="173" spans="1:11" x14ac:dyDescent="0.25">
      <c r="A173" s="470">
        <v>75009</v>
      </c>
      <c r="B173" s="470" t="s">
        <v>854</v>
      </c>
      <c r="C173" s="470" t="s">
        <v>855</v>
      </c>
      <c r="D173" s="470" t="s">
        <v>1345</v>
      </c>
      <c r="E173" s="470" t="s">
        <v>1346</v>
      </c>
      <c r="F173" s="470" t="s">
        <v>1349</v>
      </c>
      <c r="G173" s="471"/>
      <c r="H173" s="471"/>
      <c r="I173" s="470">
        <v>138</v>
      </c>
      <c r="J173" s="470">
        <v>0</v>
      </c>
      <c r="K173" s="474" t="str">
        <f ca="1">INDEX(INDIRECT("'"&amp;RIGHT(Tableau3[[#This Row],[Dep]],2)*1&amp;"è'"&amp;"!d:d"),MATCH(C173,INDIRECT("'"&amp;RIGHT(Tableau3[[#This Row],[Dep]],2)*1&amp;"è'"&amp;"!c:c"),0))</f>
        <v>SC</v>
      </c>
    </row>
    <row r="174" spans="1:11" x14ac:dyDescent="0.25">
      <c r="A174" s="470">
        <v>75009</v>
      </c>
      <c r="B174" s="470" t="s">
        <v>856</v>
      </c>
      <c r="C174" s="470" t="s">
        <v>857</v>
      </c>
      <c r="D174" s="470" t="s">
        <v>1345</v>
      </c>
      <c r="E174" s="470" t="s">
        <v>1346</v>
      </c>
      <c r="F174" s="470" t="s">
        <v>1351</v>
      </c>
      <c r="G174" s="470" t="s">
        <v>1348</v>
      </c>
      <c r="H174" s="470" t="s">
        <v>1348</v>
      </c>
      <c r="I174" s="470">
        <v>132</v>
      </c>
      <c r="J174" s="470">
        <v>0</v>
      </c>
      <c r="K174" s="474" t="str">
        <f ca="1">INDEX(INDIRECT("'"&amp;RIGHT(Tableau3[[#This Row],[Dep]],2)*1&amp;"è'"&amp;"!d:d"),MATCH(C174,INDIRECT("'"&amp;RIGHT(Tableau3[[#This Row],[Dep]],2)*1&amp;"è'"&amp;"!c:c"),0))</f>
        <v>FT</v>
      </c>
    </row>
    <row r="175" spans="1:11" x14ac:dyDescent="0.25">
      <c r="A175" s="470">
        <v>75009</v>
      </c>
      <c r="B175" s="470" t="s">
        <v>314</v>
      </c>
      <c r="C175" s="470" t="s">
        <v>1501</v>
      </c>
      <c r="D175" s="470" t="s">
        <v>1345</v>
      </c>
      <c r="E175" s="470" t="s">
        <v>1346</v>
      </c>
      <c r="F175" s="470" t="s">
        <v>1351</v>
      </c>
      <c r="G175" s="470" t="s">
        <v>1348</v>
      </c>
      <c r="H175" s="471"/>
      <c r="I175" s="470">
        <v>442</v>
      </c>
      <c r="J175" s="470">
        <v>0</v>
      </c>
      <c r="K175" s="474" t="e">
        <f ca="1">INDEX(INDIRECT("'"&amp;RIGHT(Tableau3[[#This Row],[Dep]],2)*1&amp;"è'"&amp;"!d:d"),MATCH(C175,INDIRECT("'"&amp;RIGHT(Tableau3[[#This Row],[Dep]],2)*1&amp;"è'"&amp;"!c:c"),0))</f>
        <v>#N/A</v>
      </c>
    </row>
    <row r="176" spans="1:11" x14ac:dyDescent="0.25">
      <c r="A176" s="470">
        <v>75009</v>
      </c>
      <c r="B176" s="470" t="s">
        <v>430</v>
      </c>
      <c r="C176" s="470" t="s">
        <v>1502</v>
      </c>
      <c r="D176" s="470" t="s">
        <v>1345</v>
      </c>
      <c r="E176" s="470" t="s">
        <v>1346</v>
      </c>
      <c r="F176" s="470" t="s">
        <v>1351</v>
      </c>
      <c r="G176" s="470" t="s">
        <v>1348</v>
      </c>
      <c r="H176" s="470" t="s">
        <v>1348</v>
      </c>
      <c r="I176" s="470">
        <v>280</v>
      </c>
      <c r="J176" s="470">
        <v>0</v>
      </c>
      <c r="K176" s="474" t="e">
        <f ca="1">INDEX(INDIRECT("'"&amp;RIGHT(Tableau3[[#This Row],[Dep]],2)*1&amp;"è'"&amp;"!d:d"),MATCH(C176,INDIRECT("'"&amp;RIGHT(Tableau3[[#This Row],[Dep]],2)*1&amp;"è'"&amp;"!c:c"),0))</f>
        <v>#N/A</v>
      </c>
    </row>
    <row r="177" spans="1:11" x14ac:dyDescent="0.25">
      <c r="A177" s="470">
        <v>75009</v>
      </c>
      <c r="B177" s="470" t="s">
        <v>954</v>
      </c>
      <c r="C177" s="470" t="s">
        <v>955</v>
      </c>
      <c r="D177" s="470" t="s">
        <v>1345</v>
      </c>
      <c r="E177" s="470" t="s">
        <v>1346</v>
      </c>
      <c r="F177" s="470" t="s">
        <v>1347</v>
      </c>
      <c r="G177" s="470" t="s">
        <v>1348</v>
      </c>
      <c r="H177" s="470" t="s">
        <v>1348</v>
      </c>
      <c r="I177" s="470">
        <v>49</v>
      </c>
      <c r="J177" s="470">
        <v>0</v>
      </c>
      <c r="K177" s="474" t="str">
        <f ca="1">INDEX(INDIRECT("'"&amp;RIGHT(Tableau3[[#This Row],[Dep]],2)*1&amp;"è'"&amp;"!d:d"),MATCH(C177,INDIRECT("'"&amp;RIGHT(Tableau3[[#This Row],[Dep]],2)*1&amp;"è'"&amp;"!c:c"),0))</f>
        <v>PH</v>
      </c>
    </row>
    <row r="178" spans="1:11" x14ac:dyDescent="0.25">
      <c r="A178" s="470">
        <v>75009</v>
      </c>
      <c r="B178" s="470" t="s">
        <v>1255</v>
      </c>
      <c r="C178" s="470" t="s">
        <v>1256</v>
      </c>
      <c r="D178" s="470" t="s">
        <v>1345</v>
      </c>
      <c r="E178" s="470" t="s">
        <v>1346</v>
      </c>
      <c r="F178" s="470" t="s">
        <v>1351</v>
      </c>
      <c r="G178" s="471"/>
      <c r="H178" s="471"/>
      <c r="I178" s="470">
        <v>217</v>
      </c>
      <c r="J178" s="470">
        <v>0</v>
      </c>
      <c r="K178" s="474" t="str">
        <f ca="1">INDEX(INDIRECT("'"&amp;RIGHT(Tableau3[[#This Row],[Dep]],2)*1&amp;"è'"&amp;"!d:d"),MATCH(C178,INDIRECT("'"&amp;RIGHT(Tableau3[[#This Row],[Dep]],2)*1&amp;"è'"&amp;"!c:c"),0))</f>
        <v>FT</v>
      </c>
    </row>
    <row r="179" spans="1:11" x14ac:dyDescent="0.25">
      <c r="A179" s="470">
        <v>75009</v>
      </c>
      <c r="B179" s="470" t="s">
        <v>861</v>
      </c>
      <c r="C179" s="470" t="s">
        <v>862</v>
      </c>
      <c r="D179" s="470" t="s">
        <v>1345</v>
      </c>
      <c r="E179" s="470" t="s">
        <v>1346</v>
      </c>
      <c r="F179" s="470" t="s">
        <v>1347</v>
      </c>
      <c r="G179" s="471"/>
      <c r="H179" s="471"/>
      <c r="I179" s="470">
        <v>716</v>
      </c>
      <c r="J179" s="470">
        <v>0</v>
      </c>
      <c r="K179" s="474" t="str">
        <f ca="1">INDEX(INDIRECT("'"&amp;RIGHT(Tableau3[[#This Row],[Dep]],2)*1&amp;"è'"&amp;"!d:d"),MATCH(C179,INDIRECT("'"&amp;RIGHT(Tableau3[[#This Row],[Dep]],2)*1&amp;"è'"&amp;"!c:c"),0))</f>
        <v>PH</v>
      </c>
    </row>
    <row r="180" spans="1:11" x14ac:dyDescent="0.25">
      <c r="A180" s="470">
        <v>75009</v>
      </c>
      <c r="B180" s="470" t="s">
        <v>1503</v>
      </c>
      <c r="C180" s="470" t="s">
        <v>1504</v>
      </c>
      <c r="D180" s="470" t="s">
        <v>1345</v>
      </c>
      <c r="E180" s="470" t="s">
        <v>1346</v>
      </c>
      <c r="F180" s="470" t="s">
        <v>1349</v>
      </c>
      <c r="G180" s="470" t="s">
        <v>1348</v>
      </c>
      <c r="H180" s="471"/>
      <c r="I180" s="470">
        <v>687</v>
      </c>
      <c r="J180" s="470">
        <v>0</v>
      </c>
      <c r="K180" s="474" t="e">
        <f ca="1">INDEX(INDIRECT("'"&amp;RIGHT(Tableau3[[#This Row],[Dep]],2)*1&amp;"è'"&amp;"!d:d"),MATCH(C180,INDIRECT("'"&amp;RIGHT(Tableau3[[#This Row],[Dep]],2)*1&amp;"è'"&amp;"!c:c"),0))</f>
        <v>#N/A</v>
      </c>
    </row>
    <row r="181" spans="1:11" x14ac:dyDescent="0.25">
      <c r="A181" s="470">
        <v>75010</v>
      </c>
      <c r="B181" s="470" t="s">
        <v>268</v>
      </c>
      <c r="C181" s="470" t="s">
        <v>1505</v>
      </c>
      <c r="D181" s="470" t="s">
        <v>1345</v>
      </c>
      <c r="E181" s="470" t="s">
        <v>1346</v>
      </c>
      <c r="F181" s="470" t="s">
        <v>1351</v>
      </c>
      <c r="G181" s="471"/>
      <c r="H181" s="470" t="s">
        <v>1348</v>
      </c>
      <c r="I181" s="470">
        <v>458</v>
      </c>
      <c r="J181" s="470">
        <v>0</v>
      </c>
      <c r="K181" s="474" t="e">
        <f ca="1">INDEX(INDIRECT("'"&amp;RIGHT(Tableau3[[#This Row],[Dep]],2)*1&amp;"è'"&amp;"!d:d"),MATCH(C181,INDIRECT("'"&amp;RIGHT(Tableau3[[#This Row],[Dep]],2)*1&amp;"è'"&amp;"!c:c"),0))</f>
        <v>#N/A</v>
      </c>
    </row>
    <row r="182" spans="1:11" x14ac:dyDescent="0.25">
      <c r="A182" s="470">
        <v>75010</v>
      </c>
      <c r="B182" s="470" t="s">
        <v>270</v>
      </c>
      <c r="C182" s="470" t="s">
        <v>1506</v>
      </c>
      <c r="D182" s="470" t="s">
        <v>1345</v>
      </c>
      <c r="E182" s="470" t="s">
        <v>1346</v>
      </c>
      <c r="F182" s="470" t="s">
        <v>1351</v>
      </c>
      <c r="G182" s="470" t="s">
        <v>1348</v>
      </c>
      <c r="H182" s="470" t="s">
        <v>1348</v>
      </c>
      <c r="I182" s="470">
        <v>398</v>
      </c>
      <c r="J182" s="470">
        <v>0</v>
      </c>
      <c r="K182" s="474" t="e">
        <f ca="1">INDEX(INDIRECT("'"&amp;RIGHT(Tableau3[[#This Row],[Dep]],2)*1&amp;"è'"&amp;"!d:d"),MATCH(C182,INDIRECT("'"&amp;RIGHT(Tableau3[[#This Row],[Dep]],2)*1&amp;"è'"&amp;"!c:c"),0))</f>
        <v>#N/A</v>
      </c>
    </row>
    <row r="183" spans="1:11" x14ac:dyDescent="0.25">
      <c r="A183" s="470">
        <v>75010</v>
      </c>
      <c r="B183" s="470" t="s">
        <v>432</v>
      </c>
      <c r="C183" s="470" t="s">
        <v>1507</v>
      </c>
      <c r="D183" s="470" t="s">
        <v>1345</v>
      </c>
      <c r="E183" s="470" t="s">
        <v>1346</v>
      </c>
      <c r="F183" s="470" t="s">
        <v>1351</v>
      </c>
      <c r="G183" s="470" t="s">
        <v>1348</v>
      </c>
      <c r="H183" s="470" t="s">
        <v>1348</v>
      </c>
      <c r="I183" s="470">
        <v>148</v>
      </c>
      <c r="J183" s="470">
        <v>0</v>
      </c>
      <c r="K183" s="474" t="e">
        <f ca="1">INDEX(INDIRECT("'"&amp;RIGHT(Tableau3[[#This Row],[Dep]],2)*1&amp;"è'"&amp;"!d:d"),MATCH(C183,INDIRECT("'"&amp;RIGHT(Tableau3[[#This Row],[Dep]],2)*1&amp;"è'"&amp;"!c:c"),0))</f>
        <v>#N/A</v>
      </c>
    </row>
    <row r="184" spans="1:11" x14ac:dyDescent="0.25">
      <c r="A184" s="470">
        <v>75010</v>
      </c>
      <c r="B184" s="470" t="s">
        <v>863</v>
      </c>
      <c r="C184" s="470" t="s">
        <v>864</v>
      </c>
      <c r="D184" s="470" t="s">
        <v>1345</v>
      </c>
      <c r="E184" s="470" t="s">
        <v>1346</v>
      </c>
      <c r="F184" s="470" t="s">
        <v>1351</v>
      </c>
      <c r="G184" s="471"/>
      <c r="H184" s="470" t="s">
        <v>1348</v>
      </c>
      <c r="I184" s="470">
        <v>218</v>
      </c>
      <c r="J184" s="470">
        <v>0</v>
      </c>
      <c r="K184" s="474" t="str">
        <f ca="1">INDEX(INDIRECT("'"&amp;RIGHT(Tableau3[[#This Row],[Dep]],2)*1&amp;"è'"&amp;"!d:d"),MATCH(C184,INDIRECT("'"&amp;RIGHT(Tableau3[[#This Row],[Dep]],2)*1&amp;"è'"&amp;"!c:c"),0))</f>
        <v>FT</v>
      </c>
    </row>
    <row r="185" spans="1:11" x14ac:dyDescent="0.25">
      <c r="A185" s="470">
        <v>75010</v>
      </c>
      <c r="B185" s="470" t="s">
        <v>1508</v>
      </c>
      <c r="C185" s="470" t="s">
        <v>1509</v>
      </c>
      <c r="D185" s="470" t="s">
        <v>1345</v>
      </c>
      <c r="E185" s="470" t="s">
        <v>1346</v>
      </c>
      <c r="F185" s="470" t="s">
        <v>1349</v>
      </c>
      <c r="G185" s="471"/>
      <c r="H185" s="470" t="s">
        <v>1348</v>
      </c>
      <c r="I185" s="470">
        <v>200</v>
      </c>
      <c r="J185" s="470">
        <v>0</v>
      </c>
      <c r="K185" s="474" t="e">
        <f ca="1">INDEX(INDIRECT("'"&amp;RIGHT(Tableau3[[#This Row],[Dep]],2)*1&amp;"è'"&amp;"!d:d"),MATCH(C185,INDIRECT("'"&amp;RIGHT(Tableau3[[#This Row],[Dep]],2)*1&amp;"è'"&amp;"!c:c"),0))</f>
        <v>#N/A</v>
      </c>
    </row>
    <row r="186" spans="1:11" x14ac:dyDescent="0.25">
      <c r="A186" s="470">
        <v>75010</v>
      </c>
      <c r="B186" s="470" t="s">
        <v>1510</v>
      </c>
      <c r="C186" s="470" t="s">
        <v>1511</v>
      </c>
      <c r="D186" s="470" t="s">
        <v>1345</v>
      </c>
      <c r="E186" s="470" t="s">
        <v>1346</v>
      </c>
      <c r="F186" s="470" t="s">
        <v>1347</v>
      </c>
      <c r="G186" s="471"/>
      <c r="H186" s="470" t="s">
        <v>1348</v>
      </c>
      <c r="I186" s="470">
        <v>107</v>
      </c>
      <c r="J186" s="470">
        <v>0</v>
      </c>
      <c r="K186" s="474" t="e">
        <f ca="1">INDEX(INDIRECT("'"&amp;RIGHT(Tableau3[[#This Row],[Dep]],2)*1&amp;"è'"&amp;"!d:d"),MATCH(C186,INDIRECT("'"&amp;RIGHT(Tableau3[[#This Row],[Dep]],2)*1&amp;"è'"&amp;"!c:c"),0))</f>
        <v>#N/A</v>
      </c>
    </row>
    <row r="187" spans="1:11" x14ac:dyDescent="0.25">
      <c r="A187" s="470">
        <v>75010</v>
      </c>
      <c r="B187" s="470" t="s">
        <v>274</v>
      </c>
      <c r="C187" s="470" t="s">
        <v>1512</v>
      </c>
      <c r="D187" s="470" t="s">
        <v>1345</v>
      </c>
      <c r="E187" s="470" t="s">
        <v>1346</v>
      </c>
      <c r="F187" s="470" t="s">
        <v>1351</v>
      </c>
      <c r="G187" s="470" t="s">
        <v>1348</v>
      </c>
      <c r="H187" s="470" t="s">
        <v>1348</v>
      </c>
      <c r="I187" s="470">
        <v>320</v>
      </c>
      <c r="J187" s="470">
        <v>0</v>
      </c>
      <c r="K187" s="474" t="e">
        <f ca="1">INDEX(INDIRECT("'"&amp;RIGHT(Tableau3[[#This Row],[Dep]],2)*1&amp;"è'"&amp;"!d:d"),MATCH(C187,INDIRECT("'"&amp;RIGHT(Tableau3[[#This Row],[Dep]],2)*1&amp;"è'"&amp;"!c:c"),0))</f>
        <v>#N/A</v>
      </c>
    </row>
    <row r="188" spans="1:11" x14ac:dyDescent="0.25">
      <c r="A188" s="470">
        <v>75010</v>
      </c>
      <c r="B188" s="470" t="s">
        <v>960</v>
      </c>
      <c r="C188" s="470" t="s">
        <v>961</v>
      </c>
      <c r="D188" s="470" t="s">
        <v>1345</v>
      </c>
      <c r="E188" s="470" t="s">
        <v>1346</v>
      </c>
      <c r="F188" s="470" t="s">
        <v>1351</v>
      </c>
      <c r="G188" s="471"/>
      <c r="H188" s="470" t="s">
        <v>1348</v>
      </c>
      <c r="I188" s="470">
        <v>398</v>
      </c>
      <c r="J188" s="470">
        <v>0</v>
      </c>
      <c r="K188" s="474" t="str">
        <f ca="1">INDEX(INDIRECT("'"&amp;RIGHT(Tableau3[[#This Row],[Dep]],2)*1&amp;"è'"&amp;"!d:d"),MATCH(C188,INDIRECT("'"&amp;RIGHT(Tableau3[[#This Row],[Dep]],2)*1&amp;"è'"&amp;"!c:c"),0))</f>
        <v>FT</v>
      </c>
    </row>
    <row r="189" spans="1:11" x14ac:dyDescent="0.25">
      <c r="A189" s="470">
        <v>75010</v>
      </c>
      <c r="B189" s="470" t="s">
        <v>865</v>
      </c>
      <c r="C189" s="470" t="s">
        <v>866</v>
      </c>
      <c r="D189" s="470" t="s">
        <v>1345</v>
      </c>
      <c r="E189" s="470" t="s">
        <v>1346</v>
      </c>
      <c r="F189" s="470" t="s">
        <v>1349</v>
      </c>
      <c r="G189" s="471"/>
      <c r="H189" s="471"/>
      <c r="I189" s="470">
        <v>188</v>
      </c>
      <c r="J189" s="470">
        <v>0</v>
      </c>
      <c r="K189" s="474" t="str">
        <f ca="1">INDEX(INDIRECT("'"&amp;RIGHT(Tableau3[[#This Row],[Dep]],2)*1&amp;"è'"&amp;"!d:d"),MATCH(C189,INDIRECT("'"&amp;RIGHT(Tableau3[[#This Row],[Dep]],2)*1&amp;"è'"&amp;"!c:c"),0))</f>
        <v>SC</v>
      </c>
    </row>
    <row r="190" spans="1:11" x14ac:dyDescent="0.25">
      <c r="A190" s="470">
        <v>75010</v>
      </c>
      <c r="B190" s="470" t="s">
        <v>962</v>
      </c>
      <c r="C190" s="470" t="s">
        <v>963</v>
      </c>
      <c r="D190" s="470" t="s">
        <v>1345</v>
      </c>
      <c r="E190" s="470" t="s">
        <v>1346</v>
      </c>
      <c r="F190" s="470" t="s">
        <v>1347</v>
      </c>
      <c r="G190" s="471"/>
      <c r="H190" s="471"/>
      <c r="I190" s="470">
        <v>339</v>
      </c>
      <c r="J190" s="470">
        <v>0</v>
      </c>
      <c r="K190" s="474" t="str">
        <f ca="1">INDEX(INDIRECT("'"&amp;RIGHT(Tableau3[[#This Row],[Dep]],2)*1&amp;"è'"&amp;"!d:d"),MATCH(C190,INDIRECT("'"&amp;RIGHT(Tableau3[[#This Row],[Dep]],2)*1&amp;"è'"&amp;"!c:c"),0))</f>
        <v>PH</v>
      </c>
    </row>
    <row r="191" spans="1:11" x14ac:dyDescent="0.25">
      <c r="A191" s="470">
        <v>75010</v>
      </c>
      <c r="B191" s="470" t="s">
        <v>276</v>
      </c>
      <c r="C191" s="470" t="s">
        <v>1513</v>
      </c>
      <c r="D191" s="470" t="s">
        <v>1345</v>
      </c>
      <c r="E191" s="470" t="s">
        <v>1346</v>
      </c>
      <c r="F191" s="470" t="s">
        <v>1351</v>
      </c>
      <c r="G191" s="470" t="s">
        <v>1348</v>
      </c>
      <c r="H191" s="470" t="s">
        <v>1348</v>
      </c>
      <c r="I191" s="472">
        <v>1015</v>
      </c>
      <c r="J191" s="470">
        <v>0</v>
      </c>
      <c r="K191" s="474" t="e">
        <f ca="1">INDEX(INDIRECT("'"&amp;RIGHT(Tableau3[[#This Row],[Dep]],2)*1&amp;"è'"&amp;"!d:d"),MATCH(C191,INDIRECT("'"&amp;RIGHT(Tableau3[[#This Row],[Dep]],2)*1&amp;"è'"&amp;"!c:c"),0))</f>
        <v>#N/A</v>
      </c>
    </row>
    <row r="192" spans="1:11" x14ac:dyDescent="0.25">
      <c r="A192" s="470">
        <v>75010</v>
      </c>
      <c r="B192" s="470" t="s">
        <v>1514</v>
      </c>
      <c r="C192" s="470" t="s">
        <v>1515</v>
      </c>
      <c r="D192" s="470" t="s">
        <v>1345</v>
      </c>
      <c r="E192" s="470" t="s">
        <v>1346</v>
      </c>
      <c r="F192" s="470" t="s">
        <v>1349</v>
      </c>
      <c r="G192" s="471"/>
      <c r="H192" s="470" t="s">
        <v>1348</v>
      </c>
      <c r="I192" s="470">
        <v>236</v>
      </c>
      <c r="J192" s="470">
        <v>0</v>
      </c>
      <c r="K192" s="474" t="e">
        <f ca="1">INDEX(INDIRECT("'"&amp;RIGHT(Tableau3[[#This Row],[Dep]],2)*1&amp;"è'"&amp;"!d:d"),MATCH(C192,INDIRECT("'"&amp;RIGHT(Tableau3[[#This Row],[Dep]],2)*1&amp;"è'"&amp;"!c:c"),0))</f>
        <v>#N/A</v>
      </c>
    </row>
    <row r="193" spans="1:11" x14ac:dyDescent="0.25">
      <c r="A193" s="470">
        <v>75010</v>
      </c>
      <c r="B193" s="470" t="s">
        <v>278</v>
      </c>
      <c r="C193" s="470" t="s">
        <v>1516</v>
      </c>
      <c r="D193" s="470" t="s">
        <v>1345</v>
      </c>
      <c r="E193" s="470" t="s">
        <v>1346</v>
      </c>
      <c r="F193" s="470" t="s">
        <v>1349</v>
      </c>
      <c r="G193" s="471"/>
      <c r="H193" s="470" t="s">
        <v>1348</v>
      </c>
      <c r="I193" s="470">
        <v>286</v>
      </c>
      <c r="J193" s="470">
        <v>0</v>
      </c>
      <c r="K193" s="474" t="e">
        <f ca="1">INDEX(INDIRECT("'"&amp;RIGHT(Tableau3[[#This Row],[Dep]],2)*1&amp;"è'"&amp;"!d:d"),MATCH(C193,INDIRECT("'"&amp;RIGHT(Tableau3[[#This Row],[Dep]],2)*1&amp;"è'"&amp;"!c:c"),0))</f>
        <v>#N/A</v>
      </c>
    </row>
    <row r="194" spans="1:11" x14ac:dyDescent="0.25">
      <c r="A194" s="470">
        <v>75010</v>
      </c>
      <c r="B194" s="470" t="s">
        <v>280</v>
      </c>
      <c r="C194" s="470" t="s">
        <v>1517</v>
      </c>
      <c r="D194" s="470" t="s">
        <v>1345</v>
      </c>
      <c r="E194" s="470" t="s">
        <v>1346</v>
      </c>
      <c r="F194" s="470" t="s">
        <v>1351</v>
      </c>
      <c r="G194" s="471"/>
      <c r="H194" s="470" t="s">
        <v>1348</v>
      </c>
      <c r="I194" s="472">
        <v>1350</v>
      </c>
      <c r="J194" s="470">
        <v>0</v>
      </c>
      <c r="K194" s="474" t="e">
        <f ca="1">INDEX(INDIRECT("'"&amp;RIGHT(Tableau3[[#This Row],[Dep]],2)*1&amp;"è'"&amp;"!d:d"),MATCH(C194,INDIRECT("'"&amp;RIGHT(Tableau3[[#This Row],[Dep]],2)*1&amp;"è'"&amp;"!c:c"),0))</f>
        <v>#N/A</v>
      </c>
    </row>
    <row r="195" spans="1:11" x14ac:dyDescent="0.25">
      <c r="A195" s="470">
        <v>75010</v>
      </c>
      <c r="B195" s="470" t="s">
        <v>1195</v>
      </c>
      <c r="C195" s="470" t="s">
        <v>1196</v>
      </c>
      <c r="D195" s="470" t="s">
        <v>1345</v>
      </c>
      <c r="E195" s="470" t="s">
        <v>1346</v>
      </c>
      <c r="F195" s="470" t="s">
        <v>1351</v>
      </c>
      <c r="G195" s="471"/>
      <c r="H195" s="471"/>
      <c r="I195" s="470">
        <v>156.5</v>
      </c>
      <c r="J195" s="470">
        <v>0</v>
      </c>
      <c r="K195" s="474" t="str">
        <f ca="1">INDEX(INDIRECT("'"&amp;RIGHT(Tableau3[[#This Row],[Dep]],2)*1&amp;"è'"&amp;"!d:d"),MATCH(C195,INDIRECT("'"&amp;RIGHT(Tableau3[[#This Row],[Dep]],2)*1&amp;"è'"&amp;"!c:c"),0))</f>
        <v>FT</v>
      </c>
    </row>
    <row r="196" spans="1:11" x14ac:dyDescent="0.25">
      <c r="A196" s="470">
        <v>75010</v>
      </c>
      <c r="B196" s="470" t="s">
        <v>1197</v>
      </c>
      <c r="C196" s="470" t="s">
        <v>1198</v>
      </c>
      <c r="D196" s="470" t="s">
        <v>1345</v>
      </c>
      <c r="E196" s="470" t="s">
        <v>1346</v>
      </c>
      <c r="F196" s="470" t="s">
        <v>1351</v>
      </c>
      <c r="G196" s="470" t="s">
        <v>1348</v>
      </c>
      <c r="H196" s="470" t="s">
        <v>1348</v>
      </c>
      <c r="I196" s="470">
        <v>56</v>
      </c>
      <c r="J196" s="470">
        <v>0</v>
      </c>
      <c r="K196" s="474" t="str">
        <f ca="1">INDEX(INDIRECT("'"&amp;RIGHT(Tableau3[[#This Row],[Dep]],2)*1&amp;"è'"&amp;"!d:d"),MATCH(C196,INDIRECT("'"&amp;RIGHT(Tableau3[[#This Row],[Dep]],2)*1&amp;"è'"&amp;"!c:c"),0))</f>
        <v>FT</v>
      </c>
    </row>
    <row r="197" spans="1:11" x14ac:dyDescent="0.25">
      <c r="A197" s="470">
        <v>75010</v>
      </c>
      <c r="B197" s="470" t="s">
        <v>599</v>
      </c>
      <c r="C197" s="470" t="s">
        <v>1518</v>
      </c>
      <c r="D197" s="470" t="s">
        <v>1345</v>
      </c>
      <c r="E197" s="470" t="s">
        <v>1346</v>
      </c>
      <c r="F197" s="470" t="s">
        <v>1349</v>
      </c>
      <c r="G197" s="471"/>
      <c r="H197" s="471"/>
      <c r="I197" s="470">
        <v>333</v>
      </c>
      <c r="J197" s="470">
        <v>0</v>
      </c>
      <c r="K197" s="474" t="e">
        <f ca="1">INDEX(INDIRECT("'"&amp;RIGHT(Tableau3[[#This Row],[Dep]],2)*1&amp;"è'"&amp;"!d:d"),MATCH(C197,INDIRECT("'"&amp;RIGHT(Tableau3[[#This Row],[Dep]],2)*1&amp;"è'"&amp;"!c:c"),0))</f>
        <v>#N/A</v>
      </c>
    </row>
    <row r="198" spans="1:11" x14ac:dyDescent="0.25">
      <c r="A198" s="470">
        <v>75010</v>
      </c>
      <c r="B198" s="470" t="s">
        <v>1199</v>
      </c>
      <c r="C198" s="470" t="s">
        <v>1200</v>
      </c>
      <c r="D198" s="470" t="s">
        <v>1345</v>
      </c>
      <c r="E198" s="470" t="s">
        <v>1346</v>
      </c>
      <c r="F198" s="470" t="s">
        <v>1349</v>
      </c>
      <c r="G198" s="471"/>
      <c r="H198" s="470" t="s">
        <v>1348</v>
      </c>
      <c r="I198" s="470">
        <v>148</v>
      </c>
      <c r="J198" s="470">
        <v>0</v>
      </c>
      <c r="K198" s="474" t="str">
        <f ca="1">INDEX(INDIRECT("'"&amp;RIGHT(Tableau3[[#This Row],[Dep]],2)*1&amp;"è'"&amp;"!d:d"),MATCH(C198,INDIRECT("'"&amp;RIGHT(Tableau3[[#This Row],[Dep]],2)*1&amp;"è'"&amp;"!c:c"),0))</f>
        <v>SC</v>
      </c>
    </row>
    <row r="199" spans="1:11" x14ac:dyDescent="0.25">
      <c r="A199" s="470">
        <v>75010</v>
      </c>
      <c r="B199" s="470" t="s">
        <v>1519</v>
      </c>
      <c r="C199" s="470" t="s">
        <v>968</v>
      </c>
      <c r="D199" s="470" t="s">
        <v>1345</v>
      </c>
      <c r="E199" s="470" t="s">
        <v>1346</v>
      </c>
      <c r="F199" s="470" t="s">
        <v>1349</v>
      </c>
      <c r="G199" s="471"/>
      <c r="H199" s="470" t="s">
        <v>1348</v>
      </c>
      <c r="I199" s="470">
        <v>314</v>
      </c>
      <c r="J199" s="470">
        <v>0</v>
      </c>
      <c r="K199" s="474" t="str">
        <f ca="1">INDEX(INDIRECT("'"&amp;RIGHT(Tableau3[[#This Row],[Dep]],2)*1&amp;"è'"&amp;"!d:d"),MATCH(C199,INDIRECT("'"&amp;RIGHT(Tableau3[[#This Row],[Dep]],2)*1&amp;"è'"&amp;"!c:c"),0))</f>
        <v>SC</v>
      </c>
    </row>
    <row r="200" spans="1:11" x14ac:dyDescent="0.25">
      <c r="A200" s="470">
        <v>75010</v>
      </c>
      <c r="B200" s="470" t="s">
        <v>603</v>
      </c>
      <c r="C200" s="470" t="s">
        <v>1520</v>
      </c>
      <c r="D200" s="470" t="s">
        <v>1345</v>
      </c>
      <c r="E200" s="470" t="s">
        <v>1346</v>
      </c>
      <c r="F200" s="470" t="s">
        <v>1351</v>
      </c>
      <c r="G200" s="470" t="s">
        <v>1348</v>
      </c>
      <c r="H200" s="471"/>
      <c r="I200" s="470">
        <v>94</v>
      </c>
      <c r="J200" s="470">
        <v>0</v>
      </c>
      <c r="K200" s="474" t="e">
        <f ca="1">INDEX(INDIRECT("'"&amp;RIGHT(Tableau3[[#This Row],[Dep]],2)*1&amp;"è'"&amp;"!d:d"),MATCH(C200,INDIRECT("'"&amp;RIGHT(Tableau3[[#This Row],[Dep]],2)*1&amp;"è'"&amp;"!c:c"),0))</f>
        <v>#N/A</v>
      </c>
    </row>
    <row r="201" spans="1:11" x14ac:dyDescent="0.25">
      <c r="A201" s="470">
        <v>75010</v>
      </c>
      <c r="B201" s="470" t="s">
        <v>1521</v>
      </c>
      <c r="C201" s="470" t="s">
        <v>1522</v>
      </c>
      <c r="D201" s="470" t="s">
        <v>1345</v>
      </c>
      <c r="E201" s="470" t="s">
        <v>1346</v>
      </c>
      <c r="F201" s="470" t="s">
        <v>1349</v>
      </c>
      <c r="G201" s="471"/>
      <c r="H201" s="471"/>
      <c r="I201" s="470">
        <v>40</v>
      </c>
      <c r="J201" s="470">
        <v>0</v>
      </c>
      <c r="K201" s="474" t="e">
        <f ca="1">INDEX(INDIRECT("'"&amp;RIGHT(Tableau3[[#This Row],[Dep]],2)*1&amp;"è'"&amp;"!d:d"),MATCH(C201,INDIRECT("'"&amp;RIGHT(Tableau3[[#This Row],[Dep]],2)*1&amp;"è'"&amp;"!c:c"),0))</f>
        <v>#N/A</v>
      </c>
    </row>
    <row r="202" spans="1:11" x14ac:dyDescent="0.25">
      <c r="A202" s="470">
        <v>75010</v>
      </c>
      <c r="B202" s="470" t="s">
        <v>1523</v>
      </c>
      <c r="C202" s="470" t="s">
        <v>1524</v>
      </c>
      <c r="D202" s="470" t="s">
        <v>1345</v>
      </c>
      <c r="E202" s="470" t="s">
        <v>1346</v>
      </c>
      <c r="F202" s="470" t="s">
        <v>1347</v>
      </c>
      <c r="G202" s="470" t="s">
        <v>1348</v>
      </c>
      <c r="H202" s="470" t="s">
        <v>1348</v>
      </c>
      <c r="I202" s="470">
        <v>132</v>
      </c>
      <c r="J202" s="470">
        <v>0</v>
      </c>
      <c r="K202" s="474" t="e">
        <f ca="1">INDEX(INDIRECT("'"&amp;RIGHT(Tableau3[[#This Row],[Dep]],2)*1&amp;"è'"&amp;"!d:d"),MATCH(C202,INDIRECT("'"&amp;RIGHT(Tableau3[[#This Row],[Dep]],2)*1&amp;"è'"&amp;"!c:c"),0))</f>
        <v>#N/A</v>
      </c>
    </row>
    <row r="203" spans="1:11" x14ac:dyDescent="0.25">
      <c r="A203" s="470">
        <v>75010</v>
      </c>
      <c r="B203" s="470" t="s">
        <v>284</v>
      </c>
      <c r="C203" s="470" t="s">
        <v>1525</v>
      </c>
      <c r="D203" s="470" t="s">
        <v>1345</v>
      </c>
      <c r="E203" s="470" t="s">
        <v>1346</v>
      </c>
      <c r="F203" s="470" t="s">
        <v>1351</v>
      </c>
      <c r="G203" s="470" t="s">
        <v>1348</v>
      </c>
      <c r="H203" s="470" t="s">
        <v>1348</v>
      </c>
      <c r="I203" s="472">
        <v>1630</v>
      </c>
      <c r="J203" s="470">
        <v>0</v>
      </c>
      <c r="K203" s="474" t="e">
        <f ca="1">INDEX(INDIRECT("'"&amp;RIGHT(Tableau3[[#This Row],[Dep]],2)*1&amp;"è'"&amp;"!d:d"),MATCH(C203,INDIRECT("'"&amp;RIGHT(Tableau3[[#This Row],[Dep]],2)*1&amp;"è'"&amp;"!c:c"),0))</f>
        <v>#N/A</v>
      </c>
    </row>
    <row r="204" spans="1:11" x14ac:dyDescent="0.25">
      <c r="A204" s="470">
        <v>75010</v>
      </c>
      <c r="B204" s="470" t="s">
        <v>1526</v>
      </c>
      <c r="C204" s="470" t="s">
        <v>1527</v>
      </c>
      <c r="D204" s="470" t="s">
        <v>1345</v>
      </c>
      <c r="E204" s="470" t="s">
        <v>1346</v>
      </c>
      <c r="F204" s="470" t="s">
        <v>1351</v>
      </c>
      <c r="G204" s="471"/>
      <c r="H204" s="470" t="s">
        <v>1348</v>
      </c>
      <c r="I204" s="470">
        <v>22</v>
      </c>
      <c r="J204" s="470">
        <v>0</v>
      </c>
      <c r="K204" s="474" t="e">
        <f ca="1">INDEX(INDIRECT("'"&amp;RIGHT(Tableau3[[#This Row],[Dep]],2)*1&amp;"è'"&amp;"!d:d"),MATCH(C204,INDIRECT("'"&amp;RIGHT(Tableau3[[#This Row],[Dep]],2)*1&amp;"è'"&amp;"!c:c"),0))</f>
        <v>#N/A</v>
      </c>
    </row>
    <row r="205" spans="1:11" x14ac:dyDescent="0.25">
      <c r="A205" s="470">
        <v>75010</v>
      </c>
      <c r="B205" s="470" t="s">
        <v>442</v>
      </c>
      <c r="C205" s="470" t="s">
        <v>1528</v>
      </c>
      <c r="D205" s="470" t="s">
        <v>1345</v>
      </c>
      <c r="E205" s="470" t="s">
        <v>1346</v>
      </c>
      <c r="F205" s="470" t="s">
        <v>1351</v>
      </c>
      <c r="G205" s="470" t="s">
        <v>1348</v>
      </c>
      <c r="H205" s="470" t="s">
        <v>1348</v>
      </c>
      <c r="I205" s="470">
        <v>68</v>
      </c>
      <c r="J205" s="470">
        <v>0</v>
      </c>
      <c r="K205" s="474" t="e">
        <f ca="1">INDEX(INDIRECT("'"&amp;RIGHT(Tableau3[[#This Row],[Dep]],2)*1&amp;"è'"&amp;"!d:d"),MATCH(C205,INDIRECT("'"&amp;RIGHT(Tableau3[[#This Row],[Dep]],2)*1&amp;"è'"&amp;"!c:c"),0))</f>
        <v>#N/A</v>
      </c>
    </row>
    <row r="206" spans="1:11" x14ac:dyDescent="0.25">
      <c r="A206" s="470">
        <v>75010</v>
      </c>
      <c r="B206" s="470" t="s">
        <v>286</v>
      </c>
      <c r="C206" s="470" t="s">
        <v>1529</v>
      </c>
      <c r="D206" s="470" t="s">
        <v>1345</v>
      </c>
      <c r="E206" s="470" t="s">
        <v>1346</v>
      </c>
      <c r="F206" s="470" t="s">
        <v>1351</v>
      </c>
      <c r="G206" s="471"/>
      <c r="H206" s="470" t="s">
        <v>1348</v>
      </c>
      <c r="I206" s="470">
        <v>582</v>
      </c>
      <c r="J206" s="470">
        <v>0</v>
      </c>
      <c r="K206" s="474" t="e">
        <f ca="1">INDEX(INDIRECT("'"&amp;RIGHT(Tableau3[[#This Row],[Dep]],2)*1&amp;"è'"&amp;"!d:d"),MATCH(C206,INDIRECT("'"&amp;RIGHT(Tableau3[[#This Row],[Dep]],2)*1&amp;"è'"&amp;"!c:c"),0))</f>
        <v>#N/A</v>
      </c>
    </row>
    <row r="207" spans="1:11" x14ac:dyDescent="0.25">
      <c r="A207" s="470">
        <v>75011</v>
      </c>
      <c r="B207" s="470" t="s">
        <v>1530</v>
      </c>
      <c r="C207" s="470" t="s">
        <v>1531</v>
      </c>
      <c r="D207" s="470" t="s">
        <v>1345</v>
      </c>
      <c r="E207" s="470" t="s">
        <v>1346</v>
      </c>
      <c r="F207" s="470" t="s">
        <v>1349</v>
      </c>
      <c r="G207" s="471"/>
      <c r="H207" s="470" t="s">
        <v>1348</v>
      </c>
      <c r="I207" s="470">
        <v>917</v>
      </c>
      <c r="J207" s="470">
        <v>0</v>
      </c>
      <c r="K207" s="474" t="e">
        <f ca="1">INDEX(INDIRECT("'"&amp;RIGHT(Tableau3[[#This Row],[Dep]],2)*1&amp;"è'"&amp;"!d:d"),MATCH(C207,INDIRECT("'"&amp;RIGHT(Tableau3[[#This Row],[Dep]],2)*1&amp;"è'"&amp;"!c:c"),0))</f>
        <v>#N/A</v>
      </c>
    </row>
    <row r="208" spans="1:11" x14ac:dyDescent="0.25">
      <c r="A208" s="470">
        <v>75011</v>
      </c>
      <c r="B208" s="470" t="s">
        <v>1532</v>
      </c>
      <c r="C208" s="470" t="s">
        <v>1533</v>
      </c>
      <c r="D208" s="470" t="s">
        <v>1345</v>
      </c>
      <c r="E208" s="470" t="s">
        <v>1346</v>
      </c>
      <c r="F208" s="470" t="s">
        <v>1351</v>
      </c>
      <c r="G208" s="471"/>
      <c r="H208" s="470" t="s">
        <v>1348</v>
      </c>
      <c r="I208" s="470">
        <v>454</v>
      </c>
      <c r="J208" s="470">
        <v>0</v>
      </c>
      <c r="K208" s="474" t="e">
        <f ca="1">INDEX(INDIRECT("'"&amp;RIGHT(Tableau3[[#This Row],[Dep]],2)*1&amp;"è'"&amp;"!d:d"),MATCH(C208,INDIRECT("'"&amp;RIGHT(Tableau3[[#This Row],[Dep]],2)*1&amp;"è'"&amp;"!c:c"),0))</f>
        <v>#N/A</v>
      </c>
    </row>
    <row r="209" spans="1:11" x14ac:dyDescent="0.25">
      <c r="A209" s="470">
        <v>75011</v>
      </c>
      <c r="B209" s="470" t="s">
        <v>290</v>
      </c>
      <c r="C209" s="470" t="s">
        <v>1534</v>
      </c>
      <c r="D209" s="470" t="s">
        <v>1345</v>
      </c>
      <c r="E209" s="470" t="s">
        <v>1346</v>
      </c>
      <c r="F209" s="470" t="s">
        <v>1349</v>
      </c>
      <c r="G209" s="471"/>
      <c r="H209" s="471"/>
      <c r="I209" s="470">
        <v>258.5</v>
      </c>
      <c r="J209" s="470">
        <v>0</v>
      </c>
      <c r="K209" s="474" t="e">
        <f ca="1">INDEX(INDIRECT("'"&amp;RIGHT(Tableau3[[#This Row],[Dep]],2)*1&amp;"è'"&amp;"!d:d"),MATCH(C209,INDIRECT("'"&amp;RIGHT(Tableau3[[#This Row],[Dep]],2)*1&amp;"è'"&amp;"!c:c"),0))</f>
        <v>#N/A</v>
      </c>
    </row>
    <row r="210" spans="1:11" x14ac:dyDescent="0.25">
      <c r="A210" s="470">
        <v>75011</v>
      </c>
      <c r="B210" s="470" t="s">
        <v>611</v>
      </c>
      <c r="C210" s="470" t="s">
        <v>1535</v>
      </c>
      <c r="D210" s="470" t="s">
        <v>1345</v>
      </c>
      <c r="E210" s="470" t="s">
        <v>1346</v>
      </c>
      <c r="F210" s="470" t="s">
        <v>1349</v>
      </c>
      <c r="G210" s="471"/>
      <c r="H210" s="470" t="s">
        <v>1348</v>
      </c>
      <c r="I210" s="470">
        <v>56</v>
      </c>
      <c r="J210" s="470">
        <v>0</v>
      </c>
      <c r="K210" s="474" t="e">
        <f ca="1">INDEX(INDIRECT("'"&amp;RIGHT(Tableau3[[#This Row],[Dep]],2)*1&amp;"è'"&amp;"!d:d"),MATCH(C210,INDIRECT("'"&amp;RIGHT(Tableau3[[#This Row],[Dep]],2)*1&amp;"è'"&amp;"!c:c"),0))</f>
        <v>#N/A</v>
      </c>
    </row>
    <row r="211" spans="1:11" x14ac:dyDescent="0.25">
      <c r="A211" s="470">
        <v>75011</v>
      </c>
      <c r="B211" s="470" t="s">
        <v>446</v>
      </c>
      <c r="C211" s="470" t="s">
        <v>1536</v>
      </c>
      <c r="D211" s="470" t="s">
        <v>1345</v>
      </c>
      <c r="E211" s="470" t="s">
        <v>1346</v>
      </c>
      <c r="F211" s="470" t="s">
        <v>1351</v>
      </c>
      <c r="G211" s="471"/>
      <c r="H211" s="471"/>
      <c r="I211" s="472">
        <v>1018</v>
      </c>
      <c r="J211" s="470">
        <v>0</v>
      </c>
      <c r="K211" s="474" t="e">
        <f ca="1">INDEX(INDIRECT("'"&amp;RIGHT(Tableau3[[#This Row],[Dep]],2)*1&amp;"è'"&amp;"!d:d"),MATCH(C211,INDIRECT("'"&amp;RIGHT(Tableau3[[#This Row],[Dep]],2)*1&amp;"è'"&amp;"!c:c"),0))</f>
        <v>#N/A</v>
      </c>
    </row>
    <row r="212" spans="1:11" x14ac:dyDescent="0.25">
      <c r="A212" s="470">
        <v>75011</v>
      </c>
      <c r="B212" s="470" t="s">
        <v>882</v>
      </c>
      <c r="C212" s="470" t="s">
        <v>883</v>
      </c>
      <c r="D212" s="470" t="s">
        <v>1345</v>
      </c>
      <c r="E212" s="470" t="s">
        <v>1346</v>
      </c>
      <c r="F212" s="470" t="s">
        <v>1351</v>
      </c>
      <c r="G212" s="471"/>
      <c r="H212" s="470" t="s">
        <v>1348</v>
      </c>
      <c r="I212" s="470">
        <v>160</v>
      </c>
      <c r="J212" s="470">
        <v>0</v>
      </c>
      <c r="K212" s="474" t="str">
        <f ca="1">INDEX(INDIRECT("'"&amp;RIGHT(Tableau3[[#This Row],[Dep]],2)*1&amp;"è'"&amp;"!d:d"),MATCH(C212,INDIRECT("'"&amp;RIGHT(Tableau3[[#This Row],[Dep]],2)*1&amp;"è'"&amp;"!c:c"),0))</f>
        <v>FT</v>
      </c>
    </row>
    <row r="213" spans="1:11" x14ac:dyDescent="0.25">
      <c r="A213" s="470">
        <v>75011</v>
      </c>
      <c r="B213" s="470" t="s">
        <v>1214</v>
      </c>
      <c r="C213" s="470" t="s">
        <v>1215</v>
      </c>
      <c r="D213" s="470" t="s">
        <v>1345</v>
      </c>
      <c r="E213" s="470" t="s">
        <v>1346</v>
      </c>
      <c r="F213" s="470" t="s">
        <v>1349</v>
      </c>
      <c r="G213" s="471"/>
      <c r="H213" s="471"/>
      <c r="I213" s="470">
        <v>120</v>
      </c>
      <c r="J213" s="470">
        <v>0</v>
      </c>
      <c r="K213" s="474" t="str">
        <f ca="1">INDEX(INDIRECT("'"&amp;RIGHT(Tableau3[[#This Row],[Dep]],2)*1&amp;"è'"&amp;"!d:d"),MATCH(C213,INDIRECT("'"&amp;RIGHT(Tableau3[[#This Row],[Dep]],2)*1&amp;"è'"&amp;"!c:c"),0))</f>
        <v>SC</v>
      </c>
    </row>
    <row r="214" spans="1:11" x14ac:dyDescent="0.25">
      <c r="A214" s="470">
        <v>75011</v>
      </c>
      <c r="B214" s="470" t="s">
        <v>1537</v>
      </c>
      <c r="C214" s="470" t="s">
        <v>1538</v>
      </c>
      <c r="D214" s="470" t="s">
        <v>1345</v>
      </c>
      <c r="E214" s="470" t="s">
        <v>1346</v>
      </c>
      <c r="F214" s="470" t="s">
        <v>1351</v>
      </c>
      <c r="G214" s="471"/>
      <c r="H214" s="470" t="s">
        <v>1348</v>
      </c>
      <c r="I214" s="470">
        <v>474</v>
      </c>
      <c r="J214" s="470">
        <v>0</v>
      </c>
      <c r="K214" s="474" t="e">
        <f ca="1">INDEX(INDIRECT("'"&amp;RIGHT(Tableau3[[#This Row],[Dep]],2)*1&amp;"è'"&amp;"!d:d"),MATCH(C214,INDIRECT("'"&amp;RIGHT(Tableau3[[#This Row],[Dep]],2)*1&amp;"è'"&amp;"!c:c"),0))</f>
        <v>#N/A</v>
      </c>
    </row>
    <row r="215" spans="1:11" x14ac:dyDescent="0.25">
      <c r="A215" s="470">
        <v>75011</v>
      </c>
      <c r="B215" s="470" t="s">
        <v>448</v>
      </c>
      <c r="C215" s="470" t="s">
        <v>1539</v>
      </c>
      <c r="D215" s="470" t="s">
        <v>1345</v>
      </c>
      <c r="E215" s="470" t="s">
        <v>1346</v>
      </c>
      <c r="F215" s="470" t="s">
        <v>1351</v>
      </c>
      <c r="G215" s="471"/>
      <c r="H215" s="471"/>
      <c r="I215" s="470">
        <v>138</v>
      </c>
      <c r="J215" s="470">
        <v>0</v>
      </c>
      <c r="K215" s="474" t="e">
        <f ca="1">INDEX(INDIRECT("'"&amp;RIGHT(Tableau3[[#This Row],[Dep]],2)*1&amp;"è'"&amp;"!d:d"),MATCH(C215,INDIRECT("'"&amp;RIGHT(Tableau3[[#This Row],[Dep]],2)*1&amp;"è'"&amp;"!c:c"),0))</f>
        <v>#N/A</v>
      </c>
    </row>
    <row r="216" spans="1:11" x14ac:dyDescent="0.25">
      <c r="A216" s="470">
        <v>75011</v>
      </c>
      <c r="B216" s="470" t="s">
        <v>1216</v>
      </c>
      <c r="C216" s="470" t="s">
        <v>1217</v>
      </c>
      <c r="D216" s="470" t="s">
        <v>1345</v>
      </c>
      <c r="E216" s="470" t="s">
        <v>1346</v>
      </c>
      <c r="F216" s="470" t="s">
        <v>1351</v>
      </c>
      <c r="G216" s="471"/>
      <c r="H216" s="470" t="s">
        <v>1348</v>
      </c>
      <c r="I216" s="470">
        <v>38</v>
      </c>
      <c r="J216" s="470">
        <v>0</v>
      </c>
      <c r="K216" s="474" t="str">
        <f ca="1">INDEX(INDIRECT("'"&amp;RIGHT(Tableau3[[#This Row],[Dep]],2)*1&amp;"è'"&amp;"!d:d"),MATCH(C216,INDIRECT("'"&amp;RIGHT(Tableau3[[#This Row],[Dep]],2)*1&amp;"è'"&amp;"!c:c"),0))</f>
        <v>FT</v>
      </c>
    </row>
    <row r="217" spans="1:11" x14ac:dyDescent="0.25">
      <c r="A217" s="470">
        <v>75011</v>
      </c>
      <c r="B217" s="470" t="s">
        <v>1540</v>
      </c>
      <c r="C217" s="470" t="s">
        <v>1541</v>
      </c>
      <c r="D217" s="470" t="s">
        <v>1345</v>
      </c>
      <c r="E217" s="470" t="s">
        <v>1346</v>
      </c>
      <c r="F217" s="470" t="s">
        <v>1351</v>
      </c>
      <c r="G217" s="471"/>
      <c r="H217" s="470" t="s">
        <v>1348</v>
      </c>
      <c r="I217" s="470">
        <v>60</v>
      </c>
      <c r="J217" s="470">
        <v>0</v>
      </c>
      <c r="K217" s="474" t="e">
        <f ca="1">INDEX(INDIRECT("'"&amp;RIGHT(Tableau3[[#This Row],[Dep]],2)*1&amp;"è'"&amp;"!d:d"),MATCH(C217,INDIRECT("'"&amp;RIGHT(Tableau3[[#This Row],[Dep]],2)*1&amp;"è'"&amp;"!c:c"),0))</f>
        <v>#N/A</v>
      </c>
    </row>
    <row r="218" spans="1:11" x14ac:dyDescent="0.25">
      <c r="A218" s="470">
        <v>75011</v>
      </c>
      <c r="B218" s="470" t="s">
        <v>1117</v>
      </c>
      <c r="C218" s="470" t="s">
        <v>1542</v>
      </c>
      <c r="D218" s="470" t="s">
        <v>1345</v>
      </c>
      <c r="E218" s="470" t="s">
        <v>1346</v>
      </c>
      <c r="F218" s="470" t="s">
        <v>1349</v>
      </c>
      <c r="G218" s="471"/>
      <c r="H218" s="471"/>
      <c r="I218" s="470">
        <v>595</v>
      </c>
      <c r="J218" s="470">
        <v>0</v>
      </c>
      <c r="K218" s="474" t="e">
        <f ca="1">INDEX(INDIRECT("'"&amp;RIGHT(Tableau3[[#This Row],[Dep]],2)*1&amp;"è'"&amp;"!d:d"),MATCH(C218,INDIRECT("'"&amp;RIGHT(Tableau3[[#This Row],[Dep]],2)*1&amp;"è'"&amp;"!c:c"),0))</f>
        <v>#N/A</v>
      </c>
    </row>
    <row r="219" spans="1:11" x14ac:dyDescent="0.25">
      <c r="A219" s="470">
        <v>75011</v>
      </c>
      <c r="B219" s="470" t="s">
        <v>888</v>
      </c>
      <c r="C219" s="470" t="s">
        <v>889</v>
      </c>
      <c r="D219" s="470" t="s">
        <v>1345</v>
      </c>
      <c r="E219" s="470" t="s">
        <v>1346</v>
      </c>
      <c r="F219" s="470" t="s">
        <v>1351</v>
      </c>
      <c r="G219" s="471"/>
      <c r="H219" s="470" t="s">
        <v>1348</v>
      </c>
      <c r="I219" s="470">
        <v>56</v>
      </c>
      <c r="J219" s="470">
        <v>0</v>
      </c>
      <c r="K219" s="474" t="str">
        <f ca="1">INDEX(INDIRECT("'"&amp;RIGHT(Tableau3[[#This Row],[Dep]],2)*1&amp;"è'"&amp;"!d:d"),MATCH(C219,INDIRECT("'"&amp;RIGHT(Tableau3[[#This Row],[Dep]],2)*1&amp;"è'"&amp;"!c:c"),0))</f>
        <v>SC</v>
      </c>
    </row>
    <row r="220" spans="1:11" x14ac:dyDescent="0.25">
      <c r="A220" s="470">
        <v>75011</v>
      </c>
      <c r="B220" s="470" t="s">
        <v>1543</v>
      </c>
      <c r="C220" s="470" t="s">
        <v>1544</v>
      </c>
      <c r="D220" s="470" t="s">
        <v>1345</v>
      </c>
      <c r="E220" s="470" t="s">
        <v>1346</v>
      </c>
      <c r="F220" s="470" t="s">
        <v>1351</v>
      </c>
      <c r="G220" s="471"/>
      <c r="H220" s="471"/>
      <c r="I220" s="470">
        <v>132</v>
      </c>
      <c r="J220" s="470">
        <v>0</v>
      </c>
      <c r="K220" s="474" t="e">
        <f ca="1">INDEX(INDIRECT("'"&amp;RIGHT(Tableau3[[#This Row],[Dep]],2)*1&amp;"è'"&amp;"!d:d"),MATCH(C220,INDIRECT("'"&amp;RIGHT(Tableau3[[#This Row],[Dep]],2)*1&amp;"è'"&amp;"!c:c"),0))</f>
        <v>#N/A</v>
      </c>
    </row>
    <row r="221" spans="1:11" x14ac:dyDescent="0.25">
      <c r="A221" s="470">
        <v>75011</v>
      </c>
      <c r="B221" s="470" t="s">
        <v>890</v>
      </c>
      <c r="C221" s="470" t="s">
        <v>891</v>
      </c>
      <c r="D221" s="470" t="s">
        <v>1345</v>
      </c>
      <c r="E221" s="470" t="s">
        <v>1346</v>
      </c>
      <c r="F221" s="470" t="s">
        <v>1351</v>
      </c>
      <c r="G221" s="471"/>
      <c r="H221" s="471"/>
      <c r="I221" s="470">
        <v>418</v>
      </c>
      <c r="J221" s="470">
        <v>0</v>
      </c>
      <c r="K221" s="474" t="str">
        <f ca="1">INDEX(INDIRECT("'"&amp;RIGHT(Tableau3[[#This Row],[Dep]],2)*1&amp;"è'"&amp;"!d:d"),MATCH(C221,INDIRECT("'"&amp;RIGHT(Tableau3[[#This Row],[Dep]],2)*1&amp;"è'"&amp;"!c:c"),0))</f>
        <v>FT</v>
      </c>
    </row>
    <row r="222" spans="1:11" x14ac:dyDescent="0.25">
      <c r="A222" s="470">
        <v>75012</v>
      </c>
      <c r="B222" s="470" t="s">
        <v>892</v>
      </c>
      <c r="C222" s="470" t="s">
        <v>893</v>
      </c>
      <c r="D222" s="470" t="s">
        <v>1345</v>
      </c>
      <c r="E222" s="470" t="s">
        <v>1346</v>
      </c>
      <c r="F222" s="470" t="s">
        <v>1351</v>
      </c>
      <c r="G222" s="470" t="s">
        <v>1348</v>
      </c>
      <c r="H222" s="470" t="s">
        <v>1348</v>
      </c>
      <c r="I222" s="470">
        <v>120</v>
      </c>
      <c r="J222" s="470">
        <v>0</v>
      </c>
      <c r="K222" s="474" t="str">
        <f ca="1">INDEX(INDIRECT("'"&amp;RIGHT(Tableau3[[#This Row],[Dep]],2)*1&amp;"è'"&amp;"!d:d"),MATCH(C222,INDIRECT("'"&amp;RIGHT(Tableau3[[#This Row],[Dep]],2)*1&amp;"è'"&amp;"!c:c"),0))</f>
        <v>FT</v>
      </c>
    </row>
    <row r="223" spans="1:11" x14ac:dyDescent="0.25">
      <c r="A223" s="470">
        <v>75012</v>
      </c>
      <c r="B223" s="470" t="s">
        <v>894</v>
      </c>
      <c r="C223" s="470" t="s">
        <v>895</v>
      </c>
      <c r="D223" s="470" t="s">
        <v>1345</v>
      </c>
      <c r="E223" s="470" t="s">
        <v>1346</v>
      </c>
      <c r="F223" s="470" t="s">
        <v>1351</v>
      </c>
      <c r="G223" s="471"/>
      <c r="H223" s="471"/>
      <c r="I223" s="470">
        <v>88</v>
      </c>
      <c r="J223" s="470">
        <v>0</v>
      </c>
      <c r="K223" s="474" t="str">
        <f ca="1">INDEX(INDIRECT("'"&amp;RIGHT(Tableau3[[#This Row],[Dep]],2)*1&amp;"è'"&amp;"!d:d"),MATCH(C223,INDIRECT("'"&amp;RIGHT(Tableau3[[#This Row],[Dep]],2)*1&amp;"è'"&amp;"!c:c"),0))</f>
        <v>FT</v>
      </c>
    </row>
    <row r="224" spans="1:11" x14ac:dyDescent="0.25">
      <c r="A224" s="470">
        <v>75012</v>
      </c>
      <c r="B224" s="470" t="s">
        <v>1545</v>
      </c>
      <c r="C224" s="470" t="s">
        <v>1546</v>
      </c>
      <c r="D224" s="470" t="s">
        <v>1345</v>
      </c>
      <c r="E224" s="470" t="s">
        <v>1346</v>
      </c>
      <c r="F224" s="470" t="s">
        <v>1349</v>
      </c>
      <c r="G224" s="471"/>
      <c r="H224" s="470" t="s">
        <v>1348</v>
      </c>
      <c r="I224" s="470">
        <v>385</v>
      </c>
      <c r="J224" s="470">
        <v>0</v>
      </c>
      <c r="K224" s="474" t="e">
        <f ca="1">INDEX(INDIRECT("'"&amp;RIGHT(Tableau3[[#This Row],[Dep]],2)*1&amp;"è'"&amp;"!d:d"),MATCH(C224,INDIRECT("'"&amp;RIGHT(Tableau3[[#This Row],[Dep]],2)*1&amp;"è'"&amp;"!c:c"),0))</f>
        <v>#N/A</v>
      </c>
    </row>
    <row r="225" spans="1:11" x14ac:dyDescent="0.25">
      <c r="A225" s="470">
        <v>75012</v>
      </c>
      <c r="B225" s="470" t="s">
        <v>454</v>
      </c>
      <c r="C225" s="470" t="s">
        <v>1547</v>
      </c>
      <c r="D225" s="470" t="s">
        <v>1466</v>
      </c>
      <c r="E225" s="470" t="s">
        <v>1346</v>
      </c>
      <c r="F225" s="470" t="s">
        <v>1351</v>
      </c>
      <c r="G225" s="471"/>
      <c r="H225" s="471"/>
      <c r="I225" s="472">
        <v>1518</v>
      </c>
      <c r="J225" s="470">
        <v>0</v>
      </c>
      <c r="K225" s="474" t="e">
        <f ca="1">INDEX(INDIRECT("'"&amp;RIGHT(Tableau3[[#This Row],[Dep]],2)*1&amp;"è'"&amp;"!d:d"),MATCH(C225,INDIRECT("'"&amp;RIGHT(Tableau3[[#This Row],[Dep]],2)*1&amp;"è'"&amp;"!c:c"),0))</f>
        <v>#N/A</v>
      </c>
    </row>
    <row r="226" spans="1:11" x14ac:dyDescent="0.25">
      <c r="A226" s="470">
        <v>75012</v>
      </c>
      <c r="B226" s="470" t="s">
        <v>1548</v>
      </c>
      <c r="C226" s="470" t="s">
        <v>1549</v>
      </c>
      <c r="D226" s="470" t="s">
        <v>1345</v>
      </c>
      <c r="E226" s="470" t="s">
        <v>1346</v>
      </c>
      <c r="F226" s="470" t="s">
        <v>1351</v>
      </c>
      <c r="G226" s="470" t="s">
        <v>1348</v>
      </c>
      <c r="H226" s="471"/>
      <c r="I226" s="470">
        <v>224</v>
      </c>
      <c r="J226" s="470">
        <v>0</v>
      </c>
      <c r="K226" s="474" t="e">
        <f ca="1">INDEX(INDIRECT("'"&amp;RIGHT(Tableau3[[#This Row],[Dep]],2)*1&amp;"è'"&amp;"!d:d"),MATCH(C226,INDIRECT("'"&amp;RIGHT(Tableau3[[#This Row],[Dep]],2)*1&amp;"è'"&amp;"!c:c"),0))</f>
        <v>#N/A</v>
      </c>
    </row>
    <row r="227" spans="1:11" x14ac:dyDescent="0.25">
      <c r="A227" s="470">
        <v>75012</v>
      </c>
      <c r="B227" s="470" t="s">
        <v>1032</v>
      </c>
      <c r="C227" s="470" t="s">
        <v>1033</v>
      </c>
      <c r="D227" s="470" t="s">
        <v>1345</v>
      </c>
      <c r="E227" s="470" t="s">
        <v>1346</v>
      </c>
      <c r="F227" s="470" t="s">
        <v>1347</v>
      </c>
      <c r="G227" s="471"/>
      <c r="H227" s="470" t="s">
        <v>1348</v>
      </c>
      <c r="I227" s="470">
        <v>147.5</v>
      </c>
      <c r="J227" s="470">
        <v>0</v>
      </c>
      <c r="K227" s="474" t="str">
        <f ca="1">INDEX(INDIRECT("'"&amp;RIGHT(Tableau3[[#This Row],[Dep]],2)*1&amp;"è'"&amp;"!d:d"),MATCH(C227,INDIRECT("'"&amp;RIGHT(Tableau3[[#This Row],[Dep]],2)*1&amp;"è'"&amp;"!c:c"),0))</f>
        <v>PH</v>
      </c>
    </row>
    <row r="228" spans="1:11" x14ac:dyDescent="0.25">
      <c r="A228" s="470">
        <v>75012</v>
      </c>
      <c r="B228" s="470" t="s">
        <v>1259</v>
      </c>
      <c r="C228" s="470" t="s">
        <v>1260</v>
      </c>
      <c r="D228" s="470" t="s">
        <v>1345</v>
      </c>
      <c r="E228" s="470" t="s">
        <v>1346</v>
      </c>
      <c r="F228" s="470" t="s">
        <v>1349</v>
      </c>
      <c r="G228" s="471"/>
      <c r="H228" s="471"/>
      <c r="I228" s="470">
        <v>209</v>
      </c>
      <c r="J228" s="470">
        <v>0</v>
      </c>
      <c r="K228" s="474" t="str">
        <f ca="1">INDEX(INDIRECT("'"&amp;RIGHT(Tableau3[[#This Row],[Dep]],2)*1&amp;"è'"&amp;"!d:d"),MATCH(C228,INDIRECT("'"&amp;RIGHT(Tableau3[[#This Row],[Dep]],2)*1&amp;"è'"&amp;"!c:c"),0))</f>
        <v>SC</v>
      </c>
    </row>
    <row r="229" spans="1:11" x14ac:dyDescent="0.25">
      <c r="A229" s="470">
        <v>75012</v>
      </c>
      <c r="B229" s="470" t="s">
        <v>456</v>
      </c>
      <c r="C229" s="470" t="s">
        <v>1550</v>
      </c>
      <c r="D229" s="470" t="s">
        <v>1345</v>
      </c>
      <c r="E229" s="470" t="s">
        <v>1346</v>
      </c>
      <c r="F229" s="470" t="s">
        <v>1351</v>
      </c>
      <c r="G229" s="470" t="s">
        <v>1348</v>
      </c>
      <c r="H229" s="470" t="s">
        <v>1348</v>
      </c>
      <c r="I229" s="470">
        <v>884</v>
      </c>
      <c r="J229" s="470">
        <v>0</v>
      </c>
      <c r="K229" s="474" t="e">
        <f ca="1">INDEX(INDIRECT("'"&amp;RIGHT(Tableau3[[#This Row],[Dep]],2)*1&amp;"è'"&amp;"!d:d"),MATCH(C229,INDIRECT("'"&amp;RIGHT(Tableau3[[#This Row],[Dep]],2)*1&amp;"è'"&amp;"!c:c"),0))</f>
        <v>#N/A</v>
      </c>
    </row>
    <row r="230" spans="1:11" x14ac:dyDescent="0.25">
      <c r="A230" s="470">
        <v>75012</v>
      </c>
      <c r="B230" s="470" t="s">
        <v>1034</v>
      </c>
      <c r="C230" s="470" t="s">
        <v>1035</v>
      </c>
      <c r="D230" s="470" t="s">
        <v>1345</v>
      </c>
      <c r="E230" s="470" t="s">
        <v>1346</v>
      </c>
      <c r="F230" s="470" t="s">
        <v>1349</v>
      </c>
      <c r="G230" s="471"/>
      <c r="H230" s="470" t="s">
        <v>1348</v>
      </c>
      <c r="I230" s="470">
        <v>266</v>
      </c>
      <c r="J230" s="470">
        <v>0</v>
      </c>
      <c r="K230" s="474" t="str">
        <f ca="1">INDEX(INDIRECT("'"&amp;RIGHT(Tableau3[[#This Row],[Dep]],2)*1&amp;"è'"&amp;"!d:d"),MATCH(C230,INDIRECT("'"&amp;RIGHT(Tableau3[[#This Row],[Dep]],2)*1&amp;"è'"&amp;"!c:c"),0))</f>
        <v>SC</v>
      </c>
    </row>
    <row r="231" spans="1:11" x14ac:dyDescent="0.25">
      <c r="A231" s="470">
        <v>75012</v>
      </c>
      <c r="B231" s="470" t="s">
        <v>458</v>
      </c>
      <c r="C231" s="470" t="s">
        <v>1551</v>
      </c>
      <c r="D231" s="470" t="s">
        <v>1345</v>
      </c>
      <c r="E231" s="470" t="s">
        <v>1346</v>
      </c>
      <c r="F231" s="470" t="s">
        <v>1349</v>
      </c>
      <c r="G231" s="471"/>
      <c r="H231" s="471"/>
      <c r="I231" s="470">
        <v>358</v>
      </c>
      <c r="J231" s="470">
        <v>0</v>
      </c>
      <c r="K231" s="474" t="e">
        <f ca="1">INDEX(INDIRECT("'"&amp;RIGHT(Tableau3[[#This Row],[Dep]],2)*1&amp;"è'"&amp;"!d:d"),MATCH(C231,INDIRECT("'"&amp;RIGHT(Tableau3[[#This Row],[Dep]],2)*1&amp;"è'"&amp;"!c:c"),0))</f>
        <v>#N/A</v>
      </c>
    </row>
    <row r="232" spans="1:11" x14ac:dyDescent="0.25">
      <c r="A232" s="470">
        <v>75012</v>
      </c>
      <c r="B232" s="470" t="s">
        <v>460</v>
      </c>
      <c r="C232" s="470" t="s">
        <v>1552</v>
      </c>
      <c r="D232" s="470" t="s">
        <v>1473</v>
      </c>
      <c r="E232" s="470" t="s">
        <v>1346</v>
      </c>
      <c r="F232" s="470" t="s">
        <v>1347</v>
      </c>
      <c r="G232" s="471"/>
      <c r="H232" s="471"/>
      <c r="I232" s="470">
        <v>920</v>
      </c>
      <c r="J232" s="470">
        <v>0</v>
      </c>
      <c r="K232" s="474" t="e">
        <f ca="1">INDEX(INDIRECT("'"&amp;RIGHT(Tableau3[[#This Row],[Dep]],2)*1&amp;"è'"&amp;"!d:d"),MATCH(C232,INDIRECT("'"&amp;RIGHT(Tableau3[[#This Row],[Dep]],2)*1&amp;"è'"&amp;"!c:c"),0))</f>
        <v>#N/A</v>
      </c>
    </row>
    <row r="233" spans="1:11" x14ac:dyDescent="0.25">
      <c r="A233" s="470">
        <v>75012</v>
      </c>
      <c r="B233" s="470" t="s">
        <v>615</v>
      </c>
      <c r="C233" s="470" t="s">
        <v>1553</v>
      </c>
      <c r="D233" s="470" t="s">
        <v>1345</v>
      </c>
      <c r="E233" s="470" t="s">
        <v>1346</v>
      </c>
      <c r="F233" s="470" t="s">
        <v>1349</v>
      </c>
      <c r="G233" s="471"/>
      <c r="H233" s="471"/>
      <c r="I233" s="470">
        <v>518</v>
      </c>
      <c r="J233" s="470">
        <v>0</v>
      </c>
      <c r="K233" s="474" t="e">
        <f ca="1">INDEX(INDIRECT("'"&amp;RIGHT(Tableau3[[#This Row],[Dep]],2)*1&amp;"è'"&amp;"!d:d"),MATCH(C233,INDIRECT("'"&amp;RIGHT(Tableau3[[#This Row],[Dep]],2)*1&amp;"è'"&amp;"!c:c"),0))</f>
        <v>#N/A</v>
      </c>
    </row>
    <row r="234" spans="1:11" x14ac:dyDescent="0.25">
      <c r="A234" s="470">
        <v>75012</v>
      </c>
      <c r="B234" s="470" t="s">
        <v>619</v>
      </c>
      <c r="C234" s="470" t="s">
        <v>1554</v>
      </c>
      <c r="D234" s="470" t="s">
        <v>1345</v>
      </c>
      <c r="E234" s="470" t="s">
        <v>1346</v>
      </c>
      <c r="F234" s="470" t="s">
        <v>1347</v>
      </c>
      <c r="G234" s="471"/>
      <c r="H234" s="471"/>
      <c r="I234" s="470">
        <v>216</v>
      </c>
      <c r="J234" s="470">
        <v>0</v>
      </c>
      <c r="K234" s="474" t="e">
        <f ca="1">INDEX(INDIRECT("'"&amp;RIGHT(Tableau3[[#This Row],[Dep]],2)*1&amp;"è'"&amp;"!d:d"),MATCH(C234,INDIRECT("'"&amp;RIGHT(Tableau3[[#This Row],[Dep]],2)*1&amp;"è'"&amp;"!c:c"),0))</f>
        <v>#N/A</v>
      </c>
    </row>
    <row r="235" spans="1:11" x14ac:dyDescent="0.25">
      <c r="A235" s="470">
        <v>75012</v>
      </c>
      <c r="B235" s="470" t="s">
        <v>1555</v>
      </c>
      <c r="C235" s="470" t="s">
        <v>1556</v>
      </c>
      <c r="D235" s="470" t="s">
        <v>1345</v>
      </c>
      <c r="E235" s="470" t="s">
        <v>1346</v>
      </c>
      <c r="F235" s="470" t="s">
        <v>1349</v>
      </c>
      <c r="G235" s="471"/>
      <c r="H235" s="471"/>
      <c r="I235" s="470">
        <v>208</v>
      </c>
      <c r="J235" s="470">
        <v>0</v>
      </c>
      <c r="K235" s="474" t="e">
        <f ca="1">INDEX(INDIRECT("'"&amp;RIGHT(Tableau3[[#This Row],[Dep]],2)*1&amp;"è'"&amp;"!d:d"),MATCH(C235,INDIRECT("'"&amp;RIGHT(Tableau3[[#This Row],[Dep]],2)*1&amp;"è'"&amp;"!c:c"),0))</f>
        <v>#N/A</v>
      </c>
    </row>
    <row r="236" spans="1:11" x14ac:dyDescent="0.25">
      <c r="A236" s="470">
        <v>75012</v>
      </c>
      <c r="B236" s="470" t="s">
        <v>621</v>
      </c>
      <c r="C236" s="470" t="s">
        <v>1557</v>
      </c>
      <c r="D236" s="470" t="s">
        <v>1345</v>
      </c>
      <c r="E236" s="470" t="s">
        <v>1346</v>
      </c>
      <c r="F236" s="470" t="s">
        <v>1347</v>
      </c>
      <c r="G236" s="470" t="s">
        <v>1348</v>
      </c>
      <c r="H236" s="470" t="s">
        <v>1348</v>
      </c>
      <c r="I236" s="470">
        <v>258</v>
      </c>
      <c r="J236" s="470">
        <v>0</v>
      </c>
      <c r="K236" s="474" t="e">
        <f ca="1">INDEX(INDIRECT("'"&amp;RIGHT(Tableau3[[#This Row],[Dep]],2)*1&amp;"è'"&amp;"!d:d"),MATCH(C236,INDIRECT("'"&amp;RIGHT(Tableau3[[#This Row],[Dep]],2)*1&amp;"è'"&amp;"!c:c"),0))</f>
        <v>#N/A</v>
      </c>
    </row>
    <row r="237" spans="1:11" x14ac:dyDescent="0.25">
      <c r="A237" s="470">
        <v>75012</v>
      </c>
      <c r="B237" s="470" t="s">
        <v>1036</v>
      </c>
      <c r="C237" s="470" t="s">
        <v>1037</v>
      </c>
      <c r="D237" s="470" t="s">
        <v>1345</v>
      </c>
      <c r="E237" s="470" t="s">
        <v>1346</v>
      </c>
      <c r="F237" s="470" t="s">
        <v>1347</v>
      </c>
      <c r="G237" s="471"/>
      <c r="H237" s="470" t="s">
        <v>1348</v>
      </c>
      <c r="I237" s="470">
        <v>94</v>
      </c>
      <c r="J237" s="470">
        <v>0</v>
      </c>
      <c r="K237" s="474" t="str">
        <f ca="1">INDEX(INDIRECT("'"&amp;RIGHT(Tableau3[[#This Row],[Dep]],2)*1&amp;"è'"&amp;"!d:d"),MATCH(C237,INDIRECT("'"&amp;RIGHT(Tableau3[[#This Row],[Dep]],2)*1&amp;"è'"&amp;"!c:c"),0))</f>
        <v>PH</v>
      </c>
    </row>
    <row r="238" spans="1:11" x14ac:dyDescent="0.25">
      <c r="A238" s="470">
        <v>75012</v>
      </c>
      <c r="B238" s="470" t="s">
        <v>462</v>
      </c>
      <c r="C238" s="470" t="s">
        <v>1558</v>
      </c>
      <c r="D238" s="470" t="s">
        <v>1345</v>
      </c>
      <c r="E238" s="470" t="s">
        <v>1346</v>
      </c>
      <c r="F238" s="470" t="s">
        <v>1349</v>
      </c>
      <c r="G238" s="471"/>
      <c r="H238" s="471"/>
      <c r="I238" s="470">
        <v>117</v>
      </c>
      <c r="J238" s="470">
        <v>0</v>
      </c>
      <c r="K238" s="474" t="e">
        <f ca="1">INDEX(INDIRECT("'"&amp;RIGHT(Tableau3[[#This Row],[Dep]],2)*1&amp;"è'"&amp;"!d:d"),MATCH(C238,INDIRECT("'"&amp;RIGHT(Tableau3[[#This Row],[Dep]],2)*1&amp;"è'"&amp;"!c:c"),0))</f>
        <v>#N/A</v>
      </c>
    </row>
    <row r="239" spans="1:11" x14ac:dyDescent="0.25">
      <c r="A239" s="470">
        <v>75013</v>
      </c>
      <c r="B239" s="470" t="s">
        <v>1559</v>
      </c>
      <c r="C239" s="470" t="s">
        <v>1560</v>
      </c>
      <c r="D239" s="470" t="s">
        <v>1345</v>
      </c>
      <c r="E239" s="470" t="s">
        <v>1346</v>
      </c>
      <c r="F239" s="470" t="s">
        <v>1351</v>
      </c>
      <c r="G239" s="470" t="s">
        <v>1348</v>
      </c>
      <c r="H239" s="470" t="s">
        <v>1348</v>
      </c>
      <c r="I239" s="470">
        <v>614</v>
      </c>
      <c r="J239" s="470">
        <v>0</v>
      </c>
      <c r="K239" s="474" t="e">
        <f ca="1">INDEX(INDIRECT("'"&amp;RIGHT(Tableau3[[#This Row],[Dep]],2)*1&amp;"è'"&amp;"!d:d"),MATCH(C239,INDIRECT("'"&amp;RIGHT(Tableau3[[#This Row],[Dep]],2)*1&amp;"è'"&amp;"!c:c"),0))</f>
        <v>#N/A</v>
      </c>
    </row>
    <row r="240" spans="1:11" x14ac:dyDescent="0.25">
      <c r="A240" s="470">
        <v>75013</v>
      </c>
      <c r="B240" s="470" t="s">
        <v>464</v>
      </c>
      <c r="C240" s="470" t="s">
        <v>1561</v>
      </c>
      <c r="D240" s="470" t="s">
        <v>1345</v>
      </c>
      <c r="E240" s="470" t="s">
        <v>1346</v>
      </c>
      <c r="F240" s="470" t="s">
        <v>1349</v>
      </c>
      <c r="G240" s="471"/>
      <c r="H240" s="471"/>
      <c r="I240" s="470">
        <v>734</v>
      </c>
      <c r="J240" s="470">
        <v>0</v>
      </c>
      <c r="K240" s="474" t="e">
        <f ca="1">INDEX(INDIRECT("'"&amp;RIGHT(Tableau3[[#This Row],[Dep]],2)*1&amp;"è'"&amp;"!d:d"),MATCH(C240,INDIRECT("'"&amp;RIGHT(Tableau3[[#This Row],[Dep]],2)*1&amp;"è'"&amp;"!c:c"),0))</f>
        <v>#N/A</v>
      </c>
    </row>
    <row r="241" spans="1:11" x14ac:dyDescent="0.25">
      <c r="A241" s="470">
        <v>75013</v>
      </c>
      <c r="B241" s="470" t="s">
        <v>466</v>
      </c>
      <c r="C241" s="470" t="s">
        <v>1562</v>
      </c>
      <c r="D241" s="470" t="s">
        <v>1345</v>
      </c>
      <c r="E241" s="470" t="s">
        <v>1346</v>
      </c>
      <c r="F241" s="470" t="s">
        <v>1351</v>
      </c>
      <c r="G241" s="471"/>
      <c r="H241" s="470" t="s">
        <v>1348</v>
      </c>
      <c r="I241" s="470">
        <v>344</v>
      </c>
      <c r="J241" s="470">
        <v>0</v>
      </c>
      <c r="K241" s="474" t="e">
        <f ca="1">INDEX(INDIRECT("'"&amp;RIGHT(Tableau3[[#This Row],[Dep]],2)*1&amp;"è'"&amp;"!d:d"),MATCH(C241,INDIRECT("'"&amp;RIGHT(Tableau3[[#This Row],[Dep]],2)*1&amp;"è'"&amp;"!c:c"),0))</f>
        <v>#N/A</v>
      </c>
    </row>
    <row r="242" spans="1:11" x14ac:dyDescent="0.25">
      <c r="A242" s="470">
        <v>75013</v>
      </c>
      <c r="B242" s="470" t="s">
        <v>625</v>
      </c>
      <c r="C242" s="470" t="s">
        <v>1563</v>
      </c>
      <c r="D242" s="470" t="s">
        <v>1345</v>
      </c>
      <c r="E242" s="470" t="s">
        <v>1416</v>
      </c>
      <c r="F242" s="471"/>
      <c r="G242" s="471"/>
      <c r="H242" s="471"/>
      <c r="I242" s="470">
        <v>298</v>
      </c>
      <c r="J242" s="470">
        <v>0</v>
      </c>
      <c r="K242" s="474" t="e">
        <f ca="1">INDEX(INDIRECT("'"&amp;RIGHT(Tableau3[[#This Row],[Dep]],2)*1&amp;"è'"&amp;"!d:d"),MATCH(C242,INDIRECT("'"&amp;RIGHT(Tableau3[[#This Row],[Dep]],2)*1&amp;"è'"&amp;"!c:c"),0))</f>
        <v>#N/A</v>
      </c>
    </row>
    <row r="243" spans="1:11" x14ac:dyDescent="0.25">
      <c r="A243" s="470">
        <v>75014</v>
      </c>
      <c r="B243" s="470" t="s">
        <v>1042</v>
      </c>
      <c r="C243" s="470" t="s">
        <v>1043</v>
      </c>
      <c r="D243" s="470" t="s">
        <v>1345</v>
      </c>
      <c r="E243" s="470" t="s">
        <v>1346</v>
      </c>
      <c r="F243" s="470" t="s">
        <v>1347</v>
      </c>
      <c r="G243" s="471"/>
      <c r="H243" s="470" t="s">
        <v>1348</v>
      </c>
      <c r="I243" s="470">
        <v>218</v>
      </c>
      <c r="J243" s="470">
        <v>0</v>
      </c>
      <c r="K243" s="474" t="str">
        <f ca="1">INDEX(INDIRECT("'"&amp;RIGHT(Tableau3[[#This Row],[Dep]],2)*1&amp;"è'"&amp;"!d:d"),MATCH(C243,INDIRECT("'"&amp;RIGHT(Tableau3[[#This Row],[Dep]],2)*1&amp;"è'"&amp;"!c:c"),0))</f>
        <v>PH</v>
      </c>
    </row>
    <row r="244" spans="1:11" x14ac:dyDescent="0.25">
      <c r="A244" s="470">
        <v>75014</v>
      </c>
      <c r="B244" s="470" t="s">
        <v>468</v>
      </c>
      <c r="C244" s="470" t="s">
        <v>1564</v>
      </c>
      <c r="D244" s="470" t="s">
        <v>1345</v>
      </c>
      <c r="E244" s="470" t="s">
        <v>1346</v>
      </c>
      <c r="F244" s="470" t="s">
        <v>1347</v>
      </c>
      <c r="G244" s="471"/>
      <c r="H244" s="471"/>
      <c r="I244" s="472">
        <v>1050</v>
      </c>
      <c r="J244" s="470">
        <v>0</v>
      </c>
      <c r="K244" s="474" t="e">
        <f ca="1">INDEX(INDIRECT("'"&amp;RIGHT(Tableau3[[#This Row],[Dep]],2)*1&amp;"è'"&amp;"!d:d"),MATCH(C244,INDIRECT("'"&amp;RIGHT(Tableau3[[#This Row],[Dep]],2)*1&amp;"è'"&amp;"!c:c"),0))</f>
        <v>#N/A</v>
      </c>
    </row>
    <row r="245" spans="1:11" x14ac:dyDescent="0.25">
      <c r="A245" s="470">
        <v>75014</v>
      </c>
      <c r="B245" s="470" t="s">
        <v>1275</v>
      </c>
      <c r="C245" s="470" t="s">
        <v>1276</v>
      </c>
      <c r="D245" s="470" t="s">
        <v>1345</v>
      </c>
      <c r="E245" s="470" t="s">
        <v>1346</v>
      </c>
      <c r="F245" s="470" t="s">
        <v>1347</v>
      </c>
      <c r="G245" s="470" t="s">
        <v>1348</v>
      </c>
      <c r="H245" s="471"/>
      <c r="I245" s="470">
        <v>319</v>
      </c>
      <c r="J245" s="470">
        <v>0</v>
      </c>
      <c r="K245" s="474" t="str">
        <f ca="1">INDEX(INDIRECT("'"&amp;RIGHT(Tableau3[[#This Row],[Dep]],2)*1&amp;"è'"&amp;"!d:d"),MATCH(C245,INDIRECT("'"&amp;RIGHT(Tableau3[[#This Row],[Dep]],2)*1&amp;"è'"&amp;"!c:c"),0))</f>
        <v>PH</v>
      </c>
    </row>
    <row r="246" spans="1:11" x14ac:dyDescent="0.25">
      <c r="A246" s="470">
        <v>75014</v>
      </c>
      <c r="B246" s="470" t="s">
        <v>629</v>
      </c>
      <c r="C246" s="470" t="s">
        <v>1565</v>
      </c>
      <c r="D246" s="470" t="s">
        <v>1345</v>
      </c>
      <c r="E246" s="470" t="s">
        <v>1346</v>
      </c>
      <c r="F246" s="470" t="s">
        <v>1349</v>
      </c>
      <c r="G246" s="471"/>
      <c r="H246" s="470" t="s">
        <v>1348</v>
      </c>
      <c r="I246" s="470">
        <v>216</v>
      </c>
      <c r="J246" s="470">
        <v>0</v>
      </c>
      <c r="K246" s="474" t="e">
        <f ca="1">INDEX(INDIRECT("'"&amp;RIGHT(Tableau3[[#This Row],[Dep]],2)*1&amp;"è'"&amp;"!d:d"),MATCH(C246,INDIRECT("'"&amp;RIGHT(Tableau3[[#This Row],[Dep]],2)*1&amp;"è'"&amp;"!c:c"),0))</f>
        <v>#N/A</v>
      </c>
    </row>
    <row r="247" spans="1:11" x14ac:dyDescent="0.25">
      <c r="A247" s="470">
        <v>75014</v>
      </c>
      <c r="B247" s="470" t="s">
        <v>1277</v>
      </c>
      <c r="C247" s="470" t="s">
        <v>1278</v>
      </c>
      <c r="D247" s="470" t="s">
        <v>1345</v>
      </c>
      <c r="E247" s="470" t="s">
        <v>1346</v>
      </c>
      <c r="F247" s="470" t="s">
        <v>1351</v>
      </c>
      <c r="G247" s="470" t="s">
        <v>1348</v>
      </c>
      <c r="H247" s="470" t="s">
        <v>1348</v>
      </c>
      <c r="I247" s="470">
        <v>88</v>
      </c>
      <c r="J247" s="470">
        <v>0</v>
      </c>
      <c r="K247" s="474" t="str">
        <f ca="1">INDEX(INDIRECT("'"&amp;RIGHT(Tableau3[[#This Row],[Dep]],2)*1&amp;"è'"&amp;"!d:d"),MATCH(C247,INDIRECT("'"&amp;RIGHT(Tableau3[[#This Row],[Dep]],2)*1&amp;"è'"&amp;"!c:c"),0))</f>
        <v>FT</v>
      </c>
    </row>
    <row r="248" spans="1:11" x14ac:dyDescent="0.25">
      <c r="A248" s="470">
        <v>75014</v>
      </c>
      <c r="B248" s="470" t="s">
        <v>470</v>
      </c>
      <c r="C248" s="470" t="s">
        <v>1566</v>
      </c>
      <c r="D248" s="470" t="s">
        <v>1345</v>
      </c>
      <c r="E248" s="470" t="s">
        <v>1346</v>
      </c>
      <c r="F248" s="470" t="s">
        <v>1351</v>
      </c>
      <c r="G248" s="471"/>
      <c r="H248" s="470" t="s">
        <v>1348</v>
      </c>
      <c r="I248" s="472">
        <v>1169</v>
      </c>
      <c r="J248" s="470">
        <v>0</v>
      </c>
      <c r="K248" s="474" t="e">
        <f ca="1">INDEX(INDIRECT("'"&amp;RIGHT(Tableau3[[#This Row],[Dep]],2)*1&amp;"è'"&amp;"!d:d"),MATCH(C248,INDIRECT("'"&amp;RIGHT(Tableau3[[#This Row],[Dep]],2)*1&amp;"è'"&amp;"!c:c"),0))</f>
        <v>#N/A</v>
      </c>
    </row>
    <row r="249" spans="1:11" x14ac:dyDescent="0.25">
      <c r="A249" s="470">
        <v>75014</v>
      </c>
      <c r="B249" s="470" t="s">
        <v>1567</v>
      </c>
      <c r="C249" s="470" t="s">
        <v>1568</v>
      </c>
      <c r="D249" s="470" t="s">
        <v>1345</v>
      </c>
      <c r="E249" s="470" t="s">
        <v>1346</v>
      </c>
      <c r="F249" s="470" t="s">
        <v>1349</v>
      </c>
      <c r="G249" s="470" t="s">
        <v>1348</v>
      </c>
      <c r="H249" s="470" t="s">
        <v>1348</v>
      </c>
      <c r="I249" s="470">
        <v>117</v>
      </c>
      <c r="J249" s="470">
        <v>0</v>
      </c>
      <c r="K249" s="474" t="e">
        <f ca="1">INDEX(INDIRECT("'"&amp;RIGHT(Tableau3[[#This Row],[Dep]],2)*1&amp;"è'"&amp;"!d:d"),MATCH(C249,INDIRECT("'"&amp;RIGHT(Tableau3[[#This Row],[Dep]],2)*1&amp;"è'"&amp;"!c:c"),0))</f>
        <v>#N/A</v>
      </c>
    </row>
    <row r="250" spans="1:11" x14ac:dyDescent="0.25">
      <c r="A250" s="470">
        <v>75014</v>
      </c>
      <c r="B250" s="470" t="s">
        <v>476</v>
      </c>
      <c r="C250" s="470" t="s">
        <v>1569</v>
      </c>
      <c r="D250" s="470" t="s">
        <v>1345</v>
      </c>
      <c r="E250" s="470" t="s">
        <v>1346</v>
      </c>
      <c r="F250" s="470" t="s">
        <v>1347</v>
      </c>
      <c r="G250" s="471"/>
      <c r="H250" s="471"/>
      <c r="I250" s="470">
        <v>336</v>
      </c>
      <c r="J250" s="470">
        <v>0</v>
      </c>
      <c r="K250" s="474" t="e">
        <f ca="1">INDEX(INDIRECT("'"&amp;RIGHT(Tableau3[[#This Row],[Dep]],2)*1&amp;"è'"&amp;"!d:d"),MATCH(C250,INDIRECT("'"&amp;RIGHT(Tableau3[[#This Row],[Dep]],2)*1&amp;"è'"&amp;"!c:c"),0))</f>
        <v>#N/A</v>
      </c>
    </row>
    <row r="251" spans="1:11" x14ac:dyDescent="0.25">
      <c r="A251" s="470">
        <v>75014</v>
      </c>
      <c r="B251" s="470" t="s">
        <v>1048</v>
      </c>
      <c r="C251" s="470" t="s">
        <v>1049</v>
      </c>
      <c r="D251" s="470" t="s">
        <v>1345</v>
      </c>
      <c r="E251" s="470" t="s">
        <v>1346</v>
      </c>
      <c r="F251" s="470" t="s">
        <v>1349</v>
      </c>
      <c r="G251" s="471"/>
      <c r="H251" s="471"/>
      <c r="I251" s="470">
        <v>98</v>
      </c>
      <c r="J251" s="470">
        <v>0</v>
      </c>
      <c r="K251" s="474" t="str">
        <f ca="1">INDEX(INDIRECT("'"&amp;RIGHT(Tableau3[[#This Row],[Dep]],2)*1&amp;"è'"&amp;"!d:d"),MATCH(C251,INDIRECT("'"&amp;RIGHT(Tableau3[[#This Row],[Dep]],2)*1&amp;"è'"&amp;"!c:c"),0))</f>
        <v>SC</v>
      </c>
    </row>
    <row r="252" spans="1:11" x14ac:dyDescent="0.25">
      <c r="A252" s="470">
        <v>75014</v>
      </c>
      <c r="B252" s="470" t="s">
        <v>981</v>
      </c>
      <c r="C252" s="470" t="s">
        <v>982</v>
      </c>
      <c r="D252" s="470" t="s">
        <v>1345</v>
      </c>
      <c r="E252" s="470" t="s">
        <v>1346</v>
      </c>
      <c r="F252" s="470" t="s">
        <v>1351</v>
      </c>
      <c r="G252" s="471"/>
      <c r="H252" s="470" t="s">
        <v>1348</v>
      </c>
      <c r="I252" s="470">
        <v>74</v>
      </c>
      <c r="J252" s="470">
        <v>0</v>
      </c>
      <c r="K252" s="474" t="str">
        <f ca="1">INDEX(INDIRECT("'"&amp;RIGHT(Tableau3[[#This Row],[Dep]],2)*1&amp;"è'"&amp;"!d:d"),MATCH(C252,INDIRECT("'"&amp;RIGHT(Tableau3[[#This Row],[Dep]],2)*1&amp;"è'"&amp;"!c:c"),0))</f>
        <v>FT</v>
      </c>
    </row>
    <row r="253" spans="1:11" x14ac:dyDescent="0.25">
      <c r="A253" s="470">
        <v>75014</v>
      </c>
      <c r="B253" s="470" t="s">
        <v>631</v>
      </c>
      <c r="C253" s="470" t="s">
        <v>1570</v>
      </c>
      <c r="D253" s="470" t="s">
        <v>1345</v>
      </c>
      <c r="E253" s="470" t="s">
        <v>1346</v>
      </c>
      <c r="F253" s="470" t="s">
        <v>1351</v>
      </c>
      <c r="G253" s="471"/>
      <c r="H253" s="471"/>
      <c r="I253" s="470">
        <v>396</v>
      </c>
      <c r="J253" s="470">
        <v>0</v>
      </c>
      <c r="K253" s="474" t="e">
        <f ca="1">INDEX(INDIRECT("'"&amp;RIGHT(Tableau3[[#This Row],[Dep]],2)*1&amp;"è'"&amp;"!d:d"),MATCH(C253,INDIRECT("'"&amp;RIGHT(Tableau3[[#This Row],[Dep]],2)*1&amp;"è'"&amp;"!c:c"),0))</f>
        <v>#N/A</v>
      </c>
    </row>
    <row r="254" spans="1:11" x14ac:dyDescent="0.25">
      <c r="A254" s="470">
        <v>75014</v>
      </c>
      <c r="B254" s="470" t="s">
        <v>983</v>
      </c>
      <c r="C254" s="470" t="s">
        <v>984</v>
      </c>
      <c r="D254" s="470" t="s">
        <v>1345</v>
      </c>
      <c r="E254" s="470" t="s">
        <v>1346</v>
      </c>
      <c r="F254" s="470" t="s">
        <v>1351</v>
      </c>
      <c r="G254" s="471"/>
      <c r="H254" s="470" t="s">
        <v>1348</v>
      </c>
      <c r="I254" s="470">
        <v>138</v>
      </c>
      <c r="J254" s="470">
        <v>0</v>
      </c>
      <c r="K254" s="474" t="str">
        <f ca="1">INDEX(INDIRECT("'"&amp;RIGHT(Tableau3[[#This Row],[Dep]],2)*1&amp;"è'"&amp;"!d:d"),MATCH(C254,INDIRECT("'"&amp;RIGHT(Tableau3[[#This Row],[Dep]],2)*1&amp;"è'"&amp;"!c:c"),0))</f>
        <v>FT</v>
      </c>
    </row>
    <row r="255" spans="1:11" x14ac:dyDescent="0.25">
      <c r="A255" s="470">
        <v>75014</v>
      </c>
      <c r="B255" s="470" t="s">
        <v>633</v>
      </c>
      <c r="C255" s="470" t="s">
        <v>1571</v>
      </c>
      <c r="D255" s="470" t="s">
        <v>1345</v>
      </c>
      <c r="E255" s="470" t="s">
        <v>1346</v>
      </c>
      <c r="F255" s="470" t="s">
        <v>1349</v>
      </c>
      <c r="G255" s="471"/>
      <c r="H255" s="470" t="s">
        <v>1348</v>
      </c>
      <c r="I255" s="470">
        <v>72</v>
      </c>
      <c r="J255" s="470">
        <v>0</v>
      </c>
      <c r="K255" s="474" t="e">
        <f ca="1">INDEX(INDIRECT("'"&amp;RIGHT(Tableau3[[#This Row],[Dep]],2)*1&amp;"è'"&amp;"!d:d"),MATCH(C255,INDIRECT("'"&amp;RIGHT(Tableau3[[#This Row],[Dep]],2)*1&amp;"è'"&amp;"!c:c"),0))</f>
        <v>#N/A</v>
      </c>
    </row>
    <row r="256" spans="1:11" x14ac:dyDescent="0.25">
      <c r="A256" s="470">
        <v>75014</v>
      </c>
      <c r="B256" s="470" t="s">
        <v>478</v>
      </c>
      <c r="C256" s="470" t="s">
        <v>1572</v>
      </c>
      <c r="D256" s="470" t="s">
        <v>1345</v>
      </c>
      <c r="E256" s="470" t="s">
        <v>1346</v>
      </c>
      <c r="F256" s="470" t="s">
        <v>1347</v>
      </c>
      <c r="G256" s="471"/>
      <c r="H256" s="470" t="s">
        <v>1348</v>
      </c>
      <c r="I256" s="470">
        <v>658</v>
      </c>
      <c r="J256" s="470">
        <v>0</v>
      </c>
      <c r="K256" s="474" t="e">
        <f ca="1">INDEX(INDIRECT("'"&amp;RIGHT(Tableau3[[#This Row],[Dep]],2)*1&amp;"è'"&amp;"!d:d"),MATCH(C256,INDIRECT("'"&amp;RIGHT(Tableau3[[#This Row],[Dep]],2)*1&amp;"è'"&amp;"!c:c"),0))</f>
        <v>#N/A</v>
      </c>
    </row>
    <row r="257" spans="1:11" x14ac:dyDescent="0.25">
      <c r="A257" s="470">
        <v>75014</v>
      </c>
      <c r="B257" s="470" t="s">
        <v>1573</v>
      </c>
      <c r="C257" s="470" t="s">
        <v>1574</v>
      </c>
      <c r="D257" s="470" t="s">
        <v>1345</v>
      </c>
      <c r="E257" s="470" t="s">
        <v>1346</v>
      </c>
      <c r="F257" s="470" t="s">
        <v>1349</v>
      </c>
      <c r="G257" s="471"/>
      <c r="H257" s="470" t="s">
        <v>1348</v>
      </c>
      <c r="I257" s="470">
        <v>63</v>
      </c>
      <c r="J257" s="470">
        <v>0</v>
      </c>
      <c r="K257" s="474" t="e">
        <f ca="1">INDEX(INDIRECT("'"&amp;RIGHT(Tableau3[[#This Row],[Dep]],2)*1&amp;"è'"&amp;"!d:d"),MATCH(C257,INDIRECT("'"&amp;RIGHT(Tableau3[[#This Row],[Dep]],2)*1&amp;"è'"&amp;"!c:c"),0))</f>
        <v>#N/A</v>
      </c>
    </row>
    <row r="258" spans="1:11" x14ac:dyDescent="0.25">
      <c r="A258" s="470">
        <v>75014</v>
      </c>
      <c r="B258" s="470" t="s">
        <v>1050</v>
      </c>
      <c r="C258" s="470" t="s">
        <v>1051</v>
      </c>
      <c r="D258" s="470" t="s">
        <v>1345</v>
      </c>
      <c r="E258" s="470" t="s">
        <v>1346</v>
      </c>
      <c r="F258" s="470" t="s">
        <v>1347</v>
      </c>
      <c r="G258" s="471"/>
      <c r="H258" s="470" t="s">
        <v>1348</v>
      </c>
      <c r="I258" s="470">
        <v>88</v>
      </c>
      <c r="J258" s="470">
        <v>0</v>
      </c>
      <c r="K258" s="474" t="str">
        <f ca="1">INDEX(INDIRECT("'"&amp;RIGHT(Tableau3[[#This Row],[Dep]],2)*1&amp;"è'"&amp;"!d:d"),MATCH(C258,INDIRECT("'"&amp;RIGHT(Tableau3[[#This Row],[Dep]],2)*1&amp;"è'"&amp;"!c:c"),0))</f>
        <v>PH</v>
      </c>
    </row>
    <row r="259" spans="1:11" x14ac:dyDescent="0.25">
      <c r="A259" s="470">
        <v>75014</v>
      </c>
      <c r="B259" s="470" t="s">
        <v>1575</v>
      </c>
      <c r="C259" s="470" t="s">
        <v>1576</v>
      </c>
      <c r="D259" s="470" t="s">
        <v>1345</v>
      </c>
      <c r="E259" s="470" t="s">
        <v>1416</v>
      </c>
      <c r="F259" s="471"/>
      <c r="G259" s="471"/>
      <c r="H259" s="471"/>
      <c r="I259" s="470">
        <v>108</v>
      </c>
      <c r="J259" s="470">
        <v>0</v>
      </c>
      <c r="K259" s="474" t="e">
        <f ca="1">INDEX(INDIRECT("'"&amp;RIGHT(Tableau3[[#This Row],[Dep]],2)*1&amp;"è'"&amp;"!d:d"),MATCH(C259,INDIRECT("'"&amp;RIGHT(Tableau3[[#This Row],[Dep]],2)*1&amp;"è'"&amp;"!c:c"),0))</f>
        <v>#N/A</v>
      </c>
    </row>
    <row r="260" spans="1:11" x14ac:dyDescent="0.25">
      <c r="A260" s="470">
        <v>75014</v>
      </c>
      <c r="B260" s="470" t="s">
        <v>989</v>
      </c>
      <c r="C260" s="470" t="s">
        <v>990</v>
      </c>
      <c r="D260" s="470" t="s">
        <v>1345</v>
      </c>
      <c r="E260" s="470" t="s">
        <v>1346</v>
      </c>
      <c r="F260" s="470" t="s">
        <v>1351</v>
      </c>
      <c r="G260" s="470" t="s">
        <v>1348</v>
      </c>
      <c r="H260" s="471"/>
      <c r="I260" s="470">
        <v>294</v>
      </c>
      <c r="J260" s="470">
        <v>0</v>
      </c>
      <c r="K260" s="474" t="str">
        <f ca="1">INDEX(INDIRECT("'"&amp;RIGHT(Tableau3[[#This Row],[Dep]],2)*1&amp;"è'"&amp;"!d:d"),MATCH(C260,INDIRECT("'"&amp;RIGHT(Tableau3[[#This Row],[Dep]],2)*1&amp;"è'"&amp;"!c:c"),0))</f>
        <v>FT</v>
      </c>
    </row>
    <row r="261" spans="1:11" x14ac:dyDescent="0.25">
      <c r="A261" s="470">
        <v>75014</v>
      </c>
      <c r="B261" s="470" t="s">
        <v>1288</v>
      </c>
      <c r="C261" s="470" t="s">
        <v>1289</v>
      </c>
      <c r="D261" s="470" t="s">
        <v>1345</v>
      </c>
      <c r="E261" s="470" t="s">
        <v>1346</v>
      </c>
      <c r="F261" s="470" t="s">
        <v>1351</v>
      </c>
      <c r="G261" s="470" t="s">
        <v>1348</v>
      </c>
      <c r="H261" s="471"/>
      <c r="I261" s="470">
        <v>410</v>
      </c>
      <c r="J261" s="470">
        <v>0</v>
      </c>
      <c r="K261" s="474" t="str">
        <f ca="1">INDEX(INDIRECT("'"&amp;RIGHT(Tableau3[[#This Row],[Dep]],2)*1&amp;"è'"&amp;"!d:d"),MATCH(C261,INDIRECT("'"&amp;RIGHT(Tableau3[[#This Row],[Dep]],2)*1&amp;"è'"&amp;"!c:c"),0))</f>
        <v>FT</v>
      </c>
    </row>
    <row r="262" spans="1:11" x14ac:dyDescent="0.25">
      <c r="A262" s="470">
        <v>75014</v>
      </c>
      <c r="B262" s="470" t="s">
        <v>482</v>
      </c>
      <c r="C262" s="470" t="s">
        <v>1577</v>
      </c>
      <c r="D262" s="470" t="s">
        <v>1345</v>
      </c>
      <c r="E262" s="470" t="s">
        <v>1346</v>
      </c>
      <c r="F262" s="470" t="s">
        <v>1351</v>
      </c>
      <c r="G262" s="470" t="s">
        <v>1348</v>
      </c>
      <c r="H262" s="470" t="s">
        <v>1348</v>
      </c>
      <c r="I262" s="472">
        <v>1222</v>
      </c>
      <c r="J262" s="470">
        <v>0</v>
      </c>
      <c r="K262" s="474" t="e">
        <f ca="1">INDEX(INDIRECT("'"&amp;RIGHT(Tableau3[[#This Row],[Dep]],2)*1&amp;"è'"&amp;"!d:d"),MATCH(C262,INDIRECT("'"&amp;RIGHT(Tableau3[[#This Row],[Dep]],2)*1&amp;"è'"&amp;"!c:c"),0))</f>
        <v>#N/A</v>
      </c>
    </row>
    <row r="263" spans="1:11" x14ac:dyDescent="0.25">
      <c r="A263" s="470">
        <v>75015</v>
      </c>
      <c r="B263" s="470" t="s">
        <v>635</v>
      </c>
      <c r="C263" s="470" t="s">
        <v>1578</v>
      </c>
      <c r="D263" s="470" t="s">
        <v>1345</v>
      </c>
      <c r="E263" s="470" t="s">
        <v>1346</v>
      </c>
      <c r="F263" s="470" t="s">
        <v>1351</v>
      </c>
      <c r="G263" s="470" t="s">
        <v>1348</v>
      </c>
      <c r="H263" s="470" t="s">
        <v>1348</v>
      </c>
      <c r="I263" s="470">
        <v>217</v>
      </c>
      <c r="J263" s="470">
        <v>0</v>
      </c>
      <c r="K263" s="474" t="e">
        <f ca="1">INDEX(INDIRECT("'"&amp;RIGHT(Tableau3[[#This Row],[Dep]],2)*1&amp;"è'"&amp;"!d:d"),MATCH(C263,INDIRECT("'"&amp;RIGHT(Tableau3[[#This Row],[Dep]],2)*1&amp;"è'"&amp;"!c:c"),0))</f>
        <v>#N/A</v>
      </c>
    </row>
    <row r="264" spans="1:11" x14ac:dyDescent="0.25">
      <c r="A264" s="470">
        <v>75015</v>
      </c>
      <c r="B264" s="470" t="s">
        <v>486</v>
      </c>
      <c r="C264" s="470" t="s">
        <v>1579</v>
      </c>
      <c r="D264" s="470" t="s">
        <v>1473</v>
      </c>
      <c r="E264" s="470" t="s">
        <v>1416</v>
      </c>
      <c r="F264" s="471"/>
      <c r="G264" s="470" t="s">
        <v>1348</v>
      </c>
      <c r="H264" s="470" t="s">
        <v>1348</v>
      </c>
      <c r="I264" s="470">
        <v>689</v>
      </c>
      <c r="J264" s="470">
        <v>0</v>
      </c>
      <c r="K264" s="474" t="e">
        <f ca="1">INDEX(INDIRECT("'"&amp;RIGHT(Tableau3[[#This Row],[Dep]],2)*1&amp;"è'"&amp;"!d:d"),MATCH(C264,INDIRECT("'"&amp;RIGHT(Tableau3[[#This Row],[Dep]],2)*1&amp;"è'"&amp;"!c:c"),0))</f>
        <v>#N/A</v>
      </c>
    </row>
    <row r="265" spans="1:11" x14ac:dyDescent="0.25">
      <c r="A265" s="470">
        <v>75015</v>
      </c>
      <c r="B265" s="470" t="s">
        <v>488</v>
      </c>
      <c r="C265" s="470" t="s">
        <v>1580</v>
      </c>
      <c r="D265" s="470" t="s">
        <v>1345</v>
      </c>
      <c r="E265" s="470" t="s">
        <v>1346</v>
      </c>
      <c r="F265" s="470" t="s">
        <v>1351</v>
      </c>
      <c r="G265" s="470" t="s">
        <v>1348</v>
      </c>
      <c r="H265" s="470" t="s">
        <v>1348</v>
      </c>
      <c r="I265" s="470">
        <v>180</v>
      </c>
      <c r="J265" s="470">
        <v>0</v>
      </c>
      <c r="K265" s="474" t="e">
        <f ca="1">INDEX(INDIRECT("'"&amp;RIGHT(Tableau3[[#This Row],[Dep]],2)*1&amp;"è'"&amp;"!d:d"),MATCH(C265,INDIRECT("'"&amp;RIGHT(Tableau3[[#This Row],[Dep]],2)*1&amp;"è'"&amp;"!c:c"),0))</f>
        <v>#N/A</v>
      </c>
    </row>
    <row r="266" spans="1:11" x14ac:dyDescent="0.25">
      <c r="A266" s="470">
        <v>75015</v>
      </c>
      <c r="B266" s="470" t="s">
        <v>637</v>
      </c>
      <c r="C266" s="470" t="s">
        <v>1581</v>
      </c>
      <c r="D266" s="470" t="s">
        <v>1345</v>
      </c>
      <c r="E266" s="470" t="s">
        <v>1346</v>
      </c>
      <c r="F266" s="470" t="s">
        <v>1347</v>
      </c>
      <c r="G266" s="471"/>
      <c r="H266" s="471"/>
      <c r="I266" s="470">
        <v>100</v>
      </c>
      <c r="J266" s="470">
        <v>0</v>
      </c>
      <c r="K266" s="474" t="e">
        <f ca="1">INDEX(INDIRECT("'"&amp;RIGHT(Tableau3[[#This Row],[Dep]],2)*1&amp;"è'"&amp;"!d:d"),MATCH(C266,INDIRECT("'"&amp;RIGHT(Tableau3[[#This Row],[Dep]],2)*1&amp;"è'"&amp;"!c:c"),0))</f>
        <v>#N/A</v>
      </c>
    </row>
    <row r="267" spans="1:11" x14ac:dyDescent="0.25">
      <c r="A267" s="470">
        <v>75015</v>
      </c>
      <c r="B267" s="470" t="s">
        <v>1582</v>
      </c>
      <c r="C267" s="470" t="s">
        <v>1583</v>
      </c>
      <c r="D267" s="470" t="s">
        <v>1345</v>
      </c>
      <c r="E267" s="470" t="s">
        <v>1346</v>
      </c>
      <c r="F267" s="470" t="s">
        <v>1351</v>
      </c>
      <c r="G267" s="471"/>
      <c r="H267" s="470" t="s">
        <v>1348</v>
      </c>
      <c r="I267" s="470">
        <v>132</v>
      </c>
      <c r="J267" s="470">
        <v>0</v>
      </c>
      <c r="K267" s="474" t="e">
        <f ca="1">INDEX(INDIRECT("'"&amp;RIGHT(Tableau3[[#This Row],[Dep]],2)*1&amp;"è'"&amp;"!d:d"),MATCH(C267,INDIRECT("'"&amp;RIGHT(Tableau3[[#This Row],[Dep]],2)*1&amp;"è'"&amp;"!c:c"),0))</f>
        <v>#N/A</v>
      </c>
    </row>
    <row r="268" spans="1:11" x14ac:dyDescent="0.25">
      <c r="A268" s="470">
        <v>75015</v>
      </c>
      <c r="B268" s="470" t="s">
        <v>496</v>
      </c>
      <c r="C268" s="470" t="s">
        <v>1584</v>
      </c>
      <c r="D268" s="470" t="s">
        <v>1345</v>
      </c>
      <c r="E268" s="470" t="s">
        <v>1346</v>
      </c>
      <c r="F268" s="470" t="s">
        <v>1347</v>
      </c>
      <c r="G268" s="471"/>
      <c r="H268" s="471"/>
      <c r="I268" s="470">
        <v>428</v>
      </c>
      <c r="J268" s="470">
        <v>0</v>
      </c>
      <c r="K268" s="474" t="e">
        <f ca="1">INDEX(INDIRECT("'"&amp;RIGHT(Tableau3[[#This Row],[Dep]],2)*1&amp;"è'"&amp;"!d:d"),MATCH(C268,INDIRECT("'"&amp;RIGHT(Tableau3[[#This Row],[Dep]],2)*1&amp;"è'"&amp;"!c:c"),0))</f>
        <v>#N/A</v>
      </c>
    </row>
    <row r="269" spans="1:11" x14ac:dyDescent="0.25">
      <c r="A269" s="470">
        <v>75015</v>
      </c>
      <c r="B269" s="470" t="s">
        <v>1585</v>
      </c>
      <c r="C269" s="470" t="s">
        <v>1586</v>
      </c>
      <c r="D269" s="470" t="s">
        <v>1345</v>
      </c>
      <c r="E269" s="470" t="s">
        <v>1346</v>
      </c>
      <c r="F269" s="470" t="s">
        <v>1349</v>
      </c>
      <c r="G269" s="471"/>
      <c r="H269" s="471"/>
      <c r="I269" s="470">
        <v>40</v>
      </c>
      <c r="J269" s="470">
        <v>0</v>
      </c>
      <c r="K269" s="474" t="e">
        <f ca="1">INDEX(INDIRECT("'"&amp;RIGHT(Tableau3[[#This Row],[Dep]],2)*1&amp;"è'"&amp;"!d:d"),MATCH(C269,INDIRECT("'"&amp;RIGHT(Tableau3[[#This Row],[Dep]],2)*1&amp;"è'"&amp;"!c:c"),0))</f>
        <v>#N/A</v>
      </c>
    </row>
    <row r="270" spans="1:11" x14ac:dyDescent="0.25">
      <c r="A270" s="470">
        <v>75015</v>
      </c>
      <c r="B270" s="470" t="s">
        <v>498</v>
      </c>
      <c r="C270" s="470" t="s">
        <v>1587</v>
      </c>
      <c r="D270" s="470" t="s">
        <v>1345</v>
      </c>
      <c r="E270" s="470" t="s">
        <v>1346</v>
      </c>
      <c r="F270" s="470" t="s">
        <v>1349</v>
      </c>
      <c r="G270" s="470" t="s">
        <v>1348</v>
      </c>
      <c r="H270" s="471"/>
      <c r="I270" s="472">
        <v>1008</v>
      </c>
      <c r="J270" s="470">
        <v>0</v>
      </c>
      <c r="K270" s="474" t="e">
        <f ca="1">INDEX(INDIRECT("'"&amp;RIGHT(Tableau3[[#This Row],[Dep]],2)*1&amp;"è'"&amp;"!d:d"),MATCH(C270,INDIRECT("'"&amp;RIGHT(Tableau3[[#This Row],[Dep]],2)*1&amp;"è'"&amp;"!c:c"),0))</f>
        <v>#N/A</v>
      </c>
    </row>
    <row r="271" spans="1:11" x14ac:dyDescent="0.25">
      <c r="A271" s="470">
        <v>75015</v>
      </c>
      <c r="B271" s="470" t="s">
        <v>500</v>
      </c>
      <c r="C271" s="470" t="s">
        <v>1588</v>
      </c>
      <c r="D271" s="470" t="s">
        <v>1345</v>
      </c>
      <c r="E271" s="470" t="s">
        <v>1346</v>
      </c>
      <c r="F271" s="470" t="s">
        <v>1347</v>
      </c>
      <c r="G271" s="471"/>
      <c r="H271" s="471"/>
      <c r="I271" s="470">
        <v>280.5</v>
      </c>
      <c r="J271" s="470">
        <v>0</v>
      </c>
      <c r="K271" s="474" t="e">
        <f ca="1">INDEX(INDIRECT("'"&amp;RIGHT(Tableau3[[#This Row],[Dep]],2)*1&amp;"è'"&amp;"!d:d"),MATCH(C271,INDIRECT("'"&amp;RIGHT(Tableau3[[#This Row],[Dep]],2)*1&amp;"è'"&amp;"!c:c"),0))</f>
        <v>#N/A</v>
      </c>
    </row>
    <row r="272" spans="1:11" x14ac:dyDescent="0.25">
      <c r="A272" s="470">
        <v>75015</v>
      </c>
      <c r="B272" s="470" t="s">
        <v>502</v>
      </c>
      <c r="C272" s="470" t="s">
        <v>1589</v>
      </c>
      <c r="D272" s="470" t="s">
        <v>1345</v>
      </c>
      <c r="E272" s="470" t="s">
        <v>1346</v>
      </c>
      <c r="F272" s="470" t="s">
        <v>1349</v>
      </c>
      <c r="G272" s="471"/>
      <c r="H272" s="471"/>
      <c r="I272" s="470">
        <v>146</v>
      </c>
      <c r="J272" s="470">
        <v>0</v>
      </c>
      <c r="K272" s="474" t="e">
        <f ca="1">INDEX(INDIRECT("'"&amp;RIGHT(Tableau3[[#This Row],[Dep]],2)*1&amp;"è'"&amp;"!d:d"),MATCH(C272,INDIRECT("'"&amp;RIGHT(Tableau3[[#This Row],[Dep]],2)*1&amp;"è'"&amp;"!c:c"),0))</f>
        <v>#N/A</v>
      </c>
    </row>
    <row r="273" spans="1:11" x14ac:dyDescent="0.25">
      <c r="A273" s="470">
        <v>75015</v>
      </c>
      <c r="B273" s="470" t="s">
        <v>505</v>
      </c>
      <c r="C273" s="470" t="s">
        <v>1590</v>
      </c>
      <c r="D273" s="470" t="s">
        <v>1345</v>
      </c>
      <c r="E273" s="470" t="s">
        <v>1346</v>
      </c>
      <c r="F273" s="470" t="s">
        <v>1351</v>
      </c>
      <c r="G273" s="470" t="s">
        <v>1348</v>
      </c>
      <c r="H273" s="471"/>
      <c r="I273" s="470">
        <v>324</v>
      </c>
      <c r="J273" s="470">
        <v>0</v>
      </c>
      <c r="K273" s="474" t="e">
        <f ca="1">INDEX(INDIRECT("'"&amp;RIGHT(Tableau3[[#This Row],[Dep]],2)*1&amp;"è'"&amp;"!d:d"),MATCH(C273,INDIRECT("'"&amp;RIGHT(Tableau3[[#This Row],[Dep]],2)*1&amp;"è'"&amp;"!c:c"),0))</f>
        <v>#N/A</v>
      </c>
    </row>
    <row r="274" spans="1:11" x14ac:dyDescent="0.25">
      <c r="A274" s="470">
        <v>75015</v>
      </c>
      <c r="B274" s="470" t="s">
        <v>1591</v>
      </c>
      <c r="C274" s="470" t="s">
        <v>1592</v>
      </c>
      <c r="D274" s="470" t="s">
        <v>1345</v>
      </c>
      <c r="E274" s="470" t="s">
        <v>1346</v>
      </c>
      <c r="F274" s="470" t="s">
        <v>1349</v>
      </c>
      <c r="G274" s="471"/>
      <c r="H274" s="471"/>
      <c r="I274" s="470">
        <v>400</v>
      </c>
      <c r="J274" s="470">
        <v>0</v>
      </c>
      <c r="K274" s="474" t="e">
        <f ca="1">INDEX(INDIRECT("'"&amp;RIGHT(Tableau3[[#This Row],[Dep]],2)*1&amp;"è'"&amp;"!d:d"),MATCH(C274,INDIRECT("'"&amp;RIGHT(Tableau3[[#This Row],[Dep]],2)*1&amp;"è'"&amp;"!c:c"),0))</f>
        <v>#N/A</v>
      </c>
    </row>
    <row r="275" spans="1:11" x14ac:dyDescent="0.25">
      <c r="A275" s="470">
        <v>75015</v>
      </c>
      <c r="B275" s="470" t="s">
        <v>1296</v>
      </c>
      <c r="C275" s="470" t="s">
        <v>1297</v>
      </c>
      <c r="D275" s="470" t="s">
        <v>1345</v>
      </c>
      <c r="E275" s="470" t="s">
        <v>1346</v>
      </c>
      <c r="F275" s="470" t="s">
        <v>1347</v>
      </c>
      <c r="G275" s="470" t="s">
        <v>1348</v>
      </c>
      <c r="H275" s="470" t="s">
        <v>1348</v>
      </c>
      <c r="I275" s="470">
        <v>460</v>
      </c>
      <c r="J275" s="470">
        <v>0</v>
      </c>
      <c r="K275" s="474" t="str">
        <f ca="1">INDEX(INDIRECT("'"&amp;RIGHT(Tableau3[[#This Row],[Dep]],2)*1&amp;"è'"&amp;"!d:d"),MATCH(C275,INDIRECT("'"&amp;RIGHT(Tableau3[[#This Row],[Dep]],2)*1&amp;"è'"&amp;"!c:c"),0))</f>
        <v>PH</v>
      </c>
    </row>
    <row r="276" spans="1:11" x14ac:dyDescent="0.25">
      <c r="A276" s="470">
        <v>75015</v>
      </c>
      <c r="B276" s="470" t="s">
        <v>993</v>
      </c>
      <c r="C276" s="470" t="s">
        <v>994</v>
      </c>
      <c r="D276" s="470" t="s">
        <v>1345</v>
      </c>
      <c r="E276" s="470" t="s">
        <v>1346</v>
      </c>
      <c r="F276" s="470" t="s">
        <v>1351</v>
      </c>
      <c r="G276" s="470" t="s">
        <v>1348</v>
      </c>
      <c r="H276" s="470" t="s">
        <v>1348</v>
      </c>
      <c r="I276" s="470">
        <v>218</v>
      </c>
      <c r="J276" s="470">
        <v>0</v>
      </c>
      <c r="K276" s="474" t="str">
        <f ca="1">INDEX(INDIRECT("'"&amp;RIGHT(Tableau3[[#This Row],[Dep]],2)*1&amp;"è'"&amp;"!d:d"),MATCH(C276,INDIRECT("'"&amp;RIGHT(Tableau3[[#This Row],[Dep]],2)*1&amp;"è'"&amp;"!c:c"),0))</f>
        <v>FT</v>
      </c>
    </row>
    <row r="277" spans="1:11" x14ac:dyDescent="0.25">
      <c r="A277" s="470">
        <v>75015</v>
      </c>
      <c r="B277" s="470" t="s">
        <v>507</v>
      </c>
      <c r="C277" s="470" t="s">
        <v>1593</v>
      </c>
      <c r="D277" s="470" t="s">
        <v>1345</v>
      </c>
      <c r="E277" s="470" t="s">
        <v>1346</v>
      </c>
      <c r="F277" s="470" t="s">
        <v>1349</v>
      </c>
      <c r="G277" s="471"/>
      <c r="H277" s="471"/>
      <c r="I277" s="470">
        <v>88</v>
      </c>
      <c r="J277" s="470">
        <v>0</v>
      </c>
      <c r="K277" s="474" t="e">
        <f ca="1">INDEX(INDIRECT("'"&amp;RIGHT(Tableau3[[#This Row],[Dep]],2)*1&amp;"è'"&amp;"!d:d"),MATCH(C277,INDIRECT("'"&amp;RIGHT(Tableau3[[#This Row],[Dep]],2)*1&amp;"è'"&amp;"!c:c"),0))</f>
        <v>#N/A</v>
      </c>
    </row>
    <row r="278" spans="1:11" x14ac:dyDescent="0.25">
      <c r="A278" s="470">
        <v>75015</v>
      </c>
      <c r="B278" s="470" t="s">
        <v>641</v>
      </c>
      <c r="C278" s="470" t="s">
        <v>1594</v>
      </c>
      <c r="D278" s="470" t="s">
        <v>1345</v>
      </c>
      <c r="E278" s="470" t="s">
        <v>1346</v>
      </c>
      <c r="F278" s="470" t="s">
        <v>1351</v>
      </c>
      <c r="G278" s="471"/>
      <c r="H278" s="471"/>
      <c r="I278" s="470">
        <v>82</v>
      </c>
      <c r="J278" s="470">
        <v>0</v>
      </c>
      <c r="K278" s="474" t="e">
        <f ca="1">INDEX(INDIRECT("'"&amp;RIGHT(Tableau3[[#This Row],[Dep]],2)*1&amp;"è'"&amp;"!d:d"),MATCH(C278,INDIRECT("'"&amp;RIGHT(Tableau3[[#This Row],[Dep]],2)*1&amp;"è'"&amp;"!c:c"),0))</f>
        <v>#N/A</v>
      </c>
    </row>
    <row r="279" spans="1:11" x14ac:dyDescent="0.25">
      <c r="A279" s="470">
        <v>75015</v>
      </c>
      <c r="B279" s="470" t="s">
        <v>1595</v>
      </c>
      <c r="C279" s="470" t="s">
        <v>1596</v>
      </c>
      <c r="D279" s="470" t="s">
        <v>1345</v>
      </c>
      <c r="E279" s="470" t="s">
        <v>1346</v>
      </c>
      <c r="F279" s="470" t="s">
        <v>1349</v>
      </c>
      <c r="G279" s="471"/>
      <c r="H279" s="471"/>
      <c r="I279" s="470">
        <v>298</v>
      </c>
      <c r="J279" s="470">
        <v>0</v>
      </c>
      <c r="K279" s="474" t="e">
        <f ca="1">INDEX(INDIRECT("'"&amp;RIGHT(Tableau3[[#This Row],[Dep]],2)*1&amp;"è'"&amp;"!d:d"),MATCH(C279,INDIRECT("'"&amp;RIGHT(Tableau3[[#This Row],[Dep]],2)*1&amp;"è'"&amp;"!c:c"),0))</f>
        <v>#N/A</v>
      </c>
    </row>
    <row r="280" spans="1:11" x14ac:dyDescent="0.25">
      <c r="A280" s="470">
        <v>75015</v>
      </c>
      <c r="B280" s="470" t="s">
        <v>509</v>
      </c>
      <c r="C280" s="470" t="s">
        <v>1597</v>
      </c>
      <c r="D280" s="470" t="s">
        <v>1345</v>
      </c>
      <c r="E280" s="470" t="s">
        <v>1346</v>
      </c>
      <c r="F280" s="470" t="s">
        <v>1349</v>
      </c>
      <c r="G280" s="471"/>
      <c r="H280" s="471"/>
      <c r="I280" s="470">
        <v>90</v>
      </c>
      <c r="J280" s="470">
        <v>0</v>
      </c>
      <c r="K280" s="474" t="e">
        <f ca="1">INDEX(INDIRECT("'"&amp;RIGHT(Tableau3[[#This Row],[Dep]],2)*1&amp;"è'"&amp;"!d:d"),MATCH(C280,INDIRECT("'"&amp;RIGHT(Tableau3[[#This Row],[Dep]],2)*1&amp;"è'"&amp;"!c:c"),0))</f>
        <v>#N/A</v>
      </c>
    </row>
    <row r="281" spans="1:11" x14ac:dyDescent="0.25">
      <c r="A281" s="470">
        <v>75015</v>
      </c>
      <c r="B281" s="470" t="s">
        <v>647</v>
      </c>
      <c r="C281" s="470" t="s">
        <v>1598</v>
      </c>
      <c r="D281" s="470" t="s">
        <v>1345</v>
      </c>
      <c r="E281" s="470" t="s">
        <v>1346</v>
      </c>
      <c r="F281" s="470" t="s">
        <v>1351</v>
      </c>
      <c r="G281" s="471"/>
      <c r="H281" s="471"/>
      <c r="I281" s="470">
        <v>764</v>
      </c>
      <c r="J281" s="470">
        <v>0</v>
      </c>
      <c r="K281" s="474" t="e">
        <f ca="1">INDEX(INDIRECT("'"&amp;RIGHT(Tableau3[[#This Row],[Dep]],2)*1&amp;"è'"&amp;"!d:d"),MATCH(C281,INDIRECT("'"&amp;RIGHT(Tableau3[[#This Row],[Dep]],2)*1&amp;"è'"&amp;"!c:c"),0))</f>
        <v>#N/A</v>
      </c>
    </row>
    <row r="282" spans="1:11" x14ac:dyDescent="0.25">
      <c r="A282" s="470">
        <v>75015</v>
      </c>
      <c r="B282" s="470" t="s">
        <v>1058</v>
      </c>
      <c r="C282" s="470" t="s">
        <v>1059</v>
      </c>
      <c r="D282" s="470" t="s">
        <v>1345</v>
      </c>
      <c r="E282" s="470" t="s">
        <v>1346</v>
      </c>
      <c r="F282" s="470" t="s">
        <v>1349</v>
      </c>
      <c r="G282" s="471"/>
      <c r="H282" s="471"/>
      <c r="I282" s="472">
        <v>1414</v>
      </c>
      <c r="J282" s="470">
        <v>0</v>
      </c>
      <c r="K282" s="474" t="str">
        <f ca="1">INDEX(INDIRECT("'"&amp;RIGHT(Tableau3[[#This Row],[Dep]],2)*1&amp;"è'"&amp;"!d:d"),MATCH(C282,INDIRECT("'"&amp;RIGHT(Tableau3[[#This Row],[Dep]],2)*1&amp;"è'"&amp;"!c:c"),0))</f>
        <v>SC</v>
      </c>
    </row>
    <row r="283" spans="1:11" x14ac:dyDescent="0.25">
      <c r="A283" s="470">
        <v>75015</v>
      </c>
      <c r="B283" s="470" t="s">
        <v>511</v>
      </c>
      <c r="C283" s="470" t="s">
        <v>1599</v>
      </c>
      <c r="D283" s="470" t="s">
        <v>1345</v>
      </c>
      <c r="E283" s="470" t="s">
        <v>1600</v>
      </c>
      <c r="F283" s="471"/>
      <c r="G283" s="471"/>
      <c r="H283" s="471"/>
      <c r="I283" s="470">
        <v>200</v>
      </c>
      <c r="J283" s="470">
        <v>0</v>
      </c>
      <c r="K283" s="474" t="e">
        <f ca="1">INDEX(INDIRECT("'"&amp;RIGHT(Tableau3[[#This Row],[Dep]],2)*1&amp;"è'"&amp;"!d:d"),MATCH(C283,INDIRECT("'"&amp;RIGHT(Tableau3[[#This Row],[Dep]],2)*1&amp;"è'"&amp;"!c:c"),0))</f>
        <v>#N/A</v>
      </c>
    </row>
    <row r="284" spans="1:11" x14ac:dyDescent="0.25">
      <c r="A284" s="470">
        <v>75015</v>
      </c>
      <c r="B284" s="470" t="s">
        <v>649</v>
      </c>
      <c r="C284" s="470" t="s">
        <v>1601</v>
      </c>
      <c r="D284" s="470" t="s">
        <v>1345</v>
      </c>
      <c r="E284" s="470" t="s">
        <v>1346</v>
      </c>
      <c r="F284" s="470" t="s">
        <v>1349</v>
      </c>
      <c r="G284" s="471"/>
      <c r="H284" s="471"/>
      <c r="I284" s="470">
        <v>739</v>
      </c>
      <c r="J284" s="470">
        <v>0</v>
      </c>
      <c r="K284" s="474" t="e">
        <f ca="1">INDEX(INDIRECT("'"&amp;RIGHT(Tableau3[[#This Row],[Dep]],2)*1&amp;"è'"&amp;"!d:d"),MATCH(C284,INDIRECT("'"&amp;RIGHT(Tableau3[[#This Row],[Dep]],2)*1&amp;"è'"&amp;"!c:c"),0))</f>
        <v>#N/A</v>
      </c>
    </row>
    <row r="285" spans="1:11" x14ac:dyDescent="0.25">
      <c r="A285" s="470">
        <v>75015</v>
      </c>
      <c r="B285" s="470" t="s">
        <v>513</v>
      </c>
      <c r="C285" s="470" t="s">
        <v>1602</v>
      </c>
      <c r="D285" s="470" t="s">
        <v>1345</v>
      </c>
      <c r="E285" s="470" t="s">
        <v>1346</v>
      </c>
      <c r="F285" s="470" t="s">
        <v>1349</v>
      </c>
      <c r="G285" s="471"/>
      <c r="H285" s="471"/>
      <c r="I285" s="470">
        <v>66</v>
      </c>
      <c r="J285" s="470">
        <v>0</v>
      </c>
      <c r="K285" s="474" t="e">
        <f ca="1">INDEX(INDIRECT("'"&amp;RIGHT(Tableau3[[#This Row],[Dep]],2)*1&amp;"è'"&amp;"!d:d"),MATCH(C285,INDIRECT("'"&amp;RIGHT(Tableau3[[#This Row],[Dep]],2)*1&amp;"è'"&amp;"!c:c"),0))</f>
        <v>#N/A</v>
      </c>
    </row>
    <row r="286" spans="1:11" x14ac:dyDescent="0.25">
      <c r="A286" s="470">
        <v>75015</v>
      </c>
      <c r="B286" s="470" t="s">
        <v>515</v>
      </c>
      <c r="C286" s="470" t="s">
        <v>1603</v>
      </c>
      <c r="D286" s="470" t="s">
        <v>1466</v>
      </c>
      <c r="E286" s="470" t="s">
        <v>1346</v>
      </c>
      <c r="F286" s="470" t="s">
        <v>1351</v>
      </c>
      <c r="G286" s="470" t="s">
        <v>1348</v>
      </c>
      <c r="H286" s="470" t="s">
        <v>1348</v>
      </c>
      <c r="I286" s="470">
        <v>210</v>
      </c>
      <c r="J286" s="470">
        <v>0</v>
      </c>
      <c r="K286" s="474" t="e">
        <f ca="1">INDEX(INDIRECT("'"&amp;RIGHT(Tableau3[[#This Row],[Dep]],2)*1&amp;"è'"&amp;"!d:d"),MATCH(C286,INDIRECT("'"&amp;RIGHT(Tableau3[[#This Row],[Dep]],2)*1&amp;"è'"&amp;"!c:c"),0))</f>
        <v>#N/A</v>
      </c>
    </row>
    <row r="287" spans="1:11" x14ac:dyDescent="0.25">
      <c r="A287" s="470">
        <v>75015</v>
      </c>
      <c r="B287" s="470" t="s">
        <v>517</v>
      </c>
      <c r="C287" s="470" t="s">
        <v>1604</v>
      </c>
      <c r="D287" s="470" t="s">
        <v>1345</v>
      </c>
      <c r="E287" s="470" t="s">
        <v>1346</v>
      </c>
      <c r="F287" s="470" t="s">
        <v>1351</v>
      </c>
      <c r="G287" s="470" t="s">
        <v>1348</v>
      </c>
      <c r="H287" s="471"/>
      <c r="I287" s="470">
        <v>218</v>
      </c>
      <c r="J287" s="470">
        <v>0</v>
      </c>
      <c r="K287" s="474" t="e">
        <f ca="1">INDEX(INDIRECT("'"&amp;RIGHT(Tableau3[[#This Row],[Dep]],2)*1&amp;"è'"&amp;"!d:d"),MATCH(C287,INDIRECT("'"&amp;RIGHT(Tableau3[[#This Row],[Dep]],2)*1&amp;"è'"&amp;"!c:c"),0))</f>
        <v>#N/A</v>
      </c>
    </row>
    <row r="288" spans="1:11" x14ac:dyDescent="0.25">
      <c r="A288" s="470">
        <v>75015</v>
      </c>
      <c r="B288" s="470" t="s">
        <v>1064</v>
      </c>
      <c r="C288" s="470" t="s">
        <v>1065</v>
      </c>
      <c r="D288" s="470" t="s">
        <v>1345</v>
      </c>
      <c r="E288" s="470" t="s">
        <v>1346</v>
      </c>
      <c r="F288" s="470" t="s">
        <v>1351</v>
      </c>
      <c r="G288" s="470" t="s">
        <v>1348</v>
      </c>
      <c r="H288" s="470" t="s">
        <v>1348</v>
      </c>
      <c r="I288" s="470">
        <v>500</v>
      </c>
      <c r="J288" s="470">
        <v>0</v>
      </c>
      <c r="K288" s="474" t="str">
        <f ca="1">INDEX(INDIRECT("'"&amp;RIGHT(Tableau3[[#This Row],[Dep]],2)*1&amp;"è'"&amp;"!d:d"),MATCH(C288,INDIRECT("'"&amp;RIGHT(Tableau3[[#This Row],[Dep]],2)*1&amp;"è'"&amp;"!c:c"),0))</f>
        <v>FT</v>
      </c>
    </row>
    <row r="289" spans="1:11" x14ac:dyDescent="0.25">
      <c r="A289" s="470">
        <v>75015</v>
      </c>
      <c r="B289" s="470" t="s">
        <v>653</v>
      </c>
      <c r="C289" s="470" t="s">
        <v>1605</v>
      </c>
      <c r="D289" s="470" t="s">
        <v>1466</v>
      </c>
      <c r="E289" s="470" t="s">
        <v>1346</v>
      </c>
      <c r="F289" s="470" t="s">
        <v>1351</v>
      </c>
      <c r="G289" s="470" t="s">
        <v>1348</v>
      </c>
      <c r="H289" s="471"/>
      <c r="I289" s="472">
        <v>1232</v>
      </c>
      <c r="J289" s="470">
        <v>0</v>
      </c>
      <c r="K289" s="474" t="e">
        <f ca="1">INDEX(INDIRECT("'"&amp;RIGHT(Tableau3[[#This Row],[Dep]],2)*1&amp;"è'"&amp;"!d:d"),MATCH(C289,INDIRECT("'"&amp;RIGHT(Tableau3[[#This Row],[Dep]],2)*1&amp;"è'"&amp;"!c:c"),0))</f>
        <v>#N/A</v>
      </c>
    </row>
    <row r="290" spans="1:11" x14ac:dyDescent="0.25">
      <c r="A290" s="470">
        <v>75015</v>
      </c>
      <c r="B290" s="470" t="s">
        <v>519</v>
      </c>
      <c r="C290" s="470" t="s">
        <v>1606</v>
      </c>
      <c r="D290" s="470" t="s">
        <v>1345</v>
      </c>
      <c r="E290" s="470" t="s">
        <v>1346</v>
      </c>
      <c r="F290" s="470" t="s">
        <v>1347</v>
      </c>
      <c r="G290" s="470" t="s">
        <v>1348</v>
      </c>
      <c r="H290" s="471"/>
      <c r="I290" s="470">
        <v>80</v>
      </c>
      <c r="J290" s="470">
        <v>0</v>
      </c>
      <c r="K290" s="474" t="e">
        <f ca="1">INDEX(INDIRECT("'"&amp;RIGHT(Tableau3[[#This Row],[Dep]],2)*1&amp;"è'"&amp;"!d:d"),MATCH(C290,INDIRECT("'"&amp;RIGHT(Tableau3[[#This Row],[Dep]],2)*1&amp;"è'"&amp;"!c:c"),0))</f>
        <v>#N/A</v>
      </c>
    </row>
    <row r="291" spans="1:11" x14ac:dyDescent="0.25">
      <c r="A291" s="470">
        <v>75015</v>
      </c>
      <c r="B291" s="470" t="s">
        <v>655</v>
      </c>
      <c r="C291" s="470" t="s">
        <v>1607</v>
      </c>
      <c r="D291" s="470" t="s">
        <v>1345</v>
      </c>
      <c r="E291" s="470" t="s">
        <v>1346</v>
      </c>
      <c r="F291" s="470" t="s">
        <v>1349</v>
      </c>
      <c r="G291" s="471"/>
      <c r="H291" s="471"/>
      <c r="I291" s="470">
        <v>84</v>
      </c>
      <c r="J291" s="470">
        <v>0</v>
      </c>
      <c r="K291" s="474" t="e">
        <f ca="1">INDEX(INDIRECT("'"&amp;RIGHT(Tableau3[[#This Row],[Dep]],2)*1&amp;"è'"&amp;"!d:d"),MATCH(C291,INDIRECT("'"&amp;RIGHT(Tableau3[[#This Row],[Dep]],2)*1&amp;"è'"&amp;"!c:c"),0))</f>
        <v>#N/A</v>
      </c>
    </row>
    <row r="292" spans="1:11" x14ac:dyDescent="0.25">
      <c r="A292" s="470">
        <v>75015</v>
      </c>
      <c r="B292" s="470" t="s">
        <v>1608</v>
      </c>
      <c r="C292" s="470" t="s">
        <v>1609</v>
      </c>
      <c r="D292" s="470" t="s">
        <v>1345</v>
      </c>
      <c r="E292" s="470" t="s">
        <v>1346</v>
      </c>
      <c r="F292" s="470" t="s">
        <v>1351</v>
      </c>
      <c r="G292" s="470" t="s">
        <v>1348</v>
      </c>
      <c r="H292" s="471"/>
      <c r="I292" s="470">
        <v>335</v>
      </c>
      <c r="J292" s="470">
        <v>0</v>
      </c>
      <c r="K292" s="474" t="e">
        <f ca="1">INDEX(INDIRECT("'"&amp;RIGHT(Tableau3[[#This Row],[Dep]],2)*1&amp;"è'"&amp;"!d:d"),MATCH(C292,INDIRECT("'"&amp;RIGHT(Tableau3[[#This Row],[Dep]],2)*1&amp;"è'"&amp;"!c:c"),0))</f>
        <v>#N/A</v>
      </c>
    </row>
    <row r="293" spans="1:11" x14ac:dyDescent="0.25">
      <c r="A293" s="470">
        <v>75016</v>
      </c>
      <c r="B293" s="470" t="s">
        <v>1298</v>
      </c>
      <c r="C293" s="470" t="s">
        <v>1299</v>
      </c>
      <c r="D293" s="470" t="s">
        <v>1345</v>
      </c>
      <c r="E293" s="470" t="s">
        <v>1442</v>
      </c>
      <c r="F293" s="471"/>
      <c r="G293" s="471"/>
      <c r="H293" s="471"/>
      <c r="I293" s="470">
        <v>340</v>
      </c>
      <c r="J293" s="470">
        <v>0</v>
      </c>
      <c r="K293" s="474" t="str">
        <f ca="1">INDEX(INDIRECT("'"&amp;RIGHT(Tableau3[[#This Row],[Dep]],2)*1&amp;"è'"&amp;"!d:d"),MATCH(C293,INDIRECT("'"&amp;RIGHT(Tableau3[[#This Row],[Dep]],2)*1&amp;"è'"&amp;"!c:c"),0))</f>
        <v>refus</v>
      </c>
    </row>
    <row r="294" spans="1:11" x14ac:dyDescent="0.25">
      <c r="A294" s="470">
        <v>75016</v>
      </c>
      <c r="B294" s="470" t="s">
        <v>521</v>
      </c>
      <c r="C294" s="470" t="s">
        <v>1610</v>
      </c>
      <c r="D294" s="470" t="s">
        <v>1345</v>
      </c>
      <c r="E294" s="470" t="s">
        <v>1346</v>
      </c>
      <c r="F294" s="470" t="s">
        <v>1351</v>
      </c>
      <c r="G294" s="471"/>
      <c r="H294" s="471"/>
      <c r="I294" s="470">
        <v>510</v>
      </c>
      <c r="J294" s="470">
        <v>0</v>
      </c>
      <c r="K294" s="474" t="e">
        <f ca="1">INDEX(INDIRECT("'"&amp;RIGHT(Tableau3[[#This Row],[Dep]],2)*1&amp;"è'"&amp;"!d:d"),MATCH(C294,INDIRECT("'"&amp;RIGHT(Tableau3[[#This Row],[Dep]],2)*1&amp;"è'"&amp;"!c:c"),0))</f>
        <v>#N/A</v>
      </c>
    </row>
    <row r="295" spans="1:11" x14ac:dyDescent="0.25">
      <c r="A295" s="470">
        <v>75016</v>
      </c>
      <c r="B295" s="470" t="s">
        <v>523</v>
      </c>
      <c r="C295" s="470" t="s">
        <v>1611</v>
      </c>
      <c r="D295" s="470" t="s">
        <v>1345</v>
      </c>
      <c r="E295" s="470" t="s">
        <v>1346</v>
      </c>
      <c r="F295" s="470" t="s">
        <v>1349</v>
      </c>
      <c r="G295" s="471"/>
      <c r="H295" s="470" t="s">
        <v>1348</v>
      </c>
      <c r="I295" s="470">
        <v>200</v>
      </c>
      <c r="J295" s="470">
        <v>0</v>
      </c>
      <c r="K295" s="474" t="e">
        <f ca="1">INDEX(INDIRECT("'"&amp;RIGHT(Tableau3[[#This Row],[Dep]],2)*1&amp;"è'"&amp;"!d:d"),MATCH(C295,INDIRECT("'"&amp;RIGHT(Tableau3[[#This Row],[Dep]],2)*1&amp;"è'"&amp;"!c:c"),0))</f>
        <v>#N/A</v>
      </c>
    </row>
    <row r="296" spans="1:11" x14ac:dyDescent="0.25">
      <c r="A296" s="470">
        <v>75016</v>
      </c>
      <c r="B296" s="470" t="s">
        <v>657</v>
      </c>
      <c r="C296" s="470" t="s">
        <v>1612</v>
      </c>
      <c r="D296" s="470" t="s">
        <v>1466</v>
      </c>
      <c r="E296" s="470" t="s">
        <v>1346</v>
      </c>
      <c r="F296" s="470" t="s">
        <v>1349</v>
      </c>
      <c r="G296" s="470" t="s">
        <v>1348</v>
      </c>
      <c r="H296" s="471"/>
      <c r="I296" s="470">
        <v>545</v>
      </c>
      <c r="J296" s="470">
        <v>0</v>
      </c>
      <c r="K296" s="474" t="e">
        <f ca="1">INDEX(INDIRECT("'"&amp;RIGHT(Tableau3[[#This Row],[Dep]],2)*1&amp;"è'"&amp;"!d:d"),MATCH(C296,INDIRECT("'"&amp;RIGHT(Tableau3[[#This Row],[Dep]],2)*1&amp;"è'"&amp;"!c:c"),0))</f>
        <v>#N/A</v>
      </c>
    </row>
    <row r="297" spans="1:11" x14ac:dyDescent="0.25">
      <c r="A297" s="470">
        <v>75016</v>
      </c>
      <c r="B297" s="470" t="s">
        <v>525</v>
      </c>
      <c r="C297" s="470" t="s">
        <v>1613</v>
      </c>
      <c r="D297" s="470" t="s">
        <v>1345</v>
      </c>
      <c r="E297" s="470" t="s">
        <v>1346</v>
      </c>
      <c r="F297" s="470" t="s">
        <v>1351</v>
      </c>
      <c r="G297" s="471"/>
      <c r="H297" s="471"/>
      <c r="I297" s="470">
        <v>845</v>
      </c>
      <c r="J297" s="470">
        <v>0</v>
      </c>
      <c r="K297" s="474" t="e">
        <f ca="1">INDEX(INDIRECT("'"&amp;RIGHT(Tableau3[[#This Row],[Dep]],2)*1&amp;"è'"&amp;"!d:d"),MATCH(C297,INDIRECT("'"&amp;RIGHT(Tableau3[[#This Row],[Dep]],2)*1&amp;"è'"&amp;"!c:c"),0))</f>
        <v>#N/A</v>
      </c>
    </row>
    <row r="298" spans="1:11" x14ac:dyDescent="0.25">
      <c r="A298" s="470">
        <v>75016</v>
      </c>
      <c r="B298" s="470" t="s">
        <v>659</v>
      </c>
      <c r="C298" s="470" t="s">
        <v>1614</v>
      </c>
      <c r="D298" s="470" t="s">
        <v>1345</v>
      </c>
      <c r="E298" s="470" t="s">
        <v>1346</v>
      </c>
      <c r="F298" s="470" t="s">
        <v>1351</v>
      </c>
      <c r="G298" s="470" t="s">
        <v>1348</v>
      </c>
      <c r="H298" s="471"/>
      <c r="I298" s="470">
        <v>146</v>
      </c>
      <c r="J298" s="470">
        <v>0</v>
      </c>
      <c r="K298" s="474" t="e">
        <f ca="1">INDEX(INDIRECT("'"&amp;RIGHT(Tableau3[[#This Row],[Dep]],2)*1&amp;"è'"&amp;"!d:d"),MATCH(C298,INDIRECT("'"&amp;RIGHT(Tableau3[[#This Row],[Dep]],2)*1&amp;"è'"&amp;"!c:c"),0))</f>
        <v>#N/A</v>
      </c>
    </row>
    <row r="299" spans="1:11" x14ac:dyDescent="0.25">
      <c r="A299" s="470">
        <v>75016</v>
      </c>
      <c r="B299" s="470" t="s">
        <v>1301</v>
      </c>
      <c r="C299" s="470" t="s">
        <v>1302</v>
      </c>
      <c r="D299" s="470" t="s">
        <v>1345</v>
      </c>
      <c r="E299" s="470" t="s">
        <v>1346</v>
      </c>
      <c r="F299" s="470" t="s">
        <v>1349</v>
      </c>
      <c r="G299" s="471"/>
      <c r="H299" s="471"/>
      <c r="I299" s="470">
        <v>290</v>
      </c>
      <c r="J299" s="470">
        <v>0</v>
      </c>
      <c r="K299" s="474" t="str">
        <f ca="1">INDEX(INDIRECT("'"&amp;RIGHT(Tableau3[[#This Row],[Dep]],2)*1&amp;"è'"&amp;"!d:d"),MATCH(C299,INDIRECT("'"&amp;RIGHT(Tableau3[[#This Row],[Dep]],2)*1&amp;"è'"&amp;"!c:c"),0))</f>
        <v>SC</v>
      </c>
    </row>
    <row r="300" spans="1:11" x14ac:dyDescent="0.25">
      <c r="A300" s="470">
        <v>75016</v>
      </c>
      <c r="B300" s="470" t="s">
        <v>1008</v>
      </c>
      <c r="C300" s="470" t="s">
        <v>1009</v>
      </c>
      <c r="D300" s="470" t="s">
        <v>1345</v>
      </c>
      <c r="E300" s="470" t="s">
        <v>1346</v>
      </c>
      <c r="F300" s="470" t="s">
        <v>1347</v>
      </c>
      <c r="G300" s="471"/>
      <c r="H300" s="470" t="s">
        <v>1348</v>
      </c>
      <c r="I300" s="470">
        <v>376</v>
      </c>
      <c r="J300" s="470">
        <v>0</v>
      </c>
      <c r="K300" s="474" t="str">
        <f ca="1">INDEX(INDIRECT("'"&amp;RIGHT(Tableau3[[#This Row],[Dep]],2)*1&amp;"è'"&amp;"!d:d"),MATCH(C300,INDIRECT("'"&amp;RIGHT(Tableau3[[#This Row],[Dep]],2)*1&amp;"è'"&amp;"!c:c"),0))</f>
        <v>PH</v>
      </c>
    </row>
    <row r="301" spans="1:11" x14ac:dyDescent="0.25">
      <c r="A301" s="470">
        <v>75016</v>
      </c>
      <c r="B301" s="470" t="s">
        <v>530</v>
      </c>
      <c r="C301" s="470" t="s">
        <v>1615</v>
      </c>
      <c r="D301" s="470" t="s">
        <v>1345</v>
      </c>
      <c r="E301" s="470" t="s">
        <v>1346</v>
      </c>
      <c r="F301" s="470" t="s">
        <v>1349</v>
      </c>
      <c r="G301" s="470" t="s">
        <v>1348</v>
      </c>
      <c r="H301" s="471"/>
      <c r="I301" s="470">
        <v>147.5</v>
      </c>
      <c r="J301" s="470">
        <v>0</v>
      </c>
      <c r="K301" s="474" t="e">
        <f ca="1">INDEX(INDIRECT("'"&amp;RIGHT(Tableau3[[#This Row],[Dep]],2)*1&amp;"è'"&amp;"!d:d"),MATCH(C301,INDIRECT("'"&amp;RIGHT(Tableau3[[#This Row],[Dep]],2)*1&amp;"è'"&amp;"!c:c"),0))</f>
        <v>#N/A</v>
      </c>
    </row>
    <row r="302" spans="1:11" x14ac:dyDescent="0.25">
      <c r="A302" s="470">
        <v>75016</v>
      </c>
      <c r="B302" s="470" t="s">
        <v>1616</v>
      </c>
      <c r="C302" s="470" t="s">
        <v>1617</v>
      </c>
      <c r="D302" s="470" t="s">
        <v>1345</v>
      </c>
      <c r="E302" s="470" t="s">
        <v>1346</v>
      </c>
      <c r="F302" s="470" t="s">
        <v>1349</v>
      </c>
      <c r="G302" s="471"/>
      <c r="H302" s="471"/>
      <c r="I302" s="470">
        <v>37</v>
      </c>
      <c r="J302" s="470">
        <v>0</v>
      </c>
      <c r="K302" s="474" t="e">
        <f ca="1">INDEX(INDIRECT("'"&amp;RIGHT(Tableau3[[#This Row],[Dep]],2)*1&amp;"è'"&amp;"!d:d"),MATCH(C302,INDIRECT("'"&amp;RIGHT(Tableau3[[#This Row],[Dep]],2)*1&amp;"è'"&amp;"!c:c"),0))</f>
        <v>#N/A</v>
      </c>
    </row>
    <row r="303" spans="1:11" x14ac:dyDescent="0.25">
      <c r="A303" s="470">
        <v>75016</v>
      </c>
      <c r="B303" s="470" t="s">
        <v>1070</v>
      </c>
      <c r="C303" s="470" t="s">
        <v>1071</v>
      </c>
      <c r="D303" s="470" t="s">
        <v>1345</v>
      </c>
      <c r="E303" s="470" t="s">
        <v>1346</v>
      </c>
      <c r="F303" s="470" t="s">
        <v>1349</v>
      </c>
      <c r="G303" s="471"/>
      <c r="H303" s="471"/>
      <c r="I303" s="470">
        <v>68</v>
      </c>
      <c r="J303" s="470">
        <v>0</v>
      </c>
      <c r="K303" s="474" t="str">
        <f ca="1">INDEX(INDIRECT("'"&amp;RIGHT(Tableau3[[#This Row],[Dep]],2)*1&amp;"è'"&amp;"!d:d"),MATCH(C303,INDIRECT("'"&amp;RIGHT(Tableau3[[#This Row],[Dep]],2)*1&amp;"è'"&amp;"!c:c"),0))</f>
        <v>SC</v>
      </c>
    </row>
    <row r="304" spans="1:11" x14ac:dyDescent="0.25">
      <c r="A304" s="470">
        <v>75016</v>
      </c>
      <c r="B304" s="470" t="s">
        <v>1072</v>
      </c>
      <c r="C304" s="470" t="s">
        <v>1073</v>
      </c>
      <c r="D304" s="470" t="s">
        <v>1345</v>
      </c>
      <c r="E304" s="470" t="s">
        <v>1416</v>
      </c>
      <c r="F304" s="471"/>
      <c r="G304" s="471"/>
      <c r="H304" s="471"/>
      <c r="I304" s="470">
        <v>280</v>
      </c>
      <c r="J304" s="470">
        <v>0</v>
      </c>
      <c r="K304" s="474" t="str">
        <f ca="1">INDEX(INDIRECT("'"&amp;RIGHT(Tableau3[[#This Row],[Dep]],2)*1&amp;"è'"&amp;"!d:d"),MATCH(C304,INDIRECT("'"&amp;RIGHT(Tableau3[[#This Row],[Dep]],2)*1&amp;"è'"&amp;"!c:c"),0))</f>
        <v>refus</v>
      </c>
    </row>
    <row r="305" spans="1:11" x14ac:dyDescent="0.25">
      <c r="A305" s="470">
        <v>75016</v>
      </c>
      <c r="B305" s="470" t="s">
        <v>1618</v>
      </c>
      <c r="C305" s="470" t="s">
        <v>1619</v>
      </c>
      <c r="D305" s="470" t="s">
        <v>1345</v>
      </c>
      <c r="E305" s="470" t="s">
        <v>1346</v>
      </c>
      <c r="F305" s="470" t="s">
        <v>1349</v>
      </c>
      <c r="G305" s="471"/>
      <c r="H305" s="471"/>
      <c r="I305" s="470">
        <v>109</v>
      </c>
      <c r="J305" s="470">
        <v>0</v>
      </c>
      <c r="K305" s="474" t="e">
        <f ca="1">INDEX(INDIRECT("'"&amp;RIGHT(Tableau3[[#This Row],[Dep]],2)*1&amp;"è'"&amp;"!d:d"),MATCH(C305,INDIRECT("'"&amp;RIGHT(Tableau3[[#This Row],[Dep]],2)*1&amp;"è'"&amp;"!c:c"),0))</f>
        <v>#N/A</v>
      </c>
    </row>
    <row r="306" spans="1:11" x14ac:dyDescent="0.25">
      <c r="A306" s="470">
        <v>75016</v>
      </c>
      <c r="B306" s="470" t="s">
        <v>532</v>
      </c>
      <c r="C306" s="470" t="s">
        <v>1620</v>
      </c>
      <c r="D306" s="470" t="s">
        <v>1345</v>
      </c>
      <c r="E306" s="470" t="s">
        <v>1346</v>
      </c>
      <c r="F306" s="470" t="s">
        <v>1351</v>
      </c>
      <c r="G306" s="470" t="s">
        <v>1348</v>
      </c>
      <c r="H306" s="471"/>
      <c r="I306" s="472">
        <v>1829</v>
      </c>
      <c r="J306" s="470">
        <v>0</v>
      </c>
      <c r="K306" s="474" t="e">
        <f ca="1">INDEX(INDIRECT("'"&amp;RIGHT(Tableau3[[#This Row],[Dep]],2)*1&amp;"è'"&amp;"!d:d"),MATCH(C306,INDIRECT("'"&amp;RIGHT(Tableau3[[#This Row],[Dep]],2)*1&amp;"è'"&amp;"!c:c"),0))</f>
        <v>#N/A</v>
      </c>
    </row>
    <row r="307" spans="1:11" x14ac:dyDescent="0.25">
      <c r="A307" s="470">
        <v>75016</v>
      </c>
      <c r="B307" s="470" t="s">
        <v>534</v>
      </c>
      <c r="C307" s="470" t="s">
        <v>1621</v>
      </c>
      <c r="D307" s="470" t="s">
        <v>1345</v>
      </c>
      <c r="E307" s="470" t="s">
        <v>1346</v>
      </c>
      <c r="F307" s="470" t="s">
        <v>1349</v>
      </c>
      <c r="G307" s="471"/>
      <c r="H307" s="470" t="s">
        <v>1348</v>
      </c>
      <c r="I307" s="470">
        <v>60</v>
      </c>
      <c r="J307" s="470">
        <v>0</v>
      </c>
      <c r="K307" s="474" t="e">
        <f ca="1">INDEX(INDIRECT("'"&amp;RIGHT(Tableau3[[#This Row],[Dep]],2)*1&amp;"è'"&amp;"!d:d"),MATCH(C307,INDIRECT("'"&amp;RIGHT(Tableau3[[#This Row],[Dep]],2)*1&amp;"è'"&amp;"!c:c"),0))</f>
        <v>#N/A</v>
      </c>
    </row>
    <row r="308" spans="1:11" x14ac:dyDescent="0.25">
      <c r="A308" s="470">
        <v>75017</v>
      </c>
      <c r="B308" s="470" t="s">
        <v>536</v>
      </c>
      <c r="C308" s="470" t="s">
        <v>1622</v>
      </c>
      <c r="D308" s="470" t="s">
        <v>1345</v>
      </c>
      <c r="E308" s="470" t="s">
        <v>1346</v>
      </c>
      <c r="F308" s="470" t="s">
        <v>1347</v>
      </c>
      <c r="G308" s="470" t="s">
        <v>1348</v>
      </c>
      <c r="H308" s="470" t="s">
        <v>1348</v>
      </c>
      <c r="I308" s="470">
        <v>276</v>
      </c>
      <c r="J308" s="470">
        <v>0</v>
      </c>
      <c r="K308" s="474" t="e">
        <f ca="1">INDEX(INDIRECT("'"&amp;RIGHT(Tableau3[[#This Row],[Dep]],2)*1&amp;"è'"&amp;"!d:d"),MATCH(C308,INDIRECT("'"&amp;RIGHT(Tableau3[[#This Row],[Dep]],2)*1&amp;"è'"&amp;"!c:c"),0))</f>
        <v>#N/A</v>
      </c>
    </row>
    <row r="309" spans="1:11" x14ac:dyDescent="0.25">
      <c r="A309" s="470">
        <v>75017</v>
      </c>
      <c r="B309" s="470" t="s">
        <v>540</v>
      </c>
      <c r="C309" s="470" t="s">
        <v>1623</v>
      </c>
      <c r="D309" s="470" t="s">
        <v>1345</v>
      </c>
      <c r="E309" s="470" t="s">
        <v>1346</v>
      </c>
      <c r="F309" s="470" t="s">
        <v>1349</v>
      </c>
      <c r="G309" s="471"/>
      <c r="H309" s="471"/>
      <c r="I309" s="470">
        <v>56</v>
      </c>
      <c r="J309" s="470">
        <v>0</v>
      </c>
      <c r="K309" s="474" t="e">
        <f ca="1">INDEX(INDIRECT("'"&amp;RIGHT(Tableau3[[#This Row],[Dep]],2)*1&amp;"è'"&amp;"!d:d"),MATCH(C309,INDIRECT("'"&amp;RIGHT(Tableau3[[#This Row],[Dep]],2)*1&amp;"è'"&amp;"!c:c"),0))</f>
        <v>#N/A</v>
      </c>
    </row>
    <row r="310" spans="1:11" x14ac:dyDescent="0.25">
      <c r="A310" s="470">
        <v>75017</v>
      </c>
      <c r="B310" s="470" t="s">
        <v>1624</v>
      </c>
      <c r="C310" s="470" t="s">
        <v>1625</v>
      </c>
      <c r="D310" s="470" t="s">
        <v>1345</v>
      </c>
      <c r="E310" s="470" t="s">
        <v>1346</v>
      </c>
      <c r="F310" s="470" t="s">
        <v>1351</v>
      </c>
      <c r="G310" s="471"/>
      <c r="H310" s="471"/>
      <c r="I310" s="470">
        <v>205</v>
      </c>
      <c r="J310" s="470">
        <v>0</v>
      </c>
      <c r="K310" s="474" t="e">
        <f ca="1">INDEX(INDIRECT("'"&amp;RIGHT(Tableau3[[#This Row],[Dep]],2)*1&amp;"è'"&amp;"!d:d"),MATCH(C310,INDIRECT("'"&amp;RIGHT(Tableau3[[#This Row],[Dep]],2)*1&amp;"è'"&amp;"!c:c"),0))</f>
        <v>#N/A</v>
      </c>
    </row>
    <row r="311" spans="1:11" x14ac:dyDescent="0.25">
      <c r="A311" s="470">
        <v>75017</v>
      </c>
      <c r="B311" s="470" t="s">
        <v>544</v>
      </c>
      <c r="C311" s="470" t="s">
        <v>1626</v>
      </c>
      <c r="D311" s="470" t="s">
        <v>1345</v>
      </c>
      <c r="E311" s="470" t="s">
        <v>1346</v>
      </c>
      <c r="F311" s="470" t="s">
        <v>1349</v>
      </c>
      <c r="G311" s="471"/>
      <c r="H311" s="471"/>
      <c r="I311" s="470">
        <v>278</v>
      </c>
      <c r="J311" s="470">
        <v>0</v>
      </c>
      <c r="K311" s="474" t="e">
        <f ca="1">INDEX(INDIRECT("'"&amp;RIGHT(Tableau3[[#This Row],[Dep]],2)*1&amp;"è'"&amp;"!d:d"),MATCH(C311,INDIRECT("'"&amp;RIGHT(Tableau3[[#This Row],[Dep]],2)*1&amp;"è'"&amp;"!c:c"),0))</f>
        <v>#N/A</v>
      </c>
    </row>
    <row r="312" spans="1:11" x14ac:dyDescent="0.25">
      <c r="A312" s="470">
        <v>75017</v>
      </c>
      <c r="B312" s="470" t="s">
        <v>1014</v>
      </c>
      <c r="C312" s="470" t="s">
        <v>1015</v>
      </c>
      <c r="D312" s="470" t="s">
        <v>1345</v>
      </c>
      <c r="E312" s="470" t="s">
        <v>1346</v>
      </c>
      <c r="F312" s="470" t="s">
        <v>1349</v>
      </c>
      <c r="G312" s="471"/>
      <c r="H312" s="471"/>
      <c r="I312" s="470">
        <v>240</v>
      </c>
      <c r="J312" s="470">
        <v>0</v>
      </c>
      <c r="K312" s="474" t="str">
        <f ca="1">INDEX(INDIRECT("'"&amp;RIGHT(Tableau3[[#This Row],[Dep]],2)*1&amp;"è'"&amp;"!d:d"),MATCH(C312,INDIRECT("'"&amp;RIGHT(Tableau3[[#This Row],[Dep]],2)*1&amp;"è'"&amp;"!c:c"),0))</f>
        <v>SC</v>
      </c>
    </row>
    <row r="313" spans="1:11" x14ac:dyDescent="0.25">
      <c r="A313" s="470">
        <v>75017</v>
      </c>
      <c r="B313" s="470" t="s">
        <v>1310</v>
      </c>
      <c r="C313" s="470" t="s">
        <v>1311</v>
      </c>
      <c r="D313" s="470" t="s">
        <v>1345</v>
      </c>
      <c r="E313" s="470" t="s">
        <v>1346</v>
      </c>
      <c r="F313" s="470" t="s">
        <v>1347</v>
      </c>
      <c r="G313" s="471"/>
      <c r="H313" s="471"/>
      <c r="I313" s="470">
        <v>305</v>
      </c>
      <c r="J313" s="470">
        <v>0</v>
      </c>
      <c r="K313" s="474" t="str">
        <f ca="1">INDEX(INDIRECT("'"&amp;RIGHT(Tableau3[[#This Row],[Dep]],2)*1&amp;"è'"&amp;"!d:d"),MATCH(C313,INDIRECT("'"&amp;RIGHT(Tableau3[[#This Row],[Dep]],2)*1&amp;"è'"&amp;"!c:c"),0))</f>
        <v>PH</v>
      </c>
    </row>
    <row r="314" spans="1:11" x14ac:dyDescent="0.25">
      <c r="A314" s="470">
        <v>75017</v>
      </c>
      <c r="B314" s="470" t="s">
        <v>661</v>
      </c>
      <c r="C314" s="470" t="s">
        <v>1627</v>
      </c>
      <c r="D314" s="470" t="s">
        <v>1345</v>
      </c>
      <c r="E314" s="470" t="s">
        <v>1346</v>
      </c>
      <c r="F314" s="470" t="s">
        <v>1347</v>
      </c>
      <c r="G314" s="470" t="s">
        <v>1348</v>
      </c>
      <c r="H314" s="470" t="s">
        <v>1348</v>
      </c>
      <c r="I314" s="470">
        <v>376</v>
      </c>
      <c r="J314" s="470">
        <v>0</v>
      </c>
      <c r="K314" s="474" t="e">
        <f ca="1">INDEX(INDIRECT("'"&amp;RIGHT(Tableau3[[#This Row],[Dep]],2)*1&amp;"è'"&amp;"!d:d"),MATCH(C314,INDIRECT("'"&amp;RIGHT(Tableau3[[#This Row],[Dep]],2)*1&amp;"è'"&amp;"!c:c"),0))</f>
        <v>#N/A</v>
      </c>
    </row>
    <row r="315" spans="1:11" x14ac:dyDescent="0.25">
      <c r="A315" s="470">
        <v>75017</v>
      </c>
      <c r="B315" s="470" t="s">
        <v>1016</v>
      </c>
      <c r="C315" s="470" t="s">
        <v>1017</v>
      </c>
      <c r="D315" s="470" t="s">
        <v>1345</v>
      </c>
      <c r="E315" s="470" t="s">
        <v>1346</v>
      </c>
      <c r="F315" s="470" t="s">
        <v>1347</v>
      </c>
      <c r="G315" s="471"/>
      <c r="H315" s="470" t="s">
        <v>1348</v>
      </c>
      <c r="I315" s="470">
        <v>723</v>
      </c>
      <c r="J315" s="470">
        <v>0</v>
      </c>
      <c r="K315" s="474" t="str">
        <f ca="1">INDEX(INDIRECT("'"&amp;RIGHT(Tableau3[[#This Row],[Dep]],2)*1&amp;"è'"&amp;"!d:d"),MATCH(C315,INDIRECT("'"&amp;RIGHT(Tableau3[[#This Row],[Dep]],2)*1&amp;"è'"&amp;"!c:c"),0))</f>
        <v>PH</v>
      </c>
    </row>
    <row r="316" spans="1:11" x14ac:dyDescent="0.25">
      <c r="A316" s="470">
        <v>75017</v>
      </c>
      <c r="B316" s="470" t="s">
        <v>667</v>
      </c>
      <c r="C316" s="470" t="s">
        <v>1628</v>
      </c>
      <c r="D316" s="470" t="s">
        <v>1345</v>
      </c>
      <c r="E316" s="470" t="s">
        <v>1346</v>
      </c>
      <c r="F316" s="470" t="s">
        <v>1349</v>
      </c>
      <c r="G316" s="470" t="s">
        <v>1348</v>
      </c>
      <c r="H316" s="471"/>
      <c r="I316" s="470">
        <v>510</v>
      </c>
      <c r="J316" s="470">
        <v>0</v>
      </c>
      <c r="K316" s="474" t="e">
        <f ca="1">INDEX(INDIRECT("'"&amp;RIGHT(Tableau3[[#This Row],[Dep]],2)*1&amp;"è'"&amp;"!d:d"),MATCH(C316,INDIRECT("'"&amp;RIGHT(Tableau3[[#This Row],[Dep]],2)*1&amp;"è'"&amp;"!c:c"),0))</f>
        <v>#N/A</v>
      </c>
    </row>
    <row r="317" spans="1:11" x14ac:dyDescent="0.25">
      <c r="A317" s="470">
        <v>75017</v>
      </c>
      <c r="B317" s="470" t="s">
        <v>1314</v>
      </c>
      <c r="C317" s="470" t="s">
        <v>1315</v>
      </c>
      <c r="D317" s="470" t="s">
        <v>1345</v>
      </c>
      <c r="E317" s="470" t="s">
        <v>1346</v>
      </c>
      <c r="F317" s="470" t="s">
        <v>1351</v>
      </c>
      <c r="G317" s="471"/>
      <c r="H317" s="470" t="s">
        <v>1348</v>
      </c>
      <c r="I317" s="470">
        <v>247</v>
      </c>
      <c r="J317" s="470">
        <v>0</v>
      </c>
      <c r="K317" s="474" t="str">
        <f ca="1">INDEX(INDIRECT("'"&amp;RIGHT(Tableau3[[#This Row],[Dep]],2)*1&amp;"è'"&amp;"!d:d"),MATCH(C317,INDIRECT("'"&amp;RIGHT(Tableau3[[#This Row],[Dep]],2)*1&amp;"è'"&amp;"!c:c"),0))</f>
        <v>FT</v>
      </c>
    </row>
    <row r="318" spans="1:11" x14ac:dyDescent="0.25">
      <c r="A318" s="470">
        <v>75017</v>
      </c>
      <c r="B318" s="470" t="s">
        <v>1077</v>
      </c>
      <c r="C318" s="470" t="s">
        <v>1078</v>
      </c>
      <c r="D318" s="470" t="s">
        <v>1345</v>
      </c>
      <c r="E318" s="470" t="s">
        <v>1346</v>
      </c>
      <c r="F318" s="470" t="s">
        <v>1351</v>
      </c>
      <c r="G318" s="470" t="s">
        <v>1348</v>
      </c>
      <c r="H318" s="470" t="s">
        <v>1348</v>
      </c>
      <c r="I318" s="470">
        <v>68</v>
      </c>
      <c r="J318" s="470">
        <v>0</v>
      </c>
      <c r="K318" s="474" t="str">
        <f ca="1">INDEX(INDIRECT("'"&amp;RIGHT(Tableau3[[#This Row],[Dep]],2)*1&amp;"è'"&amp;"!d:d"),MATCH(C318,INDIRECT("'"&amp;RIGHT(Tableau3[[#This Row],[Dep]],2)*1&amp;"è'"&amp;"!c:c"),0))</f>
        <v>PH</v>
      </c>
    </row>
    <row r="319" spans="1:11" x14ac:dyDescent="0.25">
      <c r="A319" s="470">
        <v>75017</v>
      </c>
      <c r="B319" s="470" t="s">
        <v>548</v>
      </c>
      <c r="C319" s="470" t="s">
        <v>1629</v>
      </c>
      <c r="D319" s="470" t="s">
        <v>1345</v>
      </c>
      <c r="E319" s="470" t="s">
        <v>1346</v>
      </c>
      <c r="F319" s="470" t="s">
        <v>1347</v>
      </c>
      <c r="G319" s="471"/>
      <c r="H319" s="471"/>
      <c r="I319" s="470">
        <v>309</v>
      </c>
      <c r="J319" s="470">
        <v>0</v>
      </c>
      <c r="K319" s="474" t="e">
        <f ca="1">INDEX(INDIRECT("'"&amp;RIGHT(Tableau3[[#This Row],[Dep]],2)*1&amp;"è'"&amp;"!d:d"),MATCH(C319,INDIRECT("'"&amp;RIGHT(Tableau3[[#This Row],[Dep]],2)*1&amp;"è'"&amp;"!c:c"),0))</f>
        <v>#N/A</v>
      </c>
    </row>
    <row r="320" spans="1:11" x14ac:dyDescent="0.25">
      <c r="A320" s="470">
        <v>75017</v>
      </c>
      <c r="B320" s="470" t="s">
        <v>550</v>
      </c>
      <c r="C320" s="470" t="s">
        <v>1630</v>
      </c>
      <c r="D320" s="470" t="s">
        <v>1345</v>
      </c>
      <c r="E320" s="470" t="s">
        <v>1346</v>
      </c>
      <c r="F320" s="470" t="s">
        <v>1347</v>
      </c>
      <c r="G320" s="471"/>
      <c r="H320" s="471"/>
      <c r="I320" s="470">
        <v>188</v>
      </c>
      <c r="J320" s="470">
        <v>0</v>
      </c>
      <c r="K320" s="474" t="e">
        <f ca="1">INDEX(INDIRECT("'"&amp;RIGHT(Tableau3[[#This Row],[Dep]],2)*1&amp;"è'"&amp;"!d:d"),MATCH(C320,INDIRECT("'"&amp;RIGHT(Tableau3[[#This Row],[Dep]],2)*1&amp;"è'"&amp;"!c:c"),0))</f>
        <v>#N/A</v>
      </c>
    </row>
    <row r="321" spans="1:11" x14ac:dyDescent="0.25">
      <c r="A321" s="470">
        <v>75017</v>
      </c>
      <c r="B321" s="470" t="s">
        <v>552</v>
      </c>
      <c r="C321" s="470" t="s">
        <v>1631</v>
      </c>
      <c r="D321" s="470" t="s">
        <v>1345</v>
      </c>
      <c r="E321" s="470" t="s">
        <v>1346</v>
      </c>
      <c r="F321" s="470" t="s">
        <v>1347</v>
      </c>
      <c r="G321" s="471"/>
      <c r="H321" s="470" t="s">
        <v>1348</v>
      </c>
      <c r="I321" s="470">
        <v>340</v>
      </c>
      <c r="J321" s="470">
        <v>0</v>
      </c>
      <c r="K321" s="474" t="e">
        <f ca="1">INDEX(INDIRECT("'"&amp;RIGHT(Tableau3[[#This Row],[Dep]],2)*1&amp;"è'"&amp;"!d:d"),MATCH(C321,INDIRECT("'"&amp;RIGHT(Tableau3[[#This Row],[Dep]],2)*1&amp;"è'"&amp;"!c:c"),0))</f>
        <v>#N/A</v>
      </c>
    </row>
    <row r="322" spans="1:11" x14ac:dyDescent="0.25">
      <c r="A322" s="470">
        <v>75017</v>
      </c>
      <c r="B322" s="470" t="s">
        <v>669</v>
      </c>
      <c r="C322" s="470" t="s">
        <v>1632</v>
      </c>
      <c r="D322" s="470" t="s">
        <v>1345</v>
      </c>
      <c r="E322" s="470" t="s">
        <v>1346</v>
      </c>
      <c r="F322" s="470" t="s">
        <v>1349</v>
      </c>
      <c r="G322" s="471"/>
      <c r="H322" s="471"/>
      <c r="I322" s="470">
        <v>378</v>
      </c>
      <c r="J322" s="470">
        <v>0</v>
      </c>
      <c r="K322" s="474" t="e">
        <f ca="1">INDEX(INDIRECT("'"&amp;RIGHT(Tableau3[[#This Row],[Dep]],2)*1&amp;"è'"&amp;"!d:d"),MATCH(C322,INDIRECT("'"&amp;RIGHT(Tableau3[[#This Row],[Dep]],2)*1&amp;"è'"&amp;"!c:c"),0))</f>
        <v>#N/A</v>
      </c>
    </row>
    <row r="323" spans="1:11" x14ac:dyDescent="0.25">
      <c r="A323" s="470">
        <v>75017</v>
      </c>
      <c r="B323" s="470" t="s">
        <v>554</v>
      </c>
      <c r="C323" s="470" t="s">
        <v>1633</v>
      </c>
      <c r="D323" s="470" t="s">
        <v>1345</v>
      </c>
      <c r="E323" s="470" t="s">
        <v>1346</v>
      </c>
      <c r="F323" s="470" t="s">
        <v>1349</v>
      </c>
      <c r="G323" s="471"/>
      <c r="H323" s="471"/>
      <c r="I323" s="470">
        <v>346.5</v>
      </c>
      <c r="J323" s="470">
        <v>0</v>
      </c>
      <c r="K323" s="474" t="e">
        <f ca="1">INDEX(INDIRECT("'"&amp;RIGHT(Tableau3[[#This Row],[Dep]],2)*1&amp;"è'"&amp;"!d:d"),MATCH(C323,INDIRECT("'"&amp;RIGHT(Tableau3[[#This Row],[Dep]],2)*1&amp;"è'"&amp;"!c:c"),0))</f>
        <v>#N/A</v>
      </c>
    </row>
    <row r="324" spans="1:11" x14ac:dyDescent="0.25">
      <c r="A324" s="470">
        <v>75017</v>
      </c>
      <c r="B324" s="470" t="s">
        <v>556</v>
      </c>
      <c r="C324" s="470" t="s">
        <v>1634</v>
      </c>
      <c r="D324" s="470" t="s">
        <v>1345</v>
      </c>
      <c r="E324" s="470" t="s">
        <v>1346</v>
      </c>
      <c r="F324" s="470" t="s">
        <v>1347</v>
      </c>
      <c r="G324" s="470" t="s">
        <v>1348</v>
      </c>
      <c r="H324" s="471"/>
      <c r="I324" s="470">
        <v>465</v>
      </c>
      <c r="J324" s="470">
        <v>0</v>
      </c>
      <c r="K324" s="474" t="e">
        <f ca="1">INDEX(INDIRECT("'"&amp;RIGHT(Tableau3[[#This Row],[Dep]],2)*1&amp;"è'"&amp;"!d:d"),MATCH(C324,INDIRECT("'"&amp;RIGHT(Tableau3[[#This Row],[Dep]],2)*1&amp;"è'"&amp;"!c:c"),0))</f>
        <v>#N/A</v>
      </c>
    </row>
    <row r="325" spans="1:11" x14ac:dyDescent="0.25">
      <c r="A325" s="470">
        <v>75017</v>
      </c>
      <c r="B325" s="470" t="s">
        <v>671</v>
      </c>
      <c r="C325" s="470" t="s">
        <v>1635</v>
      </c>
      <c r="D325" s="470" t="s">
        <v>1345</v>
      </c>
      <c r="E325" s="470" t="s">
        <v>1346</v>
      </c>
      <c r="F325" s="470" t="s">
        <v>1347</v>
      </c>
      <c r="G325" s="471"/>
      <c r="H325" s="471"/>
      <c r="I325" s="470">
        <v>68</v>
      </c>
      <c r="J325" s="470">
        <v>0</v>
      </c>
      <c r="K325" s="474" t="e">
        <f ca="1">INDEX(INDIRECT("'"&amp;RIGHT(Tableau3[[#This Row],[Dep]],2)*1&amp;"è'"&amp;"!d:d"),MATCH(C325,INDIRECT("'"&amp;RIGHT(Tableau3[[#This Row],[Dep]],2)*1&amp;"è'"&amp;"!c:c"),0))</f>
        <v>#N/A</v>
      </c>
    </row>
    <row r="326" spans="1:11" x14ac:dyDescent="0.25">
      <c r="A326" s="470">
        <v>75017</v>
      </c>
      <c r="B326" s="470" t="s">
        <v>558</v>
      </c>
      <c r="C326" s="470" t="s">
        <v>1636</v>
      </c>
      <c r="D326" s="470" t="s">
        <v>1345</v>
      </c>
      <c r="E326" s="470" t="s">
        <v>1600</v>
      </c>
      <c r="F326" s="471"/>
      <c r="G326" s="471"/>
      <c r="H326" s="470" t="s">
        <v>1348</v>
      </c>
      <c r="I326" s="470">
        <v>122</v>
      </c>
      <c r="J326" s="470">
        <v>0</v>
      </c>
      <c r="K326" s="474" t="e">
        <f ca="1">INDEX(INDIRECT("'"&amp;RIGHT(Tableau3[[#This Row],[Dep]],2)*1&amp;"è'"&amp;"!d:d"),MATCH(C326,INDIRECT("'"&amp;RIGHT(Tableau3[[#This Row],[Dep]],2)*1&amp;"è'"&amp;"!c:c"),0))</f>
        <v>#N/A</v>
      </c>
    </row>
    <row r="327" spans="1:11" x14ac:dyDescent="0.25">
      <c r="A327" s="470">
        <v>75017</v>
      </c>
      <c r="B327" s="470" t="s">
        <v>1318</v>
      </c>
      <c r="C327" s="470" t="s">
        <v>1319</v>
      </c>
      <c r="D327" s="470" t="s">
        <v>1345</v>
      </c>
      <c r="E327" s="470" t="s">
        <v>1346</v>
      </c>
      <c r="F327" s="470" t="s">
        <v>1349</v>
      </c>
      <c r="G327" s="471"/>
      <c r="H327" s="471"/>
      <c r="I327" s="470">
        <v>88</v>
      </c>
      <c r="J327" s="470">
        <v>0</v>
      </c>
      <c r="K327" s="474" t="str">
        <f ca="1">INDEX(INDIRECT("'"&amp;RIGHT(Tableau3[[#This Row],[Dep]],2)*1&amp;"è'"&amp;"!d:d"),MATCH(C327,INDIRECT("'"&amp;RIGHT(Tableau3[[#This Row],[Dep]],2)*1&amp;"è'"&amp;"!c:c"),0))</f>
        <v>SC</v>
      </c>
    </row>
    <row r="328" spans="1:11" x14ac:dyDescent="0.25">
      <c r="A328" s="470">
        <v>75017</v>
      </c>
      <c r="B328" s="470" t="s">
        <v>675</v>
      </c>
      <c r="C328" s="470" t="s">
        <v>1637</v>
      </c>
      <c r="D328" s="470" t="s">
        <v>1345</v>
      </c>
      <c r="E328" s="470" t="s">
        <v>1346</v>
      </c>
      <c r="F328" s="470" t="s">
        <v>1349</v>
      </c>
      <c r="G328" s="470" t="s">
        <v>1348</v>
      </c>
      <c r="H328" s="470" t="s">
        <v>1348</v>
      </c>
      <c r="I328" s="470">
        <v>74</v>
      </c>
      <c r="J328" s="470">
        <v>0</v>
      </c>
      <c r="K328" s="474" t="e">
        <f ca="1">INDEX(INDIRECT("'"&amp;RIGHT(Tableau3[[#This Row],[Dep]],2)*1&amp;"è'"&amp;"!d:d"),MATCH(C328,INDIRECT("'"&amp;RIGHT(Tableau3[[#This Row],[Dep]],2)*1&amp;"è'"&amp;"!c:c"),0))</f>
        <v>#N/A</v>
      </c>
    </row>
    <row r="329" spans="1:11" x14ac:dyDescent="0.25">
      <c r="A329" s="470">
        <v>75017</v>
      </c>
      <c r="B329" s="470" t="s">
        <v>1079</v>
      </c>
      <c r="C329" s="470" t="s">
        <v>1080</v>
      </c>
      <c r="D329" s="470" t="s">
        <v>1345</v>
      </c>
      <c r="E329" s="470" t="s">
        <v>1346</v>
      </c>
      <c r="F329" s="470" t="s">
        <v>1351</v>
      </c>
      <c r="G329" s="470" t="s">
        <v>1348</v>
      </c>
      <c r="H329" s="470" t="s">
        <v>1348</v>
      </c>
      <c r="I329" s="470">
        <v>109</v>
      </c>
      <c r="J329" s="470">
        <v>0</v>
      </c>
      <c r="K329" s="474" t="str">
        <f ca="1">INDEX(INDIRECT("'"&amp;RIGHT(Tableau3[[#This Row],[Dep]],2)*1&amp;"è'"&amp;"!d:d"),MATCH(C329,INDIRECT("'"&amp;RIGHT(Tableau3[[#This Row],[Dep]],2)*1&amp;"è'"&amp;"!c:c"),0))</f>
        <v>FT</v>
      </c>
    </row>
    <row r="330" spans="1:11" x14ac:dyDescent="0.25">
      <c r="A330" s="470">
        <v>75017</v>
      </c>
      <c r="B330" s="470" t="s">
        <v>1638</v>
      </c>
      <c r="C330" s="470" t="s">
        <v>1639</v>
      </c>
      <c r="D330" s="470" t="s">
        <v>1345</v>
      </c>
      <c r="E330" s="470" t="s">
        <v>1346</v>
      </c>
      <c r="F330" s="470" t="s">
        <v>1349</v>
      </c>
      <c r="G330" s="471"/>
      <c r="H330" s="471"/>
      <c r="I330" s="470">
        <v>174</v>
      </c>
      <c r="J330" s="470">
        <v>0</v>
      </c>
      <c r="K330" s="474" t="e">
        <f ca="1">INDEX(INDIRECT("'"&amp;RIGHT(Tableau3[[#This Row],[Dep]],2)*1&amp;"è'"&amp;"!d:d"),MATCH(C330,INDIRECT("'"&amp;RIGHT(Tableau3[[#This Row],[Dep]],2)*1&amp;"è'"&amp;"!c:c"),0))</f>
        <v>#N/A</v>
      </c>
    </row>
    <row r="331" spans="1:11" x14ac:dyDescent="0.25">
      <c r="A331" s="470">
        <v>75018</v>
      </c>
      <c r="B331" s="470" t="s">
        <v>677</v>
      </c>
      <c r="C331" s="470" t="s">
        <v>1640</v>
      </c>
      <c r="D331" s="470" t="s">
        <v>1345</v>
      </c>
      <c r="E331" s="470" t="s">
        <v>1346</v>
      </c>
      <c r="F331" s="470" t="s">
        <v>1351</v>
      </c>
      <c r="G331" s="470" t="s">
        <v>1348</v>
      </c>
      <c r="H331" s="470" t="s">
        <v>1348</v>
      </c>
      <c r="I331" s="470">
        <v>558</v>
      </c>
      <c r="J331" s="470">
        <v>0</v>
      </c>
      <c r="K331" s="474" t="e">
        <f ca="1">INDEX(INDIRECT("'"&amp;RIGHT(Tableau3[[#This Row],[Dep]],2)*1&amp;"è'"&amp;"!d:d"),MATCH(C331,INDIRECT("'"&amp;RIGHT(Tableau3[[#This Row],[Dep]],2)*1&amp;"è'"&amp;"!c:c"),0))</f>
        <v>#N/A</v>
      </c>
    </row>
    <row r="332" spans="1:11" x14ac:dyDescent="0.25">
      <c r="A332" s="470">
        <v>75018</v>
      </c>
      <c r="B332" s="470" t="s">
        <v>1641</v>
      </c>
      <c r="C332" s="470" t="s">
        <v>1642</v>
      </c>
      <c r="D332" s="470" t="s">
        <v>1345</v>
      </c>
      <c r="E332" s="470" t="s">
        <v>1346</v>
      </c>
      <c r="F332" s="470" t="s">
        <v>1349</v>
      </c>
      <c r="G332" s="471"/>
      <c r="H332" s="471"/>
      <c r="I332" s="470">
        <v>528</v>
      </c>
      <c r="J332" s="470">
        <v>0</v>
      </c>
      <c r="K332" s="474" t="e">
        <f ca="1">INDEX(INDIRECT("'"&amp;RIGHT(Tableau3[[#This Row],[Dep]],2)*1&amp;"è'"&amp;"!d:d"),MATCH(C332,INDIRECT("'"&amp;RIGHT(Tableau3[[#This Row],[Dep]],2)*1&amp;"è'"&amp;"!c:c"),0))</f>
        <v>#N/A</v>
      </c>
    </row>
    <row r="333" spans="1:11" x14ac:dyDescent="0.25">
      <c r="A333" s="470">
        <v>75018</v>
      </c>
      <c r="B333" s="470" t="s">
        <v>1643</v>
      </c>
      <c r="C333" s="470" t="s">
        <v>1644</v>
      </c>
      <c r="D333" s="470" t="s">
        <v>1345</v>
      </c>
      <c r="E333" s="470" t="s">
        <v>1346</v>
      </c>
      <c r="F333" s="470" t="s">
        <v>1351</v>
      </c>
      <c r="G333" s="471"/>
      <c r="H333" s="471"/>
      <c r="I333" s="472">
        <v>1056</v>
      </c>
      <c r="J333" s="470">
        <v>0</v>
      </c>
      <c r="K333" s="474" t="e">
        <f ca="1">INDEX(INDIRECT("'"&amp;RIGHT(Tableau3[[#This Row],[Dep]],2)*1&amp;"è'"&amp;"!d:d"),MATCH(C333,INDIRECT("'"&amp;RIGHT(Tableau3[[#This Row],[Dep]],2)*1&amp;"è'"&amp;"!c:c"),0))</f>
        <v>#N/A</v>
      </c>
    </row>
    <row r="334" spans="1:11" x14ac:dyDescent="0.25">
      <c r="A334" s="470">
        <v>75018</v>
      </c>
      <c r="B334" s="470" t="s">
        <v>1087</v>
      </c>
      <c r="C334" s="470" t="s">
        <v>1088</v>
      </c>
      <c r="D334" s="470" t="s">
        <v>1345</v>
      </c>
      <c r="E334" s="470" t="s">
        <v>1346</v>
      </c>
      <c r="F334" s="470" t="s">
        <v>1347</v>
      </c>
      <c r="G334" s="470" t="s">
        <v>1348</v>
      </c>
      <c r="H334" s="471"/>
      <c r="I334" s="470">
        <v>306</v>
      </c>
      <c r="J334" s="470">
        <v>0</v>
      </c>
      <c r="K334" s="474" t="str">
        <f ca="1">INDEX(INDIRECT("'"&amp;RIGHT(Tableau3[[#This Row],[Dep]],2)*1&amp;"è'"&amp;"!d:d"),MATCH(C334,INDIRECT("'"&amp;RIGHT(Tableau3[[#This Row],[Dep]],2)*1&amp;"è'"&amp;"!c:c"),0))</f>
        <v>PH</v>
      </c>
    </row>
    <row r="335" spans="1:11" x14ac:dyDescent="0.25">
      <c r="A335" s="470">
        <v>75018</v>
      </c>
      <c r="B335" s="470" t="s">
        <v>684</v>
      </c>
      <c r="C335" s="470" t="s">
        <v>1645</v>
      </c>
      <c r="D335" s="470" t="s">
        <v>1345</v>
      </c>
      <c r="E335" s="470" t="s">
        <v>1346</v>
      </c>
      <c r="F335" s="470" t="s">
        <v>1351</v>
      </c>
      <c r="G335" s="470" t="s">
        <v>1348</v>
      </c>
      <c r="H335" s="471"/>
      <c r="I335" s="470">
        <v>181</v>
      </c>
      <c r="J335" s="470">
        <v>0</v>
      </c>
      <c r="K335" s="474" t="e">
        <f ca="1">INDEX(INDIRECT("'"&amp;RIGHT(Tableau3[[#This Row],[Dep]],2)*1&amp;"è'"&amp;"!d:d"),MATCH(C335,INDIRECT("'"&amp;RIGHT(Tableau3[[#This Row],[Dep]],2)*1&amp;"è'"&amp;"!c:c"),0))</f>
        <v>#N/A</v>
      </c>
    </row>
    <row r="336" spans="1:11" x14ac:dyDescent="0.25">
      <c r="A336" s="470">
        <v>75018</v>
      </c>
      <c r="B336" s="470" t="s">
        <v>563</v>
      </c>
      <c r="C336" s="470" t="s">
        <v>1646</v>
      </c>
      <c r="D336" s="470" t="s">
        <v>1345</v>
      </c>
      <c r="E336" s="470" t="s">
        <v>1346</v>
      </c>
      <c r="F336" s="470" t="s">
        <v>1349</v>
      </c>
      <c r="G336" s="471"/>
      <c r="H336" s="470" t="s">
        <v>1348</v>
      </c>
      <c r="I336" s="470">
        <v>252</v>
      </c>
      <c r="J336" s="470">
        <v>0</v>
      </c>
      <c r="K336" s="474" t="e">
        <f ca="1">INDEX(INDIRECT("'"&amp;RIGHT(Tableau3[[#This Row],[Dep]],2)*1&amp;"è'"&amp;"!d:d"),MATCH(C336,INDIRECT("'"&amp;RIGHT(Tableau3[[#This Row],[Dep]],2)*1&amp;"è'"&amp;"!c:c"),0))</f>
        <v>#N/A</v>
      </c>
    </row>
    <row r="337" spans="1:11" x14ac:dyDescent="0.25">
      <c r="A337" s="470">
        <v>75018</v>
      </c>
      <c r="B337" s="470" t="s">
        <v>1647</v>
      </c>
      <c r="C337" s="470" t="s">
        <v>1648</v>
      </c>
      <c r="D337" s="470" t="s">
        <v>1345</v>
      </c>
      <c r="E337" s="470" t="s">
        <v>1346</v>
      </c>
      <c r="F337" s="470" t="s">
        <v>1347</v>
      </c>
      <c r="G337" s="470" t="s">
        <v>1348</v>
      </c>
      <c r="H337" s="471"/>
      <c r="I337" s="470">
        <v>36</v>
      </c>
      <c r="J337" s="470">
        <v>0</v>
      </c>
      <c r="K337" s="474" t="e">
        <f ca="1">INDEX(INDIRECT("'"&amp;RIGHT(Tableau3[[#This Row],[Dep]],2)*1&amp;"è'"&amp;"!d:d"),MATCH(C337,INDIRECT("'"&amp;RIGHT(Tableau3[[#This Row],[Dep]],2)*1&amp;"è'"&amp;"!c:c"),0))</f>
        <v>#N/A</v>
      </c>
    </row>
    <row r="338" spans="1:11" x14ac:dyDescent="0.25">
      <c r="A338" s="470">
        <v>75019</v>
      </c>
      <c r="B338" s="470" t="s">
        <v>690</v>
      </c>
      <c r="C338" s="470" t="s">
        <v>1649</v>
      </c>
      <c r="D338" s="470" t="s">
        <v>1345</v>
      </c>
      <c r="E338" s="470" t="s">
        <v>1346</v>
      </c>
      <c r="F338" s="470" t="s">
        <v>1351</v>
      </c>
      <c r="G338" s="470" t="s">
        <v>1348</v>
      </c>
      <c r="H338" s="471"/>
      <c r="I338" s="470">
        <v>205</v>
      </c>
      <c r="J338" s="470">
        <v>0</v>
      </c>
      <c r="K338" s="474" t="e">
        <f ca="1">INDEX(INDIRECT("'"&amp;RIGHT(Tableau3[[#This Row],[Dep]],2)*1&amp;"è'"&amp;"!d:d"),MATCH(C338,INDIRECT("'"&amp;RIGHT(Tableau3[[#This Row],[Dep]],2)*1&amp;"è'"&amp;"!c:c"),0))</f>
        <v>#N/A</v>
      </c>
    </row>
    <row r="339" spans="1:11" x14ac:dyDescent="0.25">
      <c r="A339" s="470">
        <v>75020</v>
      </c>
      <c r="B339" s="470" t="s">
        <v>1095</v>
      </c>
      <c r="C339" s="470" t="s">
        <v>1096</v>
      </c>
      <c r="D339" s="470" t="s">
        <v>1345</v>
      </c>
      <c r="E339" s="470" t="s">
        <v>1346</v>
      </c>
      <c r="F339" s="470" t="s">
        <v>1347</v>
      </c>
      <c r="G339" s="470" t="s">
        <v>1348</v>
      </c>
      <c r="H339" s="470" t="s">
        <v>1348</v>
      </c>
      <c r="I339" s="470">
        <v>40</v>
      </c>
      <c r="J339" s="470">
        <v>0</v>
      </c>
      <c r="K339" s="474" t="str">
        <f ca="1">INDEX(INDIRECT("'"&amp;RIGHT(Tableau3[[#This Row],[Dep]],2)*1&amp;"è'"&amp;"!d:d"),MATCH(C339,INDIRECT("'"&amp;RIGHT(Tableau3[[#This Row],[Dep]],2)*1&amp;"è'"&amp;"!c:c"),0))</f>
        <v>PH</v>
      </c>
    </row>
    <row r="340" spans="1:11" x14ac:dyDescent="0.25">
      <c r="A340" s="470">
        <v>75020</v>
      </c>
      <c r="B340" s="470" t="s">
        <v>694</v>
      </c>
      <c r="C340" s="470" t="s">
        <v>1650</v>
      </c>
      <c r="D340" s="470" t="s">
        <v>1345</v>
      </c>
      <c r="E340" s="470" t="s">
        <v>1346</v>
      </c>
      <c r="F340" s="470" t="s">
        <v>1347</v>
      </c>
      <c r="G340" s="470" t="s">
        <v>1348</v>
      </c>
      <c r="H340" s="470" t="s">
        <v>1348</v>
      </c>
      <c r="I340" s="470">
        <v>168</v>
      </c>
      <c r="J340" s="470">
        <v>0</v>
      </c>
      <c r="K340" s="474" t="e">
        <f ca="1">INDEX(INDIRECT("'"&amp;RIGHT(Tableau3[[#This Row],[Dep]],2)*1&amp;"è'"&amp;"!d:d"),MATCH(C340,INDIRECT("'"&amp;RIGHT(Tableau3[[#This Row],[Dep]],2)*1&amp;"è'"&amp;"!c:c"),0))</f>
        <v>#N/A</v>
      </c>
    </row>
    <row r="341" spans="1:11" x14ac:dyDescent="0.25">
      <c r="A341" s="470">
        <v>75020</v>
      </c>
      <c r="B341" s="470" t="s">
        <v>565</v>
      </c>
      <c r="C341" s="470" t="s">
        <v>1651</v>
      </c>
      <c r="D341" s="470" t="s">
        <v>1345</v>
      </c>
      <c r="E341" s="470" t="s">
        <v>1346</v>
      </c>
      <c r="F341" s="470" t="s">
        <v>1351</v>
      </c>
      <c r="G341" s="470" t="s">
        <v>1348</v>
      </c>
      <c r="H341" s="470" t="s">
        <v>1348</v>
      </c>
      <c r="I341" s="470">
        <v>384</v>
      </c>
      <c r="J341" s="470">
        <v>0</v>
      </c>
      <c r="K341" s="474" t="e">
        <f ca="1">INDEX(INDIRECT("'"&amp;RIGHT(Tableau3[[#This Row],[Dep]],2)*1&amp;"è'"&amp;"!d:d"),MATCH(C341,INDIRECT("'"&amp;RIGHT(Tableau3[[#This Row],[Dep]],2)*1&amp;"è'"&amp;"!c:c"),0))</f>
        <v>#N/A</v>
      </c>
    </row>
    <row r="342" spans="1:11" x14ac:dyDescent="0.25">
      <c r="A342" s="470">
        <v>92000</v>
      </c>
      <c r="B342" s="470" t="s">
        <v>1652</v>
      </c>
      <c r="C342" s="470" t="s">
        <v>1653</v>
      </c>
      <c r="D342" s="470" t="s">
        <v>1345</v>
      </c>
      <c r="E342" s="470" t="s">
        <v>1416</v>
      </c>
      <c r="F342" s="471"/>
      <c r="G342" s="471"/>
      <c r="H342" s="471"/>
      <c r="I342" s="470">
        <v>132</v>
      </c>
      <c r="J342" s="470">
        <v>0</v>
      </c>
      <c r="K342" s="474" t="e">
        <f ca="1">INDEX(INDIRECT("'"&amp;RIGHT(Tableau3[[#This Row],[Dep]],2)*1&amp;"è'"&amp;"!d:d"),MATCH(C342,INDIRECT("'"&amp;RIGHT(Tableau3[[#This Row],[Dep]],2)*1&amp;"è'"&amp;"!c:c"),0))</f>
        <v>#REF!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1048575"/>
  <sheetViews>
    <sheetView zoomScale="80" zoomScaleNormal="80" workbookViewId="0">
      <pane xSplit="4" ySplit="3" topLeftCell="L4" activePane="bottomRight" state="frozen"/>
      <selection pane="topRight" activeCell="E1" sqref="E1"/>
      <selection pane="bottomLeft" activeCell="A4" sqref="A4"/>
      <selection pane="bottomRight" activeCell="C5" sqref="C5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customWidth="1"/>
  </cols>
  <sheetData>
    <row r="1" spans="1:19" ht="31.5" x14ac:dyDescent="0.25">
      <c r="A1" s="380" t="s">
        <v>149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111">
        <v>75001</v>
      </c>
      <c r="B4" s="68" t="s">
        <v>167</v>
      </c>
      <c r="C4" s="341" t="s">
        <v>1344</v>
      </c>
      <c r="D4" s="342" t="s">
        <v>186</v>
      </c>
      <c r="E4" s="69">
        <v>136</v>
      </c>
      <c r="F4" s="70">
        <v>300</v>
      </c>
      <c r="G4" s="70">
        <v>58</v>
      </c>
      <c r="H4" s="77">
        <v>100</v>
      </c>
      <c r="I4" s="71">
        <v>567</v>
      </c>
      <c r="J4" s="343"/>
      <c r="K4" s="77"/>
      <c r="L4" s="77"/>
      <c r="M4" s="77"/>
      <c r="N4" s="77"/>
      <c r="O4" s="77"/>
      <c r="P4" s="344"/>
      <c r="Q4" s="371">
        <f t="shared" ref="Q4:Q33" si="0">SUM(E4:P4)</f>
        <v>1161</v>
      </c>
      <c r="R4" s="374"/>
    </row>
    <row r="5" spans="1:19" s="4" customFormat="1" x14ac:dyDescent="0.25">
      <c r="A5" s="111">
        <v>75001</v>
      </c>
      <c r="B5" s="68" t="s">
        <v>699</v>
      </c>
      <c r="C5" s="341" t="s">
        <v>700</v>
      </c>
      <c r="D5" s="342" t="s">
        <v>188</v>
      </c>
      <c r="E5" s="69" t="s">
        <v>48</v>
      </c>
      <c r="F5" s="70" t="s">
        <v>48</v>
      </c>
      <c r="G5" s="70" t="s">
        <v>48</v>
      </c>
      <c r="H5" s="77">
        <v>188</v>
      </c>
      <c r="I5" s="71">
        <v>800</v>
      </c>
      <c r="J5" s="343"/>
      <c r="K5" s="77"/>
      <c r="L5" s="77"/>
      <c r="M5" s="77"/>
      <c r="N5" s="77"/>
      <c r="O5" s="77"/>
      <c r="P5" s="344"/>
      <c r="Q5" s="371">
        <f t="shared" si="0"/>
        <v>988</v>
      </c>
      <c r="R5" s="374"/>
    </row>
    <row r="6" spans="1:19" s="4" customFormat="1" x14ac:dyDescent="0.25">
      <c r="A6" s="111">
        <v>75001</v>
      </c>
      <c r="B6" s="68" t="s">
        <v>701</v>
      </c>
      <c r="C6" s="341" t="s">
        <v>702</v>
      </c>
      <c r="D6" s="342" t="s">
        <v>188</v>
      </c>
      <c r="E6" s="69" t="s">
        <v>48</v>
      </c>
      <c r="F6" s="70" t="s">
        <v>48</v>
      </c>
      <c r="G6" s="70" t="s">
        <v>48</v>
      </c>
      <c r="H6" s="77">
        <v>198</v>
      </c>
      <c r="I6" s="71">
        <v>344</v>
      </c>
      <c r="J6" s="343"/>
      <c r="K6" s="77"/>
      <c r="L6" s="77"/>
      <c r="M6" s="77"/>
      <c r="N6" s="77"/>
      <c r="O6" s="77"/>
      <c r="P6" s="344"/>
      <c r="Q6" s="371">
        <f t="shared" si="0"/>
        <v>542</v>
      </c>
      <c r="R6" s="374"/>
    </row>
    <row r="7" spans="1:19" s="4" customFormat="1" x14ac:dyDescent="0.25">
      <c r="A7" s="111">
        <v>75001</v>
      </c>
      <c r="B7" s="68" t="s">
        <v>703</v>
      </c>
      <c r="C7" s="341" t="s">
        <v>704</v>
      </c>
      <c r="D7" s="342" t="s">
        <v>188</v>
      </c>
      <c r="E7" s="69" t="s">
        <v>48</v>
      </c>
      <c r="F7" s="70" t="s">
        <v>48</v>
      </c>
      <c r="G7" s="70" t="s">
        <v>48</v>
      </c>
      <c r="H7" s="77">
        <v>124</v>
      </c>
      <c r="I7" s="71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124</v>
      </c>
      <c r="R7" s="374"/>
    </row>
    <row r="8" spans="1:19" s="4" customFormat="1" x14ac:dyDescent="0.25">
      <c r="A8" s="111">
        <v>75001</v>
      </c>
      <c r="B8" s="68" t="s">
        <v>1122</v>
      </c>
      <c r="C8" s="341" t="s">
        <v>1123</v>
      </c>
      <c r="D8" s="342" t="s">
        <v>188</v>
      </c>
      <c r="E8" s="69" t="s">
        <v>48</v>
      </c>
      <c r="F8" s="70" t="s">
        <v>48</v>
      </c>
      <c r="G8" s="70" t="s">
        <v>48</v>
      </c>
      <c r="H8" s="70" t="s">
        <v>48</v>
      </c>
      <c r="I8" s="71">
        <v>188</v>
      </c>
      <c r="J8" s="343"/>
      <c r="K8" s="77"/>
      <c r="L8" s="77"/>
      <c r="M8" s="77"/>
      <c r="N8" s="77"/>
      <c r="O8" s="77"/>
      <c r="P8" s="344"/>
      <c r="Q8" s="371">
        <f t="shared" si="0"/>
        <v>188</v>
      </c>
      <c r="R8" s="374"/>
    </row>
    <row r="9" spans="1:19" s="4" customFormat="1" x14ac:dyDescent="0.25">
      <c r="A9" s="111">
        <v>75001</v>
      </c>
      <c r="B9" s="68" t="s">
        <v>168</v>
      </c>
      <c r="C9" s="341" t="s">
        <v>169</v>
      </c>
      <c r="D9" s="342" t="s">
        <v>187</v>
      </c>
      <c r="E9" s="69">
        <v>20</v>
      </c>
      <c r="F9" s="70" t="s">
        <v>48</v>
      </c>
      <c r="G9" s="70">
        <v>440</v>
      </c>
      <c r="H9" s="70">
        <v>482</v>
      </c>
      <c r="I9" s="71">
        <v>1921</v>
      </c>
      <c r="J9" s="343"/>
      <c r="K9" s="77"/>
      <c r="L9" s="77"/>
      <c r="M9" s="77"/>
      <c r="N9" s="77"/>
      <c r="O9" s="77"/>
      <c r="P9" s="344"/>
      <c r="Q9" s="371">
        <f t="shared" si="0"/>
        <v>2863</v>
      </c>
      <c r="R9" s="374"/>
    </row>
    <row r="10" spans="1:19" s="4" customFormat="1" x14ac:dyDescent="0.25">
      <c r="A10" s="111">
        <v>75001</v>
      </c>
      <c r="B10" s="68" t="s">
        <v>1124</v>
      </c>
      <c r="C10" s="341" t="s">
        <v>1125</v>
      </c>
      <c r="D10" s="342" t="s">
        <v>186</v>
      </c>
      <c r="E10" s="69" t="s">
        <v>48</v>
      </c>
      <c r="F10" s="70" t="s">
        <v>48</v>
      </c>
      <c r="G10" s="70" t="s">
        <v>48</v>
      </c>
      <c r="H10" s="70" t="s">
        <v>48</v>
      </c>
      <c r="I10" s="71">
        <v>293</v>
      </c>
      <c r="J10" s="343"/>
      <c r="K10" s="77"/>
      <c r="L10" s="77"/>
      <c r="M10" s="77"/>
      <c r="N10" s="77"/>
      <c r="O10" s="77"/>
      <c r="P10" s="344"/>
      <c r="Q10" s="371">
        <f t="shared" si="0"/>
        <v>293</v>
      </c>
      <c r="R10" s="374"/>
    </row>
    <row r="11" spans="1:19" s="4" customFormat="1" x14ac:dyDescent="0.25">
      <c r="A11" s="111">
        <v>75001</v>
      </c>
      <c r="B11" s="68" t="s">
        <v>896</v>
      </c>
      <c r="C11" s="341" t="s">
        <v>897</v>
      </c>
      <c r="D11" s="342" t="s">
        <v>188</v>
      </c>
      <c r="E11" s="69" t="s">
        <v>48</v>
      </c>
      <c r="F11" s="70" t="s">
        <v>48</v>
      </c>
      <c r="G11" s="70">
        <v>68</v>
      </c>
      <c r="H11" s="70" t="s">
        <v>48</v>
      </c>
      <c r="I11" s="71">
        <v>332</v>
      </c>
      <c r="J11" s="343"/>
      <c r="K11" s="77"/>
      <c r="L11" s="77"/>
      <c r="M11" s="77"/>
      <c r="N11" s="77"/>
      <c r="O11" s="77"/>
      <c r="P11" s="344"/>
      <c r="Q11" s="371">
        <f t="shared" si="0"/>
        <v>400</v>
      </c>
      <c r="R11" s="374"/>
    </row>
    <row r="12" spans="1:19" s="4" customFormat="1" x14ac:dyDescent="0.25">
      <c r="A12" s="111">
        <v>75001</v>
      </c>
      <c r="B12" s="68" t="s">
        <v>170</v>
      </c>
      <c r="C12" s="341" t="s">
        <v>171</v>
      </c>
      <c r="D12" s="342" t="s">
        <v>188</v>
      </c>
      <c r="E12" s="69">
        <v>810</v>
      </c>
      <c r="F12" s="70">
        <v>1632</v>
      </c>
      <c r="G12" s="70">
        <v>496</v>
      </c>
      <c r="H12" s="70">
        <v>1239</v>
      </c>
      <c r="I12" s="71">
        <v>588</v>
      </c>
      <c r="J12" s="343"/>
      <c r="K12" s="77"/>
      <c r="L12" s="77"/>
      <c r="M12" s="77"/>
      <c r="N12" s="77"/>
      <c r="O12" s="77"/>
      <c r="P12" s="344"/>
      <c r="Q12" s="371">
        <f t="shared" si="0"/>
        <v>4765</v>
      </c>
      <c r="R12" s="374"/>
    </row>
    <row r="13" spans="1:19" s="4" customFormat="1" x14ac:dyDescent="0.25">
      <c r="A13" s="111">
        <v>75001</v>
      </c>
      <c r="B13" s="68" t="s">
        <v>172</v>
      </c>
      <c r="C13" s="341" t="s">
        <v>173</v>
      </c>
      <c r="D13" s="342" t="s">
        <v>186</v>
      </c>
      <c r="E13" s="69">
        <v>401</v>
      </c>
      <c r="F13" s="70">
        <v>558</v>
      </c>
      <c r="G13" s="70">
        <v>294</v>
      </c>
      <c r="H13" s="70">
        <v>1798</v>
      </c>
      <c r="I13" s="71">
        <v>276</v>
      </c>
      <c r="J13" s="343"/>
      <c r="K13" s="77"/>
      <c r="L13" s="77"/>
      <c r="M13" s="77"/>
      <c r="N13" s="77"/>
      <c r="O13" s="77"/>
      <c r="P13" s="344"/>
      <c r="Q13" s="371">
        <f t="shared" si="0"/>
        <v>3327</v>
      </c>
      <c r="R13" s="374"/>
    </row>
    <row r="14" spans="1:19" s="4" customFormat="1" x14ac:dyDescent="0.25">
      <c r="A14" s="111">
        <v>75001</v>
      </c>
      <c r="B14" s="68" t="s">
        <v>705</v>
      </c>
      <c r="C14" s="341" t="s">
        <v>706</v>
      </c>
      <c r="D14" s="342" t="s">
        <v>188</v>
      </c>
      <c r="E14" s="69" t="s">
        <v>48</v>
      </c>
      <c r="F14" s="70" t="s">
        <v>48</v>
      </c>
      <c r="G14" s="70" t="s">
        <v>48</v>
      </c>
      <c r="H14" s="70">
        <v>289</v>
      </c>
      <c r="I14" s="71" t="s">
        <v>48</v>
      </c>
      <c r="J14" s="343"/>
      <c r="K14" s="77"/>
      <c r="L14" s="77"/>
      <c r="M14" s="77"/>
      <c r="N14" s="77"/>
      <c r="O14" s="77"/>
      <c r="P14" s="344"/>
      <c r="Q14" s="371">
        <f t="shared" si="0"/>
        <v>289</v>
      </c>
      <c r="R14" s="374"/>
    </row>
    <row r="15" spans="1:19" s="4" customFormat="1" x14ac:dyDescent="0.25">
      <c r="A15" s="111">
        <v>75001</v>
      </c>
      <c r="B15" s="68" t="s">
        <v>898</v>
      </c>
      <c r="C15" s="341" t="s">
        <v>899</v>
      </c>
      <c r="D15" s="342" t="s">
        <v>187</v>
      </c>
      <c r="E15" s="69" t="s">
        <v>48</v>
      </c>
      <c r="F15" s="70" t="s">
        <v>48</v>
      </c>
      <c r="G15" s="70">
        <v>246</v>
      </c>
      <c r="H15" s="70" t="s">
        <v>48</v>
      </c>
      <c r="I15" s="71">
        <v>209</v>
      </c>
      <c r="J15" s="343"/>
      <c r="K15" s="77"/>
      <c r="L15" s="77"/>
      <c r="M15" s="77"/>
      <c r="N15" s="77"/>
      <c r="O15" s="77"/>
      <c r="P15" s="344"/>
      <c r="Q15" s="371">
        <f t="shared" si="0"/>
        <v>455</v>
      </c>
      <c r="R15" s="374"/>
    </row>
    <row r="16" spans="1:19" s="4" customFormat="1" x14ac:dyDescent="0.25">
      <c r="A16" s="111">
        <v>75001</v>
      </c>
      <c r="B16" s="68" t="s">
        <v>174</v>
      </c>
      <c r="C16" s="341" t="s">
        <v>175</v>
      </c>
      <c r="D16" s="342" t="s">
        <v>187</v>
      </c>
      <c r="E16" s="69">
        <v>222</v>
      </c>
      <c r="F16" s="70" t="s">
        <v>48</v>
      </c>
      <c r="G16" s="70" t="s">
        <v>48</v>
      </c>
      <c r="H16" s="70">
        <v>68</v>
      </c>
      <c r="I16" s="71">
        <v>148</v>
      </c>
      <c r="J16" s="343"/>
      <c r="K16" s="77"/>
      <c r="L16" s="77"/>
      <c r="M16" s="77"/>
      <c r="N16" s="77"/>
      <c r="O16" s="77"/>
      <c r="P16" s="344"/>
      <c r="Q16" s="371">
        <f t="shared" si="0"/>
        <v>438</v>
      </c>
      <c r="R16" s="374"/>
    </row>
    <row r="17" spans="1:18" s="4" customFormat="1" x14ac:dyDescent="0.25">
      <c r="A17" s="111">
        <v>75001</v>
      </c>
      <c r="B17" s="68" t="s">
        <v>707</v>
      </c>
      <c r="C17" s="341" t="s">
        <v>708</v>
      </c>
      <c r="D17" s="342" t="s">
        <v>187</v>
      </c>
      <c r="E17" s="69" t="s">
        <v>48</v>
      </c>
      <c r="F17" s="70" t="s">
        <v>48</v>
      </c>
      <c r="G17" s="70">
        <v>436</v>
      </c>
      <c r="H17" s="70">
        <v>82</v>
      </c>
      <c r="I17" s="71" t="s">
        <v>48</v>
      </c>
      <c r="J17" s="343"/>
      <c r="K17" s="77"/>
      <c r="L17" s="77"/>
      <c r="M17" s="77"/>
      <c r="N17" s="77"/>
      <c r="O17" s="77"/>
      <c r="P17" s="344"/>
      <c r="Q17" s="371">
        <f t="shared" si="0"/>
        <v>518</v>
      </c>
      <c r="R17" s="374"/>
    </row>
    <row r="18" spans="1:18" s="4" customFormat="1" x14ac:dyDescent="0.25">
      <c r="A18" s="111">
        <v>75001</v>
      </c>
      <c r="B18" s="68" t="s">
        <v>316</v>
      </c>
      <c r="C18" s="341" t="s">
        <v>317</v>
      </c>
      <c r="D18" s="342" t="s">
        <v>188</v>
      </c>
      <c r="E18" s="69" t="s">
        <v>48</v>
      </c>
      <c r="F18" s="70">
        <v>204</v>
      </c>
      <c r="G18" s="70" t="s">
        <v>48</v>
      </c>
      <c r="H18" s="70" t="s">
        <v>48</v>
      </c>
      <c r="I18" s="71" t="s">
        <v>48</v>
      </c>
      <c r="J18" s="343"/>
      <c r="K18" s="77"/>
      <c r="L18" s="77"/>
      <c r="M18" s="77"/>
      <c r="N18" s="77"/>
      <c r="O18" s="77"/>
      <c r="P18" s="344"/>
      <c r="Q18" s="371">
        <f t="shared" si="0"/>
        <v>204</v>
      </c>
      <c r="R18" s="374"/>
    </row>
    <row r="19" spans="1:18" s="4" customFormat="1" x14ac:dyDescent="0.25">
      <c r="A19" s="111">
        <v>75001</v>
      </c>
      <c r="B19" s="68" t="s">
        <v>1126</v>
      </c>
      <c r="C19" s="341" t="s">
        <v>1127</v>
      </c>
      <c r="D19" s="342" t="s">
        <v>187</v>
      </c>
      <c r="E19" s="69" t="s">
        <v>48</v>
      </c>
      <c r="F19" s="70" t="s">
        <v>48</v>
      </c>
      <c r="G19" s="70" t="s">
        <v>48</v>
      </c>
      <c r="H19" s="70" t="s">
        <v>48</v>
      </c>
      <c r="I19" s="71">
        <v>396</v>
      </c>
      <c r="J19" s="343"/>
      <c r="K19" s="77"/>
      <c r="L19" s="77"/>
      <c r="M19" s="77"/>
      <c r="N19" s="77"/>
      <c r="O19" s="77"/>
      <c r="P19" s="344"/>
      <c r="Q19" s="371">
        <f t="shared" si="0"/>
        <v>396</v>
      </c>
      <c r="R19" s="374"/>
    </row>
    <row r="20" spans="1:18" s="4" customFormat="1" x14ac:dyDescent="0.25">
      <c r="A20" s="111">
        <v>75001</v>
      </c>
      <c r="B20" s="68" t="s">
        <v>176</v>
      </c>
      <c r="C20" s="341" t="s">
        <v>177</v>
      </c>
      <c r="D20" s="342" t="s">
        <v>187</v>
      </c>
      <c r="E20" s="69">
        <v>145</v>
      </c>
      <c r="F20" s="70" t="s">
        <v>48</v>
      </c>
      <c r="G20" s="70">
        <v>136</v>
      </c>
      <c r="H20" s="70" t="s">
        <v>48</v>
      </c>
      <c r="I20" s="71" t="s">
        <v>48</v>
      </c>
      <c r="J20" s="343"/>
      <c r="K20" s="77"/>
      <c r="L20" s="77"/>
      <c r="M20" s="77"/>
      <c r="N20" s="77"/>
      <c r="O20" s="77"/>
      <c r="P20" s="344"/>
      <c r="Q20" s="371">
        <f t="shared" si="0"/>
        <v>281</v>
      </c>
      <c r="R20" s="374"/>
    </row>
    <row r="21" spans="1:18" s="4" customFormat="1" x14ac:dyDescent="0.25">
      <c r="A21" s="111">
        <v>75001</v>
      </c>
      <c r="B21" s="68" t="s">
        <v>318</v>
      </c>
      <c r="C21" s="341" t="s">
        <v>319</v>
      </c>
      <c r="D21" s="342" t="s">
        <v>320</v>
      </c>
      <c r="E21" s="69">
        <v>327</v>
      </c>
      <c r="F21" s="70">
        <v>378</v>
      </c>
      <c r="G21" s="70">
        <v>148</v>
      </c>
      <c r="H21" s="70">
        <v>40</v>
      </c>
      <c r="I21" s="71" t="s">
        <v>48</v>
      </c>
      <c r="J21" s="343"/>
      <c r="K21" s="77"/>
      <c r="L21" s="77"/>
      <c r="M21" s="77"/>
      <c r="N21" s="77"/>
      <c r="O21" s="77"/>
      <c r="P21" s="344"/>
      <c r="Q21" s="371">
        <f t="shared" si="0"/>
        <v>893</v>
      </c>
      <c r="R21" s="374"/>
    </row>
    <row r="22" spans="1:18" s="4" customFormat="1" x14ac:dyDescent="0.25">
      <c r="A22" s="111">
        <v>75001</v>
      </c>
      <c r="B22" s="68" t="s">
        <v>321</v>
      </c>
      <c r="C22" s="341" t="s">
        <v>322</v>
      </c>
      <c r="D22" s="342" t="s">
        <v>187</v>
      </c>
      <c r="E22" s="69">
        <v>348</v>
      </c>
      <c r="F22" s="70">
        <v>40</v>
      </c>
      <c r="G22" s="70">
        <v>1214</v>
      </c>
      <c r="H22" s="70">
        <v>328</v>
      </c>
      <c r="I22" s="71">
        <v>486</v>
      </c>
      <c r="J22" s="343"/>
      <c r="K22" s="77"/>
      <c r="L22" s="77"/>
      <c r="M22" s="77"/>
      <c r="N22" s="77"/>
      <c r="O22" s="77"/>
      <c r="P22" s="344"/>
      <c r="Q22" s="371">
        <f t="shared" si="0"/>
        <v>2416</v>
      </c>
      <c r="R22" s="374"/>
    </row>
    <row r="23" spans="1:18" s="4" customFormat="1" x14ac:dyDescent="0.25">
      <c r="A23" s="111">
        <v>75001</v>
      </c>
      <c r="B23" s="68" t="s">
        <v>567</v>
      </c>
      <c r="C23" s="341" t="s">
        <v>568</v>
      </c>
      <c r="D23" s="342" t="s">
        <v>186</v>
      </c>
      <c r="E23" s="69">
        <v>68</v>
      </c>
      <c r="F23" s="70" t="s">
        <v>48</v>
      </c>
      <c r="G23" s="70" t="s">
        <v>48</v>
      </c>
      <c r="H23" s="70" t="s">
        <v>48</v>
      </c>
      <c r="I23" s="71" t="s">
        <v>48</v>
      </c>
      <c r="J23" s="343"/>
      <c r="K23" s="77"/>
      <c r="L23" s="77"/>
      <c r="M23" s="77"/>
      <c r="N23" s="77"/>
      <c r="O23" s="77"/>
      <c r="P23" s="344"/>
      <c r="Q23" s="371">
        <f t="shared" si="0"/>
        <v>68</v>
      </c>
      <c r="R23" s="374"/>
    </row>
    <row r="24" spans="1:18" s="4" customFormat="1" x14ac:dyDescent="0.25">
      <c r="A24" s="111">
        <v>75001</v>
      </c>
      <c r="B24" s="68" t="s">
        <v>709</v>
      </c>
      <c r="C24" s="341" t="s">
        <v>710</v>
      </c>
      <c r="D24" s="342" t="s">
        <v>187</v>
      </c>
      <c r="E24" s="69" t="s">
        <v>48</v>
      </c>
      <c r="F24" s="70" t="s">
        <v>48</v>
      </c>
      <c r="G24" s="70" t="s">
        <v>48</v>
      </c>
      <c r="H24" s="70">
        <v>200</v>
      </c>
      <c r="I24" s="71" t="s">
        <v>48</v>
      </c>
      <c r="J24" s="343"/>
      <c r="K24" s="77"/>
      <c r="L24" s="77"/>
      <c r="M24" s="77"/>
      <c r="N24" s="77"/>
      <c r="O24" s="77"/>
      <c r="P24" s="344"/>
      <c r="Q24" s="371">
        <f t="shared" si="0"/>
        <v>200</v>
      </c>
      <c r="R24" s="374"/>
    </row>
    <row r="25" spans="1:18" s="4" customFormat="1" x14ac:dyDescent="0.25">
      <c r="A25" s="111">
        <v>75001</v>
      </c>
      <c r="B25" s="68" t="s">
        <v>711</v>
      </c>
      <c r="C25" s="341" t="s">
        <v>712</v>
      </c>
      <c r="D25" s="342" t="s">
        <v>187</v>
      </c>
      <c r="E25" s="69" t="s">
        <v>48</v>
      </c>
      <c r="F25" s="70" t="s">
        <v>48</v>
      </c>
      <c r="G25" s="70">
        <v>72</v>
      </c>
      <c r="H25" s="70">
        <v>707</v>
      </c>
      <c r="I25" s="71" t="s">
        <v>48</v>
      </c>
      <c r="J25" s="343"/>
      <c r="K25" s="77"/>
      <c r="L25" s="77"/>
      <c r="M25" s="77"/>
      <c r="N25" s="77"/>
      <c r="O25" s="77"/>
      <c r="P25" s="344"/>
      <c r="Q25" s="371">
        <f t="shared" si="0"/>
        <v>779</v>
      </c>
      <c r="R25" s="374"/>
    </row>
    <row r="26" spans="1:18" s="4" customFormat="1" x14ac:dyDescent="0.25">
      <c r="A26" s="111">
        <v>75001</v>
      </c>
      <c r="B26" s="68" t="s">
        <v>178</v>
      </c>
      <c r="C26" s="341" t="s">
        <v>179</v>
      </c>
      <c r="D26" s="342" t="s">
        <v>187</v>
      </c>
      <c r="E26" s="69">
        <v>178</v>
      </c>
      <c r="F26" s="70" t="s">
        <v>48</v>
      </c>
      <c r="G26" s="70" t="s">
        <v>48</v>
      </c>
      <c r="H26" s="70" t="s">
        <v>48</v>
      </c>
      <c r="I26" s="71" t="s">
        <v>48</v>
      </c>
      <c r="J26" s="343"/>
      <c r="K26" s="77"/>
      <c r="L26" s="77"/>
      <c r="M26" s="77"/>
      <c r="N26" s="77"/>
      <c r="O26" s="77"/>
      <c r="P26" s="344"/>
      <c r="Q26" s="371">
        <f t="shared" si="0"/>
        <v>178</v>
      </c>
      <c r="R26" s="374"/>
    </row>
    <row r="27" spans="1:18" s="4" customFormat="1" x14ac:dyDescent="0.25">
      <c r="A27" s="111">
        <v>75001</v>
      </c>
      <c r="B27" s="345" t="s">
        <v>1128</v>
      </c>
      <c r="C27" s="341" t="s">
        <v>1129</v>
      </c>
      <c r="D27" s="342" t="s">
        <v>188</v>
      </c>
      <c r="E27" s="69" t="s">
        <v>48</v>
      </c>
      <c r="F27" s="70" t="s">
        <v>48</v>
      </c>
      <c r="G27" s="70" t="s">
        <v>48</v>
      </c>
      <c r="H27" s="70" t="s">
        <v>48</v>
      </c>
      <c r="I27" s="346">
        <v>100</v>
      </c>
      <c r="J27" s="343"/>
      <c r="K27" s="77"/>
      <c r="L27" s="77"/>
      <c r="M27" s="77"/>
      <c r="N27" s="77"/>
      <c r="O27" s="77"/>
      <c r="P27" s="344"/>
      <c r="Q27" s="371">
        <f t="shared" si="0"/>
        <v>100</v>
      </c>
      <c r="R27" s="375" t="s">
        <v>1130</v>
      </c>
    </row>
    <row r="28" spans="1:18" s="4" customFormat="1" x14ac:dyDescent="0.25">
      <c r="A28" s="111">
        <v>75001</v>
      </c>
      <c r="B28" s="345" t="s">
        <v>713</v>
      </c>
      <c r="C28" s="341" t="s">
        <v>714</v>
      </c>
      <c r="D28" s="342" t="s">
        <v>188</v>
      </c>
      <c r="E28" s="69" t="s">
        <v>48</v>
      </c>
      <c r="F28" s="70" t="s">
        <v>48</v>
      </c>
      <c r="G28" s="70" t="s">
        <v>48</v>
      </c>
      <c r="H28" s="347">
        <v>168</v>
      </c>
      <c r="I28" s="71" t="s">
        <v>48</v>
      </c>
      <c r="J28" s="343"/>
      <c r="K28" s="77"/>
      <c r="L28" s="77"/>
      <c r="M28" s="77"/>
      <c r="N28" s="77"/>
      <c r="O28" s="77"/>
      <c r="P28" s="344"/>
      <c r="Q28" s="371">
        <f t="shared" si="0"/>
        <v>168</v>
      </c>
      <c r="R28" s="375" t="s">
        <v>715</v>
      </c>
    </row>
    <row r="29" spans="1:18" s="4" customFormat="1" x14ac:dyDescent="0.25">
      <c r="A29" s="111">
        <v>75001</v>
      </c>
      <c r="B29" s="68" t="s">
        <v>180</v>
      </c>
      <c r="C29" s="341" t="s">
        <v>181</v>
      </c>
      <c r="D29" s="342" t="s">
        <v>187</v>
      </c>
      <c r="E29" s="69">
        <v>66</v>
      </c>
      <c r="F29" s="70" t="s">
        <v>48</v>
      </c>
      <c r="G29" s="70" t="s">
        <v>48</v>
      </c>
      <c r="H29" s="70" t="s">
        <v>48</v>
      </c>
      <c r="I29" s="71" t="s">
        <v>48</v>
      </c>
      <c r="J29" s="343"/>
      <c r="K29" s="77"/>
      <c r="L29" s="77"/>
      <c r="M29" s="77"/>
      <c r="N29" s="77"/>
      <c r="O29" s="77"/>
      <c r="P29" s="344"/>
      <c r="Q29" s="371">
        <f t="shared" si="0"/>
        <v>66</v>
      </c>
      <c r="R29" s="374"/>
    </row>
    <row r="30" spans="1:18" s="4" customFormat="1" x14ac:dyDescent="0.25">
      <c r="A30" s="111">
        <v>75001</v>
      </c>
      <c r="B30" s="345" t="s">
        <v>716</v>
      </c>
      <c r="C30" s="341" t="s">
        <v>717</v>
      </c>
      <c r="D30" s="342" t="s">
        <v>188</v>
      </c>
      <c r="E30" s="69" t="s">
        <v>48</v>
      </c>
      <c r="F30" s="70" t="s">
        <v>48</v>
      </c>
      <c r="G30" s="70" t="s">
        <v>48</v>
      </c>
      <c r="H30" s="347">
        <v>200</v>
      </c>
      <c r="I30" s="71" t="s">
        <v>48</v>
      </c>
      <c r="J30" s="343"/>
      <c r="K30" s="77"/>
      <c r="L30" s="77"/>
      <c r="M30" s="77"/>
      <c r="N30" s="77"/>
      <c r="O30" s="77"/>
      <c r="P30" s="344"/>
      <c r="Q30" s="371">
        <f t="shared" si="0"/>
        <v>200</v>
      </c>
      <c r="R30" s="375" t="s">
        <v>718</v>
      </c>
    </row>
    <row r="31" spans="1:18" s="4" customFormat="1" x14ac:dyDescent="0.25">
      <c r="A31" s="111">
        <v>75001</v>
      </c>
      <c r="B31" s="68" t="s">
        <v>182</v>
      </c>
      <c r="C31" s="341" t="s">
        <v>183</v>
      </c>
      <c r="D31" s="342" t="s">
        <v>187</v>
      </c>
      <c r="E31" s="69">
        <v>258</v>
      </c>
      <c r="F31" s="70">
        <v>453</v>
      </c>
      <c r="G31" s="70" t="s">
        <v>48</v>
      </c>
      <c r="H31" s="70">
        <v>1225</v>
      </c>
      <c r="I31" s="71">
        <v>2648</v>
      </c>
      <c r="J31" s="70"/>
      <c r="K31" s="70"/>
      <c r="L31" s="77"/>
      <c r="M31" s="77"/>
      <c r="N31" s="77"/>
      <c r="O31" s="77"/>
      <c r="P31" s="344"/>
      <c r="Q31" s="371">
        <f t="shared" si="0"/>
        <v>4584</v>
      </c>
      <c r="R31" s="376"/>
    </row>
    <row r="32" spans="1:18" s="4" customFormat="1" x14ac:dyDescent="0.25">
      <c r="A32" s="111">
        <v>75001</v>
      </c>
      <c r="B32" s="68" t="s">
        <v>184</v>
      </c>
      <c r="C32" s="341" t="s">
        <v>185</v>
      </c>
      <c r="D32" s="342" t="s">
        <v>187</v>
      </c>
      <c r="E32" s="69">
        <v>168</v>
      </c>
      <c r="F32" s="70">
        <v>436</v>
      </c>
      <c r="G32" s="70">
        <v>2070</v>
      </c>
      <c r="H32" s="70">
        <v>147</v>
      </c>
      <c r="I32" s="71">
        <v>188</v>
      </c>
      <c r="J32" s="70"/>
      <c r="K32" s="77"/>
      <c r="L32" s="77"/>
      <c r="M32" s="77"/>
      <c r="N32" s="77"/>
      <c r="O32" s="77"/>
      <c r="P32" s="344"/>
      <c r="Q32" s="371">
        <f t="shared" si="0"/>
        <v>3009</v>
      </c>
      <c r="R32" s="374"/>
    </row>
    <row r="33" spans="1:19" s="4" customFormat="1" ht="15.75" thickBot="1" x14ac:dyDescent="0.3">
      <c r="A33" s="111">
        <v>75001</v>
      </c>
      <c r="B33" s="68" t="s">
        <v>900</v>
      </c>
      <c r="C33" s="341" t="s">
        <v>901</v>
      </c>
      <c r="D33" s="348" t="s">
        <v>188</v>
      </c>
      <c r="E33" s="69" t="s">
        <v>48</v>
      </c>
      <c r="F33" s="70" t="s">
        <v>48</v>
      </c>
      <c r="G33" s="349">
        <v>510</v>
      </c>
      <c r="H33" s="349" t="s">
        <v>48</v>
      </c>
      <c r="I33" s="71">
        <v>430</v>
      </c>
      <c r="J33" s="343"/>
      <c r="K33" s="77"/>
      <c r="L33" s="77"/>
      <c r="M33" s="77"/>
      <c r="N33" s="77"/>
      <c r="O33" s="77"/>
      <c r="P33" s="344"/>
      <c r="Q33" s="371">
        <f t="shared" si="0"/>
        <v>940</v>
      </c>
      <c r="R33" s="377"/>
    </row>
    <row r="34" spans="1:19" s="4" customFormat="1" ht="15.75" thickBot="1" x14ac:dyDescent="0.3">
      <c r="A34" s="382" t="s">
        <v>10</v>
      </c>
      <c r="B34" s="383">
        <f>SUBTOTAL(103,Ventes1er[Hotel])</f>
        <v>30</v>
      </c>
      <c r="C34" s="384"/>
      <c r="D34" s="382"/>
      <c r="E34" s="385">
        <f>SUBTOTAL(109,Ventes1er[Janv])</f>
        <v>3147</v>
      </c>
      <c r="F34" s="386">
        <f>SUBTOTAL(109,Ventes1er[Fév])</f>
        <v>4001</v>
      </c>
      <c r="G34" s="387">
        <f>SUBTOTAL(109,Ventes1er[mars])</f>
        <v>6188</v>
      </c>
      <c r="H34" s="334">
        <f>SUBTOTAL(109,Ventes1er[Avril])</f>
        <v>7583</v>
      </c>
      <c r="I34" s="334">
        <f>SUBTOTAL(109,Ventes1er[Mai])</f>
        <v>9914</v>
      </c>
      <c r="J34" s="334">
        <f>SUBTOTAL(109,Ventes1er[Juin])</f>
        <v>0</v>
      </c>
      <c r="K34" s="334">
        <f>SUBTOTAL(109,Ventes1er[Juillet])</f>
        <v>0</v>
      </c>
      <c r="L34" s="336">
        <f>SUBTOTAL(109,Ventes1er[Août])</f>
        <v>0</v>
      </c>
      <c r="M34" s="336">
        <f>SUBTOTAL(109,Ventes1er[Sept.])</f>
        <v>0</v>
      </c>
      <c r="N34" s="336">
        <f>SUBTOTAL(109,Ventes1er[Oct])</f>
        <v>0</v>
      </c>
      <c r="O34" s="336">
        <f>SUBTOTAL(109,Ventes1er[Nov.])</f>
        <v>0</v>
      </c>
      <c r="P34" s="337">
        <f>SUBTOTAL(109,Ventes1er[déc])</f>
        <v>0</v>
      </c>
      <c r="Q34" s="388">
        <f>SUBTOTAL(109,Ventes1er[TOTAL])</f>
        <v>30833</v>
      </c>
      <c r="R34" s="378"/>
      <c r="S34" s="80"/>
    </row>
    <row r="35" spans="1:19" s="4" customFormat="1" ht="15.75" thickBot="1" x14ac:dyDescent="0.3">
      <c r="A35" s="62"/>
      <c r="B35" s="62"/>
      <c r="C35" s="62"/>
      <c r="D35" s="62"/>
      <c r="E35" s="62"/>
      <c r="F35" s="62"/>
      <c r="G35" s="62"/>
      <c r="H35" s="62"/>
      <c r="I35" s="64"/>
      <c r="J35" s="62"/>
      <c r="K35" s="64"/>
      <c r="L35" s="335"/>
      <c r="M35" s="335"/>
      <c r="N35" s="335"/>
      <c r="O35" s="335"/>
      <c r="P35" s="335"/>
      <c r="Q35" s="64"/>
      <c r="R35" s="62"/>
      <c r="S35" s="80"/>
    </row>
    <row r="36" spans="1:19" ht="30" x14ac:dyDescent="0.25">
      <c r="A36" s="389" t="s">
        <v>36</v>
      </c>
      <c r="B36" s="338">
        <v>71</v>
      </c>
      <c r="C36" s="62"/>
      <c r="D36" s="62"/>
      <c r="E36" s="62"/>
      <c r="F36" s="62"/>
      <c r="G36" s="62"/>
      <c r="H36" s="62"/>
      <c r="I36" s="62"/>
      <c r="J36" s="390"/>
      <c r="K36" s="64"/>
      <c r="L36" s="335"/>
      <c r="M36" s="335"/>
      <c r="N36" s="335"/>
      <c r="O36" s="335"/>
      <c r="P36" s="335"/>
      <c r="Q36" s="64"/>
      <c r="R36" s="62"/>
    </row>
    <row r="37" spans="1:19" ht="30.75" thickBot="1" x14ac:dyDescent="0.3">
      <c r="A37" s="391" t="s">
        <v>1330</v>
      </c>
      <c r="B37" s="339">
        <f>Ventes1er[[#Totals],[Hotel]]/B36</f>
        <v>0.42253521126760563</v>
      </c>
    </row>
    <row r="1048575" spans="3:3" x14ac:dyDescent="0.25">
      <c r="C1048575" s="475"/>
    </row>
  </sheetData>
  <pageMargins left="0.11811023622047245" right="0.11811023622047245" top="0.35433070866141736" bottom="0.35433070866141736" header="0.31496062992125984" footer="0.31496062992125984"/>
  <pageSetup paperSize="9" scale="61" orientation="landscape" verticalDpi="300" r:id="rId1"/>
  <headerFooter>
    <oddFooter>&amp;RConfidentiel -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uinOK">
                <anchor moveWithCells="1" sizeWithCells="1">
                  <from>
                    <xdr:col>9</xdr:col>
                    <xdr:colOff>85725</xdr:colOff>
                    <xdr:row>35</xdr:row>
                    <xdr:rowOff>85725</xdr:rowOff>
                  </from>
                  <to>
                    <xdr:col>9</xdr:col>
                    <xdr:colOff>523875</xdr:colOff>
                    <xdr:row>35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3"/>
  <sheetViews>
    <sheetView zoomScale="80" zoomScaleNormal="80" workbookViewId="0">
      <selection activeCell="B8" sqref="B8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150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350">
        <v>75002</v>
      </c>
      <c r="B4" s="351" t="s">
        <v>719</v>
      </c>
      <c r="C4" s="352" t="s">
        <v>720</v>
      </c>
      <c r="D4" s="353" t="s">
        <v>188</v>
      </c>
      <c r="E4" s="354" t="s">
        <v>48</v>
      </c>
      <c r="F4" s="286" t="s">
        <v>48</v>
      </c>
      <c r="G4" s="286" t="s">
        <v>48</v>
      </c>
      <c r="H4" s="286">
        <v>356</v>
      </c>
      <c r="I4" s="355">
        <v>162</v>
      </c>
      <c r="J4" s="343"/>
      <c r="K4" s="77"/>
      <c r="L4" s="77"/>
      <c r="M4" s="77"/>
      <c r="N4" s="77"/>
      <c r="O4" s="77"/>
      <c r="P4" s="344"/>
      <c r="Q4" s="371">
        <f t="shared" ref="Q4:Q19" si="0">SUM(E4:P4)</f>
        <v>518</v>
      </c>
      <c r="R4" s="374"/>
    </row>
    <row r="5" spans="1:19" s="4" customFormat="1" x14ac:dyDescent="0.25">
      <c r="A5" s="350">
        <v>75002</v>
      </c>
      <c r="B5" s="351" t="s">
        <v>1131</v>
      </c>
      <c r="C5" s="352" t="s">
        <v>1132</v>
      </c>
      <c r="D5" s="353" t="s">
        <v>187</v>
      </c>
      <c r="E5" s="354" t="s">
        <v>48</v>
      </c>
      <c r="F5" s="286" t="s">
        <v>48</v>
      </c>
      <c r="G5" s="286" t="s">
        <v>48</v>
      </c>
      <c r="H5" s="286" t="s">
        <v>48</v>
      </c>
      <c r="I5" s="355">
        <v>340</v>
      </c>
      <c r="J5" s="343"/>
      <c r="K5" s="77"/>
      <c r="L5" s="77"/>
      <c r="M5" s="77"/>
      <c r="N5" s="77"/>
      <c r="O5" s="77"/>
      <c r="P5" s="344"/>
      <c r="Q5" s="371">
        <f t="shared" si="0"/>
        <v>340</v>
      </c>
      <c r="R5" s="374"/>
    </row>
    <row r="6" spans="1:19" s="4" customFormat="1" x14ac:dyDescent="0.25">
      <c r="A6" s="350">
        <v>75002</v>
      </c>
      <c r="B6" s="351" t="s">
        <v>902</v>
      </c>
      <c r="C6" s="352" t="s">
        <v>903</v>
      </c>
      <c r="D6" s="353" t="s">
        <v>187</v>
      </c>
      <c r="E6" s="354" t="s">
        <v>48</v>
      </c>
      <c r="F6" s="286" t="s">
        <v>48</v>
      </c>
      <c r="G6" s="286">
        <v>33</v>
      </c>
      <c r="H6" s="286" t="s">
        <v>48</v>
      </c>
      <c r="I6" s="356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33</v>
      </c>
      <c r="R6" s="374"/>
    </row>
    <row r="7" spans="1:19" s="4" customFormat="1" x14ac:dyDescent="0.25">
      <c r="A7" s="350">
        <v>75002</v>
      </c>
      <c r="B7" s="351" t="s">
        <v>721</v>
      </c>
      <c r="C7" s="352" t="s">
        <v>722</v>
      </c>
      <c r="D7" s="353" t="s">
        <v>187</v>
      </c>
      <c r="E7" s="354" t="s">
        <v>48</v>
      </c>
      <c r="F7" s="286" t="s">
        <v>48</v>
      </c>
      <c r="G7" s="286" t="s">
        <v>48</v>
      </c>
      <c r="H7" s="286">
        <v>88</v>
      </c>
      <c r="I7" s="356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88</v>
      </c>
      <c r="R7" s="374"/>
    </row>
    <row r="8" spans="1:19" s="4" customFormat="1" x14ac:dyDescent="0.25">
      <c r="A8" s="350">
        <v>75002</v>
      </c>
      <c r="B8" s="351" t="s">
        <v>189</v>
      </c>
      <c r="C8" s="352" t="s">
        <v>190</v>
      </c>
      <c r="D8" s="353" t="s">
        <v>186</v>
      </c>
      <c r="E8" s="354">
        <v>40</v>
      </c>
      <c r="F8" s="286">
        <v>117</v>
      </c>
      <c r="G8" s="286">
        <v>433</v>
      </c>
      <c r="H8" s="286">
        <v>208</v>
      </c>
      <c r="I8" s="356">
        <v>99</v>
      </c>
      <c r="J8" s="343"/>
      <c r="K8" s="77"/>
      <c r="L8" s="77"/>
      <c r="M8" s="77"/>
      <c r="N8" s="77"/>
      <c r="O8" s="77"/>
      <c r="P8" s="344"/>
      <c r="Q8" s="371">
        <f t="shared" si="0"/>
        <v>897</v>
      </c>
      <c r="R8" s="374"/>
    </row>
    <row r="9" spans="1:19" s="4" customFormat="1" x14ac:dyDescent="0.25">
      <c r="A9" s="350">
        <v>75002</v>
      </c>
      <c r="B9" s="351" t="s">
        <v>323</v>
      </c>
      <c r="C9" s="352" t="s">
        <v>324</v>
      </c>
      <c r="D9" s="353" t="s">
        <v>186</v>
      </c>
      <c r="E9" s="354" t="s">
        <v>48</v>
      </c>
      <c r="F9" s="286">
        <v>229</v>
      </c>
      <c r="G9" s="286" t="s">
        <v>48</v>
      </c>
      <c r="H9" s="286" t="s">
        <v>48</v>
      </c>
      <c r="I9" s="356">
        <v>196</v>
      </c>
      <c r="J9" s="343"/>
      <c r="K9" s="77"/>
      <c r="L9" s="77"/>
      <c r="M9" s="77"/>
      <c r="N9" s="77"/>
      <c r="O9" s="77"/>
      <c r="P9" s="344"/>
      <c r="Q9" s="371">
        <f t="shared" si="0"/>
        <v>425</v>
      </c>
      <c r="R9" s="374"/>
    </row>
    <row r="10" spans="1:19" s="4" customFormat="1" x14ac:dyDescent="0.25">
      <c r="A10" s="350">
        <v>75002</v>
      </c>
      <c r="B10" s="351" t="s">
        <v>191</v>
      </c>
      <c r="C10" s="352" t="s">
        <v>192</v>
      </c>
      <c r="D10" s="353" t="s">
        <v>188</v>
      </c>
      <c r="E10" s="354">
        <v>230</v>
      </c>
      <c r="F10" s="286" t="s">
        <v>48</v>
      </c>
      <c r="G10" s="286" t="s">
        <v>48</v>
      </c>
      <c r="H10" s="286" t="s">
        <v>48</v>
      </c>
      <c r="I10" s="356">
        <v>218</v>
      </c>
      <c r="J10" s="343"/>
      <c r="K10" s="77"/>
      <c r="L10" s="77"/>
      <c r="M10" s="77"/>
      <c r="N10" s="77"/>
      <c r="O10" s="77"/>
      <c r="P10" s="344"/>
      <c r="Q10" s="371">
        <f t="shared" si="0"/>
        <v>448</v>
      </c>
      <c r="R10" s="374"/>
    </row>
    <row r="11" spans="1:19" s="4" customFormat="1" x14ac:dyDescent="0.25">
      <c r="A11" s="350">
        <v>75002</v>
      </c>
      <c r="B11" s="351" t="s">
        <v>193</v>
      </c>
      <c r="C11" s="352" t="s">
        <v>194</v>
      </c>
      <c r="D11" s="357" t="s">
        <v>188</v>
      </c>
      <c r="E11" s="354">
        <v>68</v>
      </c>
      <c r="F11" s="286" t="s">
        <v>48</v>
      </c>
      <c r="G11" s="286" t="s">
        <v>48</v>
      </c>
      <c r="H11" s="286">
        <v>130</v>
      </c>
      <c r="I11" s="356" t="s">
        <v>48</v>
      </c>
      <c r="J11" s="343"/>
      <c r="K11" s="77"/>
      <c r="L11" s="77"/>
      <c r="M11" s="77"/>
      <c r="N11" s="77"/>
      <c r="O11" s="77"/>
      <c r="P11" s="344"/>
      <c r="Q11" s="371">
        <f t="shared" si="0"/>
        <v>198</v>
      </c>
      <c r="R11" s="374"/>
    </row>
    <row r="12" spans="1:19" s="4" customFormat="1" x14ac:dyDescent="0.25">
      <c r="A12" s="350">
        <v>75002</v>
      </c>
      <c r="B12" s="351" t="s">
        <v>904</v>
      </c>
      <c r="C12" s="352" t="s">
        <v>905</v>
      </c>
      <c r="D12" s="357" t="s">
        <v>187</v>
      </c>
      <c r="E12" s="354" t="s">
        <v>48</v>
      </c>
      <c r="F12" s="286" t="s">
        <v>48</v>
      </c>
      <c r="G12" s="286">
        <v>132</v>
      </c>
      <c r="H12" s="286" t="s">
        <v>48</v>
      </c>
      <c r="I12" s="356">
        <v>400</v>
      </c>
      <c r="J12" s="343"/>
      <c r="K12" s="77"/>
      <c r="L12" s="77"/>
      <c r="M12" s="77"/>
      <c r="N12" s="77"/>
      <c r="O12" s="77"/>
      <c r="P12" s="344"/>
      <c r="Q12" s="371">
        <f t="shared" si="0"/>
        <v>532</v>
      </c>
      <c r="R12" s="374"/>
    </row>
    <row r="13" spans="1:19" s="4" customFormat="1" x14ac:dyDescent="0.25">
      <c r="A13" s="350">
        <v>75002</v>
      </c>
      <c r="B13" s="358" t="s">
        <v>723</v>
      </c>
      <c r="C13" s="352" t="s">
        <v>724</v>
      </c>
      <c r="D13" s="357" t="s">
        <v>188</v>
      </c>
      <c r="E13" s="354" t="s">
        <v>48</v>
      </c>
      <c r="F13" s="286" t="s">
        <v>48</v>
      </c>
      <c r="G13" s="286" t="s">
        <v>48</v>
      </c>
      <c r="H13" s="359">
        <v>88</v>
      </c>
      <c r="I13" s="356" t="s">
        <v>48</v>
      </c>
      <c r="J13" s="343"/>
      <c r="K13" s="77"/>
      <c r="L13" s="77"/>
      <c r="M13" s="77"/>
      <c r="N13" s="77"/>
      <c r="O13" s="77"/>
      <c r="P13" s="344"/>
      <c r="Q13" s="371">
        <f t="shared" si="0"/>
        <v>88</v>
      </c>
      <c r="R13" s="393" t="s">
        <v>725</v>
      </c>
    </row>
    <row r="14" spans="1:19" s="4" customFormat="1" x14ac:dyDescent="0.25">
      <c r="A14" s="350">
        <v>75002</v>
      </c>
      <c r="B14" s="351" t="s">
        <v>726</v>
      </c>
      <c r="C14" s="352" t="s">
        <v>727</v>
      </c>
      <c r="D14" s="357" t="s">
        <v>188</v>
      </c>
      <c r="E14" s="354" t="s">
        <v>48</v>
      </c>
      <c r="F14" s="286" t="s">
        <v>48</v>
      </c>
      <c r="G14" s="286" t="s">
        <v>48</v>
      </c>
      <c r="H14" s="286">
        <v>170</v>
      </c>
      <c r="I14" s="356" t="s">
        <v>48</v>
      </c>
      <c r="J14" s="343"/>
      <c r="K14" s="77"/>
      <c r="L14" s="77"/>
      <c r="M14" s="77"/>
      <c r="N14" s="77"/>
      <c r="O14" s="77"/>
      <c r="P14" s="344"/>
      <c r="Q14" s="371">
        <f t="shared" si="0"/>
        <v>170</v>
      </c>
      <c r="R14" s="374"/>
    </row>
    <row r="15" spans="1:19" s="4" customFormat="1" x14ac:dyDescent="0.25">
      <c r="A15" s="350">
        <v>75002</v>
      </c>
      <c r="B15" s="351" t="s">
        <v>728</v>
      </c>
      <c r="C15" s="352" t="s">
        <v>729</v>
      </c>
      <c r="D15" s="357" t="s">
        <v>188</v>
      </c>
      <c r="E15" s="354" t="s">
        <v>48</v>
      </c>
      <c r="F15" s="286" t="s">
        <v>48</v>
      </c>
      <c r="G15" s="286">
        <v>405</v>
      </c>
      <c r="H15" s="286">
        <v>334</v>
      </c>
      <c r="I15" s="356" t="s">
        <v>48</v>
      </c>
      <c r="J15" s="343"/>
      <c r="K15" s="77"/>
      <c r="L15" s="77"/>
      <c r="M15" s="77"/>
      <c r="N15" s="77"/>
      <c r="O15" s="77"/>
      <c r="P15" s="344"/>
      <c r="Q15" s="371">
        <f t="shared" si="0"/>
        <v>739</v>
      </c>
      <c r="R15" s="374"/>
    </row>
    <row r="16" spans="1:19" s="4" customFormat="1" x14ac:dyDescent="0.25">
      <c r="A16" s="350">
        <v>75002</v>
      </c>
      <c r="B16" s="360" t="s">
        <v>325</v>
      </c>
      <c r="C16" s="352" t="s">
        <v>326</v>
      </c>
      <c r="D16" s="353" t="s">
        <v>188</v>
      </c>
      <c r="E16" s="354" t="s">
        <v>48</v>
      </c>
      <c r="F16" s="361">
        <v>78</v>
      </c>
      <c r="G16" s="286">
        <v>218</v>
      </c>
      <c r="H16" s="286" t="s">
        <v>48</v>
      </c>
      <c r="I16" s="356" t="s">
        <v>48</v>
      </c>
      <c r="J16" s="343"/>
      <c r="K16" s="77"/>
      <c r="L16" s="77"/>
      <c r="M16" s="77"/>
      <c r="N16" s="77"/>
      <c r="O16" s="77"/>
      <c r="P16" s="344"/>
      <c r="Q16" s="371">
        <f t="shared" si="0"/>
        <v>296</v>
      </c>
      <c r="R16" s="394" t="s">
        <v>327</v>
      </c>
    </row>
    <row r="17" spans="1:19" s="4" customFormat="1" x14ac:dyDescent="0.25">
      <c r="A17" s="350">
        <v>75002</v>
      </c>
      <c r="B17" s="351" t="s">
        <v>328</v>
      </c>
      <c r="C17" s="352" t="s">
        <v>329</v>
      </c>
      <c r="D17" s="353" t="s">
        <v>187</v>
      </c>
      <c r="E17" s="354" t="s">
        <v>48</v>
      </c>
      <c r="F17" s="286">
        <v>400</v>
      </c>
      <c r="G17" s="286">
        <v>218</v>
      </c>
      <c r="H17" s="286">
        <v>40</v>
      </c>
      <c r="I17" s="356">
        <v>336</v>
      </c>
      <c r="J17" s="343"/>
      <c r="K17" s="77"/>
      <c r="L17" s="77"/>
      <c r="M17" s="77"/>
      <c r="N17" s="77"/>
      <c r="O17" s="77"/>
      <c r="P17" s="344"/>
      <c r="Q17" s="371">
        <f t="shared" si="0"/>
        <v>994</v>
      </c>
      <c r="R17" s="374"/>
    </row>
    <row r="18" spans="1:19" s="4" customFormat="1" x14ac:dyDescent="0.25">
      <c r="A18" s="350">
        <v>75002</v>
      </c>
      <c r="B18" s="351" t="s">
        <v>330</v>
      </c>
      <c r="C18" s="352" t="s">
        <v>331</v>
      </c>
      <c r="D18" s="353" t="s">
        <v>188</v>
      </c>
      <c r="E18" s="354" t="s">
        <v>48</v>
      </c>
      <c r="F18" s="286">
        <v>1076</v>
      </c>
      <c r="G18" s="286">
        <v>526</v>
      </c>
      <c r="H18" s="286" t="s">
        <v>48</v>
      </c>
      <c r="I18" s="356">
        <v>199</v>
      </c>
      <c r="J18" s="343"/>
      <c r="K18" s="77"/>
      <c r="L18" s="77"/>
      <c r="M18" s="77"/>
      <c r="N18" s="77"/>
      <c r="O18" s="77"/>
      <c r="P18" s="344"/>
      <c r="Q18" s="371">
        <f t="shared" si="0"/>
        <v>1801</v>
      </c>
      <c r="R18" s="374"/>
    </row>
    <row r="19" spans="1:19" s="4" customFormat="1" ht="15.75" thickBot="1" x14ac:dyDescent="0.3">
      <c r="A19" s="350">
        <v>75002</v>
      </c>
      <c r="B19" s="351" t="s">
        <v>1133</v>
      </c>
      <c r="C19" s="352" t="s">
        <v>1134</v>
      </c>
      <c r="D19" s="353" t="s">
        <v>188</v>
      </c>
      <c r="E19" s="354" t="s">
        <v>48</v>
      </c>
      <c r="F19" s="286" t="s">
        <v>48</v>
      </c>
      <c r="G19" s="286" t="s">
        <v>48</v>
      </c>
      <c r="H19" s="286" t="s">
        <v>48</v>
      </c>
      <c r="I19" s="286">
        <v>229</v>
      </c>
      <c r="J19" s="343"/>
      <c r="K19" s="77"/>
      <c r="L19" s="77"/>
      <c r="M19" s="77"/>
      <c r="N19" s="77"/>
      <c r="O19" s="77"/>
      <c r="P19" s="344"/>
      <c r="Q19" s="371">
        <f t="shared" si="0"/>
        <v>229</v>
      </c>
      <c r="R19" s="374"/>
    </row>
    <row r="20" spans="1:19" s="4" customFormat="1" ht="15.75" thickBot="1" x14ac:dyDescent="0.3">
      <c r="A20" s="382" t="s">
        <v>10</v>
      </c>
      <c r="B20" s="383">
        <f>SUBTOTAL(103,Ventes2ème[Hotel])</f>
        <v>16</v>
      </c>
      <c r="C20" s="384"/>
      <c r="D20" s="382"/>
      <c r="E20" s="385">
        <f>SUBTOTAL(109,Ventes2ème[Janv])</f>
        <v>338</v>
      </c>
      <c r="F20" s="386">
        <f>SUBTOTAL(109,Ventes2ème[Fév])</f>
        <v>1900</v>
      </c>
      <c r="G20" s="387">
        <f>SUBTOTAL(109,Ventes2ème[mars])</f>
        <v>1965</v>
      </c>
      <c r="H20" s="334">
        <f>SUBTOTAL(109,Ventes2ème[Avril])</f>
        <v>1414</v>
      </c>
      <c r="I20" s="334">
        <f>SUBTOTAL(109,Ventes2ème[Mai])</f>
        <v>2179</v>
      </c>
      <c r="J20" s="334">
        <f>SUBTOTAL(109,Ventes2ème[Juin])</f>
        <v>0</v>
      </c>
      <c r="K20" s="334">
        <f>SUBTOTAL(109,Ventes2ème[Juillet])</f>
        <v>0</v>
      </c>
      <c r="L20" s="336">
        <f>SUBTOTAL(109,Ventes2ème[Août])</f>
        <v>0</v>
      </c>
      <c r="M20" s="336">
        <f>SUBTOTAL(109,Ventes2ème[Sept.])</f>
        <v>0</v>
      </c>
      <c r="N20" s="336">
        <f>SUBTOTAL(109,Ventes2ème[Oct])</f>
        <v>0</v>
      </c>
      <c r="O20" s="336">
        <f>SUBTOTAL(109,Ventes2ème[Nov.])</f>
        <v>0</v>
      </c>
      <c r="P20" s="337">
        <f>SUBTOTAL(109,Ventes2ème[déc])</f>
        <v>0</v>
      </c>
      <c r="Q20" s="388">
        <f>SUBTOTAL(109,Ventes2ème[TOTAL])</f>
        <v>7796</v>
      </c>
      <c r="R20" s="378"/>
      <c r="S20" s="80"/>
    </row>
    <row r="21" spans="1:19" s="4" customFormat="1" ht="15.75" thickBot="1" x14ac:dyDescent="0.3">
      <c r="A21" s="62"/>
      <c r="B21" s="62"/>
      <c r="C21" s="62"/>
      <c r="D21" s="62"/>
      <c r="E21" s="62"/>
      <c r="F21" s="62"/>
      <c r="G21" s="62"/>
      <c r="H21" s="62"/>
      <c r="I21" s="64"/>
      <c r="J21" s="62"/>
      <c r="K21" s="64"/>
      <c r="L21" s="335"/>
      <c r="M21" s="335"/>
      <c r="N21" s="335"/>
      <c r="O21" s="335"/>
      <c r="P21" s="335"/>
      <c r="Q21" s="64"/>
      <c r="R21" s="62"/>
      <c r="S21" s="80"/>
    </row>
    <row r="22" spans="1:19" ht="30" x14ac:dyDescent="0.25">
      <c r="A22" s="389" t="s">
        <v>36</v>
      </c>
      <c r="B22" s="338">
        <v>35</v>
      </c>
      <c r="C22" s="62"/>
      <c r="D22" s="62"/>
      <c r="E22" s="62"/>
      <c r="F22" s="62"/>
      <c r="G22" s="62"/>
      <c r="H22" s="62"/>
      <c r="I22" s="62"/>
      <c r="J22" s="390"/>
      <c r="K22" s="64"/>
      <c r="L22" s="335"/>
      <c r="M22" s="335"/>
      <c r="N22" s="335"/>
      <c r="O22" s="335"/>
      <c r="P22" s="335"/>
      <c r="Q22" s="64"/>
      <c r="R22" s="62"/>
    </row>
    <row r="23" spans="1:19" ht="30.75" thickBot="1" x14ac:dyDescent="0.3">
      <c r="A23" s="391" t="s">
        <v>1330</v>
      </c>
      <c r="B23" s="339">
        <f>Ventes2ème[[#Totals],[Hotel]]/B22</f>
        <v>0.45714285714285713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5"/>
  <sheetViews>
    <sheetView zoomScale="80" zoomScaleNormal="80" workbookViewId="0">
      <selection activeCell="B6" sqref="B6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151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111">
        <v>75003</v>
      </c>
      <c r="B4" s="68" t="s">
        <v>195</v>
      </c>
      <c r="C4" s="341" t="s">
        <v>196</v>
      </c>
      <c r="D4" s="348" t="s">
        <v>187</v>
      </c>
      <c r="E4" s="362">
        <v>72</v>
      </c>
      <c r="F4" s="286" t="s">
        <v>48</v>
      </c>
      <c r="G4" s="286" t="s">
        <v>48</v>
      </c>
      <c r="H4" s="286" t="s">
        <v>48</v>
      </c>
      <c r="I4" s="286" t="s">
        <v>48</v>
      </c>
      <c r="J4" s="343"/>
      <c r="K4" s="77"/>
      <c r="L4" s="77"/>
      <c r="M4" s="77"/>
      <c r="N4" s="77"/>
      <c r="O4" s="77"/>
      <c r="P4" s="344"/>
      <c r="Q4" s="371">
        <f t="shared" ref="Q4:Q11" si="0">SUM(E4:P4)</f>
        <v>72</v>
      </c>
      <c r="R4" s="374"/>
    </row>
    <row r="5" spans="1:19" s="4" customFormat="1" x14ac:dyDescent="0.25">
      <c r="A5" s="111">
        <v>75003</v>
      </c>
      <c r="B5" s="68" t="s">
        <v>730</v>
      </c>
      <c r="C5" s="341" t="s">
        <v>731</v>
      </c>
      <c r="D5" s="348" t="s">
        <v>187</v>
      </c>
      <c r="E5" s="362" t="s">
        <v>48</v>
      </c>
      <c r="F5" s="286" t="s">
        <v>48</v>
      </c>
      <c r="G5" s="286">
        <v>461</v>
      </c>
      <c r="H5" s="286">
        <v>20</v>
      </c>
      <c r="I5" s="286">
        <v>258</v>
      </c>
      <c r="J5" s="343"/>
      <c r="K5" s="77"/>
      <c r="L5" s="77"/>
      <c r="M5" s="77"/>
      <c r="N5" s="77"/>
      <c r="O5" s="77"/>
      <c r="P5" s="344"/>
      <c r="Q5" s="371">
        <f t="shared" si="0"/>
        <v>739</v>
      </c>
      <c r="R5" s="374"/>
    </row>
    <row r="6" spans="1:19" s="4" customFormat="1" x14ac:dyDescent="0.25">
      <c r="A6" s="111">
        <v>75003</v>
      </c>
      <c r="B6" s="68" t="s">
        <v>569</v>
      </c>
      <c r="C6" s="341" t="s">
        <v>570</v>
      </c>
      <c r="D6" s="348" t="s">
        <v>187</v>
      </c>
      <c r="E6" s="362">
        <v>500</v>
      </c>
      <c r="F6" s="286" t="s">
        <v>48</v>
      </c>
      <c r="G6" s="286">
        <v>450</v>
      </c>
      <c r="H6" s="286">
        <v>794</v>
      </c>
      <c r="I6" s="286">
        <v>264</v>
      </c>
      <c r="J6" s="343"/>
      <c r="K6" s="77"/>
      <c r="L6" s="77"/>
      <c r="M6" s="77"/>
      <c r="N6" s="77"/>
      <c r="O6" s="77"/>
      <c r="P6" s="344"/>
      <c r="Q6" s="371">
        <f t="shared" si="0"/>
        <v>2008</v>
      </c>
      <c r="R6" s="374"/>
    </row>
    <row r="7" spans="1:19" s="4" customFormat="1" x14ac:dyDescent="0.25">
      <c r="A7" s="111">
        <v>75003</v>
      </c>
      <c r="B7" s="68" t="s">
        <v>332</v>
      </c>
      <c r="C7" s="341" t="s">
        <v>333</v>
      </c>
      <c r="D7" s="348" t="s">
        <v>188</v>
      </c>
      <c r="E7" s="362" t="s">
        <v>48</v>
      </c>
      <c r="F7" s="286">
        <v>210</v>
      </c>
      <c r="G7" s="286">
        <v>218</v>
      </c>
      <c r="H7" s="286">
        <v>284</v>
      </c>
      <c r="I7" s="286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712</v>
      </c>
      <c r="R7" s="374"/>
    </row>
    <row r="8" spans="1:19" s="4" customFormat="1" x14ac:dyDescent="0.25">
      <c r="A8" s="111">
        <v>75003</v>
      </c>
      <c r="B8" s="68" t="s">
        <v>1135</v>
      </c>
      <c r="C8" s="341" t="s">
        <v>1136</v>
      </c>
      <c r="D8" s="348" t="s">
        <v>188</v>
      </c>
      <c r="E8" s="362" t="s">
        <v>48</v>
      </c>
      <c r="F8" s="286" t="s">
        <v>48</v>
      </c>
      <c r="G8" s="286" t="s">
        <v>48</v>
      </c>
      <c r="H8" s="286" t="s">
        <v>48</v>
      </c>
      <c r="I8" s="286">
        <v>188</v>
      </c>
      <c r="J8" s="343"/>
      <c r="K8" s="77"/>
      <c r="L8" s="77"/>
      <c r="M8" s="77"/>
      <c r="N8" s="77"/>
      <c r="O8" s="77"/>
      <c r="P8" s="344"/>
      <c r="Q8" s="371">
        <f t="shared" si="0"/>
        <v>188</v>
      </c>
      <c r="R8" s="374"/>
    </row>
    <row r="9" spans="1:19" s="4" customFormat="1" x14ac:dyDescent="0.25">
      <c r="A9" s="111">
        <v>75003</v>
      </c>
      <c r="B9" s="68" t="s">
        <v>197</v>
      </c>
      <c r="C9" s="341" t="s">
        <v>198</v>
      </c>
      <c r="D9" s="348" t="s">
        <v>187</v>
      </c>
      <c r="E9" s="362">
        <v>996</v>
      </c>
      <c r="F9" s="286">
        <v>671</v>
      </c>
      <c r="G9" s="286" t="s">
        <v>48</v>
      </c>
      <c r="H9" s="286">
        <v>45</v>
      </c>
      <c r="I9" s="286">
        <v>120</v>
      </c>
      <c r="J9" s="343"/>
      <c r="K9" s="77"/>
      <c r="L9" s="77"/>
      <c r="M9" s="77"/>
      <c r="N9" s="77"/>
      <c r="O9" s="77"/>
      <c r="P9" s="344"/>
      <c r="Q9" s="371">
        <f t="shared" si="0"/>
        <v>1832</v>
      </c>
      <c r="R9" s="374"/>
    </row>
    <row r="10" spans="1:19" s="4" customFormat="1" x14ac:dyDescent="0.25">
      <c r="A10" s="111">
        <v>75003</v>
      </c>
      <c r="B10" s="68" t="s">
        <v>906</v>
      </c>
      <c r="C10" s="341" t="s">
        <v>907</v>
      </c>
      <c r="D10" s="348" t="s">
        <v>188</v>
      </c>
      <c r="E10" s="362" t="s">
        <v>48</v>
      </c>
      <c r="F10" s="286" t="s">
        <v>48</v>
      </c>
      <c r="G10" s="286">
        <v>34</v>
      </c>
      <c r="H10" s="286" t="s">
        <v>48</v>
      </c>
      <c r="I10" s="286">
        <v>146</v>
      </c>
      <c r="J10" s="343"/>
      <c r="K10" s="77"/>
      <c r="L10" s="77"/>
      <c r="M10" s="77"/>
      <c r="N10" s="77"/>
      <c r="O10" s="77"/>
      <c r="P10" s="344"/>
      <c r="Q10" s="371">
        <f t="shared" si="0"/>
        <v>180</v>
      </c>
      <c r="R10" s="374"/>
    </row>
    <row r="11" spans="1:19" s="4" customFormat="1" ht="15.75" thickBot="1" x14ac:dyDescent="0.3">
      <c r="A11" s="111">
        <v>75003</v>
      </c>
      <c r="B11" s="68" t="s">
        <v>732</v>
      </c>
      <c r="C11" s="341" t="s">
        <v>733</v>
      </c>
      <c r="D11" s="348" t="s">
        <v>188</v>
      </c>
      <c r="E11" s="362" t="s">
        <v>48</v>
      </c>
      <c r="F11" s="286" t="s">
        <v>48</v>
      </c>
      <c r="G11" s="286">
        <v>476</v>
      </c>
      <c r="H11" s="286">
        <v>120</v>
      </c>
      <c r="I11" s="286">
        <v>1223</v>
      </c>
      <c r="J11" s="343"/>
      <c r="K11" s="77"/>
      <c r="L11" s="77"/>
      <c r="M11" s="77"/>
      <c r="N11" s="77"/>
      <c r="O11" s="77"/>
      <c r="P11" s="344"/>
      <c r="Q11" s="371">
        <f t="shared" si="0"/>
        <v>1819</v>
      </c>
      <c r="R11" s="374"/>
    </row>
    <row r="12" spans="1:19" s="4" customFormat="1" ht="15.75" thickBot="1" x14ac:dyDescent="0.3">
      <c r="A12" s="382" t="s">
        <v>10</v>
      </c>
      <c r="B12" s="383">
        <f>SUBTOTAL(103,Ventes3ème[Hotel])</f>
        <v>8</v>
      </c>
      <c r="C12" s="384"/>
      <c r="D12" s="382"/>
      <c r="E12" s="385">
        <f>SUBTOTAL(109,Ventes3ème[Janv])</f>
        <v>1568</v>
      </c>
      <c r="F12" s="386">
        <f>SUBTOTAL(109,Ventes3ème[Fév])</f>
        <v>881</v>
      </c>
      <c r="G12" s="387">
        <f>SUBTOTAL(109,Ventes3ème[mars])</f>
        <v>1639</v>
      </c>
      <c r="H12" s="334">
        <f>SUBTOTAL(109,Ventes3ème[Avril])</f>
        <v>1263</v>
      </c>
      <c r="I12" s="334">
        <f>SUBTOTAL(109,Ventes3ème[Mai])</f>
        <v>2199</v>
      </c>
      <c r="J12" s="334">
        <f>SUBTOTAL(109,Ventes3ème[Juin])</f>
        <v>0</v>
      </c>
      <c r="K12" s="334">
        <f>SUBTOTAL(109,Ventes3ème[Juillet])</f>
        <v>0</v>
      </c>
      <c r="L12" s="336">
        <f>SUBTOTAL(109,Ventes3ème[Août])</f>
        <v>0</v>
      </c>
      <c r="M12" s="336">
        <f>SUBTOTAL(109,Ventes3ème[Sept.])</f>
        <v>0</v>
      </c>
      <c r="N12" s="336">
        <f>SUBTOTAL(109,Ventes3ème[Oct])</f>
        <v>0</v>
      </c>
      <c r="O12" s="336">
        <f>SUBTOTAL(109,Ventes3ème[Nov.])</f>
        <v>0</v>
      </c>
      <c r="P12" s="337">
        <f>SUBTOTAL(109,Ventes3ème[déc])</f>
        <v>0</v>
      </c>
      <c r="Q12" s="388">
        <f>SUBTOTAL(109,Ventes3ème[TOTAL])</f>
        <v>7550</v>
      </c>
      <c r="R12" s="378"/>
      <c r="S12" s="80"/>
    </row>
    <row r="13" spans="1:19" s="4" customFormat="1" ht="15.75" thickBot="1" x14ac:dyDescent="0.3">
      <c r="A13" s="62"/>
      <c r="B13" s="62"/>
      <c r="C13" s="62"/>
      <c r="D13" s="62"/>
      <c r="E13" s="62"/>
      <c r="F13" s="62"/>
      <c r="G13" s="62"/>
      <c r="H13" s="62"/>
      <c r="I13" s="64"/>
      <c r="J13" s="62"/>
      <c r="K13" s="64"/>
      <c r="L13" s="335"/>
      <c r="M13" s="335"/>
      <c r="N13" s="335"/>
      <c r="O13" s="335"/>
      <c r="P13" s="335"/>
      <c r="Q13" s="64"/>
      <c r="R13" s="62"/>
      <c r="S13" s="80"/>
    </row>
    <row r="14" spans="1:19" ht="30" x14ac:dyDescent="0.25">
      <c r="A14" s="389" t="s">
        <v>36</v>
      </c>
      <c r="B14" s="338">
        <v>23</v>
      </c>
      <c r="C14" s="62"/>
      <c r="D14" s="62"/>
      <c r="E14" s="62"/>
      <c r="F14" s="62"/>
      <c r="G14" s="62"/>
      <c r="H14" s="62"/>
      <c r="I14" s="62"/>
      <c r="J14" s="390"/>
      <c r="K14" s="64"/>
      <c r="L14" s="335"/>
      <c r="M14" s="335"/>
      <c r="N14" s="335"/>
      <c r="O14" s="335"/>
      <c r="P14" s="335"/>
      <c r="Q14" s="64"/>
      <c r="R14" s="62"/>
    </row>
    <row r="15" spans="1:19" ht="30.75" thickBot="1" x14ac:dyDescent="0.3">
      <c r="A15" s="391" t="s">
        <v>1330</v>
      </c>
      <c r="B15" s="339">
        <f>Ventes3ème[[#Totals],[Hotel]]/B14</f>
        <v>0.34782608695652173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3"/>
  <sheetViews>
    <sheetView zoomScale="80" zoomScaleNormal="80" workbookViewId="0">
      <selection activeCell="B12" sqref="B12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152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350">
        <v>75004</v>
      </c>
      <c r="B4" s="351" t="s">
        <v>334</v>
      </c>
      <c r="C4" s="352" t="s">
        <v>335</v>
      </c>
      <c r="D4" s="353" t="s">
        <v>186</v>
      </c>
      <c r="E4" s="354" t="s">
        <v>48</v>
      </c>
      <c r="F4" s="286">
        <v>68</v>
      </c>
      <c r="G4" s="286" t="s">
        <v>48</v>
      </c>
      <c r="H4" s="70">
        <v>60</v>
      </c>
      <c r="I4" s="71">
        <v>528</v>
      </c>
      <c r="J4" s="343"/>
      <c r="K4" s="77"/>
      <c r="L4" s="77"/>
      <c r="M4" s="77"/>
      <c r="N4" s="77"/>
      <c r="O4" s="77"/>
      <c r="P4" s="344"/>
      <c r="Q4" s="371">
        <f t="shared" ref="Q4:Q19" si="0">SUM(E4:P4)</f>
        <v>656</v>
      </c>
      <c r="R4" s="374"/>
    </row>
    <row r="5" spans="1:19" s="4" customFormat="1" x14ac:dyDescent="0.25">
      <c r="A5" s="350">
        <v>75004</v>
      </c>
      <c r="B5" s="351" t="s">
        <v>908</v>
      </c>
      <c r="C5" s="352" t="s">
        <v>909</v>
      </c>
      <c r="D5" s="353" t="s">
        <v>186</v>
      </c>
      <c r="E5" s="354" t="s">
        <v>48</v>
      </c>
      <c r="F5" s="286" t="s">
        <v>48</v>
      </c>
      <c r="G5" s="286">
        <v>218</v>
      </c>
      <c r="H5" s="286" t="s">
        <v>48</v>
      </c>
      <c r="I5" s="356">
        <v>120</v>
      </c>
      <c r="J5" s="343"/>
      <c r="K5" s="77"/>
      <c r="L5" s="77"/>
      <c r="M5" s="77"/>
      <c r="N5" s="77"/>
      <c r="O5" s="77"/>
      <c r="P5" s="344"/>
      <c r="Q5" s="371">
        <f t="shared" si="0"/>
        <v>338</v>
      </c>
      <c r="R5" s="374"/>
    </row>
    <row r="6" spans="1:19" s="4" customFormat="1" x14ac:dyDescent="0.25">
      <c r="A6" s="350">
        <v>75004</v>
      </c>
      <c r="B6" s="351" t="s">
        <v>734</v>
      </c>
      <c r="C6" s="352" t="s">
        <v>735</v>
      </c>
      <c r="D6" s="353" t="s">
        <v>186</v>
      </c>
      <c r="E6" s="354" t="s">
        <v>48</v>
      </c>
      <c r="F6" s="286" t="s">
        <v>48</v>
      </c>
      <c r="G6" s="286" t="s">
        <v>48</v>
      </c>
      <c r="H6" s="286">
        <v>120</v>
      </c>
      <c r="I6" s="356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120</v>
      </c>
      <c r="R6" s="374"/>
    </row>
    <row r="7" spans="1:19" s="4" customFormat="1" x14ac:dyDescent="0.25">
      <c r="A7" s="350">
        <v>75004</v>
      </c>
      <c r="B7" s="351" t="s">
        <v>1137</v>
      </c>
      <c r="C7" s="352" t="s">
        <v>1138</v>
      </c>
      <c r="D7" s="353" t="s">
        <v>186</v>
      </c>
      <c r="E7" s="354" t="s">
        <v>48</v>
      </c>
      <c r="F7" s="286" t="s">
        <v>48</v>
      </c>
      <c r="G7" s="286" t="s">
        <v>48</v>
      </c>
      <c r="H7" s="286" t="s">
        <v>48</v>
      </c>
      <c r="I7" s="356">
        <v>248</v>
      </c>
      <c r="J7" s="343"/>
      <c r="K7" s="77"/>
      <c r="L7" s="77"/>
      <c r="M7" s="77"/>
      <c r="N7" s="77"/>
      <c r="O7" s="77"/>
      <c r="P7" s="344"/>
      <c r="Q7" s="371">
        <f t="shared" si="0"/>
        <v>248</v>
      </c>
      <c r="R7" s="374"/>
    </row>
    <row r="8" spans="1:19" s="4" customFormat="1" x14ac:dyDescent="0.25">
      <c r="A8" s="350">
        <v>75004</v>
      </c>
      <c r="B8" s="351" t="s">
        <v>910</v>
      </c>
      <c r="C8" s="352" t="s">
        <v>911</v>
      </c>
      <c r="D8" s="353" t="s">
        <v>187</v>
      </c>
      <c r="E8" s="354" t="s">
        <v>48</v>
      </c>
      <c r="F8" s="286" t="s">
        <v>48</v>
      </c>
      <c r="G8" s="286">
        <v>253</v>
      </c>
      <c r="H8" s="286" t="s">
        <v>48</v>
      </c>
      <c r="I8" s="356">
        <v>369</v>
      </c>
      <c r="J8" s="343"/>
      <c r="K8" s="77"/>
      <c r="L8" s="77"/>
      <c r="M8" s="77"/>
      <c r="N8" s="77"/>
      <c r="O8" s="77"/>
      <c r="P8" s="344"/>
      <c r="Q8" s="371">
        <f t="shared" si="0"/>
        <v>622</v>
      </c>
      <c r="R8" s="374"/>
    </row>
    <row r="9" spans="1:19" s="4" customFormat="1" x14ac:dyDescent="0.25">
      <c r="A9" s="350">
        <v>75004</v>
      </c>
      <c r="B9" s="358" t="s">
        <v>736</v>
      </c>
      <c r="C9" s="352" t="s">
        <v>737</v>
      </c>
      <c r="D9" s="353" t="s">
        <v>188</v>
      </c>
      <c r="E9" s="354" t="s">
        <v>48</v>
      </c>
      <c r="F9" s="286" t="s">
        <v>48</v>
      </c>
      <c r="G9" s="286" t="s">
        <v>48</v>
      </c>
      <c r="H9" s="359">
        <v>137</v>
      </c>
      <c r="I9" s="356" t="s">
        <v>48</v>
      </c>
      <c r="J9" s="343"/>
      <c r="K9" s="77"/>
      <c r="L9" s="77"/>
      <c r="M9" s="77"/>
      <c r="N9" s="77"/>
      <c r="O9" s="77"/>
      <c r="P9" s="344"/>
      <c r="Q9" s="371">
        <f t="shared" si="0"/>
        <v>137</v>
      </c>
      <c r="R9" s="393" t="s">
        <v>725</v>
      </c>
    </row>
    <row r="10" spans="1:19" s="4" customFormat="1" x14ac:dyDescent="0.25">
      <c r="A10" s="350">
        <v>75004</v>
      </c>
      <c r="B10" s="351" t="s">
        <v>738</v>
      </c>
      <c r="C10" s="352" t="s">
        <v>739</v>
      </c>
      <c r="D10" s="353" t="s">
        <v>186</v>
      </c>
      <c r="E10" s="354" t="s">
        <v>48</v>
      </c>
      <c r="F10" s="286" t="s">
        <v>48</v>
      </c>
      <c r="G10" s="286">
        <v>200</v>
      </c>
      <c r="H10" s="286">
        <v>44</v>
      </c>
      <c r="I10" s="356">
        <v>180</v>
      </c>
      <c r="J10" s="343"/>
      <c r="K10" s="77"/>
      <c r="L10" s="77"/>
      <c r="M10" s="77"/>
      <c r="N10" s="77"/>
      <c r="O10" s="77"/>
      <c r="P10" s="344"/>
      <c r="Q10" s="371">
        <f t="shared" si="0"/>
        <v>424</v>
      </c>
      <c r="R10" s="374"/>
    </row>
    <row r="11" spans="1:19" s="4" customFormat="1" x14ac:dyDescent="0.25">
      <c r="A11" s="350">
        <v>75004</v>
      </c>
      <c r="B11" s="351" t="s">
        <v>336</v>
      </c>
      <c r="C11" s="352" t="s">
        <v>337</v>
      </c>
      <c r="D11" s="353" t="s">
        <v>187</v>
      </c>
      <c r="E11" s="354" t="s">
        <v>48</v>
      </c>
      <c r="F11" s="286">
        <v>49</v>
      </c>
      <c r="G11" s="286">
        <v>118</v>
      </c>
      <c r="H11" s="286">
        <v>868</v>
      </c>
      <c r="I11" s="356">
        <v>248</v>
      </c>
      <c r="J11" s="343"/>
      <c r="K11" s="77"/>
      <c r="L11" s="77"/>
      <c r="M11" s="77"/>
      <c r="N11" s="77"/>
      <c r="O11" s="77"/>
      <c r="P11" s="344"/>
      <c r="Q11" s="371">
        <f t="shared" si="0"/>
        <v>1283</v>
      </c>
      <c r="R11" s="374"/>
    </row>
    <row r="12" spans="1:19" s="4" customFormat="1" x14ac:dyDescent="0.25">
      <c r="A12" s="350">
        <v>75004</v>
      </c>
      <c r="B12" s="351" t="s">
        <v>571</v>
      </c>
      <c r="C12" s="352" t="s">
        <v>572</v>
      </c>
      <c r="D12" s="353" t="s">
        <v>187</v>
      </c>
      <c r="E12" s="354">
        <v>99</v>
      </c>
      <c r="F12" s="286" t="s">
        <v>48</v>
      </c>
      <c r="G12" s="286" t="s">
        <v>48</v>
      </c>
      <c r="H12" s="286" t="s">
        <v>48</v>
      </c>
      <c r="I12" s="356" t="s">
        <v>48</v>
      </c>
      <c r="J12" s="343"/>
      <c r="K12" s="77"/>
      <c r="L12" s="77"/>
      <c r="M12" s="77"/>
      <c r="N12" s="77"/>
      <c r="O12" s="77"/>
      <c r="P12" s="344"/>
      <c r="Q12" s="371">
        <f t="shared" si="0"/>
        <v>99</v>
      </c>
      <c r="R12" s="374"/>
    </row>
    <row r="13" spans="1:19" s="4" customFormat="1" x14ac:dyDescent="0.25">
      <c r="A13" s="350">
        <v>75004</v>
      </c>
      <c r="B13" s="351" t="s">
        <v>199</v>
      </c>
      <c r="C13" s="352" t="s">
        <v>200</v>
      </c>
      <c r="D13" s="353" t="s">
        <v>187</v>
      </c>
      <c r="E13" s="354">
        <v>58</v>
      </c>
      <c r="F13" s="286" t="s">
        <v>48</v>
      </c>
      <c r="G13" s="286">
        <v>90</v>
      </c>
      <c r="H13" s="286">
        <v>40</v>
      </c>
      <c r="I13" s="356">
        <v>440</v>
      </c>
      <c r="J13" s="343"/>
      <c r="K13" s="77"/>
      <c r="L13" s="77"/>
      <c r="M13" s="77"/>
      <c r="N13" s="77"/>
      <c r="O13" s="77"/>
      <c r="P13" s="344"/>
      <c r="Q13" s="371">
        <f t="shared" si="0"/>
        <v>628</v>
      </c>
      <c r="R13" s="374"/>
    </row>
    <row r="14" spans="1:19" s="4" customFormat="1" x14ac:dyDescent="0.25">
      <c r="A14" s="350">
        <v>75004</v>
      </c>
      <c r="B14" s="351" t="s">
        <v>1099</v>
      </c>
      <c r="C14" s="352" t="s">
        <v>1100</v>
      </c>
      <c r="D14" s="353" t="s">
        <v>186</v>
      </c>
      <c r="E14" s="354" t="s">
        <v>48</v>
      </c>
      <c r="F14" s="286" t="s">
        <v>48</v>
      </c>
      <c r="G14" s="286" t="s">
        <v>48</v>
      </c>
      <c r="H14" s="286">
        <v>68</v>
      </c>
      <c r="I14" s="356" t="s">
        <v>48</v>
      </c>
      <c r="J14" s="343"/>
      <c r="K14" s="77"/>
      <c r="L14" s="77"/>
      <c r="M14" s="77"/>
      <c r="N14" s="77"/>
      <c r="O14" s="77"/>
      <c r="P14" s="344"/>
      <c r="Q14" s="371">
        <f t="shared" si="0"/>
        <v>68</v>
      </c>
      <c r="R14" s="374"/>
    </row>
    <row r="15" spans="1:19" s="4" customFormat="1" x14ac:dyDescent="0.25">
      <c r="A15" s="350">
        <v>75004</v>
      </c>
      <c r="B15" s="351" t="s">
        <v>740</v>
      </c>
      <c r="C15" s="352" t="s">
        <v>741</v>
      </c>
      <c r="D15" s="353" t="s">
        <v>188</v>
      </c>
      <c r="E15" s="354" t="s">
        <v>48</v>
      </c>
      <c r="F15" s="286" t="s">
        <v>48</v>
      </c>
      <c r="G15" s="286">
        <v>698</v>
      </c>
      <c r="H15" s="286">
        <v>313</v>
      </c>
      <c r="I15" s="356">
        <v>100</v>
      </c>
      <c r="J15" s="343"/>
      <c r="K15" s="77"/>
      <c r="L15" s="77"/>
      <c r="M15" s="77"/>
      <c r="N15" s="77"/>
      <c r="O15" s="77"/>
      <c r="P15" s="344"/>
      <c r="Q15" s="371">
        <f t="shared" si="0"/>
        <v>1111</v>
      </c>
      <c r="R15" s="374"/>
    </row>
    <row r="16" spans="1:19" s="4" customFormat="1" x14ac:dyDescent="0.25">
      <c r="A16" s="350">
        <v>75004</v>
      </c>
      <c r="B16" s="351" t="s">
        <v>742</v>
      </c>
      <c r="C16" s="352" t="s">
        <v>743</v>
      </c>
      <c r="D16" s="353" t="s">
        <v>187</v>
      </c>
      <c r="E16" s="354" t="s">
        <v>48</v>
      </c>
      <c r="F16" s="286" t="s">
        <v>48</v>
      </c>
      <c r="G16" s="286" t="s">
        <v>48</v>
      </c>
      <c r="H16" s="356">
        <v>125</v>
      </c>
      <c r="I16" s="356">
        <v>120</v>
      </c>
      <c r="J16" s="343"/>
      <c r="K16" s="77"/>
      <c r="L16" s="77"/>
      <c r="M16" s="77"/>
      <c r="N16" s="77"/>
      <c r="O16" s="77"/>
      <c r="P16" s="344"/>
      <c r="Q16" s="371">
        <f t="shared" si="0"/>
        <v>245</v>
      </c>
      <c r="R16" s="374"/>
    </row>
    <row r="17" spans="1:19" s="4" customFormat="1" x14ac:dyDescent="0.25">
      <c r="A17" s="350">
        <v>75004</v>
      </c>
      <c r="B17" s="351" t="s">
        <v>744</v>
      </c>
      <c r="C17" s="352" t="s">
        <v>745</v>
      </c>
      <c r="D17" s="353" t="s">
        <v>188</v>
      </c>
      <c r="E17" s="354" t="s">
        <v>48</v>
      </c>
      <c r="F17" s="286" t="s">
        <v>48</v>
      </c>
      <c r="G17" s="286" t="s">
        <v>48</v>
      </c>
      <c r="H17" s="70">
        <v>552</v>
      </c>
      <c r="I17" s="356">
        <v>237</v>
      </c>
      <c r="J17" s="343"/>
      <c r="K17" s="77"/>
      <c r="L17" s="77"/>
      <c r="M17" s="77"/>
      <c r="N17" s="77"/>
      <c r="O17" s="77"/>
      <c r="P17" s="344"/>
      <c r="Q17" s="371">
        <f t="shared" si="0"/>
        <v>789</v>
      </c>
      <c r="R17" s="374"/>
    </row>
    <row r="18" spans="1:19" s="4" customFormat="1" x14ac:dyDescent="0.25">
      <c r="A18" s="350">
        <v>75004</v>
      </c>
      <c r="B18" s="351" t="s">
        <v>746</v>
      </c>
      <c r="C18" s="352" t="s">
        <v>747</v>
      </c>
      <c r="D18" s="357" t="s">
        <v>187</v>
      </c>
      <c r="E18" s="354" t="s">
        <v>48</v>
      </c>
      <c r="F18" s="286" t="s">
        <v>48</v>
      </c>
      <c r="G18" s="286">
        <v>60</v>
      </c>
      <c r="H18" s="286">
        <v>84</v>
      </c>
      <c r="I18" s="356">
        <v>817</v>
      </c>
      <c r="J18" s="343"/>
      <c r="K18" s="77"/>
      <c r="L18" s="77"/>
      <c r="M18" s="77"/>
      <c r="N18" s="77"/>
      <c r="O18" s="77"/>
      <c r="P18" s="344"/>
      <c r="Q18" s="371">
        <f t="shared" si="0"/>
        <v>961</v>
      </c>
      <c r="R18" s="374"/>
    </row>
    <row r="19" spans="1:19" s="4" customFormat="1" ht="15.75" thickBot="1" x14ac:dyDescent="0.3">
      <c r="A19" s="350">
        <v>75004</v>
      </c>
      <c r="B19" s="351" t="s">
        <v>912</v>
      </c>
      <c r="C19" s="352" t="s">
        <v>913</v>
      </c>
      <c r="D19" s="353" t="s">
        <v>186</v>
      </c>
      <c r="E19" s="354" t="s">
        <v>48</v>
      </c>
      <c r="F19" s="286" t="s">
        <v>48</v>
      </c>
      <c r="G19" s="286">
        <v>34</v>
      </c>
      <c r="H19" s="286" t="s">
        <v>48</v>
      </c>
      <c r="I19" s="356">
        <v>154</v>
      </c>
      <c r="J19" s="343"/>
      <c r="K19" s="77"/>
      <c r="L19" s="77"/>
      <c r="M19" s="77"/>
      <c r="N19" s="77"/>
      <c r="O19" s="77"/>
      <c r="P19" s="344"/>
      <c r="Q19" s="371">
        <f t="shared" si="0"/>
        <v>188</v>
      </c>
      <c r="R19" s="374"/>
    </row>
    <row r="20" spans="1:19" s="4" customFormat="1" ht="15.75" thickBot="1" x14ac:dyDescent="0.3">
      <c r="A20" s="382" t="s">
        <v>10</v>
      </c>
      <c r="B20" s="383">
        <f>SUBTOTAL(103,Ventes4ème[Hotel])</f>
        <v>16</v>
      </c>
      <c r="C20" s="384"/>
      <c r="D20" s="382"/>
      <c r="E20" s="385">
        <f>SUBTOTAL(109,Ventes4ème[Janv])</f>
        <v>157</v>
      </c>
      <c r="F20" s="386">
        <f>SUBTOTAL(109,Ventes4ème[Fév])</f>
        <v>117</v>
      </c>
      <c r="G20" s="387">
        <f>SUBTOTAL(109,Ventes4ème[mars])</f>
        <v>1671</v>
      </c>
      <c r="H20" s="334">
        <f>SUBTOTAL(109,Ventes4ème[Avril])</f>
        <v>2411</v>
      </c>
      <c r="I20" s="334">
        <f>SUBTOTAL(109,Ventes4ème[Mai])</f>
        <v>3561</v>
      </c>
      <c r="J20" s="334">
        <f>SUBTOTAL(109,Ventes4ème[Juin])</f>
        <v>0</v>
      </c>
      <c r="K20" s="334">
        <f>SUBTOTAL(109,Ventes4ème[Juillet])</f>
        <v>0</v>
      </c>
      <c r="L20" s="336">
        <f>SUBTOTAL(109,Ventes4ème[Août])</f>
        <v>0</v>
      </c>
      <c r="M20" s="336">
        <f>SUBTOTAL(109,Ventes4ème[Sept.])</f>
        <v>0</v>
      </c>
      <c r="N20" s="336">
        <f>SUBTOTAL(109,Ventes4ème[Oct])</f>
        <v>0</v>
      </c>
      <c r="O20" s="336">
        <f>SUBTOTAL(109,Ventes4ème[Nov.])</f>
        <v>0</v>
      </c>
      <c r="P20" s="337">
        <f>SUBTOTAL(109,Ventes4ème[déc])</f>
        <v>0</v>
      </c>
      <c r="Q20" s="388">
        <f>SUBTOTAL(109,Ventes4ème[TOTAL])</f>
        <v>7917</v>
      </c>
      <c r="R20" s="378"/>
      <c r="S20" s="80"/>
    </row>
    <row r="21" spans="1:19" s="4" customFormat="1" ht="15.75" thickBot="1" x14ac:dyDescent="0.3">
      <c r="A21" s="62"/>
      <c r="B21" s="62"/>
      <c r="C21" s="62"/>
      <c r="D21" s="62"/>
      <c r="E21" s="62"/>
      <c r="F21" s="62"/>
      <c r="G21" s="62"/>
      <c r="H21" s="62"/>
      <c r="I21" s="64"/>
      <c r="J21" s="62"/>
      <c r="K21" s="64"/>
      <c r="L21" s="335"/>
      <c r="M21" s="335"/>
      <c r="N21" s="335"/>
      <c r="O21" s="335"/>
      <c r="P21" s="335"/>
      <c r="Q21" s="64"/>
      <c r="R21" s="62"/>
      <c r="S21" s="80"/>
    </row>
    <row r="22" spans="1:19" ht="30" x14ac:dyDescent="0.25">
      <c r="A22" s="389" t="s">
        <v>36</v>
      </c>
      <c r="B22" s="338">
        <v>32</v>
      </c>
      <c r="C22" s="62"/>
      <c r="D22" s="62"/>
      <c r="E22" s="62"/>
      <c r="F22" s="62"/>
      <c r="G22" s="62"/>
      <c r="H22" s="62"/>
      <c r="I22" s="62"/>
      <c r="J22" s="390"/>
      <c r="K22" s="64"/>
      <c r="L22" s="335"/>
      <c r="M22" s="335"/>
      <c r="N22" s="335"/>
      <c r="O22" s="335"/>
      <c r="P22" s="335"/>
      <c r="Q22" s="64"/>
      <c r="R22" s="62"/>
    </row>
    <row r="23" spans="1:19" ht="30.75" thickBot="1" x14ac:dyDescent="0.3">
      <c r="A23" s="391" t="s">
        <v>1330</v>
      </c>
      <c r="B23" s="339">
        <f>Ventes4ème[[#Totals],[Hotel]]/B22</f>
        <v>0.5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8"/>
  <sheetViews>
    <sheetView zoomScale="80" zoomScaleNormal="80" workbookViewId="0">
      <selection activeCell="B26" sqref="B26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153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363">
        <v>75005</v>
      </c>
      <c r="B4" s="364" t="s">
        <v>201</v>
      </c>
      <c r="C4" s="365" t="s">
        <v>202</v>
      </c>
      <c r="D4" s="366" t="s">
        <v>186</v>
      </c>
      <c r="E4" s="367">
        <v>28</v>
      </c>
      <c r="F4" s="368" t="s">
        <v>48</v>
      </c>
      <c r="G4" s="368" t="s">
        <v>48</v>
      </c>
      <c r="H4" s="368" t="s">
        <v>48</v>
      </c>
      <c r="I4" s="368" t="s">
        <v>48</v>
      </c>
      <c r="J4" s="343"/>
      <c r="K4" s="77"/>
      <c r="L4" s="77"/>
      <c r="M4" s="77"/>
      <c r="N4" s="77"/>
      <c r="O4" s="77"/>
      <c r="P4" s="344"/>
      <c r="Q4" s="371">
        <f t="shared" ref="Q4:Q44" si="0">SUM(E4:P4)</f>
        <v>28</v>
      </c>
      <c r="R4" s="374"/>
    </row>
    <row r="5" spans="1:19" s="4" customFormat="1" x14ac:dyDescent="0.25">
      <c r="A5" s="363">
        <v>75005</v>
      </c>
      <c r="B5" s="364" t="s">
        <v>1139</v>
      </c>
      <c r="C5" s="365" t="s">
        <v>1140</v>
      </c>
      <c r="D5" s="366" t="s">
        <v>187</v>
      </c>
      <c r="E5" s="367" t="s">
        <v>48</v>
      </c>
      <c r="F5" s="368" t="s">
        <v>48</v>
      </c>
      <c r="G5" s="368" t="s">
        <v>48</v>
      </c>
      <c r="H5" s="368" t="s">
        <v>48</v>
      </c>
      <c r="I5" s="368">
        <v>200</v>
      </c>
      <c r="J5" s="343"/>
      <c r="K5" s="77"/>
      <c r="L5" s="77"/>
      <c r="M5" s="77"/>
      <c r="N5" s="77"/>
      <c r="O5" s="77"/>
      <c r="P5" s="344"/>
      <c r="Q5" s="371">
        <f t="shared" si="0"/>
        <v>200</v>
      </c>
      <c r="R5" s="374"/>
    </row>
    <row r="6" spans="1:19" s="4" customFormat="1" x14ac:dyDescent="0.25">
      <c r="A6" s="363">
        <v>75005</v>
      </c>
      <c r="B6" s="364" t="s">
        <v>1141</v>
      </c>
      <c r="C6" s="365" t="s">
        <v>1142</v>
      </c>
      <c r="D6" s="366" t="s">
        <v>188</v>
      </c>
      <c r="E6" s="367" t="s">
        <v>48</v>
      </c>
      <c r="F6" s="368" t="s">
        <v>48</v>
      </c>
      <c r="G6" s="368" t="s">
        <v>48</v>
      </c>
      <c r="H6" s="368" t="s">
        <v>48</v>
      </c>
      <c r="I6" s="368">
        <v>102</v>
      </c>
      <c r="J6" s="343"/>
      <c r="K6" s="77"/>
      <c r="L6" s="77"/>
      <c r="M6" s="77"/>
      <c r="N6" s="77"/>
      <c r="O6" s="77"/>
      <c r="P6" s="344"/>
      <c r="Q6" s="371">
        <f t="shared" si="0"/>
        <v>102</v>
      </c>
      <c r="R6" s="374"/>
    </row>
    <row r="7" spans="1:19" s="4" customFormat="1" x14ac:dyDescent="0.25">
      <c r="A7" s="363">
        <v>75005</v>
      </c>
      <c r="B7" s="364" t="s">
        <v>203</v>
      </c>
      <c r="C7" s="365" t="s">
        <v>204</v>
      </c>
      <c r="D7" s="366" t="s">
        <v>187</v>
      </c>
      <c r="E7" s="367">
        <v>308</v>
      </c>
      <c r="F7" s="368">
        <v>100</v>
      </c>
      <c r="G7" s="368" t="s">
        <v>48</v>
      </c>
      <c r="H7" s="71">
        <v>360</v>
      </c>
      <c r="I7" s="368">
        <v>1792</v>
      </c>
      <c r="J7" s="343"/>
      <c r="K7" s="77"/>
      <c r="L7" s="77"/>
      <c r="M7" s="77"/>
      <c r="N7" s="77"/>
      <c r="O7" s="77"/>
      <c r="P7" s="344"/>
      <c r="Q7" s="371">
        <f t="shared" si="0"/>
        <v>2560</v>
      </c>
      <c r="R7" s="374"/>
    </row>
    <row r="8" spans="1:19" s="4" customFormat="1" x14ac:dyDescent="0.25">
      <c r="A8" s="363">
        <v>75005</v>
      </c>
      <c r="B8" s="364" t="s">
        <v>748</v>
      </c>
      <c r="C8" s="365" t="s">
        <v>749</v>
      </c>
      <c r="D8" s="366" t="s">
        <v>187</v>
      </c>
      <c r="E8" s="367" t="s">
        <v>48</v>
      </c>
      <c r="F8" s="368" t="s">
        <v>48</v>
      </c>
      <c r="G8" s="368">
        <v>40</v>
      </c>
      <c r="H8" s="71">
        <v>1725</v>
      </c>
      <c r="I8" s="368">
        <v>393</v>
      </c>
      <c r="J8" s="343"/>
      <c r="K8" s="77"/>
      <c r="L8" s="77"/>
      <c r="M8" s="77"/>
      <c r="N8" s="77"/>
      <c r="O8" s="77"/>
      <c r="P8" s="344"/>
      <c r="Q8" s="371">
        <f t="shared" si="0"/>
        <v>2158</v>
      </c>
      <c r="R8" s="374"/>
    </row>
    <row r="9" spans="1:19" s="4" customFormat="1" x14ac:dyDescent="0.25">
      <c r="A9" s="363">
        <v>75005</v>
      </c>
      <c r="B9" s="364" t="s">
        <v>914</v>
      </c>
      <c r="C9" s="365" t="s">
        <v>915</v>
      </c>
      <c r="D9" s="366" t="s">
        <v>186</v>
      </c>
      <c r="E9" s="367" t="s">
        <v>48</v>
      </c>
      <c r="F9" s="368" t="s">
        <v>48</v>
      </c>
      <c r="G9" s="368">
        <v>51</v>
      </c>
      <c r="H9" s="71" t="s">
        <v>48</v>
      </c>
      <c r="I9" s="368">
        <v>218</v>
      </c>
      <c r="J9" s="343"/>
      <c r="K9" s="77"/>
      <c r="L9" s="77"/>
      <c r="M9" s="77"/>
      <c r="N9" s="77"/>
      <c r="O9" s="77"/>
      <c r="P9" s="344"/>
      <c r="Q9" s="371">
        <f t="shared" si="0"/>
        <v>269</v>
      </c>
      <c r="R9" s="374"/>
    </row>
    <row r="10" spans="1:19" s="4" customFormat="1" x14ac:dyDescent="0.25">
      <c r="A10" s="363">
        <v>75005</v>
      </c>
      <c r="B10" s="364" t="s">
        <v>916</v>
      </c>
      <c r="C10" s="365" t="s">
        <v>917</v>
      </c>
      <c r="D10" s="366" t="s">
        <v>188</v>
      </c>
      <c r="E10" s="367" t="s">
        <v>48</v>
      </c>
      <c r="F10" s="368" t="s">
        <v>48</v>
      </c>
      <c r="G10" s="368">
        <v>258</v>
      </c>
      <c r="H10" s="71" t="s">
        <v>48</v>
      </c>
      <c r="I10" s="368">
        <v>890</v>
      </c>
      <c r="J10" s="343"/>
      <c r="K10" s="77"/>
      <c r="L10" s="77"/>
      <c r="M10" s="77"/>
      <c r="N10" s="77"/>
      <c r="O10" s="77"/>
      <c r="P10" s="344"/>
      <c r="Q10" s="371">
        <f t="shared" si="0"/>
        <v>1148</v>
      </c>
      <c r="R10" s="374"/>
    </row>
    <row r="11" spans="1:19" s="4" customFormat="1" x14ac:dyDescent="0.25">
      <c r="A11" s="363">
        <v>75005</v>
      </c>
      <c r="B11" s="364" t="s">
        <v>205</v>
      </c>
      <c r="C11" s="365" t="s">
        <v>206</v>
      </c>
      <c r="D11" s="366" t="s">
        <v>187</v>
      </c>
      <c r="E11" s="367">
        <v>68</v>
      </c>
      <c r="F11" s="368">
        <v>429</v>
      </c>
      <c r="G11" s="368" t="s">
        <v>48</v>
      </c>
      <c r="H11" s="71" t="s">
        <v>48</v>
      </c>
      <c r="I11" s="368" t="s">
        <v>48</v>
      </c>
      <c r="J11" s="343"/>
      <c r="K11" s="77"/>
      <c r="L11" s="77"/>
      <c r="M11" s="77"/>
      <c r="N11" s="77"/>
      <c r="O11" s="77"/>
      <c r="P11" s="344"/>
      <c r="Q11" s="371">
        <f t="shared" ref="Q11:Q26" si="1">SUM(E11:P11)</f>
        <v>497</v>
      </c>
      <c r="R11" s="374"/>
    </row>
    <row r="12" spans="1:19" s="4" customFormat="1" x14ac:dyDescent="0.25">
      <c r="A12" s="363">
        <v>75005</v>
      </c>
      <c r="B12" s="364" t="s">
        <v>207</v>
      </c>
      <c r="C12" s="365" t="s">
        <v>208</v>
      </c>
      <c r="D12" s="366" t="s">
        <v>186</v>
      </c>
      <c r="E12" s="367">
        <v>300</v>
      </c>
      <c r="F12" s="368" t="s">
        <v>48</v>
      </c>
      <c r="G12" s="368" t="s">
        <v>48</v>
      </c>
      <c r="H12" s="71" t="s">
        <v>48</v>
      </c>
      <c r="I12" s="368" t="s">
        <v>48</v>
      </c>
      <c r="J12" s="343"/>
      <c r="K12" s="77"/>
      <c r="L12" s="77"/>
      <c r="M12" s="77"/>
      <c r="N12" s="77"/>
      <c r="O12" s="77"/>
      <c r="P12" s="344"/>
      <c r="Q12" s="371">
        <f t="shared" si="1"/>
        <v>300</v>
      </c>
      <c r="R12" s="374"/>
    </row>
    <row r="13" spans="1:19" s="4" customFormat="1" x14ac:dyDescent="0.25">
      <c r="A13" s="363">
        <v>75005</v>
      </c>
      <c r="B13" s="364" t="s">
        <v>1143</v>
      </c>
      <c r="C13" s="365" t="s">
        <v>1144</v>
      </c>
      <c r="D13" s="366" t="s">
        <v>186</v>
      </c>
      <c r="E13" s="367" t="s">
        <v>48</v>
      </c>
      <c r="F13" s="368" t="s">
        <v>48</v>
      </c>
      <c r="G13" s="368" t="s">
        <v>48</v>
      </c>
      <c r="H13" s="71" t="s">
        <v>48</v>
      </c>
      <c r="I13" s="368">
        <v>200</v>
      </c>
      <c r="J13" s="343"/>
      <c r="K13" s="77"/>
      <c r="L13" s="77"/>
      <c r="M13" s="77"/>
      <c r="N13" s="77"/>
      <c r="O13" s="77"/>
      <c r="P13" s="344"/>
      <c r="Q13" s="371">
        <f t="shared" si="1"/>
        <v>200</v>
      </c>
      <c r="R13" s="374"/>
    </row>
    <row r="14" spans="1:19" s="4" customFormat="1" x14ac:dyDescent="0.25">
      <c r="A14" s="363">
        <v>75005</v>
      </c>
      <c r="B14" s="364" t="s">
        <v>1101</v>
      </c>
      <c r="C14" s="365" t="s">
        <v>1102</v>
      </c>
      <c r="D14" s="366" t="s">
        <v>187</v>
      </c>
      <c r="E14" s="367" t="s">
        <v>48</v>
      </c>
      <c r="F14" s="368" t="s">
        <v>48</v>
      </c>
      <c r="G14" s="368" t="s">
        <v>48</v>
      </c>
      <c r="H14" s="71">
        <v>40</v>
      </c>
      <c r="I14" s="368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40</v>
      </c>
      <c r="R14" s="374"/>
    </row>
    <row r="15" spans="1:19" s="4" customFormat="1" x14ac:dyDescent="0.25">
      <c r="A15" s="363">
        <v>75005</v>
      </c>
      <c r="B15" s="364" t="s">
        <v>750</v>
      </c>
      <c r="C15" s="365" t="s">
        <v>751</v>
      </c>
      <c r="D15" s="366" t="s">
        <v>187</v>
      </c>
      <c r="E15" s="367" t="s">
        <v>48</v>
      </c>
      <c r="F15" s="368" t="s">
        <v>48</v>
      </c>
      <c r="G15" s="368" t="s">
        <v>48</v>
      </c>
      <c r="H15" s="71">
        <v>102</v>
      </c>
      <c r="I15" s="368" t="s">
        <v>48</v>
      </c>
      <c r="J15" s="343"/>
      <c r="K15" s="77"/>
      <c r="L15" s="77"/>
      <c r="M15" s="77"/>
      <c r="N15" s="77"/>
      <c r="O15" s="77"/>
      <c r="P15" s="344"/>
      <c r="Q15" s="371">
        <f t="shared" si="1"/>
        <v>102</v>
      </c>
      <c r="R15" s="374"/>
    </row>
    <row r="16" spans="1:19" s="4" customFormat="1" x14ac:dyDescent="0.25">
      <c r="A16" s="363">
        <v>75005</v>
      </c>
      <c r="B16" s="364" t="s">
        <v>1145</v>
      </c>
      <c r="C16" s="365" t="s">
        <v>1146</v>
      </c>
      <c r="D16" s="366" t="s">
        <v>187</v>
      </c>
      <c r="E16" s="367" t="s">
        <v>48</v>
      </c>
      <c r="F16" s="368" t="s">
        <v>48</v>
      </c>
      <c r="G16" s="368" t="s">
        <v>48</v>
      </c>
      <c r="H16" s="368" t="s">
        <v>48</v>
      </c>
      <c r="I16" s="368">
        <v>79</v>
      </c>
      <c r="J16" s="343"/>
      <c r="K16" s="77"/>
      <c r="L16" s="77"/>
      <c r="M16" s="77"/>
      <c r="N16" s="77"/>
      <c r="O16" s="77"/>
      <c r="P16" s="344"/>
      <c r="Q16" s="371">
        <f t="shared" si="1"/>
        <v>79</v>
      </c>
      <c r="R16" s="374"/>
    </row>
    <row r="17" spans="1:18" s="4" customFormat="1" x14ac:dyDescent="0.25">
      <c r="A17" s="363">
        <v>75005</v>
      </c>
      <c r="B17" s="369" t="s">
        <v>209</v>
      </c>
      <c r="C17" s="365" t="s">
        <v>210</v>
      </c>
      <c r="D17" s="366" t="s">
        <v>188</v>
      </c>
      <c r="E17" s="370">
        <v>218</v>
      </c>
      <c r="F17" s="368">
        <v>195</v>
      </c>
      <c r="G17" s="368" t="s">
        <v>48</v>
      </c>
      <c r="H17" s="71"/>
      <c r="I17" s="368" t="s">
        <v>48</v>
      </c>
      <c r="J17" s="343"/>
      <c r="K17" s="77"/>
      <c r="L17" s="77"/>
      <c r="M17" s="77"/>
      <c r="N17" s="77"/>
      <c r="O17" s="77"/>
      <c r="P17" s="344"/>
      <c r="Q17" s="371">
        <f t="shared" si="1"/>
        <v>413</v>
      </c>
      <c r="R17" s="393" t="s">
        <v>225</v>
      </c>
    </row>
    <row r="18" spans="1:18" s="4" customFormat="1" x14ac:dyDescent="0.25">
      <c r="A18" s="363">
        <v>75005</v>
      </c>
      <c r="B18" s="364" t="s">
        <v>752</v>
      </c>
      <c r="C18" s="365" t="s">
        <v>753</v>
      </c>
      <c r="D18" s="366" t="s">
        <v>187</v>
      </c>
      <c r="E18" s="367" t="s">
        <v>48</v>
      </c>
      <c r="F18" s="368" t="s">
        <v>48</v>
      </c>
      <c r="G18" s="368" t="s">
        <v>48</v>
      </c>
      <c r="H18" s="71">
        <v>30</v>
      </c>
      <c r="I18" s="368" t="s">
        <v>48</v>
      </c>
      <c r="J18" s="343"/>
      <c r="K18" s="77"/>
      <c r="L18" s="77"/>
      <c r="M18" s="77"/>
      <c r="N18" s="77"/>
      <c r="O18" s="77"/>
      <c r="P18" s="344"/>
      <c r="Q18" s="371">
        <f t="shared" si="1"/>
        <v>30</v>
      </c>
      <c r="R18" s="374"/>
    </row>
    <row r="19" spans="1:18" s="4" customFormat="1" x14ac:dyDescent="0.25">
      <c r="A19" s="363">
        <v>75005</v>
      </c>
      <c r="B19" s="364" t="s">
        <v>211</v>
      </c>
      <c r="C19" s="365" t="s">
        <v>212</v>
      </c>
      <c r="D19" s="366" t="s">
        <v>187</v>
      </c>
      <c r="E19" s="367">
        <v>216</v>
      </c>
      <c r="F19" s="368" t="s">
        <v>48</v>
      </c>
      <c r="G19" s="368">
        <v>403</v>
      </c>
      <c r="H19" s="71">
        <v>395</v>
      </c>
      <c r="I19" s="368">
        <v>1000</v>
      </c>
      <c r="J19" s="343"/>
      <c r="K19" s="77"/>
      <c r="L19" s="77"/>
      <c r="M19" s="77"/>
      <c r="N19" s="77"/>
      <c r="O19" s="77"/>
      <c r="P19" s="344"/>
      <c r="Q19" s="371">
        <f t="shared" si="1"/>
        <v>2014</v>
      </c>
      <c r="R19" s="374"/>
    </row>
    <row r="20" spans="1:18" s="4" customFormat="1" x14ac:dyDescent="0.25">
      <c r="A20" s="363">
        <v>75005</v>
      </c>
      <c r="B20" s="364" t="s">
        <v>338</v>
      </c>
      <c r="C20" s="365" t="s">
        <v>339</v>
      </c>
      <c r="D20" s="366" t="s">
        <v>320</v>
      </c>
      <c r="E20" s="367" t="s">
        <v>48</v>
      </c>
      <c r="F20" s="368">
        <v>66</v>
      </c>
      <c r="G20" s="368" t="s">
        <v>48</v>
      </c>
      <c r="H20" s="71" t="s">
        <v>48</v>
      </c>
      <c r="I20" s="368" t="s">
        <v>48</v>
      </c>
      <c r="J20" s="343"/>
      <c r="K20" s="77"/>
      <c r="L20" s="77"/>
      <c r="M20" s="77"/>
      <c r="N20" s="77"/>
      <c r="O20" s="77"/>
      <c r="P20" s="344"/>
      <c r="Q20" s="371">
        <f t="shared" si="1"/>
        <v>66</v>
      </c>
      <c r="R20" s="374"/>
    </row>
    <row r="21" spans="1:18" s="4" customFormat="1" x14ac:dyDescent="0.25">
      <c r="A21" s="363">
        <v>75005</v>
      </c>
      <c r="B21" s="364" t="s">
        <v>340</v>
      </c>
      <c r="C21" s="365" t="s">
        <v>341</v>
      </c>
      <c r="D21" s="366" t="s">
        <v>187</v>
      </c>
      <c r="E21" s="367" t="s">
        <v>48</v>
      </c>
      <c r="F21" s="368">
        <v>240</v>
      </c>
      <c r="G21" s="368" t="s">
        <v>48</v>
      </c>
      <c r="H21" s="71">
        <v>440</v>
      </c>
      <c r="I21" s="368">
        <v>295</v>
      </c>
      <c r="J21" s="343"/>
      <c r="K21" s="77"/>
      <c r="L21" s="77"/>
      <c r="M21" s="77"/>
      <c r="N21" s="77"/>
      <c r="O21" s="77"/>
      <c r="P21" s="344"/>
      <c r="Q21" s="371">
        <f t="shared" si="1"/>
        <v>975</v>
      </c>
      <c r="R21" s="374"/>
    </row>
    <row r="22" spans="1:18" s="4" customFormat="1" x14ac:dyDescent="0.25">
      <c r="A22" s="363">
        <v>75005</v>
      </c>
      <c r="B22" s="364" t="s">
        <v>342</v>
      </c>
      <c r="C22" s="365" t="s">
        <v>343</v>
      </c>
      <c r="D22" s="366" t="s">
        <v>186</v>
      </c>
      <c r="E22" s="367" t="s">
        <v>48</v>
      </c>
      <c r="F22" s="368">
        <v>40</v>
      </c>
      <c r="G22" s="368" t="s">
        <v>48</v>
      </c>
      <c r="H22" s="71" t="s">
        <v>48</v>
      </c>
      <c r="I22" s="368">
        <v>278</v>
      </c>
      <c r="J22" s="343"/>
      <c r="K22" s="77"/>
      <c r="L22" s="77"/>
      <c r="M22" s="77"/>
      <c r="N22" s="77"/>
      <c r="O22" s="77"/>
      <c r="P22" s="344"/>
      <c r="Q22" s="371">
        <f t="shared" si="1"/>
        <v>318</v>
      </c>
      <c r="R22" s="374"/>
    </row>
    <row r="23" spans="1:18" s="4" customFormat="1" x14ac:dyDescent="0.25">
      <c r="A23" s="363">
        <v>75005</v>
      </c>
      <c r="B23" s="364" t="s">
        <v>344</v>
      </c>
      <c r="C23" s="365" t="s">
        <v>345</v>
      </c>
      <c r="D23" s="366" t="s">
        <v>187</v>
      </c>
      <c r="E23" s="367">
        <v>170</v>
      </c>
      <c r="F23" s="368">
        <v>134</v>
      </c>
      <c r="G23" s="368">
        <v>100</v>
      </c>
      <c r="H23" s="71">
        <v>34</v>
      </c>
      <c r="I23" s="368">
        <v>1090</v>
      </c>
      <c r="J23" s="343"/>
      <c r="K23" s="77"/>
      <c r="L23" s="77"/>
      <c r="M23" s="77"/>
      <c r="N23" s="77"/>
      <c r="O23" s="77"/>
      <c r="P23" s="344"/>
      <c r="Q23" s="371">
        <f t="shared" si="1"/>
        <v>1528</v>
      </c>
      <c r="R23" s="374"/>
    </row>
    <row r="24" spans="1:18" s="4" customFormat="1" x14ac:dyDescent="0.25">
      <c r="A24" s="363">
        <v>75005</v>
      </c>
      <c r="B24" s="364" t="s">
        <v>213</v>
      </c>
      <c r="C24" s="365" t="s">
        <v>214</v>
      </c>
      <c r="D24" s="366" t="s">
        <v>187</v>
      </c>
      <c r="E24" s="367">
        <v>1089</v>
      </c>
      <c r="F24" s="368" t="s">
        <v>48</v>
      </c>
      <c r="G24" s="368">
        <v>80</v>
      </c>
      <c r="H24" s="71">
        <v>553</v>
      </c>
      <c r="I24" s="368">
        <v>984</v>
      </c>
      <c r="J24" s="343"/>
      <c r="K24" s="77"/>
      <c r="L24" s="77"/>
      <c r="M24" s="77"/>
      <c r="N24" s="77"/>
      <c r="O24" s="77"/>
      <c r="P24" s="344"/>
      <c r="Q24" s="371">
        <f t="shared" si="1"/>
        <v>2706</v>
      </c>
      <c r="R24" s="374"/>
    </row>
    <row r="25" spans="1:18" s="4" customFormat="1" x14ac:dyDescent="0.25">
      <c r="A25" s="363">
        <v>75005</v>
      </c>
      <c r="B25" s="364" t="s">
        <v>754</v>
      </c>
      <c r="C25" s="365" t="s">
        <v>755</v>
      </c>
      <c r="D25" s="366" t="s">
        <v>186</v>
      </c>
      <c r="E25" s="367" t="s">
        <v>48</v>
      </c>
      <c r="F25" s="368" t="s">
        <v>48</v>
      </c>
      <c r="G25" s="368" t="s">
        <v>48</v>
      </c>
      <c r="H25" s="71">
        <v>922</v>
      </c>
      <c r="I25" s="368">
        <v>206</v>
      </c>
      <c r="J25" s="343"/>
      <c r="K25" s="77"/>
      <c r="L25" s="77"/>
      <c r="M25" s="77"/>
      <c r="N25" s="77"/>
      <c r="O25" s="77"/>
      <c r="P25" s="344"/>
      <c r="Q25" s="371">
        <f t="shared" si="1"/>
        <v>1128</v>
      </c>
      <c r="R25" s="374"/>
    </row>
    <row r="26" spans="1:18" s="4" customFormat="1" x14ac:dyDescent="0.25">
      <c r="A26" s="363">
        <v>75005</v>
      </c>
      <c r="B26" s="364" t="s">
        <v>756</v>
      </c>
      <c r="C26" s="365" t="s">
        <v>757</v>
      </c>
      <c r="D26" s="366" t="s">
        <v>187</v>
      </c>
      <c r="E26" s="367" t="s">
        <v>48</v>
      </c>
      <c r="F26" s="368" t="s">
        <v>48</v>
      </c>
      <c r="G26" s="368" t="s">
        <v>48</v>
      </c>
      <c r="H26" s="71">
        <v>88</v>
      </c>
      <c r="I26" s="368">
        <v>454</v>
      </c>
      <c r="J26" s="343"/>
      <c r="K26" s="77"/>
      <c r="L26" s="77"/>
      <c r="M26" s="77"/>
      <c r="N26" s="77"/>
      <c r="O26" s="77"/>
      <c r="P26" s="344"/>
      <c r="Q26" s="371">
        <f t="shared" si="1"/>
        <v>542</v>
      </c>
      <c r="R26" s="374"/>
    </row>
    <row r="27" spans="1:18" s="4" customFormat="1" x14ac:dyDescent="0.25">
      <c r="A27" s="363">
        <v>75005</v>
      </c>
      <c r="B27" s="364" t="s">
        <v>573</v>
      </c>
      <c r="C27" s="365" t="s">
        <v>574</v>
      </c>
      <c r="D27" s="366" t="s">
        <v>188</v>
      </c>
      <c r="E27" s="367">
        <v>229</v>
      </c>
      <c r="F27" s="368" t="s">
        <v>48</v>
      </c>
      <c r="G27" s="368" t="s">
        <v>48</v>
      </c>
      <c r="H27" s="368" t="s">
        <v>48</v>
      </c>
      <c r="I27" s="368" t="s">
        <v>48</v>
      </c>
      <c r="J27" s="343"/>
      <c r="K27" s="77"/>
      <c r="L27" s="77"/>
      <c r="M27" s="77"/>
      <c r="N27" s="77"/>
      <c r="O27" s="77"/>
      <c r="P27" s="344"/>
      <c r="Q27" s="371">
        <f t="shared" si="0"/>
        <v>229</v>
      </c>
      <c r="R27" s="374"/>
    </row>
    <row r="28" spans="1:18" s="4" customFormat="1" ht="30" x14ac:dyDescent="0.25">
      <c r="A28" s="363">
        <v>75005</v>
      </c>
      <c r="B28" s="364" t="s">
        <v>758</v>
      </c>
      <c r="C28" s="365" t="s">
        <v>759</v>
      </c>
      <c r="D28" s="366" t="s">
        <v>186</v>
      </c>
      <c r="E28" s="367" t="s">
        <v>48</v>
      </c>
      <c r="F28" s="368" t="s">
        <v>48</v>
      </c>
      <c r="G28" s="368">
        <v>436</v>
      </c>
      <c r="H28" s="368">
        <v>535</v>
      </c>
      <c r="I28" s="368">
        <v>1068</v>
      </c>
      <c r="J28" s="343"/>
      <c r="K28" s="77"/>
      <c r="L28" s="77"/>
      <c r="M28" s="77"/>
      <c r="N28" s="77"/>
      <c r="O28" s="77"/>
      <c r="P28" s="344"/>
      <c r="Q28" s="371">
        <f t="shared" si="0"/>
        <v>2039</v>
      </c>
      <c r="R28" s="374"/>
    </row>
    <row r="29" spans="1:18" s="4" customFormat="1" x14ac:dyDescent="0.25">
      <c r="A29" s="363">
        <v>75005</v>
      </c>
      <c r="B29" s="364" t="s">
        <v>1147</v>
      </c>
      <c r="C29" s="365" t="s">
        <v>1148</v>
      </c>
      <c r="D29" s="366" t="s">
        <v>187</v>
      </c>
      <c r="E29" s="367" t="s">
        <v>48</v>
      </c>
      <c r="F29" s="368" t="s">
        <v>48</v>
      </c>
      <c r="G29" s="368" t="s">
        <v>48</v>
      </c>
      <c r="H29" s="368" t="s">
        <v>48</v>
      </c>
      <c r="I29" s="368">
        <v>310</v>
      </c>
      <c r="J29" s="343"/>
      <c r="K29" s="77"/>
      <c r="L29" s="77"/>
      <c r="M29" s="77"/>
      <c r="N29" s="77"/>
      <c r="O29" s="77"/>
      <c r="P29" s="344"/>
      <c r="Q29" s="371">
        <f t="shared" si="0"/>
        <v>310</v>
      </c>
      <c r="R29" s="374"/>
    </row>
    <row r="30" spans="1:18" s="4" customFormat="1" x14ac:dyDescent="0.25">
      <c r="A30" s="363">
        <v>75005</v>
      </c>
      <c r="B30" s="364" t="s">
        <v>760</v>
      </c>
      <c r="C30" s="365" t="s">
        <v>761</v>
      </c>
      <c r="D30" s="366" t="s">
        <v>186</v>
      </c>
      <c r="E30" s="367" t="s">
        <v>48</v>
      </c>
      <c r="F30" s="368" t="s">
        <v>48</v>
      </c>
      <c r="G30" s="368" t="s">
        <v>48</v>
      </c>
      <c r="H30" s="368">
        <v>160</v>
      </c>
      <c r="I30" s="368">
        <v>180</v>
      </c>
      <c r="J30" s="343"/>
      <c r="K30" s="77"/>
      <c r="L30" s="77"/>
      <c r="M30" s="77"/>
      <c r="N30" s="77"/>
      <c r="O30" s="77"/>
      <c r="P30" s="344"/>
      <c r="Q30" s="371">
        <f t="shared" si="0"/>
        <v>340</v>
      </c>
      <c r="R30" s="374"/>
    </row>
    <row r="31" spans="1:18" s="4" customFormat="1" x14ac:dyDescent="0.25">
      <c r="A31" s="363">
        <v>75005</v>
      </c>
      <c r="B31" s="364" t="s">
        <v>762</v>
      </c>
      <c r="C31" s="365" t="s">
        <v>763</v>
      </c>
      <c r="D31" s="366" t="s">
        <v>187</v>
      </c>
      <c r="E31" s="367" t="s">
        <v>48</v>
      </c>
      <c r="F31" s="368" t="s">
        <v>48</v>
      </c>
      <c r="G31" s="368" t="s">
        <v>48</v>
      </c>
      <c r="H31" s="368">
        <v>227</v>
      </c>
      <c r="I31" s="368">
        <v>110</v>
      </c>
      <c r="J31" s="343"/>
      <c r="K31" s="77"/>
      <c r="L31" s="77"/>
      <c r="M31" s="77"/>
      <c r="N31" s="77"/>
      <c r="O31" s="77"/>
      <c r="P31" s="344"/>
      <c r="Q31" s="371">
        <f t="shared" si="0"/>
        <v>337</v>
      </c>
      <c r="R31" s="374"/>
    </row>
    <row r="32" spans="1:18" s="4" customFormat="1" x14ac:dyDescent="0.25">
      <c r="A32" s="363">
        <v>75005</v>
      </c>
      <c r="B32" s="364" t="s">
        <v>215</v>
      </c>
      <c r="C32" s="365" t="s">
        <v>216</v>
      </c>
      <c r="D32" s="366" t="s">
        <v>188</v>
      </c>
      <c r="E32" s="367">
        <v>108</v>
      </c>
      <c r="F32" s="368">
        <v>102</v>
      </c>
      <c r="G32" s="368">
        <v>58</v>
      </c>
      <c r="H32" s="71">
        <v>1024</v>
      </c>
      <c r="I32" s="368" t="s">
        <v>48</v>
      </c>
      <c r="J32" s="343"/>
      <c r="K32" s="77"/>
      <c r="L32" s="77"/>
      <c r="M32" s="77"/>
      <c r="N32" s="77"/>
      <c r="O32" s="77"/>
      <c r="P32" s="344"/>
      <c r="Q32" s="371">
        <f t="shared" si="0"/>
        <v>1292</v>
      </c>
      <c r="R32" s="374"/>
    </row>
    <row r="33" spans="1:19" s="4" customFormat="1" x14ac:dyDescent="0.25">
      <c r="A33" s="363">
        <v>75005</v>
      </c>
      <c r="B33" s="364" t="s">
        <v>1149</v>
      </c>
      <c r="C33" s="365" t="s">
        <v>1150</v>
      </c>
      <c r="D33" s="366" t="s">
        <v>188</v>
      </c>
      <c r="E33" s="367" t="s">
        <v>48</v>
      </c>
      <c r="F33" s="368" t="s">
        <v>48</v>
      </c>
      <c r="G33" s="368" t="s">
        <v>48</v>
      </c>
      <c r="H33" s="368" t="s">
        <v>48</v>
      </c>
      <c r="I33" s="368">
        <v>40</v>
      </c>
      <c r="J33" s="343"/>
      <c r="K33" s="77"/>
      <c r="L33" s="77"/>
      <c r="M33" s="77"/>
      <c r="N33" s="77"/>
      <c r="O33" s="77"/>
      <c r="P33" s="344"/>
      <c r="Q33" s="371">
        <f t="shared" si="0"/>
        <v>40</v>
      </c>
      <c r="R33" s="374"/>
    </row>
    <row r="34" spans="1:19" s="4" customFormat="1" x14ac:dyDescent="0.25">
      <c r="A34" s="363">
        <v>75005</v>
      </c>
      <c r="B34" s="364" t="s">
        <v>765</v>
      </c>
      <c r="C34" s="365" t="s">
        <v>764</v>
      </c>
      <c r="D34" s="366" t="s">
        <v>187</v>
      </c>
      <c r="E34" s="367" t="s">
        <v>48</v>
      </c>
      <c r="F34" s="368" t="s">
        <v>48</v>
      </c>
      <c r="G34" s="368">
        <v>108</v>
      </c>
      <c r="H34" s="71">
        <v>188</v>
      </c>
      <c r="I34" s="368">
        <v>366</v>
      </c>
      <c r="J34" s="343"/>
      <c r="K34" s="77"/>
      <c r="L34" s="77"/>
      <c r="M34" s="77"/>
      <c r="N34" s="77"/>
      <c r="O34" s="77"/>
      <c r="P34" s="344"/>
      <c r="Q34" s="371">
        <f t="shared" si="0"/>
        <v>662</v>
      </c>
      <c r="R34" s="395" t="s">
        <v>766</v>
      </c>
    </row>
    <row r="35" spans="1:19" s="4" customFormat="1" x14ac:dyDescent="0.25">
      <c r="A35" s="363">
        <v>75005</v>
      </c>
      <c r="B35" s="364" t="s">
        <v>346</v>
      </c>
      <c r="C35" s="365" t="s">
        <v>347</v>
      </c>
      <c r="D35" s="366" t="s">
        <v>186</v>
      </c>
      <c r="E35" s="367" t="s">
        <v>48</v>
      </c>
      <c r="F35" s="368">
        <v>189</v>
      </c>
      <c r="G35" s="368" t="s">
        <v>48</v>
      </c>
      <c r="H35" s="71" t="s">
        <v>48</v>
      </c>
      <c r="I35" s="368">
        <v>269</v>
      </c>
      <c r="J35" s="343"/>
      <c r="K35" s="77"/>
      <c r="L35" s="77"/>
      <c r="M35" s="77"/>
      <c r="N35" s="77"/>
      <c r="O35" s="77"/>
      <c r="P35" s="344"/>
      <c r="Q35" s="371">
        <f t="shared" si="0"/>
        <v>458</v>
      </c>
      <c r="R35" s="374"/>
    </row>
    <row r="36" spans="1:19" s="4" customFormat="1" x14ac:dyDescent="0.25">
      <c r="A36" s="363">
        <v>75005</v>
      </c>
      <c r="B36" s="369" t="s">
        <v>217</v>
      </c>
      <c r="C36" s="365" t="s">
        <v>218</v>
      </c>
      <c r="D36" s="366" t="s">
        <v>186</v>
      </c>
      <c r="E36" s="370">
        <v>200</v>
      </c>
      <c r="F36" s="368" t="s">
        <v>48</v>
      </c>
      <c r="G36" s="368" t="s">
        <v>48</v>
      </c>
      <c r="H36" s="71" t="s">
        <v>48</v>
      </c>
      <c r="I36" s="368" t="s">
        <v>48</v>
      </c>
      <c r="J36" s="343"/>
      <c r="K36" s="77"/>
      <c r="L36" s="77"/>
      <c r="M36" s="77"/>
      <c r="N36" s="77"/>
      <c r="O36" s="77"/>
      <c r="P36" s="344"/>
      <c r="Q36" s="371">
        <f t="shared" si="0"/>
        <v>200</v>
      </c>
      <c r="R36" s="393" t="s">
        <v>226</v>
      </c>
    </row>
    <row r="37" spans="1:19" s="4" customFormat="1" x14ac:dyDescent="0.25">
      <c r="A37" s="363">
        <v>75005</v>
      </c>
      <c r="B37" s="364" t="s">
        <v>219</v>
      </c>
      <c r="C37" s="365" t="s">
        <v>220</v>
      </c>
      <c r="D37" s="366" t="s">
        <v>187</v>
      </c>
      <c r="E37" s="367">
        <v>178</v>
      </c>
      <c r="F37" s="368" t="s">
        <v>48</v>
      </c>
      <c r="G37" s="368" t="s">
        <v>48</v>
      </c>
      <c r="H37" s="71">
        <v>240</v>
      </c>
      <c r="I37" s="368" t="s">
        <v>48</v>
      </c>
      <c r="J37" s="343"/>
      <c r="K37" s="77"/>
      <c r="L37" s="77"/>
      <c r="M37" s="77"/>
      <c r="N37" s="77"/>
      <c r="O37" s="77"/>
      <c r="P37" s="344"/>
      <c r="Q37" s="371">
        <f t="shared" si="0"/>
        <v>418</v>
      </c>
      <c r="R37" s="374"/>
    </row>
    <row r="38" spans="1:19" s="4" customFormat="1" x14ac:dyDescent="0.25">
      <c r="A38" s="363">
        <v>75005</v>
      </c>
      <c r="B38" s="364" t="s">
        <v>348</v>
      </c>
      <c r="C38" s="365" t="s">
        <v>349</v>
      </c>
      <c r="D38" s="366" t="s">
        <v>188</v>
      </c>
      <c r="E38" s="367" t="s">
        <v>48</v>
      </c>
      <c r="F38" s="368">
        <v>102</v>
      </c>
      <c r="G38" s="368" t="s">
        <v>48</v>
      </c>
      <c r="H38" s="71">
        <v>1448</v>
      </c>
      <c r="I38" s="368">
        <v>2019</v>
      </c>
      <c r="J38" s="343"/>
      <c r="K38" s="77"/>
      <c r="L38" s="77"/>
      <c r="M38" s="77"/>
      <c r="N38" s="77"/>
      <c r="O38" s="77"/>
      <c r="P38" s="344"/>
      <c r="Q38" s="371">
        <f t="shared" si="0"/>
        <v>3569</v>
      </c>
      <c r="R38" s="374"/>
    </row>
    <row r="39" spans="1:19" s="4" customFormat="1" x14ac:dyDescent="0.25">
      <c r="A39" s="363">
        <v>75005</v>
      </c>
      <c r="B39" s="364" t="s">
        <v>221</v>
      </c>
      <c r="C39" s="365" t="s">
        <v>222</v>
      </c>
      <c r="D39" s="366" t="s">
        <v>188</v>
      </c>
      <c r="E39" s="367">
        <v>43</v>
      </c>
      <c r="F39" s="368" t="s">
        <v>48</v>
      </c>
      <c r="G39" s="368" t="s">
        <v>48</v>
      </c>
      <c r="H39" s="71" t="s">
        <v>48</v>
      </c>
      <c r="I39" s="368" t="s">
        <v>48</v>
      </c>
      <c r="J39" s="343"/>
      <c r="K39" s="77"/>
      <c r="L39" s="77"/>
      <c r="M39" s="77"/>
      <c r="N39" s="77"/>
      <c r="O39" s="77"/>
      <c r="P39" s="344"/>
      <c r="Q39" s="371">
        <f t="shared" si="0"/>
        <v>43</v>
      </c>
      <c r="R39" s="374"/>
    </row>
    <row r="40" spans="1:19" s="4" customFormat="1" x14ac:dyDescent="0.25">
      <c r="A40" s="363">
        <v>75005</v>
      </c>
      <c r="B40" s="364" t="s">
        <v>350</v>
      </c>
      <c r="C40" s="365" t="s">
        <v>351</v>
      </c>
      <c r="D40" s="366" t="s">
        <v>187</v>
      </c>
      <c r="E40" s="367" t="s">
        <v>48</v>
      </c>
      <c r="F40" s="368">
        <v>864</v>
      </c>
      <c r="G40" s="368" t="s">
        <v>48</v>
      </c>
      <c r="H40" s="71" t="s">
        <v>48</v>
      </c>
      <c r="I40" s="368">
        <v>439</v>
      </c>
      <c r="J40" s="343"/>
      <c r="K40" s="77"/>
      <c r="L40" s="77"/>
      <c r="M40" s="77"/>
      <c r="N40" s="77"/>
      <c r="O40" s="77"/>
      <c r="P40" s="344"/>
      <c r="Q40" s="371">
        <f t="shared" si="0"/>
        <v>1303</v>
      </c>
      <c r="R40" s="374"/>
    </row>
    <row r="41" spans="1:19" s="4" customFormat="1" x14ac:dyDescent="0.25">
      <c r="A41" s="363">
        <v>75005</v>
      </c>
      <c r="B41" s="364" t="s">
        <v>767</v>
      </c>
      <c r="C41" s="365" t="s">
        <v>768</v>
      </c>
      <c r="D41" s="366" t="s">
        <v>188</v>
      </c>
      <c r="E41" s="367" t="s">
        <v>48</v>
      </c>
      <c r="F41" s="368" t="s">
        <v>48</v>
      </c>
      <c r="G41" s="368" t="s">
        <v>48</v>
      </c>
      <c r="H41" s="71">
        <v>135</v>
      </c>
      <c r="I41" s="368">
        <v>140</v>
      </c>
      <c r="J41" s="343"/>
      <c r="K41" s="77"/>
      <c r="L41" s="77"/>
      <c r="M41" s="77"/>
      <c r="N41" s="77"/>
      <c r="O41" s="77"/>
      <c r="P41" s="344"/>
      <c r="Q41" s="371">
        <f t="shared" si="0"/>
        <v>275</v>
      </c>
      <c r="R41" s="374"/>
    </row>
    <row r="42" spans="1:19" s="4" customFormat="1" x14ac:dyDescent="0.25">
      <c r="A42" s="363">
        <v>75005</v>
      </c>
      <c r="B42" s="364" t="s">
        <v>1151</v>
      </c>
      <c r="C42" s="365" t="s">
        <v>1152</v>
      </c>
      <c r="D42" s="366" t="s">
        <v>187</v>
      </c>
      <c r="E42" s="367" t="s">
        <v>48</v>
      </c>
      <c r="F42" s="368" t="s">
        <v>48</v>
      </c>
      <c r="G42" s="368" t="s">
        <v>48</v>
      </c>
      <c r="H42" s="368" t="s">
        <v>48</v>
      </c>
      <c r="I42" s="368">
        <v>170</v>
      </c>
      <c r="J42" s="343"/>
      <c r="K42" s="77"/>
      <c r="L42" s="77"/>
      <c r="M42" s="77"/>
      <c r="N42" s="77"/>
      <c r="O42" s="77"/>
      <c r="P42" s="344"/>
      <c r="Q42" s="371">
        <f t="shared" si="0"/>
        <v>170</v>
      </c>
      <c r="R42" s="374"/>
    </row>
    <row r="43" spans="1:19" s="4" customFormat="1" x14ac:dyDescent="0.25">
      <c r="A43" s="363">
        <v>75005</v>
      </c>
      <c r="B43" s="364" t="s">
        <v>1153</v>
      </c>
      <c r="C43" s="365" t="s">
        <v>1154</v>
      </c>
      <c r="D43" s="366" t="s">
        <v>188</v>
      </c>
      <c r="E43" s="367" t="s">
        <v>48</v>
      </c>
      <c r="F43" s="368" t="s">
        <v>48</v>
      </c>
      <c r="G43" s="368" t="s">
        <v>48</v>
      </c>
      <c r="H43" s="368" t="s">
        <v>48</v>
      </c>
      <c r="I43" s="368">
        <v>168</v>
      </c>
      <c r="J43" s="343"/>
      <c r="K43" s="77"/>
      <c r="L43" s="77"/>
      <c r="M43" s="77"/>
      <c r="N43" s="77"/>
      <c r="O43" s="77"/>
      <c r="P43" s="344"/>
      <c r="Q43" s="371">
        <f t="shared" si="0"/>
        <v>168</v>
      </c>
      <c r="R43" s="374"/>
    </row>
    <row r="44" spans="1:19" s="4" customFormat="1" ht="15.75" thickBot="1" x14ac:dyDescent="0.3">
      <c r="A44" s="363">
        <v>75005</v>
      </c>
      <c r="B44" s="364" t="s">
        <v>223</v>
      </c>
      <c r="C44" s="365" t="s">
        <v>224</v>
      </c>
      <c r="D44" s="366" t="s">
        <v>187</v>
      </c>
      <c r="E44" s="367">
        <v>208</v>
      </c>
      <c r="F44" s="368" t="s">
        <v>48</v>
      </c>
      <c r="G44" s="368">
        <v>40</v>
      </c>
      <c r="H44" s="71" t="s">
        <v>48</v>
      </c>
      <c r="I44" s="368">
        <v>456</v>
      </c>
      <c r="J44" s="343"/>
      <c r="K44" s="77"/>
      <c r="L44" s="77"/>
      <c r="M44" s="77"/>
      <c r="N44" s="77"/>
      <c r="O44" s="77"/>
      <c r="P44" s="344"/>
      <c r="Q44" s="371">
        <f t="shared" si="0"/>
        <v>704</v>
      </c>
      <c r="R44" s="374"/>
    </row>
    <row r="45" spans="1:19" s="4" customFormat="1" ht="15.75" thickBot="1" x14ac:dyDescent="0.3">
      <c r="A45" s="382" t="s">
        <v>10</v>
      </c>
      <c r="B45" s="383">
        <f>SUBTOTAL(103,Ventes5ème[Hotel])</f>
        <v>41</v>
      </c>
      <c r="C45" s="384"/>
      <c r="D45" s="382"/>
      <c r="E45" s="385">
        <f>SUBTOTAL(109,Ventes5ème[Janv])</f>
        <v>3363</v>
      </c>
      <c r="F45" s="386">
        <f>SUBTOTAL(109,Ventes5ème[Fév])</f>
        <v>2461</v>
      </c>
      <c r="G45" s="387">
        <f>SUBTOTAL(109,Ventes5ème[mars])</f>
        <v>1574</v>
      </c>
      <c r="H45" s="334">
        <f>SUBTOTAL(109,Ventes5ème[Avril])</f>
        <v>8646</v>
      </c>
      <c r="I45" s="334">
        <f>SUBTOTAL(109,Ventes5ème[Mai])</f>
        <v>13916</v>
      </c>
      <c r="J45" s="334">
        <f>SUBTOTAL(109,Ventes5ème[Juin])</f>
        <v>0</v>
      </c>
      <c r="K45" s="334">
        <f>SUBTOTAL(109,Ventes5ème[Juillet])</f>
        <v>0</v>
      </c>
      <c r="L45" s="336">
        <f>SUBTOTAL(109,Ventes5ème[Août])</f>
        <v>0</v>
      </c>
      <c r="M45" s="336">
        <f>SUBTOTAL(109,Ventes5ème[Sept.])</f>
        <v>0</v>
      </c>
      <c r="N45" s="336">
        <f>SUBTOTAL(109,Ventes5ème[Oct])</f>
        <v>0</v>
      </c>
      <c r="O45" s="336">
        <f>SUBTOTAL(109,Ventes5ème[Nov.])</f>
        <v>0</v>
      </c>
      <c r="P45" s="337">
        <f>SUBTOTAL(109,Ventes5ème[déc])</f>
        <v>0</v>
      </c>
      <c r="Q45" s="388">
        <f>SUBTOTAL(109,Ventes5ème[TOTAL])</f>
        <v>29960</v>
      </c>
      <c r="R45" s="378"/>
      <c r="S45" s="80"/>
    </row>
    <row r="46" spans="1:19" s="4" customFormat="1" ht="15.75" thickBot="1" x14ac:dyDescent="0.3">
      <c r="A46" s="62"/>
      <c r="B46" s="62"/>
      <c r="C46" s="62"/>
      <c r="D46" s="62"/>
      <c r="E46" s="62"/>
      <c r="F46" s="62"/>
      <c r="G46" s="62"/>
      <c r="H46" s="62"/>
      <c r="I46" s="64"/>
      <c r="J46" s="62"/>
      <c r="K46" s="64"/>
      <c r="L46" s="335"/>
      <c r="M46" s="335"/>
      <c r="N46" s="335"/>
      <c r="O46" s="335"/>
      <c r="P46" s="335"/>
      <c r="Q46" s="64"/>
      <c r="R46" s="62"/>
      <c r="S46" s="80"/>
    </row>
    <row r="47" spans="1:19" ht="30" x14ac:dyDescent="0.25">
      <c r="A47" s="389" t="s">
        <v>36</v>
      </c>
      <c r="B47" s="338">
        <v>80</v>
      </c>
      <c r="C47" s="62"/>
      <c r="D47" s="62"/>
      <c r="E47" s="62"/>
      <c r="F47" s="62"/>
      <c r="G47" s="62"/>
      <c r="H47" s="62"/>
      <c r="I47" s="62"/>
      <c r="J47" s="390"/>
      <c r="K47" s="64"/>
      <c r="L47" s="335"/>
      <c r="M47" s="335"/>
      <c r="N47" s="335"/>
      <c r="O47" s="335"/>
      <c r="P47" s="335"/>
      <c r="Q47" s="64"/>
      <c r="R47" s="62"/>
    </row>
    <row r="48" spans="1:19" ht="30.75" thickBot="1" x14ac:dyDescent="0.3">
      <c r="A48" s="391" t="s">
        <v>1330</v>
      </c>
      <c r="B48" s="339">
        <f>Ventes5ème[[#Totals],[Hotel]]/B47</f>
        <v>0.51249999999999996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42"/>
  <sheetViews>
    <sheetView zoomScale="80" zoomScaleNormal="80" workbookViewId="0">
      <selection activeCell="B12" sqref="B12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1331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396">
        <v>75006</v>
      </c>
      <c r="B4" s="397" t="s">
        <v>227</v>
      </c>
      <c r="C4" s="398" t="s">
        <v>228</v>
      </c>
      <c r="D4" s="399" t="s">
        <v>229</v>
      </c>
      <c r="E4" s="400">
        <v>100</v>
      </c>
      <c r="F4" s="71" t="s">
        <v>48</v>
      </c>
      <c r="G4" s="71" t="s">
        <v>48</v>
      </c>
      <c r="H4" s="71" t="s">
        <v>48</v>
      </c>
      <c r="I4" s="71">
        <v>400</v>
      </c>
      <c r="J4" s="343"/>
      <c r="K4" s="77"/>
      <c r="L4" s="77"/>
      <c r="M4" s="77"/>
      <c r="N4" s="77"/>
      <c r="O4" s="77"/>
      <c r="P4" s="344"/>
      <c r="Q4" s="371">
        <f t="shared" ref="Q4:Q38" si="0">SUM(E4:P4)</f>
        <v>500</v>
      </c>
      <c r="R4" s="235"/>
    </row>
    <row r="5" spans="1:19" s="4" customFormat="1" x14ac:dyDescent="0.25">
      <c r="A5" s="396">
        <v>75006</v>
      </c>
      <c r="B5" s="397" t="s">
        <v>230</v>
      </c>
      <c r="C5" s="398" t="s">
        <v>231</v>
      </c>
      <c r="D5" s="399" t="s">
        <v>188</v>
      </c>
      <c r="E5" s="400">
        <v>68</v>
      </c>
      <c r="F5" s="71" t="s">
        <v>48</v>
      </c>
      <c r="G5" s="71" t="s">
        <v>48</v>
      </c>
      <c r="H5" s="71">
        <v>444</v>
      </c>
      <c r="I5" s="71">
        <v>220</v>
      </c>
      <c r="J5" s="343"/>
      <c r="K5" s="77"/>
      <c r="L5" s="77"/>
      <c r="M5" s="77"/>
      <c r="N5" s="77"/>
      <c r="O5" s="77"/>
      <c r="P5" s="344"/>
      <c r="Q5" s="371">
        <f t="shared" si="0"/>
        <v>732</v>
      </c>
      <c r="R5" s="235"/>
    </row>
    <row r="6" spans="1:19" s="4" customFormat="1" x14ac:dyDescent="0.25">
      <c r="A6" s="396">
        <v>75006</v>
      </c>
      <c r="B6" s="397" t="s">
        <v>769</v>
      </c>
      <c r="C6" s="398" t="s">
        <v>770</v>
      </c>
      <c r="D6" s="399" t="s">
        <v>188</v>
      </c>
      <c r="E6" s="400" t="s">
        <v>48</v>
      </c>
      <c r="F6" s="71" t="s">
        <v>48</v>
      </c>
      <c r="G6" s="71" t="s">
        <v>48</v>
      </c>
      <c r="H6" s="71">
        <v>258</v>
      </c>
      <c r="I6" s="71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258</v>
      </c>
      <c r="R6" s="235"/>
    </row>
    <row r="7" spans="1:19" s="4" customFormat="1" x14ac:dyDescent="0.25">
      <c r="A7" s="396">
        <v>75006</v>
      </c>
      <c r="B7" s="397" t="s">
        <v>352</v>
      </c>
      <c r="C7" s="398" t="s">
        <v>353</v>
      </c>
      <c r="D7" s="399" t="s">
        <v>187</v>
      </c>
      <c r="E7" s="400" t="s">
        <v>48</v>
      </c>
      <c r="F7" s="71">
        <v>162</v>
      </c>
      <c r="G7" s="71">
        <v>443</v>
      </c>
      <c r="H7" s="71">
        <v>636</v>
      </c>
      <c r="I7" s="71">
        <v>311</v>
      </c>
      <c r="J7" s="343"/>
      <c r="K7" s="77"/>
      <c r="L7" s="77"/>
      <c r="M7" s="77"/>
      <c r="N7" s="77"/>
      <c r="O7" s="77"/>
      <c r="P7" s="344"/>
      <c r="Q7" s="371">
        <f t="shared" si="0"/>
        <v>1552</v>
      </c>
      <c r="R7" s="235"/>
    </row>
    <row r="8" spans="1:19" s="4" customFormat="1" x14ac:dyDescent="0.25">
      <c r="A8" s="396">
        <v>75006</v>
      </c>
      <c r="B8" s="397" t="s">
        <v>232</v>
      </c>
      <c r="C8" s="398" t="s">
        <v>233</v>
      </c>
      <c r="D8" s="399" t="s">
        <v>186</v>
      </c>
      <c r="E8" s="401">
        <v>158</v>
      </c>
      <c r="F8" s="71">
        <v>49</v>
      </c>
      <c r="G8" s="71">
        <v>160</v>
      </c>
      <c r="H8" s="71">
        <v>140</v>
      </c>
      <c r="I8" s="71">
        <v>36</v>
      </c>
      <c r="J8" s="343"/>
      <c r="K8" s="77"/>
      <c r="L8" s="77"/>
      <c r="M8" s="77"/>
      <c r="N8" s="77"/>
      <c r="O8" s="77"/>
      <c r="P8" s="344"/>
      <c r="Q8" s="371">
        <f t="shared" si="0"/>
        <v>543</v>
      </c>
      <c r="R8" s="235"/>
    </row>
    <row r="9" spans="1:19" s="4" customFormat="1" x14ac:dyDescent="0.25">
      <c r="A9" s="396">
        <v>75006</v>
      </c>
      <c r="B9" s="402" t="s">
        <v>1155</v>
      </c>
      <c r="C9" s="403" t="s">
        <v>1156</v>
      </c>
      <c r="D9" s="399" t="s">
        <v>188</v>
      </c>
      <c r="E9" s="404" t="s">
        <v>48</v>
      </c>
      <c r="F9" s="71" t="s">
        <v>48</v>
      </c>
      <c r="G9" s="71" t="s">
        <v>48</v>
      </c>
      <c r="H9" s="71" t="s">
        <v>48</v>
      </c>
      <c r="I9" s="71">
        <v>40</v>
      </c>
      <c r="J9" s="343"/>
      <c r="K9" s="77"/>
      <c r="L9" s="77"/>
      <c r="M9" s="77"/>
      <c r="N9" s="77"/>
      <c r="O9" s="77"/>
      <c r="P9" s="344"/>
      <c r="Q9" s="371">
        <f t="shared" si="0"/>
        <v>40</v>
      </c>
      <c r="R9" s="405"/>
    </row>
    <row r="10" spans="1:19" s="4" customFormat="1" x14ac:dyDescent="0.25">
      <c r="A10" s="396">
        <v>75006</v>
      </c>
      <c r="B10" s="402" t="s">
        <v>918</v>
      </c>
      <c r="C10" s="403" t="s">
        <v>919</v>
      </c>
      <c r="D10" s="399" t="s">
        <v>188</v>
      </c>
      <c r="E10" s="404" t="s">
        <v>48</v>
      </c>
      <c r="F10" s="71" t="s">
        <v>48</v>
      </c>
      <c r="G10" s="71">
        <v>218</v>
      </c>
      <c r="H10" s="71" t="s">
        <v>48</v>
      </c>
      <c r="I10" s="71">
        <v>307</v>
      </c>
      <c r="J10" s="343"/>
      <c r="K10" s="77"/>
      <c r="L10" s="77"/>
      <c r="M10" s="77"/>
      <c r="N10" s="77"/>
      <c r="O10" s="77"/>
      <c r="P10" s="344"/>
      <c r="Q10" s="371">
        <f t="shared" si="0"/>
        <v>525</v>
      </c>
      <c r="R10" s="405"/>
    </row>
    <row r="11" spans="1:19" s="4" customFormat="1" x14ac:dyDescent="0.25">
      <c r="A11" s="396">
        <v>75006</v>
      </c>
      <c r="B11" s="402" t="s">
        <v>1103</v>
      </c>
      <c r="C11" s="403" t="s">
        <v>1104</v>
      </c>
      <c r="D11" s="399" t="s">
        <v>187</v>
      </c>
      <c r="E11" s="404" t="s">
        <v>48</v>
      </c>
      <c r="F11" s="71" t="s">
        <v>48</v>
      </c>
      <c r="G11" s="71" t="s">
        <v>48</v>
      </c>
      <c r="H11" s="71">
        <v>336</v>
      </c>
      <c r="I11" s="71">
        <v>42</v>
      </c>
      <c r="J11" s="343"/>
      <c r="K11" s="77"/>
      <c r="L11" s="77"/>
      <c r="M11" s="77"/>
      <c r="N11" s="77"/>
      <c r="O11" s="77"/>
      <c r="P11" s="344"/>
      <c r="Q11" s="371">
        <f t="shared" ref="Q11:Q26" si="1">SUM(E11:P11)</f>
        <v>378</v>
      </c>
      <c r="R11" s="405"/>
    </row>
    <row r="12" spans="1:19" s="4" customFormat="1" x14ac:dyDescent="0.25">
      <c r="A12" s="396">
        <v>75006</v>
      </c>
      <c r="B12" s="402" t="s">
        <v>920</v>
      </c>
      <c r="C12" s="403" t="s">
        <v>921</v>
      </c>
      <c r="D12" s="399" t="s">
        <v>188</v>
      </c>
      <c r="E12" s="404" t="s">
        <v>48</v>
      </c>
      <c r="F12" s="71" t="s">
        <v>48</v>
      </c>
      <c r="G12" s="71">
        <v>686</v>
      </c>
      <c r="H12" s="71" t="s">
        <v>48</v>
      </c>
      <c r="I12" s="71" t="s">
        <v>48</v>
      </c>
      <c r="J12" s="343"/>
      <c r="K12" s="77"/>
      <c r="L12" s="77"/>
      <c r="M12" s="77"/>
      <c r="N12" s="77"/>
      <c r="O12" s="77"/>
      <c r="P12" s="344"/>
      <c r="Q12" s="371">
        <f t="shared" si="1"/>
        <v>686</v>
      </c>
      <c r="R12" s="405"/>
    </row>
    <row r="13" spans="1:19" s="4" customFormat="1" x14ac:dyDescent="0.25">
      <c r="A13" s="396">
        <v>75006</v>
      </c>
      <c r="B13" s="402" t="s">
        <v>1157</v>
      </c>
      <c r="C13" s="403" t="s">
        <v>1158</v>
      </c>
      <c r="D13" s="399" t="s">
        <v>186</v>
      </c>
      <c r="E13" s="404" t="s">
        <v>48</v>
      </c>
      <c r="F13" s="71" t="s">
        <v>48</v>
      </c>
      <c r="G13" s="71" t="s">
        <v>48</v>
      </c>
      <c r="H13" s="71" t="s">
        <v>48</v>
      </c>
      <c r="I13" s="71">
        <v>309</v>
      </c>
      <c r="J13" s="343"/>
      <c r="K13" s="77"/>
      <c r="L13" s="77"/>
      <c r="M13" s="77"/>
      <c r="N13" s="77"/>
      <c r="O13" s="77"/>
      <c r="P13" s="344"/>
      <c r="Q13" s="371">
        <f t="shared" si="1"/>
        <v>309</v>
      </c>
      <c r="R13" s="405"/>
    </row>
    <row r="14" spans="1:19" s="4" customFormat="1" x14ac:dyDescent="0.25">
      <c r="A14" s="396">
        <v>75006</v>
      </c>
      <c r="B14" s="402" t="s">
        <v>575</v>
      </c>
      <c r="C14" s="403" t="s">
        <v>576</v>
      </c>
      <c r="D14" s="399" t="s">
        <v>188</v>
      </c>
      <c r="E14" s="406">
        <v>329</v>
      </c>
      <c r="F14" s="71" t="s">
        <v>48</v>
      </c>
      <c r="G14" s="71">
        <v>200</v>
      </c>
      <c r="H14" s="71">
        <v>326</v>
      </c>
      <c r="I14" s="71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855</v>
      </c>
      <c r="R14" s="405"/>
    </row>
    <row r="15" spans="1:19" s="4" customFormat="1" x14ac:dyDescent="0.25">
      <c r="A15" s="396">
        <v>75006</v>
      </c>
      <c r="B15" s="402" t="s">
        <v>234</v>
      </c>
      <c r="C15" s="403" t="s">
        <v>235</v>
      </c>
      <c r="D15" s="399" t="s">
        <v>186</v>
      </c>
      <c r="E15" s="404">
        <v>180</v>
      </c>
      <c r="F15" s="71">
        <v>218</v>
      </c>
      <c r="G15" s="71">
        <v>679</v>
      </c>
      <c r="H15" s="71">
        <v>330</v>
      </c>
      <c r="I15" s="71">
        <v>394</v>
      </c>
      <c r="J15" s="343"/>
      <c r="K15" s="77"/>
      <c r="L15" s="77"/>
      <c r="M15" s="77"/>
      <c r="N15" s="77"/>
      <c r="O15" s="77"/>
      <c r="P15" s="344"/>
      <c r="Q15" s="371">
        <f t="shared" si="1"/>
        <v>1801</v>
      </c>
      <c r="R15" s="405"/>
    </row>
    <row r="16" spans="1:19" s="4" customFormat="1" x14ac:dyDescent="0.25">
      <c r="A16" s="396">
        <v>75006</v>
      </c>
      <c r="B16" s="402" t="s">
        <v>1159</v>
      </c>
      <c r="C16" s="403" t="s">
        <v>1160</v>
      </c>
      <c r="D16" s="407" t="s">
        <v>188</v>
      </c>
      <c r="E16" s="404" t="s">
        <v>48</v>
      </c>
      <c r="F16" s="71" t="s">
        <v>48</v>
      </c>
      <c r="G16" s="71" t="s">
        <v>48</v>
      </c>
      <c r="H16" s="71" t="s">
        <v>48</v>
      </c>
      <c r="I16" s="71">
        <v>129</v>
      </c>
      <c r="J16" s="343"/>
      <c r="K16" s="77"/>
      <c r="L16" s="77"/>
      <c r="M16" s="77"/>
      <c r="N16" s="77"/>
      <c r="O16" s="77"/>
      <c r="P16" s="344"/>
      <c r="Q16" s="371">
        <f t="shared" si="1"/>
        <v>129</v>
      </c>
      <c r="R16" s="405"/>
    </row>
    <row r="17" spans="1:18" s="4" customFormat="1" x14ac:dyDescent="0.25">
      <c r="A17" s="396">
        <v>75006</v>
      </c>
      <c r="B17" s="402" t="s">
        <v>354</v>
      </c>
      <c r="C17" s="403" t="s">
        <v>355</v>
      </c>
      <c r="D17" s="407" t="s">
        <v>188</v>
      </c>
      <c r="E17" s="404" t="s">
        <v>48</v>
      </c>
      <c r="F17" s="71">
        <v>436</v>
      </c>
      <c r="G17" s="71" t="s">
        <v>48</v>
      </c>
      <c r="H17" s="71">
        <v>530</v>
      </c>
      <c r="I17" s="71">
        <v>388</v>
      </c>
      <c r="J17" s="343"/>
      <c r="K17" s="77"/>
      <c r="L17" s="77"/>
      <c r="M17" s="77"/>
      <c r="N17" s="77"/>
      <c r="O17" s="77"/>
      <c r="P17" s="344"/>
      <c r="Q17" s="371">
        <f t="shared" si="1"/>
        <v>1354</v>
      </c>
      <c r="R17" s="405"/>
    </row>
    <row r="18" spans="1:18" s="4" customFormat="1" x14ac:dyDescent="0.25">
      <c r="A18" s="396">
        <v>75006</v>
      </c>
      <c r="B18" s="402" t="s">
        <v>771</v>
      </c>
      <c r="C18" s="403" t="s">
        <v>772</v>
      </c>
      <c r="D18" s="407" t="s">
        <v>188</v>
      </c>
      <c r="E18" s="404" t="s">
        <v>48</v>
      </c>
      <c r="F18" s="71" t="s">
        <v>48</v>
      </c>
      <c r="G18" s="71" t="s">
        <v>48</v>
      </c>
      <c r="H18" s="71">
        <v>66</v>
      </c>
      <c r="I18" s="71">
        <v>120</v>
      </c>
      <c r="J18" s="343"/>
      <c r="K18" s="77"/>
      <c r="L18" s="77"/>
      <c r="M18" s="77"/>
      <c r="N18" s="77"/>
      <c r="O18" s="77"/>
      <c r="P18" s="344"/>
      <c r="Q18" s="371">
        <f t="shared" si="1"/>
        <v>186</v>
      </c>
      <c r="R18" s="405"/>
    </row>
    <row r="19" spans="1:18" s="4" customFormat="1" x14ac:dyDescent="0.25">
      <c r="A19" s="396">
        <v>75006</v>
      </c>
      <c r="B19" s="402" t="s">
        <v>356</v>
      </c>
      <c r="C19" s="403" t="s">
        <v>357</v>
      </c>
      <c r="D19" s="407" t="s">
        <v>187</v>
      </c>
      <c r="E19" s="404" t="s">
        <v>48</v>
      </c>
      <c r="F19" s="71">
        <v>151</v>
      </c>
      <c r="G19" s="71" t="s">
        <v>48</v>
      </c>
      <c r="H19" s="71" t="s">
        <v>48</v>
      </c>
      <c r="I19" s="71">
        <v>329</v>
      </c>
      <c r="J19" s="343"/>
      <c r="K19" s="77"/>
      <c r="L19" s="77"/>
      <c r="M19" s="77"/>
      <c r="N19" s="77"/>
      <c r="O19" s="77"/>
      <c r="P19" s="344"/>
      <c r="Q19" s="371">
        <f t="shared" si="1"/>
        <v>480</v>
      </c>
      <c r="R19" s="405"/>
    </row>
    <row r="20" spans="1:18" s="4" customFormat="1" x14ac:dyDescent="0.25">
      <c r="A20" s="396">
        <v>75006</v>
      </c>
      <c r="B20" s="402" t="s">
        <v>773</v>
      </c>
      <c r="C20" s="403" t="s">
        <v>774</v>
      </c>
      <c r="D20" s="407" t="s">
        <v>188</v>
      </c>
      <c r="E20" s="404" t="s">
        <v>48</v>
      </c>
      <c r="F20" s="71" t="s">
        <v>48</v>
      </c>
      <c r="G20" s="71">
        <v>981</v>
      </c>
      <c r="H20" s="71">
        <v>565</v>
      </c>
      <c r="I20" s="71">
        <v>212</v>
      </c>
      <c r="J20" s="343"/>
      <c r="K20" s="77"/>
      <c r="L20" s="77"/>
      <c r="M20" s="77"/>
      <c r="N20" s="77"/>
      <c r="O20" s="77"/>
      <c r="P20" s="344"/>
      <c r="Q20" s="371">
        <f t="shared" si="1"/>
        <v>1758</v>
      </c>
      <c r="R20" s="405"/>
    </row>
    <row r="21" spans="1:18" s="4" customFormat="1" x14ac:dyDescent="0.25">
      <c r="A21" s="396">
        <v>75006</v>
      </c>
      <c r="B21" s="402" t="s">
        <v>775</v>
      </c>
      <c r="C21" s="403" t="s">
        <v>776</v>
      </c>
      <c r="D21" s="407" t="s">
        <v>187</v>
      </c>
      <c r="E21" s="404" t="s">
        <v>48</v>
      </c>
      <c r="F21" s="71" t="s">
        <v>48</v>
      </c>
      <c r="G21" s="71" t="s">
        <v>48</v>
      </c>
      <c r="H21" s="71">
        <v>404</v>
      </c>
      <c r="I21" s="71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404</v>
      </c>
      <c r="R21" s="405"/>
    </row>
    <row r="22" spans="1:18" s="4" customFormat="1" x14ac:dyDescent="0.25">
      <c r="A22" s="396">
        <v>75006</v>
      </c>
      <c r="B22" s="402" t="s">
        <v>1161</v>
      </c>
      <c r="C22" s="403" t="s">
        <v>1162</v>
      </c>
      <c r="D22" s="407" t="s">
        <v>187</v>
      </c>
      <c r="E22" s="404" t="s">
        <v>48</v>
      </c>
      <c r="F22" s="71" t="s">
        <v>48</v>
      </c>
      <c r="G22" s="71" t="s">
        <v>48</v>
      </c>
      <c r="H22" s="71" t="s">
        <v>48</v>
      </c>
      <c r="I22" s="71">
        <v>218</v>
      </c>
      <c r="J22" s="343"/>
      <c r="K22" s="77"/>
      <c r="L22" s="77"/>
      <c r="M22" s="77"/>
      <c r="N22" s="77"/>
      <c r="O22" s="77"/>
      <c r="P22" s="344"/>
      <c r="Q22" s="371">
        <f t="shared" si="1"/>
        <v>218</v>
      </c>
      <c r="R22" s="405"/>
    </row>
    <row r="23" spans="1:18" s="4" customFormat="1" x14ac:dyDescent="0.25">
      <c r="A23" s="396">
        <v>75006</v>
      </c>
      <c r="B23" s="402" t="s">
        <v>777</v>
      </c>
      <c r="C23" s="403" t="s">
        <v>778</v>
      </c>
      <c r="D23" s="407" t="s">
        <v>188</v>
      </c>
      <c r="E23" s="404" t="s">
        <v>48</v>
      </c>
      <c r="F23" s="71" t="s">
        <v>48</v>
      </c>
      <c r="G23" s="71" t="s">
        <v>48</v>
      </c>
      <c r="H23" s="71">
        <v>218</v>
      </c>
      <c r="I23" s="71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218</v>
      </c>
      <c r="R23" s="405"/>
    </row>
    <row r="24" spans="1:18" s="4" customFormat="1" x14ac:dyDescent="0.25">
      <c r="A24" s="396">
        <v>75006</v>
      </c>
      <c r="B24" s="408" t="s">
        <v>358</v>
      </c>
      <c r="C24" s="403" t="s">
        <v>359</v>
      </c>
      <c r="D24" s="407" t="s">
        <v>187</v>
      </c>
      <c r="E24" s="409">
        <v>459</v>
      </c>
      <c r="F24" s="71">
        <v>36</v>
      </c>
      <c r="G24" s="71" t="s">
        <v>48</v>
      </c>
      <c r="H24" s="71" t="s">
        <v>48</v>
      </c>
      <c r="I24" s="71">
        <v>100</v>
      </c>
      <c r="J24" s="343"/>
      <c r="K24" s="77"/>
      <c r="L24" s="77"/>
      <c r="M24" s="77"/>
      <c r="N24" s="77"/>
      <c r="O24" s="77"/>
      <c r="P24" s="344"/>
      <c r="Q24" s="371">
        <f t="shared" si="1"/>
        <v>595</v>
      </c>
      <c r="R24" s="410" t="s">
        <v>360</v>
      </c>
    </row>
    <row r="25" spans="1:18" s="4" customFormat="1" x14ac:dyDescent="0.25">
      <c r="A25" s="396">
        <v>75006</v>
      </c>
      <c r="B25" s="402" t="s">
        <v>779</v>
      </c>
      <c r="C25" s="403" t="s">
        <v>780</v>
      </c>
      <c r="D25" s="407" t="s">
        <v>186</v>
      </c>
      <c r="E25" s="404" t="s">
        <v>48</v>
      </c>
      <c r="F25" s="71" t="s">
        <v>48</v>
      </c>
      <c r="G25" s="71">
        <v>240</v>
      </c>
      <c r="H25" s="71">
        <v>734</v>
      </c>
      <c r="I25" s="71">
        <v>217</v>
      </c>
      <c r="J25" s="343"/>
      <c r="K25" s="77"/>
      <c r="L25" s="77"/>
      <c r="M25" s="77"/>
      <c r="N25" s="77"/>
      <c r="O25" s="77"/>
      <c r="P25" s="344"/>
      <c r="Q25" s="371">
        <f t="shared" si="1"/>
        <v>1191</v>
      </c>
      <c r="R25" s="405"/>
    </row>
    <row r="26" spans="1:18" s="4" customFormat="1" x14ac:dyDescent="0.25">
      <c r="A26" s="396">
        <v>75006</v>
      </c>
      <c r="B26" s="408" t="s">
        <v>1163</v>
      </c>
      <c r="C26" s="403" t="s">
        <v>1164</v>
      </c>
      <c r="D26" s="407" t="s">
        <v>186</v>
      </c>
      <c r="E26" s="404" t="s">
        <v>48</v>
      </c>
      <c r="F26" s="71" t="s">
        <v>48</v>
      </c>
      <c r="G26" s="71" t="s">
        <v>48</v>
      </c>
      <c r="H26" s="71" t="s">
        <v>48</v>
      </c>
      <c r="I26" s="346">
        <v>148</v>
      </c>
      <c r="J26" s="343"/>
      <c r="K26" s="77"/>
      <c r="L26" s="77"/>
      <c r="M26" s="77"/>
      <c r="N26" s="77"/>
      <c r="O26" s="77"/>
      <c r="P26" s="344"/>
      <c r="Q26" s="371">
        <f t="shared" si="1"/>
        <v>148</v>
      </c>
      <c r="R26" s="410" t="s">
        <v>715</v>
      </c>
    </row>
    <row r="27" spans="1:18" s="4" customFormat="1" x14ac:dyDescent="0.25">
      <c r="A27" s="396">
        <v>75006</v>
      </c>
      <c r="B27" s="402" t="s">
        <v>781</v>
      </c>
      <c r="C27" s="403" t="s">
        <v>782</v>
      </c>
      <c r="D27" s="407" t="s">
        <v>188</v>
      </c>
      <c r="E27" s="404" t="s">
        <v>48</v>
      </c>
      <c r="F27" s="71" t="s">
        <v>48</v>
      </c>
      <c r="G27" s="71">
        <v>132</v>
      </c>
      <c r="H27" s="71">
        <v>120</v>
      </c>
      <c r="I27" s="71">
        <v>506</v>
      </c>
      <c r="J27" s="343"/>
      <c r="K27" s="77"/>
      <c r="L27" s="77"/>
      <c r="M27" s="77"/>
      <c r="N27" s="77"/>
      <c r="O27" s="77"/>
      <c r="P27" s="344"/>
      <c r="Q27" s="371">
        <f t="shared" si="0"/>
        <v>758</v>
      </c>
      <c r="R27" s="405"/>
    </row>
    <row r="28" spans="1:18" s="4" customFormat="1" x14ac:dyDescent="0.25">
      <c r="A28" s="396">
        <v>75006</v>
      </c>
      <c r="B28" s="402" t="s">
        <v>1105</v>
      </c>
      <c r="C28" s="403" t="s">
        <v>1106</v>
      </c>
      <c r="D28" s="407" t="s">
        <v>186</v>
      </c>
      <c r="E28" s="404" t="s">
        <v>48</v>
      </c>
      <c r="F28" s="71" t="s">
        <v>48</v>
      </c>
      <c r="G28" s="71" t="s">
        <v>48</v>
      </c>
      <c r="H28" s="71">
        <v>166</v>
      </c>
      <c r="I28" s="71" t="s">
        <v>48</v>
      </c>
      <c r="J28" s="343"/>
      <c r="K28" s="77"/>
      <c r="L28" s="77"/>
      <c r="M28" s="77"/>
      <c r="N28" s="77"/>
      <c r="O28" s="77"/>
      <c r="P28" s="344"/>
      <c r="Q28" s="371">
        <f t="shared" si="0"/>
        <v>166</v>
      </c>
      <c r="R28" s="405"/>
    </row>
    <row r="29" spans="1:18" s="4" customFormat="1" x14ac:dyDescent="0.25">
      <c r="A29" s="396">
        <v>75006</v>
      </c>
      <c r="B29" s="402" t="s">
        <v>1165</v>
      </c>
      <c r="C29" s="403" t="s">
        <v>1166</v>
      </c>
      <c r="D29" s="407" t="s">
        <v>186</v>
      </c>
      <c r="E29" s="404" t="s">
        <v>48</v>
      </c>
      <c r="F29" s="71" t="s">
        <v>48</v>
      </c>
      <c r="G29" s="71" t="s">
        <v>48</v>
      </c>
      <c r="H29" s="71" t="s">
        <v>48</v>
      </c>
      <c r="I29" s="71">
        <v>40</v>
      </c>
      <c r="J29" s="343"/>
      <c r="K29" s="77"/>
      <c r="L29" s="77"/>
      <c r="M29" s="77"/>
      <c r="N29" s="77"/>
      <c r="O29" s="77"/>
      <c r="P29" s="344"/>
      <c r="Q29" s="371">
        <f t="shared" si="0"/>
        <v>40</v>
      </c>
      <c r="R29" s="405"/>
    </row>
    <row r="30" spans="1:18" s="4" customFormat="1" x14ac:dyDescent="0.25">
      <c r="A30" s="396">
        <v>75006</v>
      </c>
      <c r="B30" s="402" t="s">
        <v>922</v>
      </c>
      <c r="C30" s="403" t="s">
        <v>923</v>
      </c>
      <c r="D30" s="407" t="s">
        <v>186</v>
      </c>
      <c r="E30" s="404" t="s">
        <v>48</v>
      </c>
      <c r="F30" s="71" t="s">
        <v>48</v>
      </c>
      <c r="G30" s="71">
        <v>372</v>
      </c>
      <c r="H30" s="71" t="s">
        <v>48</v>
      </c>
      <c r="I30" s="71">
        <v>202</v>
      </c>
      <c r="J30" s="343"/>
      <c r="K30" s="77"/>
      <c r="L30" s="77"/>
      <c r="M30" s="77"/>
      <c r="N30" s="77"/>
      <c r="O30" s="77"/>
      <c r="P30" s="344"/>
      <c r="Q30" s="371">
        <f t="shared" si="0"/>
        <v>574</v>
      </c>
      <c r="R30" s="405"/>
    </row>
    <row r="31" spans="1:18" s="4" customFormat="1" x14ac:dyDescent="0.25">
      <c r="A31" s="396">
        <v>75006</v>
      </c>
      <c r="B31" s="402" t="s">
        <v>236</v>
      </c>
      <c r="C31" s="403" t="s">
        <v>237</v>
      </c>
      <c r="D31" s="407" t="s">
        <v>186</v>
      </c>
      <c r="E31" s="404">
        <v>558</v>
      </c>
      <c r="F31" s="71" t="s">
        <v>48</v>
      </c>
      <c r="G31" s="71">
        <v>40</v>
      </c>
      <c r="H31" s="71">
        <v>422</v>
      </c>
      <c r="I31" s="71">
        <v>1058</v>
      </c>
      <c r="J31" s="343"/>
      <c r="K31" s="77"/>
      <c r="L31" s="77"/>
      <c r="M31" s="77"/>
      <c r="N31" s="77"/>
      <c r="O31" s="77"/>
      <c r="P31" s="344"/>
      <c r="Q31" s="371">
        <f t="shared" si="0"/>
        <v>2078</v>
      </c>
      <c r="R31" s="411"/>
    </row>
    <row r="32" spans="1:18" s="4" customFormat="1" x14ac:dyDescent="0.25">
      <c r="A32" s="396">
        <v>75006</v>
      </c>
      <c r="B32" s="402" t="s">
        <v>783</v>
      </c>
      <c r="C32" s="403" t="s">
        <v>784</v>
      </c>
      <c r="D32" s="407" t="s">
        <v>188</v>
      </c>
      <c r="E32" s="404" t="s">
        <v>48</v>
      </c>
      <c r="F32" s="71" t="s">
        <v>48</v>
      </c>
      <c r="G32" s="71" t="s">
        <v>48</v>
      </c>
      <c r="H32" s="71">
        <v>194</v>
      </c>
      <c r="I32" s="71" t="s">
        <v>48</v>
      </c>
      <c r="J32" s="343"/>
      <c r="K32" s="77"/>
      <c r="L32" s="77"/>
      <c r="M32" s="77"/>
      <c r="N32" s="77"/>
      <c r="O32" s="77"/>
      <c r="P32" s="344"/>
      <c r="Q32" s="371">
        <f t="shared" si="0"/>
        <v>194</v>
      </c>
      <c r="R32" s="411"/>
    </row>
    <row r="33" spans="1:19" s="4" customFormat="1" x14ac:dyDescent="0.25">
      <c r="A33" s="396">
        <v>75006</v>
      </c>
      <c r="B33" s="402" t="s">
        <v>924</v>
      </c>
      <c r="C33" s="403" t="s">
        <v>925</v>
      </c>
      <c r="D33" s="407" t="s">
        <v>187</v>
      </c>
      <c r="E33" s="404" t="s">
        <v>48</v>
      </c>
      <c r="F33" s="71" t="s">
        <v>48</v>
      </c>
      <c r="G33" s="71">
        <v>336</v>
      </c>
      <c r="H33" s="71" t="s">
        <v>48</v>
      </c>
      <c r="I33" s="71">
        <v>120</v>
      </c>
      <c r="J33" s="343"/>
      <c r="K33" s="77"/>
      <c r="L33" s="77"/>
      <c r="M33" s="77"/>
      <c r="N33" s="77"/>
      <c r="O33" s="77"/>
      <c r="P33" s="344"/>
      <c r="Q33" s="371">
        <f t="shared" si="0"/>
        <v>456</v>
      </c>
      <c r="R33" s="411"/>
    </row>
    <row r="34" spans="1:19" s="4" customFormat="1" x14ac:dyDescent="0.25">
      <c r="A34" s="396">
        <v>75006</v>
      </c>
      <c r="B34" s="408" t="s">
        <v>1167</v>
      </c>
      <c r="C34" s="403" t="s">
        <v>1168</v>
      </c>
      <c r="D34" s="407" t="s">
        <v>187</v>
      </c>
      <c r="E34" s="404" t="s">
        <v>48</v>
      </c>
      <c r="F34" s="71" t="s">
        <v>48</v>
      </c>
      <c r="G34" s="71" t="s">
        <v>48</v>
      </c>
      <c r="H34" s="71" t="s">
        <v>48</v>
      </c>
      <c r="I34" s="346">
        <v>438</v>
      </c>
      <c r="J34" s="343"/>
      <c r="K34" s="77"/>
      <c r="L34" s="77"/>
      <c r="M34" s="77"/>
      <c r="N34" s="77"/>
      <c r="O34" s="77"/>
      <c r="P34" s="344"/>
      <c r="Q34" s="371">
        <f t="shared" si="0"/>
        <v>438</v>
      </c>
      <c r="R34" s="410" t="s">
        <v>1169</v>
      </c>
    </row>
    <row r="35" spans="1:19" s="4" customFormat="1" x14ac:dyDescent="0.25">
      <c r="A35" s="396">
        <v>75006</v>
      </c>
      <c r="B35" s="402" t="s">
        <v>361</v>
      </c>
      <c r="C35" s="403" t="s">
        <v>362</v>
      </c>
      <c r="D35" s="407" t="s">
        <v>187</v>
      </c>
      <c r="E35" s="404" t="s">
        <v>48</v>
      </c>
      <c r="F35" s="71">
        <v>229</v>
      </c>
      <c r="G35" s="71" t="s">
        <v>48</v>
      </c>
      <c r="H35" s="71">
        <v>100</v>
      </c>
      <c r="I35" s="71" t="s">
        <v>48</v>
      </c>
      <c r="J35" s="343"/>
      <c r="K35" s="77"/>
      <c r="L35" s="77"/>
      <c r="M35" s="77"/>
      <c r="N35" s="77"/>
      <c r="O35" s="77"/>
      <c r="P35" s="344"/>
      <c r="Q35" s="371">
        <f t="shared" si="0"/>
        <v>329</v>
      </c>
      <c r="R35" s="411"/>
    </row>
    <row r="36" spans="1:19" s="4" customFormat="1" x14ac:dyDescent="0.25">
      <c r="A36" s="279">
        <v>75006</v>
      </c>
      <c r="B36" s="402" t="s">
        <v>926</v>
      </c>
      <c r="C36" s="403" t="s">
        <v>927</v>
      </c>
      <c r="D36" s="407" t="s">
        <v>186</v>
      </c>
      <c r="E36" s="404" t="s">
        <v>48</v>
      </c>
      <c r="F36" s="71" t="s">
        <v>48</v>
      </c>
      <c r="G36" s="71">
        <v>228</v>
      </c>
      <c r="H36" s="71" t="s">
        <v>48</v>
      </c>
      <c r="I36" s="71">
        <v>242</v>
      </c>
      <c r="J36" s="343"/>
      <c r="K36" s="77"/>
      <c r="L36" s="77"/>
      <c r="M36" s="77"/>
      <c r="N36" s="77"/>
      <c r="O36" s="77"/>
      <c r="P36" s="344"/>
      <c r="Q36" s="371">
        <f t="shared" si="0"/>
        <v>470</v>
      </c>
      <c r="R36" s="412"/>
    </row>
    <row r="37" spans="1:19" s="4" customFormat="1" x14ac:dyDescent="0.25">
      <c r="A37" s="279">
        <v>75006</v>
      </c>
      <c r="B37" s="402" t="s">
        <v>785</v>
      </c>
      <c r="C37" s="403" t="s">
        <v>786</v>
      </c>
      <c r="D37" s="407" t="s">
        <v>188</v>
      </c>
      <c r="E37" s="404" t="s">
        <v>48</v>
      </c>
      <c r="F37" s="71" t="s">
        <v>48</v>
      </c>
      <c r="G37" s="71" t="s">
        <v>48</v>
      </c>
      <c r="H37" s="71">
        <v>200</v>
      </c>
      <c r="I37" s="71">
        <v>88</v>
      </c>
      <c r="J37" s="343"/>
      <c r="K37" s="77"/>
      <c r="L37" s="77"/>
      <c r="M37" s="77"/>
      <c r="N37" s="77"/>
      <c r="O37" s="77"/>
      <c r="P37" s="344"/>
      <c r="Q37" s="371">
        <f t="shared" si="0"/>
        <v>288</v>
      </c>
      <c r="R37" s="374"/>
    </row>
    <row r="38" spans="1:19" s="4" customFormat="1" ht="15.75" thickBot="1" x14ac:dyDescent="0.3">
      <c r="A38" s="279">
        <v>75006</v>
      </c>
      <c r="B38" s="402" t="s">
        <v>238</v>
      </c>
      <c r="C38" s="403" t="s">
        <v>239</v>
      </c>
      <c r="D38" s="407" t="s">
        <v>187</v>
      </c>
      <c r="E38" s="404">
        <v>408</v>
      </c>
      <c r="F38" s="71">
        <v>332</v>
      </c>
      <c r="G38" s="71">
        <v>652</v>
      </c>
      <c r="H38" s="71">
        <v>138</v>
      </c>
      <c r="I38" s="71">
        <v>303</v>
      </c>
      <c r="J38" s="343"/>
      <c r="K38" s="77"/>
      <c r="L38" s="77"/>
      <c r="M38" s="77"/>
      <c r="N38" s="77"/>
      <c r="O38" s="77"/>
      <c r="P38" s="344"/>
      <c r="Q38" s="371">
        <f t="shared" si="0"/>
        <v>1833</v>
      </c>
      <c r="R38" s="374"/>
    </row>
    <row r="39" spans="1:19" s="4" customFormat="1" ht="15.75" thickBot="1" x14ac:dyDescent="0.3">
      <c r="A39" s="382" t="s">
        <v>10</v>
      </c>
      <c r="B39" s="383">
        <f>SUBTOTAL(103,Ventes6ème[Hotel])</f>
        <v>35</v>
      </c>
      <c r="C39" s="384"/>
      <c r="D39" s="382"/>
      <c r="E39" s="385">
        <f>SUBTOTAL(109,Ventes6ème[Janv])</f>
        <v>2260</v>
      </c>
      <c r="F39" s="386">
        <f>SUBTOTAL(109,Ventes6ème[Fév])</f>
        <v>1613</v>
      </c>
      <c r="G39" s="387">
        <f>SUBTOTAL(109,Ventes6ème[mars])</f>
        <v>5367</v>
      </c>
      <c r="H39" s="334">
        <f>SUBTOTAL(109,Ventes6ème[Avril])</f>
        <v>6327</v>
      </c>
      <c r="I39" s="334">
        <f>SUBTOTAL(109,Ventes6ème[Mai])</f>
        <v>6917</v>
      </c>
      <c r="J39" s="334">
        <f>SUBTOTAL(109,Ventes6ème[Juin])</f>
        <v>0</v>
      </c>
      <c r="K39" s="334">
        <f>SUBTOTAL(109,Ventes6ème[Juillet])</f>
        <v>0</v>
      </c>
      <c r="L39" s="336">
        <f>SUBTOTAL(109,Ventes6ème[Août])</f>
        <v>0</v>
      </c>
      <c r="M39" s="336">
        <f>SUBTOTAL(109,Ventes6ème[Sept.])</f>
        <v>0</v>
      </c>
      <c r="N39" s="336">
        <f>SUBTOTAL(109,Ventes6ème[Oct])</f>
        <v>0</v>
      </c>
      <c r="O39" s="336">
        <f>SUBTOTAL(109,Ventes6ème[Nov.])</f>
        <v>0</v>
      </c>
      <c r="P39" s="337">
        <f>SUBTOTAL(109,Ventes6ème[déc])</f>
        <v>0</v>
      </c>
      <c r="Q39" s="388">
        <f>SUBTOTAL(109,Ventes6ème[TOTAL])</f>
        <v>22484</v>
      </c>
      <c r="R39" s="378"/>
      <c r="S39" s="80"/>
    </row>
    <row r="40" spans="1:19" s="4" customFormat="1" ht="15.75" thickBot="1" x14ac:dyDescent="0.3">
      <c r="A40" s="62"/>
      <c r="B40" s="62"/>
      <c r="C40" s="62"/>
      <c r="D40" s="62"/>
      <c r="E40" s="62"/>
      <c r="F40" s="62"/>
      <c r="G40" s="62"/>
      <c r="H40" s="62"/>
      <c r="I40" s="64"/>
      <c r="J40" s="62"/>
      <c r="K40" s="64"/>
      <c r="L40" s="335"/>
      <c r="M40" s="335"/>
      <c r="N40" s="335"/>
      <c r="O40" s="335"/>
      <c r="P40" s="335"/>
      <c r="Q40" s="64"/>
      <c r="R40" s="62"/>
      <c r="S40" s="80"/>
    </row>
    <row r="41" spans="1:19" ht="30" x14ac:dyDescent="0.25">
      <c r="A41" s="389" t="s">
        <v>36</v>
      </c>
      <c r="B41" s="338">
        <v>111</v>
      </c>
      <c r="C41" s="62"/>
      <c r="D41" s="62"/>
      <c r="E41" s="62"/>
      <c r="F41" s="62"/>
      <c r="G41" s="62"/>
      <c r="H41" s="62"/>
      <c r="I41" s="62"/>
      <c r="J41" s="390"/>
      <c r="K41" s="64"/>
      <c r="L41" s="335"/>
      <c r="M41" s="335"/>
      <c r="N41" s="335"/>
      <c r="O41" s="335"/>
      <c r="P41" s="335"/>
      <c r="Q41" s="64"/>
      <c r="R41" s="62"/>
    </row>
    <row r="42" spans="1:19" ht="30.75" thickBot="1" x14ac:dyDescent="0.3">
      <c r="A42" s="391" t="s">
        <v>1330</v>
      </c>
      <c r="B42" s="339">
        <f>Ventes6ème[[#Totals],[Hotel]]/B41</f>
        <v>0.31531531531531531</v>
      </c>
      <c r="C42" s="413" t="s">
        <v>46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34"/>
  <sheetViews>
    <sheetView zoomScale="80" zoomScaleNormal="80" workbookViewId="0">
      <selection activeCell="B6" sqref="B6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1332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279">
        <v>75007</v>
      </c>
      <c r="B4" s="281" t="s">
        <v>577</v>
      </c>
      <c r="C4" s="280" t="s">
        <v>578</v>
      </c>
      <c r="D4" s="414" t="s">
        <v>186</v>
      </c>
      <c r="E4" s="415">
        <v>54</v>
      </c>
      <c r="F4" s="71" t="s">
        <v>48</v>
      </c>
      <c r="G4" s="71" t="s">
        <v>48</v>
      </c>
      <c r="H4" s="71" t="s">
        <v>48</v>
      </c>
      <c r="I4" s="71">
        <v>89</v>
      </c>
      <c r="J4" s="343"/>
      <c r="K4" s="77"/>
      <c r="L4" s="77"/>
      <c r="M4" s="77"/>
      <c r="N4" s="77"/>
      <c r="O4" s="77"/>
      <c r="P4" s="344"/>
      <c r="Q4" s="371">
        <f t="shared" ref="Q4:Q30" si="0">SUM(E4:P4)</f>
        <v>143</v>
      </c>
      <c r="R4" s="282" t="s">
        <v>579</v>
      </c>
    </row>
    <row r="5" spans="1:19" s="4" customFormat="1" x14ac:dyDescent="0.25">
      <c r="A5" s="279">
        <v>75007</v>
      </c>
      <c r="B5" s="156" t="s">
        <v>580</v>
      </c>
      <c r="C5" s="280" t="s">
        <v>581</v>
      </c>
      <c r="D5" s="414" t="s">
        <v>187</v>
      </c>
      <c r="E5" s="400">
        <v>68</v>
      </c>
      <c r="F5" s="71" t="s">
        <v>48</v>
      </c>
      <c r="G5" s="71" t="s">
        <v>48</v>
      </c>
      <c r="H5" s="71">
        <v>124</v>
      </c>
      <c r="I5" s="71">
        <v>100</v>
      </c>
      <c r="J5" s="343"/>
      <c r="K5" s="77"/>
      <c r="L5" s="77"/>
      <c r="M5" s="77"/>
      <c r="N5" s="77"/>
      <c r="O5" s="77"/>
      <c r="P5" s="344"/>
      <c r="Q5" s="371">
        <f t="shared" si="0"/>
        <v>292</v>
      </c>
      <c r="R5" s="283"/>
    </row>
    <row r="6" spans="1:19" s="4" customFormat="1" ht="30" customHeight="1" x14ac:dyDescent="0.25">
      <c r="A6" s="279">
        <v>75007</v>
      </c>
      <c r="B6" s="156" t="s">
        <v>787</v>
      </c>
      <c r="C6" s="156" t="s">
        <v>788</v>
      </c>
      <c r="D6" s="416" t="s">
        <v>186</v>
      </c>
      <c r="E6" s="404" t="s">
        <v>48</v>
      </c>
      <c r="F6" s="71" t="s">
        <v>48</v>
      </c>
      <c r="G6" s="71">
        <v>262</v>
      </c>
      <c r="H6" s="71">
        <v>229</v>
      </c>
      <c r="I6" s="356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491</v>
      </c>
      <c r="R6" s="283"/>
    </row>
    <row r="7" spans="1:19" s="4" customFormat="1" x14ac:dyDescent="0.25">
      <c r="A7" s="396">
        <v>75007</v>
      </c>
      <c r="B7" s="156" t="s">
        <v>363</v>
      </c>
      <c r="C7" s="280" t="s">
        <v>364</v>
      </c>
      <c r="D7" s="414" t="s">
        <v>188</v>
      </c>
      <c r="E7" s="400" t="s">
        <v>48</v>
      </c>
      <c r="F7" s="71">
        <v>298</v>
      </c>
      <c r="G7" s="71">
        <v>327</v>
      </c>
      <c r="H7" s="71" t="s">
        <v>48</v>
      </c>
      <c r="I7" s="356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625</v>
      </c>
      <c r="R7" s="296"/>
    </row>
    <row r="8" spans="1:19" s="4" customFormat="1" x14ac:dyDescent="0.25">
      <c r="A8" s="396">
        <v>75007</v>
      </c>
      <c r="B8" s="109" t="s">
        <v>789</v>
      </c>
      <c r="C8" s="110" t="s">
        <v>790</v>
      </c>
      <c r="D8" s="416" t="s">
        <v>187</v>
      </c>
      <c r="E8" s="404" t="s">
        <v>48</v>
      </c>
      <c r="F8" s="356" t="s">
        <v>48</v>
      </c>
      <c r="G8" s="356" t="s">
        <v>48</v>
      </c>
      <c r="H8" s="356">
        <v>130</v>
      </c>
      <c r="I8" s="356" t="s">
        <v>48</v>
      </c>
      <c r="J8" s="343"/>
      <c r="K8" s="77"/>
      <c r="L8" s="77"/>
      <c r="M8" s="77"/>
      <c r="N8" s="77"/>
      <c r="O8" s="77"/>
      <c r="P8" s="344"/>
      <c r="Q8" s="371">
        <f t="shared" si="0"/>
        <v>130</v>
      </c>
      <c r="R8" s="185"/>
    </row>
    <row r="9" spans="1:19" s="4" customFormat="1" x14ac:dyDescent="0.25">
      <c r="A9" s="396">
        <v>75007</v>
      </c>
      <c r="B9" s="417" t="s">
        <v>240</v>
      </c>
      <c r="C9" s="417" t="s">
        <v>241</v>
      </c>
      <c r="D9" s="414" t="s">
        <v>188</v>
      </c>
      <c r="E9" s="400">
        <v>108</v>
      </c>
      <c r="F9" s="71">
        <v>338</v>
      </c>
      <c r="G9" s="71">
        <v>102</v>
      </c>
      <c r="H9" s="71">
        <v>40</v>
      </c>
      <c r="I9" s="356">
        <v>478</v>
      </c>
      <c r="J9" s="343"/>
      <c r="K9" s="77"/>
      <c r="L9" s="77"/>
      <c r="M9" s="77"/>
      <c r="N9" s="77"/>
      <c r="O9" s="77"/>
      <c r="P9" s="344"/>
      <c r="Q9" s="371">
        <f t="shared" si="0"/>
        <v>1066</v>
      </c>
      <c r="R9" s="30"/>
    </row>
    <row r="10" spans="1:19" s="4" customFormat="1" x14ac:dyDescent="0.25">
      <c r="A10" s="396">
        <v>75007</v>
      </c>
      <c r="B10" s="417" t="s">
        <v>365</v>
      </c>
      <c r="C10" s="417" t="s">
        <v>366</v>
      </c>
      <c r="D10" s="414" t="s">
        <v>187</v>
      </c>
      <c r="E10" s="400">
        <v>306</v>
      </c>
      <c r="F10" s="71">
        <v>158</v>
      </c>
      <c r="G10" s="71">
        <v>499</v>
      </c>
      <c r="H10" s="71">
        <v>756</v>
      </c>
      <c r="I10" s="356">
        <v>436</v>
      </c>
      <c r="J10" s="343"/>
      <c r="K10" s="77"/>
      <c r="L10" s="77"/>
      <c r="M10" s="77"/>
      <c r="N10" s="77"/>
      <c r="O10" s="77"/>
      <c r="P10" s="344"/>
      <c r="Q10" s="371">
        <f t="shared" si="0"/>
        <v>2155</v>
      </c>
      <c r="R10" s="30"/>
    </row>
    <row r="11" spans="1:19" s="4" customFormat="1" x14ac:dyDescent="0.25">
      <c r="A11" s="396">
        <v>75007</v>
      </c>
      <c r="B11" s="417" t="s">
        <v>242</v>
      </c>
      <c r="C11" s="417" t="s">
        <v>243</v>
      </c>
      <c r="D11" s="414" t="s">
        <v>186</v>
      </c>
      <c r="E11" s="401">
        <v>319</v>
      </c>
      <c r="F11" s="71">
        <v>638</v>
      </c>
      <c r="G11" s="71">
        <v>128</v>
      </c>
      <c r="H11" s="71">
        <v>236</v>
      </c>
      <c r="I11" s="356">
        <v>268</v>
      </c>
      <c r="J11" s="343"/>
      <c r="K11" s="77"/>
      <c r="L11" s="77"/>
      <c r="M11" s="77"/>
      <c r="N11" s="77"/>
      <c r="O11" s="77"/>
      <c r="P11" s="344"/>
      <c r="Q11" s="371">
        <f t="shared" ref="Q11:Q26" si="1">SUM(E11:P11)</f>
        <v>1589</v>
      </c>
      <c r="R11" s="30"/>
    </row>
    <row r="12" spans="1:19" s="4" customFormat="1" x14ac:dyDescent="0.25">
      <c r="A12" s="396">
        <v>75007</v>
      </c>
      <c r="B12" s="417" t="s">
        <v>367</v>
      </c>
      <c r="C12" s="417" t="s">
        <v>368</v>
      </c>
      <c r="D12" s="414" t="s">
        <v>186</v>
      </c>
      <c r="E12" s="400">
        <v>354</v>
      </c>
      <c r="F12" s="71">
        <v>284</v>
      </c>
      <c r="G12" s="71" t="s">
        <v>48</v>
      </c>
      <c r="H12" s="71">
        <v>418</v>
      </c>
      <c r="I12" s="356">
        <v>428</v>
      </c>
      <c r="J12" s="343"/>
      <c r="K12" s="77"/>
      <c r="L12" s="77"/>
      <c r="M12" s="77"/>
      <c r="N12" s="77"/>
      <c r="O12" s="77"/>
      <c r="P12" s="344"/>
      <c r="Q12" s="371">
        <f t="shared" si="1"/>
        <v>1484</v>
      </c>
      <c r="R12" s="30"/>
    </row>
    <row r="13" spans="1:19" s="4" customFormat="1" x14ac:dyDescent="0.25">
      <c r="A13" s="396">
        <v>75007</v>
      </c>
      <c r="B13" s="417" t="s">
        <v>244</v>
      </c>
      <c r="C13" s="417" t="s">
        <v>245</v>
      </c>
      <c r="D13" s="414" t="s">
        <v>188</v>
      </c>
      <c r="E13" s="400">
        <v>500</v>
      </c>
      <c r="F13" s="71" t="s">
        <v>48</v>
      </c>
      <c r="G13" s="71">
        <v>66</v>
      </c>
      <c r="H13" s="71" t="s">
        <v>48</v>
      </c>
      <c r="I13" s="356">
        <v>493</v>
      </c>
      <c r="J13" s="343"/>
      <c r="K13" s="77"/>
      <c r="L13" s="77"/>
      <c r="M13" s="77"/>
      <c r="N13" s="77"/>
      <c r="O13" s="77"/>
      <c r="P13" s="344"/>
      <c r="Q13" s="371">
        <f t="shared" si="1"/>
        <v>1059</v>
      </c>
      <c r="R13" s="30"/>
    </row>
    <row r="14" spans="1:19" s="4" customFormat="1" x14ac:dyDescent="0.25">
      <c r="A14" s="396">
        <v>75007</v>
      </c>
      <c r="B14" s="417" t="s">
        <v>791</v>
      </c>
      <c r="C14" s="417" t="s">
        <v>792</v>
      </c>
      <c r="D14" s="414" t="s">
        <v>188</v>
      </c>
      <c r="E14" s="400" t="s">
        <v>48</v>
      </c>
      <c r="F14" s="71" t="s">
        <v>48</v>
      </c>
      <c r="G14" s="71" t="s">
        <v>48</v>
      </c>
      <c r="H14" s="71">
        <v>72</v>
      </c>
      <c r="I14" s="356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72</v>
      </c>
      <c r="R14" s="30"/>
    </row>
    <row r="15" spans="1:19" s="4" customFormat="1" x14ac:dyDescent="0.25">
      <c r="A15" s="396">
        <v>75007</v>
      </c>
      <c r="B15" s="417" t="s">
        <v>1170</v>
      </c>
      <c r="C15" s="417" t="s">
        <v>1171</v>
      </c>
      <c r="D15" s="414" t="s">
        <v>186</v>
      </c>
      <c r="E15" s="400" t="s">
        <v>48</v>
      </c>
      <c r="F15" s="71" t="s">
        <v>48</v>
      </c>
      <c r="G15" s="71" t="s">
        <v>48</v>
      </c>
      <c r="H15" s="71" t="s">
        <v>48</v>
      </c>
      <c r="I15" s="356">
        <v>494</v>
      </c>
      <c r="J15" s="343"/>
      <c r="K15" s="77"/>
      <c r="L15" s="77"/>
      <c r="M15" s="77"/>
      <c r="N15" s="77"/>
      <c r="O15" s="77"/>
      <c r="P15" s="344"/>
      <c r="Q15" s="371">
        <f t="shared" si="1"/>
        <v>494</v>
      </c>
      <c r="R15" s="30"/>
    </row>
    <row r="16" spans="1:19" s="4" customFormat="1" x14ac:dyDescent="0.25">
      <c r="A16" s="396">
        <v>75007</v>
      </c>
      <c r="B16" s="418" t="s">
        <v>582</v>
      </c>
      <c r="C16" s="417" t="s">
        <v>583</v>
      </c>
      <c r="D16" s="414" t="s">
        <v>186</v>
      </c>
      <c r="E16" s="415">
        <v>229</v>
      </c>
      <c r="F16" s="71" t="s">
        <v>48</v>
      </c>
      <c r="G16" s="71" t="s">
        <v>48</v>
      </c>
      <c r="H16" s="71">
        <v>700</v>
      </c>
      <c r="I16" s="356">
        <v>120</v>
      </c>
      <c r="J16" s="343"/>
      <c r="K16" s="77"/>
      <c r="L16" s="77"/>
      <c r="M16" s="77"/>
      <c r="N16" s="77"/>
      <c r="O16" s="77"/>
      <c r="P16" s="344"/>
      <c r="Q16" s="371">
        <f t="shared" si="1"/>
        <v>1049</v>
      </c>
      <c r="R16" s="285" t="s">
        <v>584</v>
      </c>
    </row>
    <row r="17" spans="1:19" s="4" customFormat="1" x14ac:dyDescent="0.25">
      <c r="A17" s="396">
        <v>75007</v>
      </c>
      <c r="B17" s="417" t="s">
        <v>793</v>
      </c>
      <c r="C17" s="417" t="s">
        <v>794</v>
      </c>
      <c r="D17" s="414" t="s">
        <v>188</v>
      </c>
      <c r="E17" s="400" t="s">
        <v>48</v>
      </c>
      <c r="F17" s="71" t="s">
        <v>48</v>
      </c>
      <c r="G17" s="71" t="s">
        <v>48</v>
      </c>
      <c r="H17" s="71">
        <v>702</v>
      </c>
      <c r="I17" s="356" t="s">
        <v>48</v>
      </c>
      <c r="J17" s="343"/>
      <c r="K17" s="77"/>
      <c r="L17" s="77"/>
      <c r="M17" s="77"/>
      <c r="N17" s="77"/>
      <c r="O17" s="77"/>
      <c r="P17" s="344"/>
      <c r="Q17" s="371">
        <f t="shared" si="1"/>
        <v>702</v>
      </c>
      <c r="R17" s="405"/>
    </row>
    <row r="18" spans="1:19" s="4" customFormat="1" x14ac:dyDescent="0.25">
      <c r="A18" s="396">
        <v>75007</v>
      </c>
      <c r="B18" s="417" t="s">
        <v>928</v>
      </c>
      <c r="C18" s="417" t="s">
        <v>929</v>
      </c>
      <c r="D18" s="414" t="s">
        <v>187</v>
      </c>
      <c r="E18" s="400" t="s">
        <v>48</v>
      </c>
      <c r="F18" s="71" t="s">
        <v>48</v>
      </c>
      <c r="G18" s="71">
        <v>258</v>
      </c>
      <c r="H18" s="71" t="s">
        <v>48</v>
      </c>
      <c r="I18" s="356" t="s">
        <v>48</v>
      </c>
      <c r="J18" s="343"/>
      <c r="K18" s="77"/>
      <c r="L18" s="77"/>
      <c r="M18" s="77"/>
      <c r="N18" s="77"/>
      <c r="O18" s="77"/>
      <c r="P18" s="344"/>
      <c r="Q18" s="371">
        <f t="shared" si="1"/>
        <v>258</v>
      </c>
      <c r="R18" s="405"/>
    </row>
    <row r="19" spans="1:19" s="4" customFormat="1" x14ac:dyDescent="0.25">
      <c r="A19" s="396">
        <v>75007</v>
      </c>
      <c r="B19" s="417" t="s">
        <v>795</v>
      </c>
      <c r="C19" s="417" t="s">
        <v>796</v>
      </c>
      <c r="D19" s="414" t="s">
        <v>187</v>
      </c>
      <c r="E19" s="400" t="s">
        <v>48</v>
      </c>
      <c r="F19" s="71" t="s">
        <v>48</v>
      </c>
      <c r="G19" s="71" t="s">
        <v>48</v>
      </c>
      <c r="H19" s="71">
        <v>172</v>
      </c>
      <c r="I19" s="356">
        <v>158</v>
      </c>
      <c r="J19" s="343"/>
      <c r="K19" s="77"/>
      <c r="L19" s="77"/>
      <c r="M19" s="77"/>
      <c r="N19" s="77"/>
      <c r="O19" s="77"/>
      <c r="P19" s="344"/>
      <c r="Q19" s="371">
        <f t="shared" si="1"/>
        <v>330</v>
      </c>
      <c r="R19" s="405"/>
    </row>
    <row r="20" spans="1:19" s="4" customFormat="1" x14ac:dyDescent="0.25">
      <c r="A20" s="396">
        <v>75007</v>
      </c>
      <c r="B20" s="417" t="s">
        <v>246</v>
      </c>
      <c r="C20" s="417" t="s">
        <v>247</v>
      </c>
      <c r="D20" s="414" t="s">
        <v>188</v>
      </c>
      <c r="E20" s="400">
        <v>120</v>
      </c>
      <c r="F20" s="71" t="s">
        <v>48</v>
      </c>
      <c r="G20" s="71">
        <v>68</v>
      </c>
      <c r="H20" s="71">
        <v>588</v>
      </c>
      <c r="I20" s="356">
        <v>229</v>
      </c>
      <c r="J20" s="343"/>
      <c r="K20" s="77"/>
      <c r="L20" s="77"/>
      <c r="M20" s="77"/>
      <c r="N20" s="77"/>
      <c r="O20" s="77"/>
      <c r="P20" s="344"/>
      <c r="Q20" s="371">
        <f t="shared" si="1"/>
        <v>1005</v>
      </c>
      <c r="R20" s="405"/>
    </row>
    <row r="21" spans="1:19" s="4" customFormat="1" x14ac:dyDescent="0.25">
      <c r="A21" s="396">
        <v>75007</v>
      </c>
      <c r="B21" s="417" t="s">
        <v>369</v>
      </c>
      <c r="C21" s="417" t="s">
        <v>370</v>
      </c>
      <c r="D21" s="414" t="s">
        <v>186</v>
      </c>
      <c r="E21" s="400" t="s">
        <v>48</v>
      </c>
      <c r="F21" s="71">
        <v>68</v>
      </c>
      <c r="G21" s="71">
        <v>298</v>
      </c>
      <c r="H21" s="71">
        <v>406</v>
      </c>
      <c r="I21" s="356">
        <v>700</v>
      </c>
      <c r="J21" s="343"/>
      <c r="K21" s="77"/>
      <c r="L21" s="77"/>
      <c r="M21" s="77"/>
      <c r="N21" s="77"/>
      <c r="O21" s="77"/>
      <c r="P21" s="344"/>
      <c r="Q21" s="371">
        <f t="shared" si="1"/>
        <v>1472</v>
      </c>
      <c r="R21" s="405"/>
    </row>
    <row r="22" spans="1:19" s="4" customFormat="1" x14ac:dyDescent="0.25">
      <c r="A22" s="396">
        <v>75007</v>
      </c>
      <c r="B22" s="417" t="s">
        <v>371</v>
      </c>
      <c r="C22" s="417" t="s">
        <v>372</v>
      </c>
      <c r="D22" s="414" t="s">
        <v>187</v>
      </c>
      <c r="E22" s="400" t="s">
        <v>48</v>
      </c>
      <c r="F22" s="71">
        <v>153</v>
      </c>
      <c r="G22" s="71">
        <v>300</v>
      </c>
      <c r="H22" s="71">
        <v>254</v>
      </c>
      <c r="I22" s="356">
        <v>306</v>
      </c>
      <c r="J22" s="343"/>
      <c r="K22" s="77"/>
      <c r="L22" s="77"/>
      <c r="M22" s="77"/>
      <c r="N22" s="77"/>
      <c r="O22" s="77"/>
      <c r="P22" s="344"/>
      <c r="Q22" s="371">
        <f t="shared" si="1"/>
        <v>1013</v>
      </c>
      <c r="R22" s="405"/>
    </row>
    <row r="23" spans="1:19" s="4" customFormat="1" x14ac:dyDescent="0.25">
      <c r="A23" s="396">
        <v>75007</v>
      </c>
      <c r="B23" s="417" t="s">
        <v>373</v>
      </c>
      <c r="C23" s="417" t="s">
        <v>374</v>
      </c>
      <c r="D23" s="414" t="s">
        <v>187</v>
      </c>
      <c r="E23" s="400">
        <v>552</v>
      </c>
      <c r="F23" s="71">
        <v>232</v>
      </c>
      <c r="G23" s="71" t="s">
        <v>48</v>
      </c>
      <c r="H23" s="71">
        <v>32</v>
      </c>
      <c r="I23" s="356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816</v>
      </c>
      <c r="R23" s="405"/>
    </row>
    <row r="24" spans="1:19" s="4" customFormat="1" x14ac:dyDescent="0.25">
      <c r="A24" s="396">
        <v>75007</v>
      </c>
      <c r="B24" s="417" t="s">
        <v>797</v>
      </c>
      <c r="C24" s="417" t="s">
        <v>798</v>
      </c>
      <c r="D24" s="414" t="s">
        <v>187</v>
      </c>
      <c r="E24" s="400" t="s">
        <v>48</v>
      </c>
      <c r="F24" s="71" t="s">
        <v>48</v>
      </c>
      <c r="G24" s="71">
        <v>218</v>
      </c>
      <c r="H24" s="71">
        <v>229</v>
      </c>
      <c r="I24" s="356">
        <v>216</v>
      </c>
      <c r="J24" s="343"/>
      <c r="K24" s="77"/>
      <c r="L24" s="77"/>
      <c r="M24" s="77"/>
      <c r="N24" s="77"/>
      <c r="O24" s="77"/>
      <c r="P24" s="344"/>
      <c r="Q24" s="371">
        <f t="shared" si="1"/>
        <v>663</v>
      </c>
      <c r="R24" s="405"/>
    </row>
    <row r="25" spans="1:19" s="4" customFormat="1" x14ac:dyDescent="0.25">
      <c r="A25" s="396">
        <v>75007</v>
      </c>
      <c r="B25" s="417" t="s">
        <v>585</v>
      </c>
      <c r="C25" s="417" t="s">
        <v>586</v>
      </c>
      <c r="D25" s="414" t="s">
        <v>188</v>
      </c>
      <c r="E25" s="400">
        <v>218</v>
      </c>
      <c r="F25" s="71" t="s">
        <v>48</v>
      </c>
      <c r="G25" s="71">
        <v>816</v>
      </c>
      <c r="H25" s="71">
        <v>194</v>
      </c>
      <c r="I25" s="356">
        <v>454</v>
      </c>
      <c r="J25" s="343"/>
      <c r="K25" s="77"/>
      <c r="L25" s="77"/>
      <c r="M25" s="77"/>
      <c r="N25" s="77"/>
      <c r="O25" s="77"/>
      <c r="P25" s="344"/>
      <c r="Q25" s="371">
        <f t="shared" si="1"/>
        <v>1682</v>
      </c>
      <c r="R25" s="405"/>
    </row>
    <row r="26" spans="1:19" s="4" customFormat="1" x14ac:dyDescent="0.25">
      <c r="A26" s="396">
        <v>75007</v>
      </c>
      <c r="B26" s="417" t="s">
        <v>799</v>
      </c>
      <c r="C26" s="417" t="s">
        <v>800</v>
      </c>
      <c r="D26" s="414" t="s">
        <v>186</v>
      </c>
      <c r="E26" s="400" t="s">
        <v>48</v>
      </c>
      <c r="F26" s="71" t="s">
        <v>48</v>
      </c>
      <c r="G26" s="71" t="s">
        <v>48</v>
      </c>
      <c r="H26" s="71">
        <v>188</v>
      </c>
      <c r="I26" s="356" t="s">
        <v>48</v>
      </c>
      <c r="J26" s="343"/>
      <c r="K26" s="77"/>
      <c r="L26" s="77"/>
      <c r="M26" s="77"/>
      <c r="N26" s="77"/>
      <c r="O26" s="77"/>
      <c r="P26" s="344"/>
      <c r="Q26" s="371">
        <f t="shared" si="1"/>
        <v>188</v>
      </c>
      <c r="R26" s="405"/>
    </row>
    <row r="27" spans="1:19" s="4" customFormat="1" x14ac:dyDescent="0.25">
      <c r="A27" s="396">
        <v>75007</v>
      </c>
      <c r="B27" s="417" t="s">
        <v>375</v>
      </c>
      <c r="C27" s="417" t="s">
        <v>376</v>
      </c>
      <c r="D27" s="414" t="s">
        <v>187</v>
      </c>
      <c r="E27" s="400" t="s">
        <v>48</v>
      </c>
      <c r="F27" s="71">
        <v>200</v>
      </c>
      <c r="G27" s="71">
        <v>591</v>
      </c>
      <c r="H27" s="71" t="s">
        <v>48</v>
      </c>
      <c r="I27" s="356" t="s">
        <v>48</v>
      </c>
      <c r="J27" s="343"/>
      <c r="K27" s="77"/>
      <c r="L27" s="77"/>
      <c r="M27" s="77"/>
      <c r="N27" s="77"/>
      <c r="O27" s="77"/>
      <c r="P27" s="344"/>
      <c r="Q27" s="371">
        <f t="shared" si="0"/>
        <v>791</v>
      </c>
      <c r="R27" s="405"/>
    </row>
    <row r="28" spans="1:19" s="4" customFormat="1" x14ac:dyDescent="0.25">
      <c r="A28" s="396">
        <v>75007</v>
      </c>
      <c r="B28" s="417" t="s">
        <v>248</v>
      </c>
      <c r="C28" s="417" t="s">
        <v>249</v>
      </c>
      <c r="D28" s="414" t="s">
        <v>186</v>
      </c>
      <c r="E28" s="400">
        <v>200</v>
      </c>
      <c r="F28" s="71" t="s">
        <v>48</v>
      </c>
      <c r="G28" s="71" t="s">
        <v>48</v>
      </c>
      <c r="H28" s="71">
        <v>196</v>
      </c>
      <c r="I28" s="356" t="s">
        <v>48</v>
      </c>
      <c r="J28" s="343"/>
      <c r="K28" s="77"/>
      <c r="L28" s="77"/>
      <c r="M28" s="77"/>
      <c r="N28" s="77"/>
      <c r="O28" s="77"/>
      <c r="P28" s="344"/>
      <c r="Q28" s="371">
        <f t="shared" si="0"/>
        <v>396</v>
      </c>
      <c r="R28" s="405"/>
    </row>
    <row r="29" spans="1:19" s="4" customFormat="1" x14ac:dyDescent="0.25">
      <c r="A29" s="396">
        <v>75007</v>
      </c>
      <c r="B29" s="417" t="s">
        <v>801</v>
      </c>
      <c r="C29" s="417" t="s">
        <v>802</v>
      </c>
      <c r="D29" s="414" t="s">
        <v>186</v>
      </c>
      <c r="E29" s="400" t="s">
        <v>48</v>
      </c>
      <c r="F29" s="71" t="s">
        <v>48</v>
      </c>
      <c r="G29" s="71" t="s">
        <v>48</v>
      </c>
      <c r="H29" s="71">
        <v>240</v>
      </c>
      <c r="I29" s="356">
        <v>300</v>
      </c>
      <c r="J29" s="343"/>
      <c r="K29" s="77"/>
      <c r="L29" s="77"/>
      <c r="M29" s="77"/>
      <c r="N29" s="77"/>
      <c r="O29" s="77"/>
      <c r="P29" s="344"/>
      <c r="Q29" s="371">
        <f t="shared" si="0"/>
        <v>540</v>
      </c>
      <c r="R29" s="405"/>
    </row>
    <row r="30" spans="1:19" s="4" customFormat="1" ht="15.75" thickBot="1" x14ac:dyDescent="0.3">
      <c r="A30" s="396">
        <v>75007</v>
      </c>
      <c r="B30" s="417" t="s">
        <v>377</v>
      </c>
      <c r="C30" s="417" t="s">
        <v>378</v>
      </c>
      <c r="D30" s="414" t="s">
        <v>188</v>
      </c>
      <c r="E30" s="400" t="s">
        <v>48</v>
      </c>
      <c r="F30" s="71">
        <v>229</v>
      </c>
      <c r="G30" s="71">
        <v>118</v>
      </c>
      <c r="H30" s="71">
        <v>181</v>
      </c>
      <c r="I30" s="356">
        <v>122</v>
      </c>
      <c r="J30" s="343"/>
      <c r="K30" s="77"/>
      <c r="L30" s="77"/>
      <c r="M30" s="77"/>
      <c r="N30" s="77"/>
      <c r="O30" s="77"/>
      <c r="P30" s="344"/>
      <c r="Q30" s="371">
        <f t="shared" si="0"/>
        <v>650</v>
      </c>
      <c r="R30" s="405"/>
    </row>
    <row r="31" spans="1:19" s="4" customFormat="1" ht="15.75" thickBot="1" x14ac:dyDescent="0.3">
      <c r="A31" s="382" t="s">
        <v>10</v>
      </c>
      <c r="B31" s="383">
        <f>SUBTOTAL(103,Ventes7ème[Hotel])</f>
        <v>27</v>
      </c>
      <c r="C31" s="384"/>
      <c r="D31" s="382"/>
      <c r="E31" s="385">
        <f>SUBTOTAL(109,Ventes7ème[Janv])</f>
        <v>3028</v>
      </c>
      <c r="F31" s="386">
        <f>SUBTOTAL(109,Ventes7ème[Fév])</f>
        <v>2598</v>
      </c>
      <c r="G31" s="387">
        <f>SUBTOTAL(109,Ventes7ème[mars])</f>
        <v>4051</v>
      </c>
      <c r="H31" s="334">
        <f>SUBTOTAL(109,Ventes7ème[Avril])</f>
        <v>6087</v>
      </c>
      <c r="I31" s="334">
        <f>SUBTOTAL(109,Ventes7ème[Mai])</f>
        <v>5391</v>
      </c>
      <c r="J31" s="334">
        <f>SUBTOTAL(109,Ventes7ème[Juin])</f>
        <v>0</v>
      </c>
      <c r="K31" s="334">
        <f>SUBTOTAL(109,Ventes7ème[Juillet])</f>
        <v>0</v>
      </c>
      <c r="L31" s="336">
        <f>SUBTOTAL(109,Ventes7ème[Août])</f>
        <v>0</v>
      </c>
      <c r="M31" s="336">
        <f>SUBTOTAL(109,Ventes7ème[Sept.])</f>
        <v>0</v>
      </c>
      <c r="N31" s="336">
        <f>SUBTOTAL(109,Ventes7ème[Oct])</f>
        <v>0</v>
      </c>
      <c r="O31" s="336">
        <f>SUBTOTAL(109,Ventes7ème[Nov.])</f>
        <v>0</v>
      </c>
      <c r="P31" s="337">
        <f>SUBTOTAL(109,Ventes7ème[déc])</f>
        <v>0</v>
      </c>
      <c r="Q31" s="388">
        <f>SUBTOTAL(109,Ventes7ème[TOTAL])</f>
        <v>21155</v>
      </c>
      <c r="R31" s="378"/>
      <c r="S31" s="80"/>
    </row>
    <row r="32" spans="1:19" s="4" customFormat="1" ht="15.75" thickBot="1" x14ac:dyDescent="0.3">
      <c r="A32" s="62"/>
      <c r="B32" s="62"/>
      <c r="C32" s="62"/>
      <c r="D32" s="62"/>
      <c r="E32" s="62"/>
      <c r="F32" s="62"/>
      <c r="G32" s="62"/>
      <c r="H32" s="62"/>
      <c r="I32" s="64"/>
      <c r="J32" s="62"/>
      <c r="K32" s="64"/>
      <c r="L32" s="335"/>
      <c r="M32" s="335"/>
      <c r="N32" s="335"/>
      <c r="O32" s="335"/>
      <c r="P32" s="335"/>
      <c r="Q32" s="64"/>
      <c r="R32" s="62"/>
      <c r="S32" s="80"/>
    </row>
    <row r="33" spans="1:18" ht="30" x14ac:dyDescent="0.25">
      <c r="A33" s="389" t="s">
        <v>36</v>
      </c>
      <c r="B33" s="338">
        <v>64</v>
      </c>
      <c r="C33" s="62"/>
      <c r="D33" s="62"/>
      <c r="E33" s="62"/>
      <c r="F33" s="62"/>
      <c r="G33" s="62"/>
      <c r="H33" s="62"/>
      <c r="I33" s="62"/>
      <c r="J33" s="390"/>
      <c r="K33" s="64"/>
      <c r="L33" s="335"/>
      <c r="M33" s="335"/>
      <c r="N33" s="335"/>
      <c r="O33" s="335"/>
      <c r="P33" s="335"/>
      <c r="Q33" s="64"/>
      <c r="R33" s="62"/>
    </row>
    <row r="34" spans="1:18" ht="30.75" thickBot="1" x14ac:dyDescent="0.3">
      <c r="A34" s="391" t="s">
        <v>1330</v>
      </c>
      <c r="B34" s="339">
        <f>Ventes7ème[[#Totals],[Hotel]]/B33</f>
        <v>0.421875</v>
      </c>
      <c r="C34" s="413" t="s">
        <v>46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55"/>
  <sheetViews>
    <sheetView zoomScale="80" zoomScaleNormal="80" workbookViewId="0">
      <selection activeCell="B13" sqref="B13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1333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ht="30" x14ac:dyDescent="0.25">
      <c r="A4" s="279">
        <v>75008</v>
      </c>
      <c r="B4" s="420" t="s">
        <v>803</v>
      </c>
      <c r="C4" s="420" t="s">
        <v>804</v>
      </c>
      <c r="D4" s="421" t="s">
        <v>186</v>
      </c>
      <c r="E4" s="422" t="s">
        <v>48</v>
      </c>
      <c r="F4" s="423" t="s">
        <v>48</v>
      </c>
      <c r="G4" s="423">
        <v>383</v>
      </c>
      <c r="H4" s="424">
        <v>456</v>
      </c>
      <c r="I4" s="424">
        <v>383</v>
      </c>
      <c r="J4" s="343"/>
      <c r="K4" s="77"/>
      <c r="L4" s="77"/>
      <c r="M4" s="77"/>
      <c r="N4" s="77"/>
      <c r="O4" s="77"/>
      <c r="P4" s="344"/>
      <c r="Q4" s="371">
        <f t="shared" ref="Q4:Q51" si="0">SUM(E4:P4)</f>
        <v>1222</v>
      </c>
      <c r="R4" s="91"/>
    </row>
    <row r="5" spans="1:19" s="4" customFormat="1" x14ac:dyDescent="0.25">
      <c r="A5" s="279">
        <v>75008</v>
      </c>
      <c r="B5" s="420" t="s">
        <v>930</v>
      </c>
      <c r="C5" s="420" t="s">
        <v>931</v>
      </c>
      <c r="D5" s="421" t="s">
        <v>186</v>
      </c>
      <c r="E5" s="422" t="s">
        <v>48</v>
      </c>
      <c r="F5" s="423" t="s">
        <v>48</v>
      </c>
      <c r="G5" s="423">
        <v>366</v>
      </c>
      <c r="H5" s="423" t="s">
        <v>48</v>
      </c>
      <c r="I5" s="424">
        <v>120</v>
      </c>
      <c r="J5" s="343"/>
      <c r="K5" s="77"/>
      <c r="L5" s="77"/>
      <c r="M5" s="77"/>
      <c r="N5" s="77"/>
      <c r="O5" s="77"/>
      <c r="P5" s="344"/>
      <c r="Q5" s="371">
        <f t="shared" si="0"/>
        <v>486</v>
      </c>
      <c r="R5" s="91"/>
    </row>
    <row r="6" spans="1:19" s="4" customFormat="1" x14ac:dyDescent="0.25">
      <c r="A6" s="279">
        <v>75008</v>
      </c>
      <c r="B6" s="420" t="s">
        <v>932</v>
      </c>
      <c r="C6" s="420" t="s">
        <v>933</v>
      </c>
      <c r="D6" s="421" t="s">
        <v>186</v>
      </c>
      <c r="E6" s="422" t="s">
        <v>48</v>
      </c>
      <c r="F6" s="423" t="s">
        <v>48</v>
      </c>
      <c r="G6" s="423">
        <v>309</v>
      </c>
      <c r="H6" s="423" t="s">
        <v>48</v>
      </c>
      <c r="I6" s="423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309</v>
      </c>
      <c r="R6" s="91"/>
    </row>
    <row r="7" spans="1:19" s="4" customFormat="1" x14ac:dyDescent="0.25">
      <c r="A7" s="279">
        <v>75008</v>
      </c>
      <c r="B7" s="420" t="s">
        <v>934</v>
      </c>
      <c r="C7" s="420" t="s">
        <v>935</v>
      </c>
      <c r="D7" s="421" t="s">
        <v>187</v>
      </c>
      <c r="E7" s="422" t="s">
        <v>48</v>
      </c>
      <c r="F7" s="423" t="s">
        <v>48</v>
      </c>
      <c r="G7" s="423">
        <v>338</v>
      </c>
      <c r="H7" s="423" t="s">
        <v>48</v>
      </c>
      <c r="I7" s="423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338</v>
      </c>
      <c r="R7" s="91"/>
    </row>
    <row r="8" spans="1:19" s="4" customFormat="1" x14ac:dyDescent="0.25">
      <c r="A8" s="279">
        <v>75008</v>
      </c>
      <c r="B8" s="420" t="s">
        <v>1107</v>
      </c>
      <c r="C8" s="420" t="s">
        <v>1108</v>
      </c>
      <c r="D8" s="421" t="s">
        <v>186</v>
      </c>
      <c r="E8" s="422" t="s">
        <v>48</v>
      </c>
      <c r="F8" s="423" t="s">
        <v>48</v>
      </c>
      <c r="G8" s="423" t="s">
        <v>48</v>
      </c>
      <c r="H8" s="423">
        <v>103</v>
      </c>
      <c r="I8" s="423">
        <v>1059</v>
      </c>
      <c r="J8" s="343"/>
      <c r="K8" s="77"/>
      <c r="L8" s="77"/>
      <c r="M8" s="77"/>
      <c r="N8" s="77"/>
      <c r="O8" s="77"/>
      <c r="P8" s="344"/>
      <c r="Q8" s="371">
        <f t="shared" si="0"/>
        <v>1162</v>
      </c>
      <c r="R8" s="91"/>
    </row>
    <row r="9" spans="1:19" s="4" customFormat="1" x14ac:dyDescent="0.25">
      <c r="A9" s="279">
        <v>75008</v>
      </c>
      <c r="B9" s="420" t="s">
        <v>805</v>
      </c>
      <c r="C9" s="420" t="s">
        <v>806</v>
      </c>
      <c r="D9" s="421" t="s">
        <v>188</v>
      </c>
      <c r="E9" s="422" t="s">
        <v>48</v>
      </c>
      <c r="F9" s="423" t="s">
        <v>48</v>
      </c>
      <c r="G9" s="423" t="s">
        <v>48</v>
      </c>
      <c r="H9" s="424">
        <v>40</v>
      </c>
      <c r="I9" s="423" t="s">
        <v>48</v>
      </c>
      <c r="J9" s="343"/>
      <c r="K9" s="77"/>
      <c r="L9" s="77"/>
      <c r="M9" s="77"/>
      <c r="N9" s="77"/>
      <c r="O9" s="77"/>
      <c r="P9" s="344"/>
      <c r="Q9" s="371">
        <f t="shared" si="0"/>
        <v>40</v>
      </c>
      <c r="R9" s="91"/>
    </row>
    <row r="10" spans="1:19" s="4" customFormat="1" x14ac:dyDescent="0.25">
      <c r="A10" s="279">
        <v>75008</v>
      </c>
      <c r="B10" s="425" t="s">
        <v>1172</v>
      </c>
      <c r="C10" s="420" t="s">
        <v>1173</v>
      </c>
      <c r="D10" s="421" t="s">
        <v>188</v>
      </c>
      <c r="E10" s="422" t="s">
        <v>48</v>
      </c>
      <c r="F10" s="423" t="s">
        <v>48</v>
      </c>
      <c r="G10" s="423" t="s">
        <v>48</v>
      </c>
      <c r="H10" s="423" t="s">
        <v>48</v>
      </c>
      <c r="I10" s="426">
        <v>340</v>
      </c>
      <c r="J10" s="343"/>
      <c r="K10" s="77"/>
      <c r="L10" s="77"/>
      <c r="M10" s="77"/>
      <c r="N10" s="77"/>
      <c r="O10" s="77"/>
      <c r="P10" s="344"/>
      <c r="Q10" s="371">
        <f t="shared" ref="Q10:Q19" si="1">SUM(E10:P10)</f>
        <v>340</v>
      </c>
      <c r="R10" s="278" t="s">
        <v>1176</v>
      </c>
    </row>
    <row r="11" spans="1:19" s="4" customFormat="1" x14ac:dyDescent="0.25">
      <c r="A11" s="279">
        <v>75008</v>
      </c>
      <c r="B11" s="420" t="s">
        <v>1174</v>
      </c>
      <c r="C11" s="420" t="s">
        <v>1175</v>
      </c>
      <c r="D11" s="421" t="s">
        <v>186</v>
      </c>
      <c r="E11" s="422" t="s">
        <v>48</v>
      </c>
      <c r="F11" s="423" t="s">
        <v>48</v>
      </c>
      <c r="G11" s="423" t="s">
        <v>48</v>
      </c>
      <c r="H11" s="423" t="s">
        <v>48</v>
      </c>
      <c r="I11" s="423">
        <v>44</v>
      </c>
      <c r="J11" s="343"/>
      <c r="K11" s="77"/>
      <c r="L11" s="77"/>
      <c r="M11" s="77"/>
      <c r="N11" s="77"/>
      <c r="O11" s="77"/>
      <c r="P11" s="344"/>
      <c r="Q11" s="371">
        <f t="shared" si="1"/>
        <v>44</v>
      </c>
      <c r="R11" s="91"/>
    </row>
    <row r="12" spans="1:19" s="4" customFormat="1" x14ac:dyDescent="0.25">
      <c r="A12" s="396">
        <v>75008</v>
      </c>
      <c r="B12" s="420" t="s">
        <v>250</v>
      </c>
      <c r="C12" s="420" t="s">
        <v>251</v>
      </c>
      <c r="D12" s="154" t="s">
        <v>188</v>
      </c>
      <c r="E12" s="422">
        <v>542</v>
      </c>
      <c r="F12" s="423">
        <v>353</v>
      </c>
      <c r="G12" s="423">
        <v>236</v>
      </c>
      <c r="H12" s="424">
        <v>778</v>
      </c>
      <c r="I12" s="423">
        <v>1200</v>
      </c>
      <c r="J12" s="343"/>
      <c r="K12" s="77"/>
      <c r="L12" s="77"/>
      <c r="M12" s="77"/>
      <c r="N12" s="77"/>
      <c r="O12" s="77"/>
      <c r="P12" s="344"/>
      <c r="Q12" s="371">
        <f t="shared" si="1"/>
        <v>3109</v>
      </c>
      <c r="R12" s="91"/>
    </row>
    <row r="13" spans="1:19" s="4" customFormat="1" x14ac:dyDescent="0.25">
      <c r="A13" s="396">
        <v>75008</v>
      </c>
      <c r="B13" s="420" t="s">
        <v>807</v>
      </c>
      <c r="C13" s="420" t="s">
        <v>808</v>
      </c>
      <c r="D13" s="154" t="s">
        <v>186</v>
      </c>
      <c r="E13" s="422" t="s">
        <v>48</v>
      </c>
      <c r="F13" s="423" t="s">
        <v>48</v>
      </c>
      <c r="G13" s="423">
        <v>306</v>
      </c>
      <c r="H13" s="424">
        <v>166</v>
      </c>
      <c r="I13" s="423" t="s">
        <v>48</v>
      </c>
      <c r="J13" s="343"/>
      <c r="K13" s="77"/>
      <c r="L13" s="77"/>
      <c r="M13" s="77"/>
      <c r="N13" s="77"/>
      <c r="O13" s="77"/>
      <c r="P13" s="344"/>
      <c r="Q13" s="371">
        <f t="shared" si="1"/>
        <v>472</v>
      </c>
      <c r="R13" s="91"/>
    </row>
    <row r="14" spans="1:19" s="4" customFormat="1" ht="30" x14ac:dyDescent="0.25">
      <c r="A14" s="396">
        <v>75008</v>
      </c>
      <c r="B14" s="420" t="s">
        <v>1177</v>
      </c>
      <c r="C14" s="420" t="s">
        <v>1178</v>
      </c>
      <c r="D14" s="154" t="s">
        <v>188</v>
      </c>
      <c r="E14" s="422" t="s">
        <v>48</v>
      </c>
      <c r="F14" s="423" t="s">
        <v>48</v>
      </c>
      <c r="G14" s="423" t="s">
        <v>48</v>
      </c>
      <c r="H14" s="423" t="s">
        <v>48</v>
      </c>
      <c r="I14" s="423">
        <v>97</v>
      </c>
      <c r="J14" s="343"/>
      <c r="K14" s="77"/>
      <c r="L14" s="77"/>
      <c r="M14" s="77"/>
      <c r="N14" s="77"/>
      <c r="O14" s="77"/>
      <c r="P14" s="344"/>
      <c r="Q14" s="371">
        <f t="shared" si="1"/>
        <v>97</v>
      </c>
      <c r="R14" s="91"/>
    </row>
    <row r="15" spans="1:19" s="4" customFormat="1" x14ac:dyDescent="0.25">
      <c r="A15" s="396">
        <v>75008</v>
      </c>
      <c r="B15" s="420" t="s">
        <v>809</v>
      </c>
      <c r="C15" s="420" t="s">
        <v>810</v>
      </c>
      <c r="D15" s="154" t="s">
        <v>188</v>
      </c>
      <c r="E15" s="422" t="s">
        <v>48</v>
      </c>
      <c r="F15" s="423" t="s">
        <v>48</v>
      </c>
      <c r="G15" s="423" t="s">
        <v>48</v>
      </c>
      <c r="H15" s="424">
        <v>92</v>
      </c>
      <c r="I15" s="423">
        <v>146</v>
      </c>
      <c r="J15" s="343"/>
      <c r="K15" s="77"/>
      <c r="L15" s="77"/>
      <c r="M15" s="77"/>
      <c r="N15" s="77"/>
      <c r="O15" s="77"/>
      <c r="P15" s="344"/>
      <c r="Q15" s="371">
        <f t="shared" si="1"/>
        <v>238</v>
      </c>
      <c r="R15" s="91"/>
    </row>
    <row r="16" spans="1:19" s="4" customFormat="1" x14ac:dyDescent="0.25">
      <c r="A16" s="396">
        <v>75008</v>
      </c>
      <c r="B16" s="420" t="s">
        <v>811</v>
      </c>
      <c r="C16" s="420" t="s">
        <v>812</v>
      </c>
      <c r="D16" s="154" t="s">
        <v>188</v>
      </c>
      <c r="E16" s="422" t="s">
        <v>48</v>
      </c>
      <c r="F16" s="423" t="s">
        <v>48</v>
      </c>
      <c r="G16" s="423">
        <v>28</v>
      </c>
      <c r="H16" s="424">
        <v>721</v>
      </c>
      <c r="I16" s="423">
        <v>736</v>
      </c>
      <c r="J16" s="343"/>
      <c r="K16" s="77"/>
      <c r="L16" s="77"/>
      <c r="M16" s="77"/>
      <c r="N16" s="77"/>
      <c r="O16" s="77"/>
      <c r="P16" s="344"/>
      <c r="Q16" s="371">
        <f t="shared" si="1"/>
        <v>1485</v>
      </c>
      <c r="R16" s="91"/>
    </row>
    <row r="17" spans="1:18" s="4" customFormat="1" x14ac:dyDescent="0.25">
      <c r="A17" s="396">
        <v>75008</v>
      </c>
      <c r="B17" s="420" t="s">
        <v>587</v>
      </c>
      <c r="C17" s="420" t="s">
        <v>588</v>
      </c>
      <c r="D17" s="154" t="s">
        <v>187</v>
      </c>
      <c r="E17" s="422">
        <v>55</v>
      </c>
      <c r="F17" s="423" t="s">
        <v>48</v>
      </c>
      <c r="G17" s="423">
        <v>294</v>
      </c>
      <c r="H17" s="424">
        <v>258</v>
      </c>
      <c r="I17" s="423">
        <v>667</v>
      </c>
      <c r="J17" s="343"/>
      <c r="K17" s="77"/>
      <c r="L17" s="77"/>
      <c r="M17" s="77"/>
      <c r="N17" s="77"/>
      <c r="O17" s="77"/>
      <c r="P17" s="344"/>
      <c r="Q17" s="371">
        <f t="shared" si="1"/>
        <v>1274</v>
      </c>
      <c r="R17" s="91"/>
    </row>
    <row r="18" spans="1:18" s="4" customFormat="1" x14ac:dyDescent="0.25">
      <c r="A18" s="396">
        <v>75008</v>
      </c>
      <c r="B18" s="420" t="s">
        <v>379</v>
      </c>
      <c r="C18" s="420" t="s">
        <v>380</v>
      </c>
      <c r="D18" s="154" t="s">
        <v>186</v>
      </c>
      <c r="E18" s="422" t="s">
        <v>48</v>
      </c>
      <c r="F18" s="423">
        <v>68</v>
      </c>
      <c r="G18" s="423">
        <v>156</v>
      </c>
      <c r="H18" s="423" t="s">
        <v>48</v>
      </c>
      <c r="I18" s="423">
        <v>132</v>
      </c>
      <c r="J18" s="343"/>
      <c r="K18" s="77"/>
      <c r="L18" s="77"/>
      <c r="M18" s="77"/>
      <c r="N18" s="77"/>
      <c r="O18" s="77"/>
      <c r="P18" s="344"/>
      <c r="Q18" s="371">
        <f t="shared" si="1"/>
        <v>356</v>
      </c>
      <c r="R18" s="91"/>
    </row>
    <row r="19" spans="1:18" s="4" customFormat="1" x14ac:dyDescent="0.25">
      <c r="A19" s="396">
        <v>75008</v>
      </c>
      <c r="B19" s="420" t="s">
        <v>1179</v>
      </c>
      <c r="C19" s="420" t="s">
        <v>1180</v>
      </c>
      <c r="D19" s="154" t="s">
        <v>188</v>
      </c>
      <c r="E19" s="422" t="s">
        <v>48</v>
      </c>
      <c r="F19" s="423" t="s">
        <v>48</v>
      </c>
      <c r="G19" s="423" t="s">
        <v>48</v>
      </c>
      <c r="H19" s="423" t="s">
        <v>48</v>
      </c>
      <c r="I19" s="423">
        <v>596</v>
      </c>
      <c r="J19" s="343"/>
      <c r="K19" s="77"/>
      <c r="L19" s="77"/>
      <c r="M19" s="77"/>
      <c r="N19" s="77"/>
      <c r="O19" s="77"/>
      <c r="P19" s="344"/>
      <c r="Q19" s="371">
        <f t="shared" si="1"/>
        <v>596</v>
      </c>
      <c r="R19" s="91"/>
    </row>
    <row r="20" spans="1:18" s="4" customFormat="1" x14ac:dyDescent="0.25">
      <c r="A20" s="396">
        <v>75008</v>
      </c>
      <c r="B20" s="420" t="s">
        <v>252</v>
      </c>
      <c r="C20" s="420" t="s">
        <v>253</v>
      </c>
      <c r="D20" s="154" t="s">
        <v>188</v>
      </c>
      <c r="E20" s="422">
        <v>2059</v>
      </c>
      <c r="F20" s="423" t="s">
        <v>48</v>
      </c>
      <c r="G20" s="423">
        <v>552</v>
      </c>
      <c r="H20" s="423">
        <v>525</v>
      </c>
      <c r="I20" s="423" t="s">
        <v>48</v>
      </c>
      <c r="J20" s="343"/>
      <c r="K20" s="77"/>
      <c r="L20" s="77"/>
      <c r="M20" s="77"/>
      <c r="N20" s="77"/>
      <c r="O20" s="77"/>
      <c r="P20" s="344"/>
      <c r="Q20" s="371">
        <f t="shared" si="0"/>
        <v>3136</v>
      </c>
      <c r="R20" s="107"/>
    </row>
    <row r="21" spans="1:18" s="4" customFormat="1" ht="30" x14ac:dyDescent="0.25">
      <c r="A21" s="396">
        <v>75008</v>
      </c>
      <c r="B21" s="420" t="s">
        <v>254</v>
      </c>
      <c r="C21" s="420" t="s">
        <v>255</v>
      </c>
      <c r="D21" s="154" t="s">
        <v>186</v>
      </c>
      <c r="E21" s="422">
        <v>1694</v>
      </c>
      <c r="F21" s="424">
        <v>175</v>
      </c>
      <c r="G21" s="423">
        <v>585</v>
      </c>
      <c r="H21" s="423">
        <v>1715</v>
      </c>
      <c r="I21" s="423">
        <v>1552</v>
      </c>
      <c r="J21" s="343"/>
      <c r="K21" s="77"/>
      <c r="L21" s="77"/>
      <c r="M21" s="77"/>
      <c r="N21" s="77"/>
      <c r="O21" s="77"/>
      <c r="P21" s="344"/>
      <c r="Q21" s="371">
        <f t="shared" ref="Q21:Q36" si="2">SUM(E21:P21)</f>
        <v>5721</v>
      </c>
      <c r="R21" s="91"/>
    </row>
    <row r="22" spans="1:18" s="4" customFormat="1" x14ac:dyDescent="0.25">
      <c r="A22" s="396">
        <v>75008</v>
      </c>
      <c r="B22" s="420" t="s">
        <v>813</v>
      </c>
      <c r="C22" s="420" t="s">
        <v>814</v>
      </c>
      <c r="D22" s="154" t="s">
        <v>186</v>
      </c>
      <c r="E22" s="422" t="s">
        <v>48</v>
      </c>
      <c r="F22" s="423" t="s">
        <v>48</v>
      </c>
      <c r="G22" s="423" t="s">
        <v>48</v>
      </c>
      <c r="H22" s="423">
        <v>112</v>
      </c>
      <c r="I22" s="423" t="s">
        <v>48</v>
      </c>
      <c r="J22" s="343"/>
      <c r="K22" s="77"/>
      <c r="L22" s="77"/>
      <c r="M22" s="77"/>
      <c r="N22" s="77"/>
      <c r="O22" s="77"/>
      <c r="P22" s="344"/>
      <c r="Q22" s="371">
        <f t="shared" si="2"/>
        <v>112</v>
      </c>
      <c r="R22" s="91"/>
    </row>
    <row r="23" spans="1:18" s="4" customFormat="1" x14ac:dyDescent="0.25">
      <c r="A23" s="396">
        <v>75008</v>
      </c>
      <c r="B23" s="420" t="s">
        <v>815</v>
      </c>
      <c r="C23" s="420" t="s">
        <v>816</v>
      </c>
      <c r="D23" s="154" t="s">
        <v>320</v>
      </c>
      <c r="E23" s="422" t="s">
        <v>48</v>
      </c>
      <c r="F23" s="423" t="s">
        <v>48</v>
      </c>
      <c r="G23" s="423" t="s">
        <v>48</v>
      </c>
      <c r="H23" s="423">
        <v>218</v>
      </c>
      <c r="I23" s="423" t="s">
        <v>48</v>
      </c>
      <c r="J23" s="343"/>
      <c r="K23" s="77"/>
      <c r="L23" s="77"/>
      <c r="M23" s="77"/>
      <c r="N23" s="77"/>
      <c r="O23" s="77"/>
      <c r="P23" s="344"/>
      <c r="Q23" s="371">
        <f t="shared" si="2"/>
        <v>218</v>
      </c>
      <c r="R23" s="91"/>
    </row>
    <row r="24" spans="1:18" s="4" customFormat="1" x14ac:dyDescent="0.25">
      <c r="A24" s="396">
        <v>75008</v>
      </c>
      <c r="B24" s="420" t="s">
        <v>817</v>
      </c>
      <c r="C24" s="420" t="s">
        <v>818</v>
      </c>
      <c r="D24" s="154" t="s">
        <v>187</v>
      </c>
      <c r="E24" s="422" t="s">
        <v>48</v>
      </c>
      <c r="F24" s="423" t="s">
        <v>48</v>
      </c>
      <c r="G24" s="423">
        <v>164</v>
      </c>
      <c r="H24" s="423">
        <v>1129</v>
      </c>
      <c r="I24" s="423">
        <v>392</v>
      </c>
      <c r="J24" s="343"/>
      <c r="K24" s="77"/>
      <c r="L24" s="77"/>
      <c r="M24" s="77"/>
      <c r="N24" s="77"/>
      <c r="O24" s="77"/>
      <c r="P24" s="344"/>
      <c r="Q24" s="371">
        <f t="shared" si="2"/>
        <v>1685</v>
      </c>
      <c r="R24" s="91"/>
    </row>
    <row r="25" spans="1:18" s="4" customFormat="1" ht="30" x14ac:dyDescent="0.25">
      <c r="A25" s="396">
        <v>75008</v>
      </c>
      <c r="B25" s="420" t="s">
        <v>256</v>
      </c>
      <c r="C25" s="420" t="s">
        <v>257</v>
      </c>
      <c r="D25" s="154" t="s">
        <v>187</v>
      </c>
      <c r="E25" s="422">
        <v>278</v>
      </c>
      <c r="F25" s="423">
        <v>642</v>
      </c>
      <c r="G25" s="423">
        <v>268</v>
      </c>
      <c r="H25" s="423">
        <v>571</v>
      </c>
      <c r="I25" s="423">
        <v>2848</v>
      </c>
      <c r="J25" s="343"/>
      <c r="K25" s="77"/>
      <c r="L25" s="77"/>
      <c r="M25" s="77"/>
      <c r="N25" s="77"/>
      <c r="O25" s="77"/>
      <c r="P25" s="344"/>
      <c r="Q25" s="371">
        <f t="shared" si="2"/>
        <v>4607</v>
      </c>
      <c r="R25" s="91"/>
    </row>
    <row r="26" spans="1:18" s="4" customFormat="1" x14ac:dyDescent="0.25">
      <c r="A26" s="396">
        <v>75008</v>
      </c>
      <c r="B26" s="427" t="s">
        <v>1181</v>
      </c>
      <c r="C26" s="420" t="s">
        <v>1182</v>
      </c>
      <c r="D26" s="154" t="s">
        <v>187</v>
      </c>
      <c r="E26" s="422" t="s">
        <v>48</v>
      </c>
      <c r="F26" s="423" t="s">
        <v>48</v>
      </c>
      <c r="G26" s="423" t="s">
        <v>48</v>
      </c>
      <c r="H26" s="423" t="s">
        <v>48</v>
      </c>
      <c r="I26" s="423">
        <v>218</v>
      </c>
      <c r="J26" s="343"/>
      <c r="K26" s="77"/>
      <c r="L26" s="77"/>
      <c r="M26" s="77"/>
      <c r="N26" s="77"/>
      <c r="O26" s="77"/>
      <c r="P26" s="344"/>
      <c r="Q26" s="371">
        <f t="shared" si="2"/>
        <v>218</v>
      </c>
      <c r="R26" s="91"/>
    </row>
    <row r="27" spans="1:18" s="4" customFormat="1" x14ac:dyDescent="0.25">
      <c r="A27" s="396">
        <v>75008</v>
      </c>
      <c r="B27" s="427" t="s">
        <v>258</v>
      </c>
      <c r="C27" s="420" t="s">
        <v>259</v>
      </c>
      <c r="D27" s="154" t="s">
        <v>188</v>
      </c>
      <c r="E27" s="422">
        <v>433</v>
      </c>
      <c r="F27" s="423" t="s">
        <v>48</v>
      </c>
      <c r="G27" s="423">
        <v>272</v>
      </c>
      <c r="H27" s="423" t="s">
        <v>48</v>
      </c>
      <c r="I27" s="423">
        <v>1460</v>
      </c>
      <c r="J27" s="343"/>
      <c r="K27" s="77"/>
      <c r="L27" s="77"/>
      <c r="M27" s="77"/>
      <c r="N27" s="77"/>
      <c r="O27" s="77"/>
      <c r="P27" s="344"/>
      <c r="Q27" s="371">
        <f t="shared" si="2"/>
        <v>2165</v>
      </c>
      <c r="R27" s="91"/>
    </row>
    <row r="28" spans="1:18" s="4" customFormat="1" x14ac:dyDescent="0.25">
      <c r="A28" s="396">
        <v>75008</v>
      </c>
      <c r="B28" s="427" t="s">
        <v>381</v>
      </c>
      <c r="C28" s="420" t="s">
        <v>382</v>
      </c>
      <c r="D28" s="154" t="s">
        <v>188</v>
      </c>
      <c r="E28" s="422" t="s">
        <v>48</v>
      </c>
      <c r="F28" s="423">
        <v>228</v>
      </c>
      <c r="G28" s="423" t="s">
        <v>48</v>
      </c>
      <c r="H28" s="423">
        <v>120</v>
      </c>
      <c r="I28" s="423" t="s">
        <v>48</v>
      </c>
      <c r="J28" s="343"/>
      <c r="K28" s="77"/>
      <c r="L28" s="77"/>
      <c r="M28" s="77"/>
      <c r="N28" s="77"/>
      <c r="O28" s="77"/>
      <c r="P28" s="344"/>
      <c r="Q28" s="371">
        <f t="shared" si="2"/>
        <v>348</v>
      </c>
      <c r="R28" s="91"/>
    </row>
    <row r="29" spans="1:18" s="4" customFormat="1" x14ac:dyDescent="0.25">
      <c r="A29" s="396">
        <v>75008</v>
      </c>
      <c r="B29" s="427" t="s">
        <v>1109</v>
      </c>
      <c r="C29" s="420" t="s">
        <v>1110</v>
      </c>
      <c r="D29" s="154" t="s">
        <v>186</v>
      </c>
      <c r="E29" s="422" t="s">
        <v>48</v>
      </c>
      <c r="F29" s="423" t="s">
        <v>48</v>
      </c>
      <c r="G29" s="423" t="s">
        <v>48</v>
      </c>
      <c r="H29" s="423">
        <v>180</v>
      </c>
      <c r="I29" s="423" t="s">
        <v>48</v>
      </c>
      <c r="J29" s="343"/>
      <c r="K29" s="77"/>
      <c r="L29" s="77"/>
      <c r="M29" s="77"/>
      <c r="N29" s="77"/>
      <c r="O29" s="77"/>
      <c r="P29" s="344"/>
      <c r="Q29" s="371">
        <f t="shared" si="2"/>
        <v>180</v>
      </c>
      <c r="R29" s="91"/>
    </row>
    <row r="30" spans="1:18" s="4" customFormat="1" x14ac:dyDescent="0.25">
      <c r="A30" s="396">
        <v>75008</v>
      </c>
      <c r="B30" s="428" t="s">
        <v>936</v>
      </c>
      <c r="C30" s="420" t="s">
        <v>937</v>
      </c>
      <c r="D30" s="154" t="s">
        <v>188</v>
      </c>
      <c r="E30" s="422" t="s">
        <v>48</v>
      </c>
      <c r="F30" s="423" t="s">
        <v>48</v>
      </c>
      <c r="G30" s="429">
        <v>316</v>
      </c>
      <c r="H30" s="423" t="s">
        <v>48</v>
      </c>
      <c r="I30" s="423" t="s">
        <v>48</v>
      </c>
      <c r="J30" s="343"/>
      <c r="K30" s="77"/>
      <c r="L30" s="77"/>
      <c r="M30" s="77"/>
      <c r="N30" s="77"/>
      <c r="O30" s="77"/>
      <c r="P30" s="344"/>
      <c r="Q30" s="371">
        <f t="shared" si="2"/>
        <v>316</v>
      </c>
      <c r="R30" s="297" t="s">
        <v>825</v>
      </c>
    </row>
    <row r="31" spans="1:18" s="4" customFormat="1" x14ac:dyDescent="0.25">
      <c r="A31" s="396">
        <v>75008</v>
      </c>
      <c r="B31" s="427" t="s">
        <v>383</v>
      </c>
      <c r="C31" s="420" t="s">
        <v>384</v>
      </c>
      <c r="D31" s="154" t="s">
        <v>188</v>
      </c>
      <c r="E31" s="422" t="s">
        <v>48</v>
      </c>
      <c r="F31" s="423">
        <v>118</v>
      </c>
      <c r="G31" s="423" t="s">
        <v>48</v>
      </c>
      <c r="H31" s="423" t="s">
        <v>48</v>
      </c>
      <c r="I31" s="423">
        <v>148</v>
      </c>
      <c r="J31" s="343"/>
      <c r="K31" s="77"/>
      <c r="L31" s="77"/>
      <c r="M31" s="77"/>
      <c r="N31" s="77"/>
      <c r="O31" s="77"/>
      <c r="P31" s="344"/>
      <c r="Q31" s="371">
        <f t="shared" si="2"/>
        <v>266</v>
      </c>
      <c r="R31" s="91"/>
    </row>
    <row r="32" spans="1:18" s="4" customFormat="1" x14ac:dyDescent="0.25">
      <c r="A32" s="396">
        <v>75008</v>
      </c>
      <c r="B32" s="430" t="s">
        <v>260</v>
      </c>
      <c r="C32" s="417" t="s">
        <v>261</v>
      </c>
      <c r="D32" s="421" t="s">
        <v>188</v>
      </c>
      <c r="E32" s="422">
        <v>150</v>
      </c>
      <c r="F32" s="423" t="s">
        <v>48</v>
      </c>
      <c r="G32" s="423" t="s">
        <v>48</v>
      </c>
      <c r="H32" s="423" t="s">
        <v>48</v>
      </c>
      <c r="I32" s="423" t="s">
        <v>48</v>
      </c>
      <c r="J32" s="343"/>
      <c r="K32" s="77"/>
      <c r="L32" s="77"/>
      <c r="M32" s="77"/>
      <c r="N32" s="77"/>
      <c r="O32" s="77"/>
      <c r="P32" s="344"/>
      <c r="Q32" s="371">
        <f t="shared" si="2"/>
        <v>150</v>
      </c>
      <c r="R32" s="91"/>
    </row>
    <row r="33" spans="1:18" s="4" customFormat="1" x14ac:dyDescent="0.25">
      <c r="A33" s="396">
        <v>75008</v>
      </c>
      <c r="B33" s="431" t="s">
        <v>1183</v>
      </c>
      <c r="C33" s="420" t="s">
        <v>1184</v>
      </c>
      <c r="D33" s="421" t="s">
        <v>188</v>
      </c>
      <c r="E33" s="422" t="s">
        <v>48</v>
      </c>
      <c r="F33" s="423" t="s">
        <v>48</v>
      </c>
      <c r="G33" s="423" t="s">
        <v>48</v>
      </c>
      <c r="H33" s="423" t="s">
        <v>48</v>
      </c>
      <c r="I33" s="426">
        <v>44</v>
      </c>
      <c r="J33" s="343"/>
      <c r="K33" s="77"/>
      <c r="L33" s="77"/>
      <c r="M33" s="77"/>
      <c r="N33" s="77"/>
      <c r="O33" s="77"/>
      <c r="P33" s="344"/>
      <c r="Q33" s="371">
        <f t="shared" si="2"/>
        <v>44</v>
      </c>
      <c r="R33" s="278" t="s">
        <v>226</v>
      </c>
    </row>
    <row r="34" spans="1:18" s="4" customFormat="1" x14ac:dyDescent="0.25">
      <c r="A34" s="396">
        <v>75008</v>
      </c>
      <c r="B34" s="427" t="s">
        <v>385</v>
      </c>
      <c r="C34" s="420" t="s">
        <v>386</v>
      </c>
      <c r="D34" s="421" t="s">
        <v>188</v>
      </c>
      <c r="E34" s="422" t="s">
        <v>48</v>
      </c>
      <c r="F34" s="423">
        <v>850</v>
      </c>
      <c r="G34" s="423">
        <v>324</v>
      </c>
      <c r="H34" s="423">
        <v>188</v>
      </c>
      <c r="I34" s="423" t="s">
        <v>48</v>
      </c>
      <c r="J34" s="343"/>
      <c r="K34" s="77"/>
      <c r="L34" s="77"/>
      <c r="M34" s="77"/>
      <c r="N34" s="77"/>
      <c r="O34" s="77"/>
      <c r="P34" s="344"/>
      <c r="Q34" s="371">
        <f t="shared" si="2"/>
        <v>1362</v>
      </c>
      <c r="R34" s="91"/>
    </row>
    <row r="35" spans="1:18" s="4" customFormat="1" x14ac:dyDescent="0.25">
      <c r="A35" s="396">
        <v>75008</v>
      </c>
      <c r="B35" s="427" t="s">
        <v>1111</v>
      </c>
      <c r="C35" s="420" t="s">
        <v>1112</v>
      </c>
      <c r="D35" s="421" t="s">
        <v>320</v>
      </c>
      <c r="E35" s="422" t="s">
        <v>48</v>
      </c>
      <c r="F35" s="423" t="s">
        <v>48</v>
      </c>
      <c r="G35" s="423" t="s">
        <v>48</v>
      </c>
      <c r="H35" s="423">
        <v>99</v>
      </c>
      <c r="I35" s="423" t="s">
        <v>48</v>
      </c>
      <c r="J35" s="343"/>
      <c r="K35" s="77"/>
      <c r="L35" s="77"/>
      <c r="M35" s="77"/>
      <c r="N35" s="77"/>
      <c r="O35" s="77"/>
      <c r="P35" s="344"/>
      <c r="Q35" s="371">
        <f t="shared" si="2"/>
        <v>99</v>
      </c>
      <c r="R35" s="91"/>
    </row>
    <row r="36" spans="1:18" s="4" customFormat="1" x14ac:dyDescent="0.25">
      <c r="A36" s="396">
        <v>75008</v>
      </c>
      <c r="B36" s="427" t="s">
        <v>938</v>
      </c>
      <c r="C36" s="420" t="s">
        <v>939</v>
      </c>
      <c r="D36" s="421" t="s">
        <v>187</v>
      </c>
      <c r="E36" s="422" t="s">
        <v>48</v>
      </c>
      <c r="F36" s="423" t="s">
        <v>48</v>
      </c>
      <c r="G36" s="423">
        <v>367</v>
      </c>
      <c r="H36" s="423" t="s">
        <v>48</v>
      </c>
      <c r="I36" s="423">
        <v>218</v>
      </c>
      <c r="J36" s="343"/>
      <c r="K36" s="77"/>
      <c r="L36" s="77"/>
      <c r="M36" s="77"/>
      <c r="N36" s="77"/>
      <c r="O36" s="77"/>
      <c r="P36" s="344"/>
      <c r="Q36" s="371">
        <f t="shared" si="2"/>
        <v>585</v>
      </c>
      <c r="R36" s="91"/>
    </row>
    <row r="37" spans="1:18" s="4" customFormat="1" x14ac:dyDescent="0.25">
      <c r="A37" s="396">
        <v>75008</v>
      </c>
      <c r="B37" s="427" t="s">
        <v>589</v>
      </c>
      <c r="C37" s="420" t="s">
        <v>590</v>
      </c>
      <c r="D37" s="421" t="s">
        <v>188</v>
      </c>
      <c r="E37" s="422">
        <v>68</v>
      </c>
      <c r="F37" s="423" t="s">
        <v>48</v>
      </c>
      <c r="G37" s="423" t="s">
        <v>48</v>
      </c>
      <c r="H37" s="423" t="s">
        <v>48</v>
      </c>
      <c r="I37" s="423" t="s">
        <v>48</v>
      </c>
      <c r="J37" s="343"/>
      <c r="K37" s="77"/>
      <c r="L37" s="77"/>
      <c r="M37" s="77"/>
      <c r="N37" s="77"/>
      <c r="O37" s="77"/>
      <c r="P37" s="344"/>
      <c r="Q37" s="371">
        <f t="shared" si="0"/>
        <v>68</v>
      </c>
      <c r="R37" s="91"/>
    </row>
    <row r="38" spans="1:18" s="4" customFormat="1" x14ac:dyDescent="0.25">
      <c r="A38" s="396">
        <v>75008</v>
      </c>
      <c r="B38" s="427" t="s">
        <v>819</v>
      </c>
      <c r="C38" s="420" t="s">
        <v>820</v>
      </c>
      <c r="D38" s="421" t="s">
        <v>187</v>
      </c>
      <c r="E38" s="422" t="s">
        <v>48</v>
      </c>
      <c r="F38" s="423" t="s">
        <v>48</v>
      </c>
      <c r="G38" s="423">
        <v>97</v>
      </c>
      <c r="H38" s="423">
        <v>216</v>
      </c>
      <c r="I38" s="423" t="s">
        <v>48</v>
      </c>
      <c r="J38" s="343"/>
      <c r="K38" s="77"/>
      <c r="L38" s="77"/>
      <c r="M38" s="77"/>
      <c r="N38" s="77"/>
      <c r="O38" s="77"/>
      <c r="P38" s="344"/>
      <c r="Q38" s="371">
        <f t="shared" si="0"/>
        <v>313</v>
      </c>
      <c r="R38" s="91"/>
    </row>
    <row r="39" spans="1:18" s="4" customFormat="1" x14ac:dyDescent="0.25">
      <c r="A39" s="396">
        <v>75008</v>
      </c>
      <c r="B39" s="420" t="s">
        <v>262</v>
      </c>
      <c r="C39" s="420" t="s">
        <v>263</v>
      </c>
      <c r="D39" s="154" t="s">
        <v>186</v>
      </c>
      <c r="E39" s="422">
        <v>296</v>
      </c>
      <c r="F39" s="423" t="s">
        <v>48</v>
      </c>
      <c r="G39" s="423">
        <v>68</v>
      </c>
      <c r="H39" s="423">
        <v>437</v>
      </c>
      <c r="I39" s="423" t="s">
        <v>48</v>
      </c>
      <c r="J39" s="343"/>
      <c r="K39" s="77"/>
      <c r="L39" s="77"/>
      <c r="M39" s="77"/>
      <c r="N39" s="77"/>
      <c r="O39" s="77"/>
      <c r="P39" s="344"/>
      <c r="Q39" s="371">
        <f t="shared" si="0"/>
        <v>801</v>
      </c>
      <c r="R39" s="91"/>
    </row>
    <row r="40" spans="1:18" s="4" customFormat="1" ht="30" x14ac:dyDescent="0.25">
      <c r="A40" s="396">
        <v>75008</v>
      </c>
      <c r="B40" s="420" t="s">
        <v>1185</v>
      </c>
      <c r="C40" s="420" t="s">
        <v>1186</v>
      </c>
      <c r="D40" s="154" t="s">
        <v>188</v>
      </c>
      <c r="E40" s="422" t="s">
        <v>48</v>
      </c>
      <c r="F40" s="423" t="s">
        <v>48</v>
      </c>
      <c r="G40" s="423" t="s">
        <v>48</v>
      </c>
      <c r="H40" s="423" t="s">
        <v>48</v>
      </c>
      <c r="I40" s="423">
        <v>229</v>
      </c>
      <c r="J40" s="343"/>
      <c r="K40" s="77"/>
      <c r="L40" s="77"/>
      <c r="M40" s="77"/>
      <c r="N40" s="77"/>
      <c r="O40" s="77"/>
      <c r="P40" s="344"/>
      <c r="Q40" s="371">
        <f t="shared" si="0"/>
        <v>229</v>
      </c>
      <c r="R40" s="91"/>
    </row>
    <row r="41" spans="1:18" s="4" customFormat="1" x14ac:dyDescent="0.25">
      <c r="A41" s="396">
        <v>75008</v>
      </c>
      <c r="B41" s="420" t="s">
        <v>264</v>
      </c>
      <c r="C41" s="420" t="s">
        <v>265</v>
      </c>
      <c r="D41" s="154" t="s">
        <v>186</v>
      </c>
      <c r="E41" s="422">
        <v>132</v>
      </c>
      <c r="F41" s="423" t="s">
        <v>48</v>
      </c>
      <c r="G41" s="423" t="s">
        <v>48</v>
      </c>
      <c r="H41" s="423">
        <v>69</v>
      </c>
      <c r="I41" s="423">
        <v>353</v>
      </c>
      <c r="J41" s="343"/>
      <c r="K41" s="77"/>
      <c r="L41" s="77"/>
      <c r="M41" s="77"/>
      <c r="N41" s="77"/>
      <c r="O41" s="77"/>
      <c r="P41" s="344"/>
      <c r="Q41" s="371">
        <f t="shared" si="0"/>
        <v>554</v>
      </c>
      <c r="R41" s="91"/>
    </row>
    <row r="42" spans="1:18" s="4" customFormat="1" x14ac:dyDescent="0.25">
      <c r="A42" s="396">
        <v>75008</v>
      </c>
      <c r="B42" s="425" t="s">
        <v>1187</v>
      </c>
      <c r="C42" s="420" t="s">
        <v>1188</v>
      </c>
      <c r="D42" s="154" t="s">
        <v>188</v>
      </c>
      <c r="E42" s="422" t="s">
        <v>48</v>
      </c>
      <c r="F42" s="423" t="s">
        <v>48</v>
      </c>
      <c r="G42" s="423" t="s">
        <v>48</v>
      </c>
      <c r="H42" s="423" t="s">
        <v>48</v>
      </c>
      <c r="I42" s="426">
        <v>132</v>
      </c>
      <c r="J42" s="343"/>
      <c r="K42" s="77"/>
      <c r="L42" s="77"/>
      <c r="M42" s="77"/>
      <c r="N42" s="77"/>
      <c r="O42" s="77"/>
      <c r="P42" s="344"/>
      <c r="Q42" s="371">
        <f t="shared" si="0"/>
        <v>132</v>
      </c>
      <c r="R42" s="278" t="s">
        <v>226</v>
      </c>
    </row>
    <row r="43" spans="1:18" s="4" customFormat="1" x14ac:dyDescent="0.25">
      <c r="A43" s="396">
        <v>75008</v>
      </c>
      <c r="B43" s="420" t="s">
        <v>821</v>
      </c>
      <c r="C43" s="420" t="s">
        <v>822</v>
      </c>
      <c r="D43" s="154" t="s">
        <v>186</v>
      </c>
      <c r="E43" s="422" t="s">
        <v>48</v>
      </c>
      <c r="F43" s="423" t="s">
        <v>48</v>
      </c>
      <c r="G43" s="423" t="s">
        <v>48</v>
      </c>
      <c r="H43" s="423">
        <v>140</v>
      </c>
      <c r="I43" s="423" t="s">
        <v>48</v>
      </c>
      <c r="J43" s="343"/>
      <c r="K43" s="77"/>
      <c r="L43" s="77"/>
      <c r="M43" s="77"/>
      <c r="N43" s="77"/>
      <c r="O43" s="77"/>
      <c r="P43" s="344"/>
      <c r="Q43" s="371">
        <f t="shared" si="0"/>
        <v>140</v>
      </c>
      <c r="R43" s="91"/>
    </row>
    <row r="44" spans="1:18" s="4" customFormat="1" x14ac:dyDescent="0.25">
      <c r="A44" s="396">
        <v>75008</v>
      </c>
      <c r="B44" s="420" t="s">
        <v>1189</v>
      </c>
      <c r="C44" s="420" t="s">
        <v>1190</v>
      </c>
      <c r="D44" s="154" t="s">
        <v>188</v>
      </c>
      <c r="E44" s="422" t="s">
        <v>48</v>
      </c>
      <c r="F44" s="423" t="s">
        <v>48</v>
      </c>
      <c r="G44" s="423" t="s">
        <v>48</v>
      </c>
      <c r="H44" s="423" t="s">
        <v>48</v>
      </c>
      <c r="I44" s="423">
        <v>217</v>
      </c>
      <c r="J44" s="343"/>
      <c r="K44" s="77"/>
      <c r="L44" s="77"/>
      <c r="M44" s="77"/>
      <c r="N44" s="77"/>
      <c r="O44" s="77"/>
      <c r="P44" s="344"/>
      <c r="Q44" s="371">
        <f t="shared" si="0"/>
        <v>217</v>
      </c>
      <c r="R44" s="91"/>
    </row>
    <row r="45" spans="1:18" s="4" customFormat="1" ht="30" x14ac:dyDescent="0.25">
      <c r="A45" s="396">
        <v>75008</v>
      </c>
      <c r="B45" s="420" t="s">
        <v>387</v>
      </c>
      <c r="C45" s="420" t="s">
        <v>388</v>
      </c>
      <c r="D45" s="154" t="s">
        <v>187</v>
      </c>
      <c r="E45" s="422" t="s">
        <v>48</v>
      </c>
      <c r="F45" s="423">
        <v>218</v>
      </c>
      <c r="G45" s="423">
        <v>436</v>
      </c>
      <c r="H45" s="423">
        <v>286</v>
      </c>
      <c r="I45" s="423" t="s">
        <v>48</v>
      </c>
      <c r="J45" s="343"/>
      <c r="K45" s="77"/>
      <c r="L45" s="77"/>
      <c r="M45" s="77"/>
      <c r="N45" s="77"/>
      <c r="O45" s="77"/>
      <c r="P45" s="344"/>
      <c r="Q45" s="371">
        <f t="shared" si="0"/>
        <v>940</v>
      </c>
      <c r="R45" s="91"/>
    </row>
    <row r="46" spans="1:18" s="4" customFormat="1" x14ac:dyDescent="0.25">
      <c r="A46" s="396">
        <v>75008</v>
      </c>
      <c r="B46" s="432" t="s">
        <v>823</v>
      </c>
      <c r="C46" s="420" t="s">
        <v>824</v>
      </c>
      <c r="D46" s="154" t="s">
        <v>320</v>
      </c>
      <c r="E46" s="422" t="s">
        <v>48</v>
      </c>
      <c r="F46" s="423" t="s">
        <v>48</v>
      </c>
      <c r="G46" s="423" t="s">
        <v>48</v>
      </c>
      <c r="H46" s="429">
        <v>250</v>
      </c>
      <c r="I46" s="423" t="s">
        <v>48</v>
      </c>
      <c r="J46" s="343"/>
      <c r="K46" s="77"/>
      <c r="L46" s="77"/>
      <c r="M46" s="77"/>
      <c r="N46" s="77"/>
      <c r="O46" s="77"/>
      <c r="P46" s="344"/>
      <c r="Q46" s="371">
        <f t="shared" si="0"/>
        <v>250</v>
      </c>
      <c r="R46" s="297" t="s">
        <v>825</v>
      </c>
    </row>
    <row r="47" spans="1:18" s="4" customFormat="1" x14ac:dyDescent="0.25">
      <c r="A47" s="396">
        <v>75008</v>
      </c>
      <c r="B47" s="420" t="s">
        <v>389</v>
      </c>
      <c r="C47" s="420" t="s">
        <v>390</v>
      </c>
      <c r="D47" s="154" t="s">
        <v>186</v>
      </c>
      <c r="E47" s="422" t="s">
        <v>48</v>
      </c>
      <c r="F47" s="423">
        <v>136</v>
      </c>
      <c r="G47" s="423" t="s">
        <v>48</v>
      </c>
      <c r="H47" s="423" t="s">
        <v>48</v>
      </c>
      <c r="I47" s="423">
        <v>280</v>
      </c>
      <c r="J47" s="343"/>
      <c r="K47" s="77"/>
      <c r="L47" s="77"/>
      <c r="M47" s="77"/>
      <c r="N47" s="77"/>
      <c r="O47" s="77"/>
      <c r="P47" s="344"/>
      <c r="Q47" s="371">
        <f t="shared" si="0"/>
        <v>416</v>
      </c>
      <c r="R47" s="91"/>
    </row>
    <row r="48" spans="1:18" s="4" customFormat="1" x14ac:dyDescent="0.25">
      <c r="A48" s="396">
        <v>75008</v>
      </c>
      <c r="B48" s="420" t="s">
        <v>826</v>
      </c>
      <c r="C48" s="420" t="s">
        <v>827</v>
      </c>
      <c r="D48" s="154" t="s">
        <v>186</v>
      </c>
      <c r="E48" s="422" t="s">
        <v>48</v>
      </c>
      <c r="F48" s="423" t="s">
        <v>48</v>
      </c>
      <c r="G48" s="423" t="s">
        <v>48</v>
      </c>
      <c r="H48" s="423">
        <v>329</v>
      </c>
      <c r="I48" s="423" t="s">
        <v>48</v>
      </c>
      <c r="J48" s="343"/>
      <c r="K48" s="77"/>
      <c r="L48" s="77"/>
      <c r="M48" s="77"/>
      <c r="N48" s="77"/>
      <c r="O48" s="77"/>
      <c r="P48" s="344"/>
      <c r="Q48" s="371">
        <f t="shared" si="0"/>
        <v>329</v>
      </c>
      <c r="R48" s="374"/>
    </row>
    <row r="49" spans="1:19" s="4" customFormat="1" x14ac:dyDescent="0.25">
      <c r="A49" s="396">
        <v>75008</v>
      </c>
      <c r="B49" s="420" t="s">
        <v>266</v>
      </c>
      <c r="C49" s="420" t="s">
        <v>267</v>
      </c>
      <c r="D49" s="154" t="s">
        <v>187</v>
      </c>
      <c r="E49" s="422">
        <v>796</v>
      </c>
      <c r="F49" s="423" t="s">
        <v>48</v>
      </c>
      <c r="G49" s="423" t="s">
        <v>48</v>
      </c>
      <c r="H49" s="423">
        <v>516</v>
      </c>
      <c r="I49" s="423">
        <v>989</v>
      </c>
      <c r="J49" s="343"/>
      <c r="K49" s="77"/>
      <c r="L49" s="77"/>
      <c r="M49" s="77"/>
      <c r="N49" s="77"/>
      <c r="O49" s="77"/>
      <c r="P49" s="344"/>
      <c r="Q49" s="371">
        <f t="shared" si="0"/>
        <v>2301</v>
      </c>
      <c r="R49" s="374"/>
    </row>
    <row r="50" spans="1:19" s="4" customFormat="1" x14ac:dyDescent="0.25">
      <c r="A50" s="396">
        <v>75008</v>
      </c>
      <c r="B50" s="420" t="s">
        <v>828</v>
      </c>
      <c r="C50" s="420" t="s">
        <v>829</v>
      </c>
      <c r="D50" s="154" t="s">
        <v>188</v>
      </c>
      <c r="E50" s="422" t="s">
        <v>48</v>
      </c>
      <c r="F50" s="423" t="s">
        <v>48</v>
      </c>
      <c r="G50" s="423">
        <v>402</v>
      </c>
      <c r="H50" s="423">
        <v>347</v>
      </c>
      <c r="I50" s="423">
        <v>346</v>
      </c>
      <c r="J50" s="343"/>
      <c r="K50" s="77"/>
      <c r="L50" s="77"/>
      <c r="M50" s="77"/>
      <c r="N50" s="77"/>
      <c r="O50" s="77"/>
      <c r="P50" s="344"/>
      <c r="Q50" s="371">
        <f t="shared" si="0"/>
        <v>1095</v>
      </c>
      <c r="R50" s="374"/>
    </row>
    <row r="51" spans="1:19" s="4" customFormat="1" ht="30.75" thickBot="1" x14ac:dyDescent="0.3">
      <c r="A51" s="396">
        <v>75008</v>
      </c>
      <c r="B51" s="417" t="s">
        <v>1191</v>
      </c>
      <c r="C51" s="417" t="s">
        <v>1192</v>
      </c>
      <c r="D51" s="268" t="s">
        <v>188</v>
      </c>
      <c r="E51" s="422" t="s">
        <v>48</v>
      </c>
      <c r="F51" s="423" t="s">
        <v>48</v>
      </c>
      <c r="G51" s="423" t="s">
        <v>48</v>
      </c>
      <c r="H51" s="423" t="s">
        <v>48</v>
      </c>
      <c r="I51" s="71">
        <v>176</v>
      </c>
      <c r="J51" s="343"/>
      <c r="K51" s="77"/>
      <c r="L51" s="77"/>
      <c r="M51" s="77"/>
      <c r="N51" s="77"/>
      <c r="O51" s="77"/>
      <c r="P51" s="344"/>
      <c r="Q51" s="371">
        <f t="shared" si="0"/>
        <v>176</v>
      </c>
      <c r="R51" s="374"/>
    </row>
    <row r="52" spans="1:19" s="4" customFormat="1" ht="15.75" thickBot="1" x14ac:dyDescent="0.3">
      <c r="A52" s="382" t="s">
        <v>10</v>
      </c>
      <c r="B52" s="383">
        <f>SUBTOTAL(103,Ventes8ème[Hotel])</f>
        <v>48</v>
      </c>
      <c r="C52" s="384"/>
      <c r="D52" s="382"/>
      <c r="E52" s="385">
        <f>SUBTOTAL(109,Ventes8ème[Janv])</f>
        <v>6503</v>
      </c>
      <c r="F52" s="386">
        <f>SUBTOTAL(109,Ventes8ème[Fév])</f>
        <v>2788</v>
      </c>
      <c r="G52" s="387">
        <f>SUBTOTAL(109,Ventes8ème[mars])</f>
        <v>6267</v>
      </c>
      <c r="H52" s="334">
        <f>SUBTOTAL(109,Ventes8ème[Avril])</f>
        <v>10061</v>
      </c>
      <c r="I52" s="334">
        <f>SUBTOTAL(109,Ventes8ème[Mai])</f>
        <v>15122</v>
      </c>
      <c r="J52" s="334">
        <f>SUBTOTAL(109,Ventes8ème[Juin])</f>
        <v>0</v>
      </c>
      <c r="K52" s="334">
        <f>SUBTOTAL(109,Ventes8ème[Juillet])</f>
        <v>0</v>
      </c>
      <c r="L52" s="336">
        <f>SUBTOTAL(109,Ventes8ème[Août])</f>
        <v>0</v>
      </c>
      <c r="M52" s="336">
        <f>SUBTOTAL(109,Ventes8ème[Sept.])</f>
        <v>0</v>
      </c>
      <c r="N52" s="336">
        <f>SUBTOTAL(109,Ventes8ème[Oct])</f>
        <v>0</v>
      </c>
      <c r="O52" s="336">
        <f>SUBTOTAL(109,Ventes8ème[Nov.])</f>
        <v>0</v>
      </c>
      <c r="P52" s="337">
        <f>SUBTOTAL(109,Ventes8ème[déc])</f>
        <v>0</v>
      </c>
      <c r="Q52" s="388">
        <f>SUBTOTAL(109,Ventes8ème[TOTAL])</f>
        <v>40741</v>
      </c>
      <c r="R52" s="378"/>
      <c r="S52" s="80"/>
    </row>
    <row r="53" spans="1:19" s="4" customFormat="1" ht="15.75" thickBot="1" x14ac:dyDescent="0.3">
      <c r="A53" s="62"/>
      <c r="B53" s="62"/>
      <c r="C53" s="62"/>
      <c r="D53" s="62"/>
      <c r="E53" s="62"/>
      <c r="F53" s="62"/>
      <c r="G53" s="62"/>
      <c r="H53" s="62"/>
      <c r="I53" s="64"/>
      <c r="J53" s="62"/>
      <c r="K53" s="64"/>
      <c r="L53" s="335"/>
      <c r="M53" s="335"/>
      <c r="N53" s="335"/>
      <c r="O53" s="335"/>
      <c r="P53" s="335"/>
      <c r="Q53" s="64"/>
      <c r="R53" s="62"/>
      <c r="S53" s="80"/>
    </row>
    <row r="54" spans="1:19" ht="30" x14ac:dyDescent="0.25">
      <c r="A54" s="389" t="s">
        <v>36</v>
      </c>
      <c r="B54" s="338">
        <v>140</v>
      </c>
      <c r="C54" s="62"/>
      <c r="D54" s="62"/>
      <c r="E54" s="62"/>
      <c r="F54" s="62"/>
      <c r="G54" s="62"/>
      <c r="H54" s="62"/>
      <c r="I54" s="62"/>
      <c r="J54" s="390"/>
      <c r="K54" s="64"/>
      <c r="L54" s="335"/>
      <c r="M54" s="335"/>
      <c r="N54" s="335"/>
      <c r="O54" s="335"/>
      <c r="P54" s="335"/>
      <c r="Q54" s="64"/>
      <c r="R54" s="62"/>
    </row>
    <row r="55" spans="1:19" ht="30.75" thickBot="1" x14ac:dyDescent="0.3">
      <c r="A55" s="391" t="s">
        <v>1330</v>
      </c>
      <c r="B55" s="339">
        <f>Ventes8ème[[#Totals],[Hotel]]/B54</f>
        <v>0.34285714285714286</v>
      </c>
      <c r="C55" s="413" t="s">
        <v>46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83"/>
  <sheetViews>
    <sheetView zoomScale="80" zoomScaleNormal="80" workbookViewId="0">
      <selection activeCell="A7" sqref="A7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154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73">
        <v>75009</v>
      </c>
      <c r="B4" s="27" t="s">
        <v>830</v>
      </c>
      <c r="C4" s="136" t="s">
        <v>831</v>
      </c>
      <c r="D4" s="73" t="s">
        <v>187</v>
      </c>
      <c r="E4" s="66" t="s">
        <v>48</v>
      </c>
      <c r="F4" s="28" t="s">
        <v>48</v>
      </c>
      <c r="G4" s="28">
        <v>539</v>
      </c>
      <c r="H4" s="32">
        <v>857</v>
      </c>
      <c r="I4" s="32">
        <v>550</v>
      </c>
      <c r="J4" s="343"/>
      <c r="K4" s="77"/>
      <c r="L4" s="77"/>
      <c r="M4" s="77"/>
      <c r="N4" s="77"/>
      <c r="O4" s="77"/>
      <c r="P4" s="344"/>
      <c r="Q4" s="371">
        <f t="shared" ref="Q4:Q70" si="0">SUM(E4:P4)</f>
        <v>1946</v>
      </c>
      <c r="R4" s="216"/>
    </row>
    <row r="5" spans="1:19" s="4" customFormat="1" x14ac:dyDescent="0.25">
      <c r="A5" s="73">
        <v>75009</v>
      </c>
      <c r="B5" s="27" t="s">
        <v>391</v>
      </c>
      <c r="C5" s="136" t="s">
        <v>392</v>
      </c>
      <c r="D5" s="73" t="s">
        <v>187</v>
      </c>
      <c r="E5" s="66" t="s">
        <v>48</v>
      </c>
      <c r="F5" s="28">
        <v>732</v>
      </c>
      <c r="G5" s="28">
        <v>182</v>
      </c>
      <c r="H5" s="32">
        <v>368</v>
      </c>
      <c r="I5" s="32">
        <v>292</v>
      </c>
      <c r="J5" s="343"/>
      <c r="K5" s="77"/>
      <c r="L5" s="77"/>
      <c r="M5" s="77"/>
      <c r="N5" s="77"/>
      <c r="O5" s="77"/>
      <c r="P5" s="344"/>
      <c r="Q5" s="371">
        <f t="shared" si="0"/>
        <v>1574</v>
      </c>
      <c r="R5" s="216"/>
    </row>
    <row r="6" spans="1:19" s="4" customFormat="1" x14ac:dyDescent="0.25">
      <c r="A6" s="73">
        <v>75009</v>
      </c>
      <c r="B6" s="27" t="s">
        <v>294</v>
      </c>
      <c r="C6" s="136" t="s">
        <v>295</v>
      </c>
      <c r="D6" s="73" t="s">
        <v>188</v>
      </c>
      <c r="E6" s="66">
        <v>234</v>
      </c>
      <c r="F6" s="28" t="s">
        <v>48</v>
      </c>
      <c r="G6" s="28">
        <v>375</v>
      </c>
      <c r="H6" s="32" t="s">
        <v>48</v>
      </c>
      <c r="I6" s="32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609</v>
      </c>
      <c r="R6" s="216"/>
    </row>
    <row r="7" spans="1:19" s="4" customFormat="1" x14ac:dyDescent="0.25">
      <c r="A7" s="73">
        <v>75009</v>
      </c>
      <c r="B7" s="27" t="s">
        <v>393</v>
      </c>
      <c r="C7" s="136" t="s">
        <v>394</v>
      </c>
      <c r="D7" s="73" t="s">
        <v>188</v>
      </c>
      <c r="E7" s="66" t="s">
        <v>48</v>
      </c>
      <c r="F7" s="28">
        <v>108</v>
      </c>
      <c r="G7" s="28">
        <v>68</v>
      </c>
      <c r="H7" s="32">
        <v>269</v>
      </c>
      <c r="I7" s="32">
        <v>200</v>
      </c>
      <c r="J7" s="343"/>
      <c r="K7" s="77"/>
      <c r="L7" s="77"/>
      <c r="M7" s="77"/>
      <c r="N7" s="77"/>
      <c r="O7" s="77"/>
      <c r="P7" s="344"/>
      <c r="Q7" s="371">
        <f t="shared" si="0"/>
        <v>645</v>
      </c>
      <c r="R7" s="269"/>
    </row>
    <row r="8" spans="1:19" s="4" customFormat="1" x14ac:dyDescent="0.25">
      <c r="A8" s="73">
        <v>75009</v>
      </c>
      <c r="B8" s="271" t="s">
        <v>1224</v>
      </c>
      <c r="C8" s="136" t="s">
        <v>1225</v>
      </c>
      <c r="D8" s="73" t="s">
        <v>186</v>
      </c>
      <c r="E8" s="66" t="s">
        <v>48</v>
      </c>
      <c r="F8" s="32" t="s">
        <v>48</v>
      </c>
      <c r="G8" s="32" t="s">
        <v>48</v>
      </c>
      <c r="H8" s="32" t="s">
        <v>48</v>
      </c>
      <c r="I8" s="272">
        <v>200</v>
      </c>
      <c r="J8" s="343"/>
      <c r="K8" s="77"/>
      <c r="L8" s="77"/>
      <c r="M8" s="77"/>
      <c r="N8" s="77"/>
      <c r="O8" s="77"/>
      <c r="P8" s="344"/>
      <c r="Q8" s="371">
        <f t="shared" si="0"/>
        <v>200</v>
      </c>
      <c r="R8" s="273" t="s">
        <v>529</v>
      </c>
    </row>
    <row r="9" spans="1:19" s="4" customFormat="1" x14ac:dyDescent="0.25">
      <c r="A9" s="73">
        <v>75009</v>
      </c>
      <c r="B9" s="27" t="s">
        <v>296</v>
      </c>
      <c r="C9" s="136" t="s">
        <v>297</v>
      </c>
      <c r="D9" s="73" t="s">
        <v>187</v>
      </c>
      <c r="E9" s="66">
        <v>100</v>
      </c>
      <c r="F9" s="32" t="s">
        <v>48</v>
      </c>
      <c r="G9" s="28" t="s">
        <v>48</v>
      </c>
      <c r="H9" s="32">
        <v>194</v>
      </c>
      <c r="I9" s="32">
        <v>218</v>
      </c>
      <c r="J9" s="343"/>
      <c r="K9" s="77"/>
      <c r="L9" s="77"/>
      <c r="M9" s="77"/>
      <c r="N9" s="77"/>
      <c r="O9" s="77"/>
      <c r="P9" s="344"/>
      <c r="Q9" s="371">
        <f t="shared" ref="Q9:Q40" si="1">SUM(E9:P9)</f>
        <v>512</v>
      </c>
      <c r="R9" s="270"/>
    </row>
    <row r="10" spans="1:19" s="4" customFormat="1" x14ac:dyDescent="0.25">
      <c r="A10" s="73">
        <v>75009</v>
      </c>
      <c r="B10" s="27" t="s">
        <v>1226</v>
      </c>
      <c r="C10" s="136" t="s">
        <v>1227</v>
      </c>
      <c r="D10" s="73" t="s">
        <v>188</v>
      </c>
      <c r="E10" s="66" t="s">
        <v>48</v>
      </c>
      <c r="F10" s="32" t="s">
        <v>48</v>
      </c>
      <c r="G10" s="28" t="s">
        <v>48</v>
      </c>
      <c r="H10" s="28" t="s">
        <v>48</v>
      </c>
      <c r="I10" s="32">
        <v>61</v>
      </c>
      <c r="J10" s="343"/>
      <c r="K10" s="77"/>
      <c r="L10" s="77"/>
      <c r="M10" s="77"/>
      <c r="N10" s="77"/>
      <c r="O10" s="77"/>
      <c r="P10" s="344"/>
      <c r="Q10" s="371">
        <f t="shared" si="1"/>
        <v>61</v>
      </c>
      <c r="R10" s="270"/>
    </row>
    <row r="11" spans="1:19" s="4" customFormat="1" x14ac:dyDescent="0.25">
      <c r="A11" s="73">
        <v>75009</v>
      </c>
      <c r="B11" s="27" t="s">
        <v>395</v>
      </c>
      <c r="C11" s="136" t="s">
        <v>396</v>
      </c>
      <c r="D11" s="73" t="s">
        <v>188</v>
      </c>
      <c r="E11" s="66" t="s">
        <v>48</v>
      </c>
      <c r="F11" s="32">
        <v>36</v>
      </c>
      <c r="G11" s="28" t="s">
        <v>48</v>
      </c>
      <c r="H11" s="28" t="s">
        <v>48</v>
      </c>
      <c r="I11" s="32" t="s">
        <v>48</v>
      </c>
      <c r="J11" s="343"/>
      <c r="K11" s="77"/>
      <c r="L11" s="77"/>
      <c r="M11" s="77"/>
      <c r="N11" s="77"/>
      <c r="O11" s="77"/>
      <c r="P11" s="344"/>
      <c r="Q11" s="371">
        <f t="shared" si="1"/>
        <v>36</v>
      </c>
      <c r="R11" s="270"/>
    </row>
    <row r="12" spans="1:19" s="4" customFormat="1" x14ac:dyDescent="0.25">
      <c r="A12" s="73">
        <v>75009</v>
      </c>
      <c r="B12" s="27" t="s">
        <v>832</v>
      </c>
      <c r="C12" s="136" t="s">
        <v>833</v>
      </c>
      <c r="D12" s="73" t="s">
        <v>188</v>
      </c>
      <c r="E12" s="66" t="s">
        <v>48</v>
      </c>
      <c r="F12" s="32" t="s">
        <v>48</v>
      </c>
      <c r="G12" s="28" t="s">
        <v>48</v>
      </c>
      <c r="H12" s="32">
        <v>188</v>
      </c>
      <c r="I12" s="32">
        <v>238</v>
      </c>
      <c r="J12" s="343"/>
      <c r="K12" s="77"/>
      <c r="L12" s="77"/>
      <c r="M12" s="77"/>
      <c r="N12" s="77"/>
      <c r="O12" s="77"/>
      <c r="P12" s="344"/>
      <c r="Q12" s="371">
        <f t="shared" si="1"/>
        <v>426</v>
      </c>
      <c r="R12" s="236"/>
    </row>
    <row r="13" spans="1:19" s="4" customFormat="1" x14ac:dyDescent="0.25">
      <c r="A13" s="73">
        <v>75009</v>
      </c>
      <c r="B13" s="27" t="s">
        <v>397</v>
      </c>
      <c r="C13" s="136" t="s">
        <v>398</v>
      </c>
      <c r="D13" s="73" t="s">
        <v>188</v>
      </c>
      <c r="E13" s="66" t="s">
        <v>48</v>
      </c>
      <c r="F13" s="32">
        <v>175</v>
      </c>
      <c r="G13" s="28" t="s">
        <v>48</v>
      </c>
      <c r="H13" s="32" t="s">
        <v>48</v>
      </c>
      <c r="I13" s="32" t="s">
        <v>48</v>
      </c>
      <c r="J13" s="343"/>
      <c r="K13" s="77"/>
      <c r="L13" s="77"/>
      <c r="M13" s="77"/>
      <c r="N13" s="77"/>
      <c r="O13" s="77"/>
      <c r="P13" s="344"/>
      <c r="Q13" s="371">
        <f t="shared" si="1"/>
        <v>175</v>
      </c>
      <c r="R13" s="270"/>
    </row>
    <row r="14" spans="1:19" s="4" customFormat="1" x14ac:dyDescent="0.25">
      <c r="A14" s="73">
        <v>75009</v>
      </c>
      <c r="B14" s="27" t="s">
        <v>1228</v>
      </c>
      <c r="C14" s="136" t="s">
        <v>1229</v>
      </c>
      <c r="D14" s="73" t="s">
        <v>188</v>
      </c>
      <c r="E14" s="66" t="s">
        <v>48</v>
      </c>
      <c r="F14" s="28" t="s">
        <v>48</v>
      </c>
      <c r="G14" s="28" t="s">
        <v>48</v>
      </c>
      <c r="H14" s="28" t="s">
        <v>48</v>
      </c>
      <c r="I14" s="32">
        <v>228</v>
      </c>
      <c r="J14" s="343"/>
      <c r="K14" s="77"/>
      <c r="L14" s="77"/>
      <c r="M14" s="77"/>
      <c r="N14" s="77"/>
      <c r="O14" s="77"/>
      <c r="P14" s="344"/>
      <c r="Q14" s="371">
        <f t="shared" si="1"/>
        <v>228</v>
      </c>
      <c r="R14" s="270"/>
    </row>
    <row r="15" spans="1:19" s="4" customFormat="1" x14ac:dyDescent="0.25">
      <c r="A15" s="73">
        <v>75009</v>
      </c>
      <c r="B15" s="27" t="s">
        <v>940</v>
      </c>
      <c r="C15" s="136" t="s">
        <v>941</v>
      </c>
      <c r="D15" s="73" t="s">
        <v>186</v>
      </c>
      <c r="E15" s="66" t="s">
        <v>48</v>
      </c>
      <c r="F15" s="28" t="s">
        <v>48</v>
      </c>
      <c r="G15" s="46">
        <v>587</v>
      </c>
      <c r="H15" s="32" t="s">
        <v>48</v>
      </c>
      <c r="I15" s="32" t="s">
        <v>48</v>
      </c>
      <c r="J15" s="343"/>
      <c r="K15" s="77"/>
      <c r="L15" s="77"/>
      <c r="M15" s="77"/>
      <c r="N15" s="77"/>
      <c r="O15" s="77"/>
      <c r="P15" s="344"/>
      <c r="Q15" s="371">
        <f t="shared" si="1"/>
        <v>587</v>
      </c>
      <c r="R15" s="270"/>
    </row>
    <row r="16" spans="1:19" s="4" customFormat="1" x14ac:dyDescent="0.25">
      <c r="A16" s="73">
        <v>75009</v>
      </c>
      <c r="B16" s="27" t="s">
        <v>591</v>
      </c>
      <c r="C16" s="136" t="s">
        <v>592</v>
      </c>
      <c r="D16" s="73" t="s">
        <v>188</v>
      </c>
      <c r="E16" s="66">
        <v>36</v>
      </c>
      <c r="F16" s="32" t="s">
        <v>48</v>
      </c>
      <c r="G16" s="28">
        <v>398</v>
      </c>
      <c r="H16" s="32" t="s">
        <v>48</v>
      </c>
      <c r="I16" s="32">
        <v>368</v>
      </c>
      <c r="J16" s="343"/>
      <c r="K16" s="77"/>
      <c r="L16" s="77"/>
      <c r="M16" s="77"/>
      <c r="N16" s="77"/>
      <c r="O16" s="77"/>
      <c r="P16" s="344"/>
      <c r="Q16" s="371">
        <f t="shared" si="1"/>
        <v>802</v>
      </c>
      <c r="R16" s="270"/>
    </row>
    <row r="17" spans="1:18" s="4" customFormat="1" x14ac:dyDescent="0.25">
      <c r="A17" s="73">
        <v>75009</v>
      </c>
      <c r="B17" s="27" t="s">
        <v>399</v>
      </c>
      <c r="C17" s="136" t="s">
        <v>400</v>
      </c>
      <c r="D17" s="73" t="s">
        <v>188</v>
      </c>
      <c r="E17" s="66" t="s">
        <v>48</v>
      </c>
      <c r="F17" s="32">
        <v>334</v>
      </c>
      <c r="G17" s="28" t="s">
        <v>48</v>
      </c>
      <c r="H17" s="32">
        <v>16</v>
      </c>
      <c r="I17" s="32" t="s">
        <v>48</v>
      </c>
      <c r="J17" s="343"/>
      <c r="K17" s="77"/>
      <c r="L17" s="77"/>
      <c r="M17" s="77"/>
      <c r="N17" s="77"/>
      <c r="O17" s="77"/>
      <c r="P17" s="344"/>
      <c r="Q17" s="371">
        <f t="shared" si="1"/>
        <v>350</v>
      </c>
      <c r="R17" s="270"/>
    </row>
    <row r="18" spans="1:18" s="4" customFormat="1" x14ac:dyDescent="0.25">
      <c r="A18" s="73">
        <v>75009</v>
      </c>
      <c r="B18" s="27" t="s">
        <v>1230</v>
      </c>
      <c r="C18" s="136" t="s">
        <v>1231</v>
      </c>
      <c r="D18" s="73" t="s">
        <v>186</v>
      </c>
      <c r="E18" s="66" t="s">
        <v>48</v>
      </c>
      <c r="F18" s="32" t="s">
        <v>48</v>
      </c>
      <c r="G18" s="32" t="s">
        <v>48</v>
      </c>
      <c r="H18" s="32" t="s">
        <v>48</v>
      </c>
      <c r="I18" s="32">
        <v>218</v>
      </c>
      <c r="J18" s="343"/>
      <c r="K18" s="77"/>
      <c r="L18" s="77"/>
      <c r="M18" s="77"/>
      <c r="N18" s="77"/>
      <c r="O18" s="77"/>
      <c r="P18" s="344"/>
      <c r="Q18" s="371">
        <f t="shared" si="1"/>
        <v>218</v>
      </c>
      <c r="R18" s="270"/>
    </row>
    <row r="19" spans="1:18" s="4" customFormat="1" x14ac:dyDescent="0.25">
      <c r="A19" s="73">
        <v>75009</v>
      </c>
      <c r="B19" s="27" t="s">
        <v>834</v>
      </c>
      <c r="C19" s="136" t="s">
        <v>835</v>
      </c>
      <c r="D19" s="73" t="s">
        <v>186</v>
      </c>
      <c r="E19" s="66" t="s">
        <v>48</v>
      </c>
      <c r="F19" s="32" t="s">
        <v>48</v>
      </c>
      <c r="G19" s="28">
        <v>82</v>
      </c>
      <c r="H19" s="32">
        <v>376</v>
      </c>
      <c r="I19" s="32">
        <v>1173</v>
      </c>
      <c r="J19" s="343"/>
      <c r="K19" s="77"/>
      <c r="L19" s="77"/>
      <c r="M19" s="77"/>
      <c r="N19" s="77"/>
      <c r="O19" s="77"/>
      <c r="P19" s="344"/>
      <c r="Q19" s="371">
        <f t="shared" si="1"/>
        <v>1631</v>
      </c>
      <c r="R19" s="270"/>
    </row>
    <row r="20" spans="1:18" s="4" customFormat="1" x14ac:dyDescent="0.25">
      <c r="A20" s="73">
        <v>75009</v>
      </c>
      <c r="B20" s="27" t="s">
        <v>401</v>
      </c>
      <c r="C20" s="136" t="s">
        <v>402</v>
      </c>
      <c r="D20" s="73" t="s">
        <v>186</v>
      </c>
      <c r="E20" s="66" t="s">
        <v>48</v>
      </c>
      <c r="F20" s="32">
        <v>97</v>
      </c>
      <c r="G20" s="28">
        <v>298</v>
      </c>
      <c r="H20" s="32">
        <v>178</v>
      </c>
      <c r="I20" s="32">
        <v>192</v>
      </c>
      <c r="J20" s="343"/>
      <c r="K20" s="77"/>
      <c r="L20" s="77"/>
      <c r="M20" s="77"/>
      <c r="N20" s="77"/>
      <c r="O20" s="77"/>
      <c r="P20" s="344"/>
      <c r="Q20" s="371">
        <f t="shared" si="1"/>
        <v>765</v>
      </c>
      <c r="R20" s="270"/>
    </row>
    <row r="21" spans="1:18" s="4" customFormat="1" x14ac:dyDescent="0.25">
      <c r="A21" s="73">
        <v>75009</v>
      </c>
      <c r="B21" s="271" t="s">
        <v>403</v>
      </c>
      <c r="C21" s="136" t="s">
        <v>404</v>
      </c>
      <c r="D21" s="73" t="s">
        <v>186</v>
      </c>
      <c r="E21" s="66" t="s">
        <v>48</v>
      </c>
      <c r="F21" s="272">
        <v>400</v>
      </c>
      <c r="G21" s="28" t="s">
        <v>48</v>
      </c>
      <c r="H21" s="32">
        <v>78</v>
      </c>
      <c r="I21" s="32">
        <v>491</v>
      </c>
      <c r="J21" s="343"/>
      <c r="K21" s="77"/>
      <c r="L21" s="77"/>
      <c r="M21" s="77"/>
      <c r="N21" s="77"/>
      <c r="O21" s="77"/>
      <c r="P21" s="344"/>
      <c r="Q21" s="371">
        <f t="shared" si="1"/>
        <v>969</v>
      </c>
      <c r="R21" s="273" t="s">
        <v>405</v>
      </c>
    </row>
    <row r="22" spans="1:18" s="4" customFormat="1" x14ac:dyDescent="0.25">
      <c r="A22" s="73">
        <v>75009</v>
      </c>
      <c r="B22" s="27" t="s">
        <v>836</v>
      </c>
      <c r="C22" s="136" t="s">
        <v>837</v>
      </c>
      <c r="D22" s="73" t="s">
        <v>320</v>
      </c>
      <c r="E22" s="66" t="s">
        <v>48</v>
      </c>
      <c r="F22" s="32" t="s">
        <v>48</v>
      </c>
      <c r="G22" s="28" t="s">
        <v>48</v>
      </c>
      <c r="H22" s="32">
        <v>63</v>
      </c>
      <c r="I22" s="32">
        <v>208</v>
      </c>
      <c r="J22" s="343"/>
      <c r="K22" s="77"/>
      <c r="L22" s="77"/>
      <c r="M22" s="77"/>
      <c r="N22" s="77"/>
      <c r="O22" s="77"/>
      <c r="P22" s="344"/>
      <c r="Q22" s="371">
        <f t="shared" si="1"/>
        <v>271</v>
      </c>
      <c r="R22" s="298"/>
    </row>
    <row r="23" spans="1:18" s="4" customFormat="1" x14ac:dyDescent="0.25">
      <c r="A23" s="73">
        <v>75009</v>
      </c>
      <c r="B23" s="27" t="s">
        <v>942</v>
      </c>
      <c r="C23" s="136" t="s">
        <v>943</v>
      </c>
      <c r="D23" s="73" t="s">
        <v>187</v>
      </c>
      <c r="E23" s="66" t="s">
        <v>48</v>
      </c>
      <c r="F23" s="32" t="s">
        <v>48</v>
      </c>
      <c r="G23" s="28">
        <v>108</v>
      </c>
      <c r="H23" s="28" t="s">
        <v>48</v>
      </c>
      <c r="I23" s="32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108</v>
      </c>
      <c r="R23" s="298"/>
    </row>
    <row r="24" spans="1:18" s="4" customFormat="1" x14ac:dyDescent="0.25">
      <c r="A24" s="58">
        <v>75009</v>
      </c>
      <c r="B24" s="14" t="s">
        <v>298</v>
      </c>
      <c r="C24" s="55" t="s">
        <v>299</v>
      </c>
      <c r="D24" s="58" t="s">
        <v>187</v>
      </c>
      <c r="E24" s="59">
        <v>741</v>
      </c>
      <c r="F24" s="45" t="s">
        <v>48</v>
      </c>
      <c r="G24" s="28">
        <v>38</v>
      </c>
      <c r="H24" s="32" t="s">
        <v>48</v>
      </c>
      <c r="I24" s="32">
        <v>120</v>
      </c>
      <c r="J24" s="343"/>
      <c r="K24" s="77"/>
      <c r="L24" s="77"/>
      <c r="M24" s="77"/>
      <c r="N24" s="77"/>
      <c r="O24" s="77"/>
      <c r="P24" s="344"/>
      <c r="Q24" s="371">
        <f t="shared" si="1"/>
        <v>899</v>
      </c>
      <c r="R24" s="57"/>
    </row>
    <row r="25" spans="1:18" s="4" customFormat="1" x14ac:dyDescent="0.25">
      <c r="A25" s="58">
        <v>75009</v>
      </c>
      <c r="B25" s="14" t="s">
        <v>406</v>
      </c>
      <c r="C25" s="55" t="s">
        <v>407</v>
      </c>
      <c r="D25" s="58" t="s">
        <v>186</v>
      </c>
      <c r="E25" s="59" t="s">
        <v>48</v>
      </c>
      <c r="F25" s="45">
        <v>108</v>
      </c>
      <c r="G25" s="28" t="s">
        <v>48</v>
      </c>
      <c r="H25" s="32">
        <v>255</v>
      </c>
      <c r="I25" s="32">
        <v>113</v>
      </c>
      <c r="J25" s="343"/>
      <c r="K25" s="77"/>
      <c r="L25" s="77"/>
      <c r="M25" s="77"/>
      <c r="N25" s="77"/>
      <c r="O25" s="77"/>
      <c r="P25" s="344"/>
      <c r="Q25" s="371">
        <f t="shared" si="1"/>
        <v>476</v>
      </c>
      <c r="R25" s="57"/>
    </row>
    <row r="26" spans="1:18" s="4" customFormat="1" x14ac:dyDescent="0.25">
      <c r="A26" s="58">
        <v>75009</v>
      </c>
      <c r="B26" s="14" t="s">
        <v>1232</v>
      </c>
      <c r="C26" s="55" t="s">
        <v>1233</v>
      </c>
      <c r="D26" s="58" t="s">
        <v>187</v>
      </c>
      <c r="E26" s="59" t="s">
        <v>48</v>
      </c>
      <c r="F26" s="45" t="s">
        <v>48</v>
      </c>
      <c r="G26" s="45" t="s">
        <v>48</v>
      </c>
      <c r="H26" s="45" t="s">
        <v>48</v>
      </c>
      <c r="I26" s="32">
        <v>349</v>
      </c>
      <c r="J26" s="343"/>
      <c r="K26" s="77"/>
      <c r="L26" s="77"/>
      <c r="M26" s="77"/>
      <c r="N26" s="77"/>
      <c r="O26" s="77"/>
      <c r="P26" s="344"/>
      <c r="Q26" s="371">
        <f t="shared" si="1"/>
        <v>349</v>
      </c>
      <c r="R26" s="57"/>
    </row>
    <row r="27" spans="1:18" s="4" customFormat="1" x14ac:dyDescent="0.25">
      <c r="A27" s="58">
        <v>75009</v>
      </c>
      <c r="B27" s="14" t="s">
        <v>1234</v>
      </c>
      <c r="C27" s="55" t="s">
        <v>1235</v>
      </c>
      <c r="D27" s="58" t="s">
        <v>186</v>
      </c>
      <c r="E27" s="59" t="s">
        <v>48</v>
      </c>
      <c r="F27" s="45" t="s">
        <v>48</v>
      </c>
      <c r="G27" s="45" t="s">
        <v>48</v>
      </c>
      <c r="H27" s="45" t="s">
        <v>48</v>
      </c>
      <c r="I27" s="32">
        <v>152</v>
      </c>
      <c r="J27" s="343"/>
      <c r="K27" s="77"/>
      <c r="L27" s="77"/>
      <c r="M27" s="77"/>
      <c r="N27" s="77"/>
      <c r="O27" s="77"/>
      <c r="P27" s="344"/>
      <c r="Q27" s="371">
        <f t="shared" si="1"/>
        <v>152</v>
      </c>
      <c r="R27" s="57"/>
    </row>
    <row r="28" spans="1:18" s="4" customFormat="1" x14ac:dyDescent="0.25">
      <c r="A28" s="58">
        <v>75009</v>
      </c>
      <c r="B28" s="294" t="s">
        <v>1236</v>
      </c>
      <c r="C28" s="55" t="s">
        <v>1237</v>
      </c>
      <c r="D28" s="58" t="s">
        <v>1240</v>
      </c>
      <c r="E28" s="59" t="s">
        <v>48</v>
      </c>
      <c r="F28" s="45" t="s">
        <v>48</v>
      </c>
      <c r="G28" s="45" t="s">
        <v>48</v>
      </c>
      <c r="H28" s="45" t="s">
        <v>48</v>
      </c>
      <c r="I28" s="272">
        <v>340</v>
      </c>
      <c r="J28" s="343"/>
      <c r="K28" s="77"/>
      <c r="L28" s="77"/>
      <c r="M28" s="77"/>
      <c r="N28" s="77"/>
      <c r="O28" s="77"/>
      <c r="P28" s="344"/>
      <c r="Q28" s="371">
        <f t="shared" si="1"/>
        <v>340</v>
      </c>
      <c r="R28" s="299" t="s">
        <v>529</v>
      </c>
    </row>
    <row r="29" spans="1:18" s="4" customFormat="1" x14ac:dyDescent="0.25">
      <c r="A29" s="58">
        <v>75009</v>
      </c>
      <c r="B29" s="14" t="s">
        <v>300</v>
      </c>
      <c r="C29" s="55" t="s">
        <v>301</v>
      </c>
      <c r="D29" s="58" t="s">
        <v>188</v>
      </c>
      <c r="E29" s="59">
        <v>100</v>
      </c>
      <c r="F29" s="45" t="s">
        <v>48</v>
      </c>
      <c r="G29" s="28">
        <v>607</v>
      </c>
      <c r="H29" s="32" t="s">
        <v>48</v>
      </c>
      <c r="I29" s="32" t="s">
        <v>48</v>
      </c>
      <c r="J29" s="343"/>
      <c r="K29" s="77"/>
      <c r="L29" s="77"/>
      <c r="M29" s="77"/>
      <c r="N29" s="77"/>
      <c r="O29" s="77"/>
      <c r="P29" s="344"/>
      <c r="Q29" s="371">
        <f t="shared" si="1"/>
        <v>707</v>
      </c>
      <c r="R29" s="107"/>
    </row>
    <row r="30" spans="1:18" s="4" customFormat="1" x14ac:dyDescent="0.25">
      <c r="A30" s="58">
        <v>75009</v>
      </c>
      <c r="B30" s="14" t="s">
        <v>408</v>
      </c>
      <c r="C30" s="55" t="s">
        <v>409</v>
      </c>
      <c r="D30" s="58" t="s">
        <v>188</v>
      </c>
      <c r="E30" s="59" t="s">
        <v>48</v>
      </c>
      <c r="F30" s="45">
        <v>216</v>
      </c>
      <c r="G30" s="28">
        <v>129</v>
      </c>
      <c r="H30" s="32" t="s">
        <v>48</v>
      </c>
      <c r="I30" s="32" t="s">
        <v>48</v>
      </c>
      <c r="J30" s="343"/>
      <c r="K30" s="77"/>
      <c r="L30" s="77"/>
      <c r="M30" s="77"/>
      <c r="N30" s="77"/>
      <c r="O30" s="77"/>
      <c r="P30" s="344"/>
      <c r="Q30" s="371">
        <f t="shared" si="1"/>
        <v>345</v>
      </c>
      <c r="R30" s="107"/>
    </row>
    <row r="31" spans="1:18" s="4" customFormat="1" x14ac:dyDescent="0.25">
      <c r="A31" s="58">
        <v>75009</v>
      </c>
      <c r="B31" s="294" t="s">
        <v>1238</v>
      </c>
      <c r="C31" s="55" t="s">
        <v>1239</v>
      </c>
      <c r="D31" s="58" t="s">
        <v>188</v>
      </c>
      <c r="E31" s="59" t="s">
        <v>48</v>
      </c>
      <c r="F31" s="28" t="s">
        <v>48</v>
      </c>
      <c r="G31" s="28" t="s">
        <v>48</v>
      </c>
      <c r="H31" s="32" t="s">
        <v>48</v>
      </c>
      <c r="I31" s="272">
        <v>146</v>
      </c>
      <c r="J31" s="343"/>
      <c r="K31" s="77"/>
      <c r="L31" s="77"/>
      <c r="M31" s="77"/>
      <c r="N31" s="77"/>
      <c r="O31" s="77"/>
      <c r="P31" s="344"/>
      <c r="Q31" s="371">
        <f t="shared" si="1"/>
        <v>146</v>
      </c>
      <c r="R31" s="299" t="s">
        <v>529</v>
      </c>
    </row>
    <row r="32" spans="1:18" s="4" customFormat="1" x14ac:dyDescent="0.25">
      <c r="A32" s="58">
        <v>75009</v>
      </c>
      <c r="B32" s="14" t="s">
        <v>410</v>
      </c>
      <c r="C32" s="55" t="s">
        <v>411</v>
      </c>
      <c r="D32" s="58" t="s">
        <v>188</v>
      </c>
      <c r="E32" s="59" t="s">
        <v>48</v>
      </c>
      <c r="F32" s="45">
        <v>16</v>
      </c>
      <c r="G32" s="28">
        <v>188</v>
      </c>
      <c r="H32" s="32">
        <v>441</v>
      </c>
      <c r="I32" s="32">
        <v>320</v>
      </c>
      <c r="J32" s="343"/>
      <c r="K32" s="77"/>
      <c r="L32" s="77"/>
      <c r="M32" s="77"/>
      <c r="N32" s="77"/>
      <c r="O32" s="77"/>
      <c r="P32" s="344"/>
      <c r="Q32" s="371">
        <f t="shared" si="1"/>
        <v>965</v>
      </c>
      <c r="R32" s="107"/>
    </row>
    <row r="33" spans="1:18" s="4" customFormat="1" x14ac:dyDescent="0.25">
      <c r="A33" s="58">
        <v>75009</v>
      </c>
      <c r="B33" s="14" t="s">
        <v>1241</v>
      </c>
      <c r="C33" s="55" t="s">
        <v>1242</v>
      </c>
      <c r="D33" s="58" t="s">
        <v>186</v>
      </c>
      <c r="E33" s="59" t="s">
        <v>48</v>
      </c>
      <c r="F33" s="45" t="s">
        <v>48</v>
      </c>
      <c r="G33" s="45" t="s">
        <v>48</v>
      </c>
      <c r="H33" s="45" t="s">
        <v>48</v>
      </c>
      <c r="I33" s="32">
        <v>66</v>
      </c>
      <c r="J33" s="343"/>
      <c r="K33" s="77"/>
      <c r="L33" s="77"/>
      <c r="M33" s="77"/>
      <c r="N33" s="77"/>
      <c r="O33" s="77"/>
      <c r="P33" s="344"/>
      <c r="Q33" s="371">
        <f t="shared" si="1"/>
        <v>66</v>
      </c>
      <c r="R33" s="107"/>
    </row>
    <row r="34" spans="1:18" s="4" customFormat="1" x14ac:dyDescent="0.25">
      <c r="A34" s="58">
        <v>75009</v>
      </c>
      <c r="B34" s="14" t="s">
        <v>944</v>
      </c>
      <c r="C34" s="55" t="s">
        <v>945</v>
      </c>
      <c r="D34" s="58" t="s">
        <v>187</v>
      </c>
      <c r="E34" s="59" t="s">
        <v>48</v>
      </c>
      <c r="F34" s="45" t="s">
        <v>48</v>
      </c>
      <c r="G34" s="45">
        <v>99</v>
      </c>
      <c r="H34" s="45" t="s">
        <v>48</v>
      </c>
      <c r="I34" s="32" t="s">
        <v>48</v>
      </c>
      <c r="J34" s="343"/>
      <c r="K34" s="77"/>
      <c r="L34" s="77"/>
      <c r="M34" s="77"/>
      <c r="N34" s="77"/>
      <c r="O34" s="77"/>
      <c r="P34" s="344"/>
      <c r="Q34" s="371">
        <f t="shared" si="1"/>
        <v>99</v>
      </c>
      <c r="R34" s="107"/>
    </row>
    <row r="35" spans="1:18" s="4" customFormat="1" x14ac:dyDescent="0.25">
      <c r="A35" s="58">
        <v>75009</v>
      </c>
      <c r="B35" s="14" t="s">
        <v>302</v>
      </c>
      <c r="C35" s="55" t="s">
        <v>303</v>
      </c>
      <c r="D35" s="58" t="s">
        <v>186</v>
      </c>
      <c r="E35" s="59">
        <v>378</v>
      </c>
      <c r="F35" s="45">
        <v>20</v>
      </c>
      <c r="G35" s="28" t="s">
        <v>48</v>
      </c>
      <c r="H35" s="32" t="s">
        <v>48</v>
      </c>
      <c r="I35" s="32" t="s">
        <v>48</v>
      </c>
      <c r="J35" s="343"/>
      <c r="K35" s="77"/>
      <c r="L35" s="77"/>
      <c r="M35" s="77"/>
      <c r="N35" s="77"/>
      <c r="O35" s="77"/>
      <c r="P35" s="344"/>
      <c r="Q35" s="371">
        <f t="shared" si="1"/>
        <v>398</v>
      </c>
      <c r="R35" s="107"/>
    </row>
    <row r="36" spans="1:18" s="4" customFormat="1" x14ac:dyDescent="0.25">
      <c r="A36" s="58">
        <v>75009</v>
      </c>
      <c r="B36" s="14" t="s">
        <v>838</v>
      </c>
      <c r="C36" s="55" t="s">
        <v>839</v>
      </c>
      <c r="D36" s="58" t="s">
        <v>188</v>
      </c>
      <c r="E36" s="59" t="s">
        <v>48</v>
      </c>
      <c r="F36" s="45" t="s">
        <v>48</v>
      </c>
      <c r="G36" s="28" t="s">
        <v>48</v>
      </c>
      <c r="H36" s="32">
        <v>152</v>
      </c>
      <c r="I36" s="32">
        <v>188</v>
      </c>
      <c r="J36" s="343"/>
      <c r="K36" s="77"/>
      <c r="L36" s="77"/>
      <c r="M36" s="77"/>
      <c r="N36" s="77"/>
      <c r="O36" s="77"/>
      <c r="P36" s="344"/>
      <c r="Q36" s="371">
        <f t="shared" si="1"/>
        <v>340</v>
      </c>
      <c r="R36" s="107"/>
    </row>
    <row r="37" spans="1:18" s="4" customFormat="1" x14ac:dyDescent="0.25">
      <c r="A37" s="58">
        <v>75009</v>
      </c>
      <c r="B37" s="14" t="s">
        <v>840</v>
      </c>
      <c r="C37" s="55" t="s">
        <v>841</v>
      </c>
      <c r="D37" s="58" t="s">
        <v>187</v>
      </c>
      <c r="E37" s="59" t="s">
        <v>48</v>
      </c>
      <c r="F37" s="45" t="s">
        <v>48</v>
      </c>
      <c r="G37" s="28">
        <v>304</v>
      </c>
      <c r="H37" s="32">
        <v>93</v>
      </c>
      <c r="I37" s="32">
        <v>247</v>
      </c>
      <c r="J37" s="343"/>
      <c r="K37" s="77"/>
      <c r="L37" s="77"/>
      <c r="M37" s="77"/>
      <c r="N37" s="77"/>
      <c r="O37" s="77"/>
      <c r="P37" s="344"/>
      <c r="Q37" s="371">
        <f t="shared" si="1"/>
        <v>644</v>
      </c>
      <c r="R37" s="107"/>
    </row>
    <row r="38" spans="1:18" s="4" customFormat="1" x14ac:dyDescent="0.25">
      <c r="A38" s="58">
        <v>75009</v>
      </c>
      <c r="B38" s="14" t="s">
        <v>842</v>
      </c>
      <c r="C38" s="55" t="s">
        <v>843</v>
      </c>
      <c r="D38" s="58" t="s">
        <v>320</v>
      </c>
      <c r="E38" s="59" t="s">
        <v>48</v>
      </c>
      <c r="F38" s="45" t="s">
        <v>48</v>
      </c>
      <c r="G38" s="28" t="s">
        <v>48</v>
      </c>
      <c r="H38" s="32">
        <v>218</v>
      </c>
      <c r="I38" s="32" t="s">
        <v>48</v>
      </c>
      <c r="J38" s="343"/>
      <c r="K38" s="77"/>
      <c r="L38" s="77"/>
      <c r="M38" s="77"/>
      <c r="N38" s="77"/>
      <c r="O38" s="77"/>
      <c r="P38" s="344"/>
      <c r="Q38" s="371">
        <f t="shared" si="1"/>
        <v>218</v>
      </c>
      <c r="R38" s="107"/>
    </row>
    <row r="39" spans="1:18" s="4" customFormat="1" x14ac:dyDescent="0.25">
      <c r="A39" s="58">
        <v>75009</v>
      </c>
      <c r="B39" s="14" t="s">
        <v>593</v>
      </c>
      <c r="C39" s="55" t="s">
        <v>594</v>
      </c>
      <c r="D39" s="58" t="s">
        <v>188</v>
      </c>
      <c r="E39" s="59">
        <v>200</v>
      </c>
      <c r="F39" s="45" t="s">
        <v>48</v>
      </c>
      <c r="G39" s="28" t="s">
        <v>48</v>
      </c>
      <c r="H39" s="32" t="s">
        <v>48</v>
      </c>
      <c r="I39" s="32">
        <v>40</v>
      </c>
      <c r="J39" s="343"/>
      <c r="K39" s="77"/>
      <c r="L39" s="77"/>
      <c r="M39" s="77"/>
      <c r="N39" s="77"/>
      <c r="O39" s="77"/>
      <c r="P39" s="344"/>
      <c r="Q39" s="371">
        <f t="shared" si="1"/>
        <v>240</v>
      </c>
      <c r="R39" s="107"/>
    </row>
    <row r="40" spans="1:18" s="4" customFormat="1" x14ac:dyDescent="0.25">
      <c r="A40" s="58">
        <v>75009</v>
      </c>
      <c r="B40" s="14" t="s">
        <v>1243</v>
      </c>
      <c r="C40" s="55" t="s">
        <v>1244</v>
      </c>
      <c r="D40" s="58" t="s">
        <v>187</v>
      </c>
      <c r="E40" s="59" t="s">
        <v>48</v>
      </c>
      <c r="F40" s="45" t="s">
        <v>48</v>
      </c>
      <c r="G40" s="28" t="s">
        <v>48</v>
      </c>
      <c r="H40" s="32" t="s">
        <v>48</v>
      </c>
      <c r="I40" s="32">
        <v>369</v>
      </c>
      <c r="J40" s="343"/>
      <c r="K40" s="77"/>
      <c r="L40" s="77"/>
      <c r="M40" s="77"/>
      <c r="N40" s="77"/>
      <c r="O40" s="77"/>
      <c r="P40" s="344"/>
      <c r="Q40" s="371">
        <f t="shared" si="1"/>
        <v>369</v>
      </c>
      <c r="R40" s="107"/>
    </row>
    <row r="41" spans="1:18" s="4" customFormat="1" x14ac:dyDescent="0.25">
      <c r="A41" s="58">
        <v>75009</v>
      </c>
      <c r="B41" s="14" t="s">
        <v>412</v>
      </c>
      <c r="C41" s="55" t="s">
        <v>413</v>
      </c>
      <c r="D41" s="58" t="s">
        <v>188</v>
      </c>
      <c r="E41" s="59" t="s">
        <v>48</v>
      </c>
      <c r="F41" s="45">
        <v>832</v>
      </c>
      <c r="G41" s="28">
        <v>142</v>
      </c>
      <c r="H41" s="32" t="s">
        <v>48</v>
      </c>
      <c r="I41" s="32">
        <v>146</v>
      </c>
      <c r="J41" s="343"/>
      <c r="K41" s="77"/>
      <c r="L41" s="77"/>
      <c r="M41" s="77"/>
      <c r="N41" s="77"/>
      <c r="O41" s="77"/>
      <c r="P41" s="344"/>
      <c r="Q41" s="371">
        <f t="shared" ref="Q41:Q68" si="2">SUM(E41:P41)</f>
        <v>1120</v>
      </c>
      <c r="R41" s="107"/>
    </row>
    <row r="42" spans="1:18" s="4" customFormat="1" x14ac:dyDescent="0.25">
      <c r="A42" s="58">
        <v>75009</v>
      </c>
      <c r="B42" s="14" t="s">
        <v>844</v>
      </c>
      <c r="C42" s="55" t="s">
        <v>845</v>
      </c>
      <c r="D42" s="58" t="s">
        <v>186</v>
      </c>
      <c r="E42" s="59" t="s">
        <v>48</v>
      </c>
      <c r="F42" s="45" t="s">
        <v>48</v>
      </c>
      <c r="G42" s="28" t="s">
        <v>48</v>
      </c>
      <c r="H42" s="32">
        <v>544</v>
      </c>
      <c r="I42" s="32">
        <v>556</v>
      </c>
      <c r="J42" s="343"/>
      <c r="K42" s="77"/>
      <c r="L42" s="77"/>
      <c r="M42" s="77"/>
      <c r="N42" s="77"/>
      <c r="O42" s="77"/>
      <c r="P42" s="344"/>
      <c r="Q42" s="371">
        <f t="shared" si="2"/>
        <v>1100</v>
      </c>
      <c r="R42" s="107"/>
    </row>
    <row r="43" spans="1:18" s="4" customFormat="1" x14ac:dyDescent="0.25">
      <c r="A43" s="58">
        <v>75009</v>
      </c>
      <c r="B43" s="14" t="s">
        <v>946</v>
      </c>
      <c r="C43" s="55" t="s">
        <v>947</v>
      </c>
      <c r="D43" s="58" t="s">
        <v>188</v>
      </c>
      <c r="E43" s="59" t="s">
        <v>48</v>
      </c>
      <c r="F43" s="45" t="s">
        <v>48</v>
      </c>
      <c r="G43" s="28">
        <v>120</v>
      </c>
      <c r="H43" s="28" t="s">
        <v>48</v>
      </c>
      <c r="I43" s="32" t="s">
        <v>48</v>
      </c>
      <c r="J43" s="343"/>
      <c r="K43" s="77"/>
      <c r="L43" s="77"/>
      <c r="M43" s="77"/>
      <c r="N43" s="77"/>
      <c r="O43" s="77"/>
      <c r="P43" s="344"/>
      <c r="Q43" s="371">
        <f t="shared" si="2"/>
        <v>120</v>
      </c>
      <c r="R43" s="107"/>
    </row>
    <row r="44" spans="1:18" s="4" customFormat="1" x14ac:dyDescent="0.25">
      <c r="A44" s="58">
        <v>75009</v>
      </c>
      <c r="B44" s="14" t="s">
        <v>948</v>
      </c>
      <c r="C44" s="55" t="s">
        <v>949</v>
      </c>
      <c r="D44" s="58" t="s">
        <v>186</v>
      </c>
      <c r="E44" s="59" t="s">
        <v>48</v>
      </c>
      <c r="F44" s="45" t="s">
        <v>48</v>
      </c>
      <c r="G44" s="28">
        <v>200</v>
      </c>
      <c r="H44" s="28" t="s">
        <v>48</v>
      </c>
      <c r="I44" s="32" t="s">
        <v>48</v>
      </c>
      <c r="J44" s="343"/>
      <c r="K44" s="77"/>
      <c r="L44" s="77"/>
      <c r="M44" s="77"/>
      <c r="N44" s="77"/>
      <c r="O44" s="77"/>
      <c r="P44" s="344"/>
      <c r="Q44" s="371">
        <f t="shared" si="2"/>
        <v>200</v>
      </c>
      <c r="R44" s="107"/>
    </row>
    <row r="45" spans="1:18" s="4" customFormat="1" x14ac:dyDescent="0.25">
      <c r="A45" s="58">
        <v>75009</v>
      </c>
      <c r="B45" s="14" t="s">
        <v>950</v>
      </c>
      <c r="C45" s="55" t="s">
        <v>951</v>
      </c>
      <c r="D45" s="58" t="s">
        <v>186</v>
      </c>
      <c r="E45" s="59" t="s">
        <v>48</v>
      </c>
      <c r="F45" s="45" t="s">
        <v>48</v>
      </c>
      <c r="G45" s="28">
        <v>68</v>
      </c>
      <c r="H45" s="28" t="s">
        <v>48</v>
      </c>
      <c r="I45" s="32" t="s">
        <v>48</v>
      </c>
      <c r="J45" s="343"/>
      <c r="K45" s="77"/>
      <c r="L45" s="77"/>
      <c r="M45" s="77"/>
      <c r="N45" s="77"/>
      <c r="O45" s="77"/>
      <c r="P45" s="344"/>
      <c r="Q45" s="371">
        <f t="shared" si="2"/>
        <v>68</v>
      </c>
      <c r="R45" s="107"/>
    </row>
    <row r="46" spans="1:18" s="4" customFormat="1" x14ac:dyDescent="0.25">
      <c r="A46" s="58">
        <v>75009</v>
      </c>
      <c r="B46" s="14" t="s">
        <v>414</v>
      </c>
      <c r="C46" s="55" t="s">
        <v>415</v>
      </c>
      <c r="D46" s="58" t="s">
        <v>186</v>
      </c>
      <c r="E46" s="59" t="s">
        <v>48</v>
      </c>
      <c r="F46" s="45">
        <v>204</v>
      </c>
      <c r="G46" s="28" t="s">
        <v>48</v>
      </c>
      <c r="H46" s="32" t="s">
        <v>48</v>
      </c>
      <c r="I46" s="32" t="s">
        <v>48</v>
      </c>
      <c r="J46" s="343"/>
      <c r="K46" s="77"/>
      <c r="L46" s="77"/>
      <c r="M46" s="77"/>
      <c r="N46" s="77"/>
      <c r="O46" s="77"/>
      <c r="P46" s="344"/>
      <c r="Q46" s="371">
        <f t="shared" si="2"/>
        <v>204</v>
      </c>
      <c r="R46" s="107"/>
    </row>
    <row r="47" spans="1:18" s="4" customFormat="1" x14ac:dyDescent="0.25">
      <c r="A47" s="58">
        <v>75009</v>
      </c>
      <c r="B47" s="14" t="s">
        <v>416</v>
      </c>
      <c r="C47" s="55" t="s">
        <v>417</v>
      </c>
      <c r="D47" s="58" t="s">
        <v>187</v>
      </c>
      <c r="E47" s="59" t="s">
        <v>48</v>
      </c>
      <c r="F47" s="45">
        <v>218</v>
      </c>
      <c r="G47" s="28">
        <v>516</v>
      </c>
      <c r="H47" s="32" t="s">
        <v>48</v>
      </c>
      <c r="I47" s="32">
        <v>221</v>
      </c>
      <c r="J47" s="343"/>
      <c r="K47" s="77"/>
      <c r="L47" s="77"/>
      <c r="M47" s="77"/>
      <c r="N47" s="77"/>
      <c r="O47" s="77"/>
      <c r="P47" s="344"/>
      <c r="Q47" s="371">
        <f t="shared" si="2"/>
        <v>955</v>
      </c>
      <c r="R47" s="107"/>
    </row>
    <row r="48" spans="1:18" s="4" customFormat="1" x14ac:dyDescent="0.25">
      <c r="A48" s="58">
        <v>75009</v>
      </c>
      <c r="B48" s="14" t="s">
        <v>846</v>
      </c>
      <c r="C48" s="55" t="s">
        <v>847</v>
      </c>
      <c r="D48" s="58" t="s">
        <v>186</v>
      </c>
      <c r="E48" s="59" t="s">
        <v>48</v>
      </c>
      <c r="F48" s="45" t="s">
        <v>48</v>
      </c>
      <c r="G48" s="28" t="s">
        <v>48</v>
      </c>
      <c r="H48" s="32">
        <v>222</v>
      </c>
      <c r="I48" s="32">
        <v>74</v>
      </c>
      <c r="J48" s="343"/>
      <c r="K48" s="77"/>
      <c r="L48" s="77"/>
      <c r="M48" s="77"/>
      <c r="N48" s="77"/>
      <c r="O48" s="77"/>
      <c r="P48" s="344"/>
      <c r="Q48" s="371">
        <f t="shared" si="2"/>
        <v>296</v>
      </c>
      <c r="R48" s="107"/>
    </row>
    <row r="49" spans="1:18" s="4" customFormat="1" x14ac:dyDescent="0.25">
      <c r="A49" s="58">
        <v>75009</v>
      </c>
      <c r="B49" s="14" t="s">
        <v>1245</v>
      </c>
      <c r="C49" s="55" t="s">
        <v>1246</v>
      </c>
      <c r="D49" s="58" t="s">
        <v>188</v>
      </c>
      <c r="E49" s="59" t="s">
        <v>48</v>
      </c>
      <c r="F49" s="45" t="s">
        <v>48</v>
      </c>
      <c r="G49" s="28" t="s">
        <v>48</v>
      </c>
      <c r="H49" s="28" t="s">
        <v>48</v>
      </c>
      <c r="I49" s="32">
        <v>48</v>
      </c>
      <c r="J49" s="343"/>
      <c r="K49" s="77"/>
      <c r="L49" s="77"/>
      <c r="M49" s="77"/>
      <c r="N49" s="77"/>
      <c r="O49" s="77"/>
      <c r="P49" s="344"/>
      <c r="Q49" s="371">
        <f t="shared" si="2"/>
        <v>48</v>
      </c>
      <c r="R49" s="107"/>
    </row>
    <row r="50" spans="1:18" s="4" customFormat="1" x14ac:dyDescent="0.25">
      <c r="A50" s="58">
        <v>75009</v>
      </c>
      <c r="B50" s="14" t="s">
        <v>304</v>
      </c>
      <c r="C50" s="55" t="s">
        <v>305</v>
      </c>
      <c r="D50" s="58" t="s">
        <v>188</v>
      </c>
      <c r="E50" s="59">
        <v>288</v>
      </c>
      <c r="F50" s="45">
        <v>232</v>
      </c>
      <c r="G50" s="28">
        <v>40</v>
      </c>
      <c r="H50" s="32" t="s">
        <v>48</v>
      </c>
      <c r="I50" s="32">
        <v>326</v>
      </c>
      <c r="J50" s="343"/>
      <c r="K50" s="77"/>
      <c r="L50" s="77"/>
      <c r="M50" s="77"/>
      <c r="N50" s="77"/>
      <c r="O50" s="77"/>
      <c r="P50" s="344"/>
      <c r="Q50" s="371">
        <f t="shared" si="2"/>
        <v>886</v>
      </c>
      <c r="R50" s="107"/>
    </row>
    <row r="51" spans="1:18" s="4" customFormat="1" x14ac:dyDescent="0.25">
      <c r="A51" s="58">
        <v>75009</v>
      </c>
      <c r="B51" s="14" t="s">
        <v>848</v>
      </c>
      <c r="C51" s="55" t="s">
        <v>849</v>
      </c>
      <c r="D51" s="58" t="s">
        <v>188</v>
      </c>
      <c r="E51" s="59" t="s">
        <v>48</v>
      </c>
      <c r="F51" s="45" t="s">
        <v>48</v>
      </c>
      <c r="G51" s="28" t="s">
        <v>48</v>
      </c>
      <c r="H51" s="32">
        <v>428</v>
      </c>
      <c r="I51" s="32">
        <v>308</v>
      </c>
      <c r="J51" s="343"/>
      <c r="K51" s="77"/>
      <c r="L51" s="77"/>
      <c r="M51" s="77"/>
      <c r="N51" s="77"/>
      <c r="O51" s="77"/>
      <c r="P51" s="344"/>
      <c r="Q51" s="371">
        <f t="shared" si="2"/>
        <v>736</v>
      </c>
      <c r="R51" s="107"/>
    </row>
    <row r="52" spans="1:18" s="4" customFormat="1" x14ac:dyDescent="0.25">
      <c r="A52" s="58">
        <v>75009</v>
      </c>
      <c r="B52" s="14" t="s">
        <v>306</v>
      </c>
      <c r="C52" s="55" t="s">
        <v>307</v>
      </c>
      <c r="D52" s="58" t="s">
        <v>186</v>
      </c>
      <c r="E52" s="59">
        <v>40</v>
      </c>
      <c r="F52" s="45">
        <v>148</v>
      </c>
      <c r="G52" s="28">
        <v>529</v>
      </c>
      <c r="H52" s="32">
        <v>1099</v>
      </c>
      <c r="I52" s="32">
        <v>622</v>
      </c>
      <c r="J52" s="343"/>
      <c r="K52" s="77"/>
      <c r="L52" s="77"/>
      <c r="M52" s="77"/>
      <c r="N52" s="77"/>
      <c r="O52" s="77"/>
      <c r="P52" s="344"/>
      <c r="Q52" s="371">
        <f t="shared" si="2"/>
        <v>2438</v>
      </c>
      <c r="R52" s="107"/>
    </row>
    <row r="53" spans="1:18" s="4" customFormat="1" x14ac:dyDescent="0.25">
      <c r="A53" s="58">
        <v>75009</v>
      </c>
      <c r="B53" s="14" t="s">
        <v>1247</v>
      </c>
      <c r="C53" s="55" t="s">
        <v>1248</v>
      </c>
      <c r="D53" s="58" t="s">
        <v>187</v>
      </c>
      <c r="E53" s="59" t="s">
        <v>48</v>
      </c>
      <c r="F53" s="45" t="s">
        <v>48</v>
      </c>
      <c r="G53" s="45" t="s">
        <v>48</v>
      </c>
      <c r="H53" s="45" t="s">
        <v>48</v>
      </c>
      <c r="I53" s="32">
        <v>1005</v>
      </c>
      <c r="J53" s="343"/>
      <c r="K53" s="77"/>
      <c r="L53" s="77"/>
      <c r="M53" s="77"/>
      <c r="N53" s="77"/>
      <c r="O53" s="77"/>
      <c r="P53" s="344"/>
      <c r="Q53" s="371">
        <f t="shared" si="2"/>
        <v>1005</v>
      </c>
      <c r="R53" s="107"/>
    </row>
    <row r="54" spans="1:18" s="4" customFormat="1" x14ac:dyDescent="0.25">
      <c r="A54" s="58">
        <v>75009</v>
      </c>
      <c r="B54" s="14" t="s">
        <v>418</v>
      </c>
      <c r="C54" s="55" t="s">
        <v>419</v>
      </c>
      <c r="D54" s="58" t="s">
        <v>186</v>
      </c>
      <c r="E54" s="59" t="s">
        <v>48</v>
      </c>
      <c r="F54" s="45">
        <v>120</v>
      </c>
      <c r="G54" s="28" t="s">
        <v>48</v>
      </c>
      <c r="H54" s="32">
        <v>299</v>
      </c>
      <c r="I54" s="32">
        <v>196</v>
      </c>
      <c r="J54" s="343"/>
      <c r="K54" s="77"/>
      <c r="L54" s="77"/>
      <c r="M54" s="77"/>
      <c r="N54" s="77"/>
      <c r="O54" s="77"/>
      <c r="P54" s="344"/>
      <c r="Q54" s="371">
        <f t="shared" si="2"/>
        <v>615</v>
      </c>
      <c r="R54" s="107"/>
    </row>
    <row r="55" spans="1:18" s="4" customFormat="1" x14ac:dyDescent="0.25">
      <c r="A55" s="58">
        <v>75009</v>
      </c>
      <c r="B55" s="14" t="s">
        <v>850</v>
      </c>
      <c r="C55" s="55" t="s">
        <v>851</v>
      </c>
      <c r="D55" s="58" t="s">
        <v>188</v>
      </c>
      <c r="E55" s="59" t="s">
        <v>48</v>
      </c>
      <c r="F55" s="45" t="s">
        <v>48</v>
      </c>
      <c r="G55" s="28">
        <v>94</v>
      </c>
      <c r="H55" s="32">
        <v>300</v>
      </c>
      <c r="I55" s="32" t="s">
        <v>48</v>
      </c>
      <c r="J55" s="343"/>
      <c r="K55" s="77"/>
      <c r="L55" s="77"/>
      <c r="M55" s="77"/>
      <c r="N55" s="77"/>
      <c r="O55" s="77"/>
      <c r="P55" s="344"/>
      <c r="Q55" s="371">
        <f t="shared" si="2"/>
        <v>394</v>
      </c>
      <c r="R55" s="107"/>
    </row>
    <row r="56" spans="1:18" s="4" customFormat="1" x14ac:dyDescent="0.25">
      <c r="A56" s="58">
        <v>75009</v>
      </c>
      <c r="B56" s="14" t="s">
        <v>952</v>
      </c>
      <c r="C56" s="55" t="s">
        <v>953</v>
      </c>
      <c r="D56" s="58" t="s">
        <v>188</v>
      </c>
      <c r="E56" s="59" t="s">
        <v>48</v>
      </c>
      <c r="F56" s="45" t="s">
        <v>48</v>
      </c>
      <c r="G56" s="45">
        <v>51</v>
      </c>
      <c r="H56" s="45" t="s">
        <v>48</v>
      </c>
      <c r="I56" s="32" t="s">
        <v>48</v>
      </c>
      <c r="J56" s="343"/>
      <c r="K56" s="77"/>
      <c r="L56" s="77"/>
      <c r="M56" s="77"/>
      <c r="N56" s="77"/>
      <c r="O56" s="77"/>
      <c r="P56" s="344"/>
      <c r="Q56" s="371">
        <f t="shared" si="2"/>
        <v>51</v>
      </c>
      <c r="R56" s="107"/>
    </row>
    <row r="57" spans="1:18" s="4" customFormat="1" x14ac:dyDescent="0.25">
      <c r="A57" s="58">
        <v>75009</v>
      </c>
      <c r="B57" s="14" t="s">
        <v>595</v>
      </c>
      <c r="C57" s="55" t="s">
        <v>596</v>
      </c>
      <c r="D57" s="58" t="s">
        <v>188</v>
      </c>
      <c r="E57" s="59">
        <v>36</v>
      </c>
      <c r="F57" s="45" t="s">
        <v>48</v>
      </c>
      <c r="G57" s="28" t="s">
        <v>48</v>
      </c>
      <c r="H57" s="32" t="s">
        <v>48</v>
      </c>
      <c r="I57" s="32" t="s">
        <v>48</v>
      </c>
      <c r="J57" s="343"/>
      <c r="K57" s="77"/>
      <c r="L57" s="77"/>
      <c r="M57" s="77"/>
      <c r="N57" s="77"/>
      <c r="O57" s="77"/>
      <c r="P57" s="344"/>
      <c r="Q57" s="371">
        <f t="shared" si="2"/>
        <v>36</v>
      </c>
      <c r="R57" s="107"/>
    </row>
    <row r="58" spans="1:18" s="4" customFormat="1" x14ac:dyDescent="0.25">
      <c r="A58" s="58">
        <v>75009</v>
      </c>
      <c r="B58" s="14" t="s">
        <v>1249</v>
      </c>
      <c r="C58" s="55" t="s">
        <v>1250</v>
      </c>
      <c r="D58" s="58" t="s">
        <v>186</v>
      </c>
      <c r="E58" s="59" t="s">
        <v>48</v>
      </c>
      <c r="F58" s="45" t="s">
        <v>48</v>
      </c>
      <c r="G58" s="28" t="s">
        <v>48</v>
      </c>
      <c r="H58" s="32" t="s">
        <v>48</v>
      </c>
      <c r="I58" s="32">
        <v>528</v>
      </c>
      <c r="J58" s="343"/>
      <c r="K58" s="77"/>
      <c r="L58" s="77"/>
      <c r="M58" s="77"/>
      <c r="N58" s="77"/>
      <c r="O58" s="77"/>
      <c r="P58" s="344"/>
      <c r="Q58" s="371">
        <f t="shared" si="2"/>
        <v>528</v>
      </c>
      <c r="R58" s="107"/>
    </row>
    <row r="59" spans="1:18" s="4" customFormat="1" x14ac:dyDescent="0.25">
      <c r="A59" s="58">
        <v>75009</v>
      </c>
      <c r="B59" s="14" t="s">
        <v>420</v>
      </c>
      <c r="C59" s="55" t="s">
        <v>421</v>
      </c>
      <c r="D59" s="58" t="s">
        <v>186</v>
      </c>
      <c r="E59" s="59" t="s">
        <v>48</v>
      </c>
      <c r="F59" s="45">
        <v>1034</v>
      </c>
      <c r="G59" s="28" t="s">
        <v>48</v>
      </c>
      <c r="H59" s="32" t="s">
        <v>48</v>
      </c>
      <c r="I59" s="32" t="s">
        <v>48</v>
      </c>
      <c r="J59" s="343"/>
      <c r="K59" s="77"/>
      <c r="L59" s="77"/>
      <c r="M59" s="77"/>
      <c r="N59" s="77"/>
      <c r="O59" s="77"/>
      <c r="P59" s="344"/>
      <c r="Q59" s="371">
        <f t="shared" si="2"/>
        <v>1034</v>
      </c>
      <c r="R59" s="107"/>
    </row>
    <row r="60" spans="1:18" s="4" customFormat="1" x14ac:dyDescent="0.25">
      <c r="A60" s="58">
        <v>75009</v>
      </c>
      <c r="B60" s="14" t="s">
        <v>308</v>
      </c>
      <c r="C60" s="55" t="s">
        <v>309</v>
      </c>
      <c r="D60" s="58" t="s">
        <v>188</v>
      </c>
      <c r="E60" s="59">
        <v>195</v>
      </c>
      <c r="F60" s="45" t="s">
        <v>48</v>
      </c>
      <c r="G60" s="28">
        <v>292</v>
      </c>
      <c r="H60" s="32">
        <v>744</v>
      </c>
      <c r="I60" s="32">
        <v>1804</v>
      </c>
      <c r="J60" s="343"/>
      <c r="K60" s="77"/>
      <c r="L60" s="77"/>
      <c r="M60" s="77"/>
      <c r="N60" s="77"/>
      <c r="O60" s="77"/>
      <c r="P60" s="344"/>
      <c r="Q60" s="371">
        <f t="shared" si="2"/>
        <v>3035</v>
      </c>
      <c r="R60" s="107"/>
    </row>
    <row r="61" spans="1:18" s="4" customFormat="1" x14ac:dyDescent="0.25">
      <c r="A61" s="58">
        <v>75009</v>
      </c>
      <c r="B61" s="14" t="s">
        <v>422</v>
      </c>
      <c r="C61" s="55" t="s">
        <v>423</v>
      </c>
      <c r="D61" s="58" t="s">
        <v>187</v>
      </c>
      <c r="E61" s="59" t="s">
        <v>48</v>
      </c>
      <c r="F61" s="45">
        <v>286</v>
      </c>
      <c r="G61" s="28" t="s">
        <v>48</v>
      </c>
      <c r="H61" s="32" t="s">
        <v>48</v>
      </c>
      <c r="I61" s="32">
        <v>200</v>
      </c>
      <c r="J61" s="343"/>
      <c r="K61" s="77"/>
      <c r="L61" s="77"/>
      <c r="M61" s="77"/>
      <c r="N61" s="77"/>
      <c r="O61" s="77"/>
      <c r="P61" s="344"/>
      <c r="Q61" s="371">
        <f t="shared" si="2"/>
        <v>486</v>
      </c>
      <c r="R61" s="107"/>
    </row>
    <row r="62" spans="1:18" s="4" customFormat="1" x14ac:dyDescent="0.25">
      <c r="A62" s="58">
        <v>75009</v>
      </c>
      <c r="B62" s="14" t="s">
        <v>310</v>
      </c>
      <c r="C62" s="55" t="s">
        <v>311</v>
      </c>
      <c r="D62" s="58" t="s">
        <v>187</v>
      </c>
      <c r="E62" s="59">
        <v>68</v>
      </c>
      <c r="F62" s="45" t="s">
        <v>48</v>
      </c>
      <c r="G62" s="28" t="s">
        <v>48</v>
      </c>
      <c r="H62" s="32">
        <v>92</v>
      </c>
      <c r="I62" s="32">
        <v>72</v>
      </c>
      <c r="J62" s="343"/>
      <c r="K62" s="77"/>
      <c r="L62" s="77"/>
      <c r="M62" s="77"/>
      <c r="N62" s="77"/>
      <c r="O62" s="77"/>
      <c r="P62" s="344"/>
      <c r="Q62" s="371">
        <f t="shared" si="2"/>
        <v>232</v>
      </c>
      <c r="R62" s="107"/>
    </row>
    <row r="63" spans="1:18" s="4" customFormat="1" x14ac:dyDescent="0.25">
      <c r="A63" s="58">
        <v>75009</v>
      </c>
      <c r="B63" s="14" t="s">
        <v>1251</v>
      </c>
      <c r="C63" s="55" t="s">
        <v>1252</v>
      </c>
      <c r="D63" s="58" t="s">
        <v>187</v>
      </c>
      <c r="E63" s="59" t="s">
        <v>48</v>
      </c>
      <c r="F63" s="45" t="s">
        <v>48</v>
      </c>
      <c r="G63" s="28" t="s">
        <v>48</v>
      </c>
      <c r="H63" s="28" t="s">
        <v>48</v>
      </c>
      <c r="I63" s="32">
        <v>200</v>
      </c>
      <c r="J63" s="343"/>
      <c r="K63" s="77"/>
      <c r="L63" s="77"/>
      <c r="M63" s="77"/>
      <c r="N63" s="77"/>
      <c r="O63" s="77"/>
      <c r="P63" s="344"/>
      <c r="Q63" s="371">
        <f t="shared" si="2"/>
        <v>200</v>
      </c>
      <c r="R63" s="107"/>
    </row>
    <row r="64" spans="1:18" s="4" customFormat="1" x14ac:dyDescent="0.25">
      <c r="A64" s="58">
        <v>75009</v>
      </c>
      <c r="B64" s="14" t="s">
        <v>1253</v>
      </c>
      <c r="C64" s="55" t="s">
        <v>1254</v>
      </c>
      <c r="D64" s="58" t="s">
        <v>320</v>
      </c>
      <c r="E64" s="59" t="s">
        <v>48</v>
      </c>
      <c r="F64" s="45" t="s">
        <v>48</v>
      </c>
      <c r="G64" s="28" t="s">
        <v>48</v>
      </c>
      <c r="H64" s="28" t="s">
        <v>48</v>
      </c>
      <c r="I64" s="32">
        <v>238</v>
      </c>
      <c r="J64" s="343"/>
      <c r="K64" s="77"/>
      <c r="L64" s="77"/>
      <c r="M64" s="77"/>
      <c r="N64" s="77"/>
      <c r="O64" s="77"/>
      <c r="P64" s="344"/>
      <c r="Q64" s="371">
        <f t="shared" si="2"/>
        <v>238</v>
      </c>
      <c r="R64" s="107"/>
    </row>
    <row r="65" spans="1:19" s="4" customFormat="1" x14ac:dyDescent="0.25">
      <c r="A65" s="58">
        <v>75009</v>
      </c>
      <c r="B65" s="14" t="s">
        <v>424</v>
      </c>
      <c r="C65" s="55" t="s">
        <v>425</v>
      </c>
      <c r="D65" s="58" t="s">
        <v>187</v>
      </c>
      <c r="E65" s="59" t="s">
        <v>48</v>
      </c>
      <c r="F65" s="45">
        <v>108</v>
      </c>
      <c r="G65" s="28">
        <v>40</v>
      </c>
      <c r="H65" s="32">
        <v>58</v>
      </c>
      <c r="I65" s="32" t="s">
        <v>48</v>
      </c>
      <c r="J65" s="343"/>
      <c r="K65" s="77"/>
      <c r="L65" s="77"/>
      <c r="M65" s="77"/>
      <c r="N65" s="77"/>
      <c r="O65" s="77"/>
      <c r="P65" s="344"/>
      <c r="Q65" s="371">
        <f t="shared" si="2"/>
        <v>206</v>
      </c>
      <c r="R65" s="107"/>
    </row>
    <row r="66" spans="1:19" s="4" customFormat="1" x14ac:dyDescent="0.25">
      <c r="A66" s="58">
        <v>75009</v>
      </c>
      <c r="B66" s="14" t="s">
        <v>852</v>
      </c>
      <c r="C66" s="55" t="s">
        <v>853</v>
      </c>
      <c r="D66" s="58" t="s">
        <v>188</v>
      </c>
      <c r="E66" s="59" t="s">
        <v>48</v>
      </c>
      <c r="F66" s="45" t="s">
        <v>48</v>
      </c>
      <c r="G66" s="28">
        <v>256</v>
      </c>
      <c r="H66" s="32">
        <v>354</v>
      </c>
      <c r="I66" s="32" t="s">
        <v>48</v>
      </c>
      <c r="J66" s="343"/>
      <c r="K66" s="77"/>
      <c r="L66" s="77"/>
      <c r="M66" s="77"/>
      <c r="N66" s="77"/>
      <c r="O66" s="77"/>
      <c r="P66" s="344"/>
      <c r="Q66" s="371">
        <f t="shared" si="2"/>
        <v>610</v>
      </c>
      <c r="R66" s="107"/>
    </row>
    <row r="67" spans="1:19" s="4" customFormat="1" x14ac:dyDescent="0.25">
      <c r="A67" s="58">
        <v>75009</v>
      </c>
      <c r="B67" s="14" t="s">
        <v>426</v>
      </c>
      <c r="C67" s="55" t="s">
        <v>427</v>
      </c>
      <c r="D67" s="58" t="s">
        <v>187</v>
      </c>
      <c r="E67" s="59" t="s">
        <v>48</v>
      </c>
      <c r="F67" s="45">
        <v>136</v>
      </c>
      <c r="G67" s="28" t="s">
        <v>48</v>
      </c>
      <c r="H67" s="32" t="s">
        <v>48</v>
      </c>
      <c r="I67" s="32" t="s">
        <v>48</v>
      </c>
      <c r="J67" s="343"/>
      <c r="K67" s="77"/>
      <c r="L67" s="77"/>
      <c r="M67" s="77"/>
      <c r="N67" s="77"/>
      <c r="O67" s="77"/>
      <c r="P67" s="344"/>
      <c r="Q67" s="371">
        <f t="shared" si="2"/>
        <v>136</v>
      </c>
      <c r="R67" s="107"/>
    </row>
    <row r="68" spans="1:19" s="4" customFormat="1" x14ac:dyDescent="0.25">
      <c r="A68" s="58">
        <v>75009</v>
      </c>
      <c r="B68" s="14" t="s">
        <v>854</v>
      </c>
      <c r="C68" s="55" t="s">
        <v>855</v>
      </c>
      <c r="D68" s="58" t="s">
        <v>188</v>
      </c>
      <c r="E68" s="59" t="s">
        <v>48</v>
      </c>
      <c r="F68" s="45" t="s">
        <v>48</v>
      </c>
      <c r="G68" s="28" t="s">
        <v>48</v>
      </c>
      <c r="H68" s="32">
        <v>791</v>
      </c>
      <c r="I68" s="32" t="s">
        <v>48</v>
      </c>
      <c r="J68" s="343"/>
      <c r="K68" s="77"/>
      <c r="L68" s="77"/>
      <c r="M68" s="77"/>
      <c r="N68" s="77"/>
      <c r="O68" s="77"/>
      <c r="P68" s="344"/>
      <c r="Q68" s="371">
        <f t="shared" si="2"/>
        <v>791</v>
      </c>
      <c r="R68" s="107"/>
    </row>
    <row r="69" spans="1:19" s="4" customFormat="1" x14ac:dyDescent="0.25">
      <c r="A69" s="58">
        <v>75009</v>
      </c>
      <c r="B69" s="14" t="s">
        <v>856</v>
      </c>
      <c r="C69" s="55" t="s">
        <v>857</v>
      </c>
      <c r="D69" s="58" t="s">
        <v>187</v>
      </c>
      <c r="E69" s="59" t="s">
        <v>48</v>
      </c>
      <c r="F69" s="45" t="s">
        <v>48</v>
      </c>
      <c r="G69" s="28" t="s">
        <v>48</v>
      </c>
      <c r="H69" s="32">
        <v>452</v>
      </c>
      <c r="I69" s="32">
        <v>60</v>
      </c>
      <c r="J69" s="343"/>
      <c r="K69" s="77"/>
      <c r="L69" s="77"/>
      <c r="M69" s="77"/>
      <c r="N69" s="77"/>
      <c r="O69" s="77"/>
      <c r="P69" s="344"/>
      <c r="Q69" s="371">
        <f t="shared" si="0"/>
        <v>512</v>
      </c>
      <c r="R69" s="107"/>
    </row>
    <row r="70" spans="1:19" s="4" customFormat="1" x14ac:dyDescent="0.25">
      <c r="A70" s="58">
        <v>75009</v>
      </c>
      <c r="B70" s="294" t="s">
        <v>858</v>
      </c>
      <c r="C70" s="55" t="s">
        <v>859</v>
      </c>
      <c r="D70" s="58" t="s">
        <v>188</v>
      </c>
      <c r="E70" s="59" t="s">
        <v>48</v>
      </c>
      <c r="F70" s="45" t="s">
        <v>48</v>
      </c>
      <c r="G70" s="28" t="s">
        <v>48</v>
      </c>
      <c r="H70" s="272">
        <v>200</v>
      </c>
      <c r="I70" s="32" t="s">
        <v>48</v>
      </c>
      <c r="J70" s="343"/>
      <c r="K70" s="77"/>
      <c r="L70" s="77"/>
      <c r="M70" s="77"/>
      <c r="N70" s="77"/>
      <c r="O70" s="77"/>
      <c r="P70" s="344"/>
      <c r="Q70" s="371">
        <f t="shared" si="0"/>
        <v>200</v>
      </c>
      <c r="R70" s="299" t="s">
        <v>860</v>
      </c>
    </row>
    <row r="71" spans="1:19" s="4" customFormat="1" x14ac:dyDescent="0.25">
      <c r="A71" s="58">
        <v>75009</v>
      </c>
      <c r="B71" s="14" t="s">
        <v>312</v>
      </c>
      <c r="C71" s="55" t="s">
        <v>313</v>
      </c>
      <c r="D71" s="58" t="s">
        <v>186</v>
      </c>
      <c r="E71" s="59">
        <v>102</v>
      </c>
      <c r="F71" s="45" t="s">
        <v>48</v>
      </c>
      <c r="G71" s="28" t="s">
        <v>48</v>
      </c>
      <c r="H71" s="32" t="s">
        <v>48</v>
      </c>
      <c r="I71" s="32">
        <v>68</v>
      </c>
      <c r="J71" s="343"/>
      <c r="K71" s="77"/>
      <c r="L71" s="77"/>
      <c r="M71" s="77"/>
      <c r="N71" s="77"/>
      <c r="O71" s="77"/>
      <c r="P71" s="344"/>
      <c r="Q71" s="371">
        <f t="shared" ref="Q71:Q79" si="3">SUM(E71:P71)</f>
        <v>170</v>
      </c>
      <c r="R71" s="107"/>
    </row>
    <row r="72" spans="1:19" s="4" customFormat="1" x14ac:dyDescent="0.25">
      <c r="A72" s="58">
        <v>75009</v>
      </c>
      <c r="B72" s="14" t="s">
        <v>314</v>
      </c>
      <c r="C72" s="55" t="s">
        <v>315</v>
      </c>
      <c r="D72" s="58" t="s">
        <v>187</v>
      </c>
      <c r="E72" s="18">
        <v>603</v>
      </c>
      <c r="F72" s="45" t="s">
        <v>48</v>
      </c>
      <c r="G72" s="28" t="s">
        <v>48</v>
      </c>
      <c r="H72" s="32" t="s">
        <v>48</v>
      </c>
      <c r="I72" s="32" t="s">
        <v>48</v>
      </c>
      <c r="J72" s="343"/>
      <c r="K72" s="77"/>
      <c r="L72" s="77"/>
      <c r="M72" s="77"/>
      <c r="N72" s="77"/>
      <c r="O72" s="77"/>
      <c r="P72" s="344"/>
      <c r="Q72" s="371">
        <f t="shared" si="3"/>
        <v>603</v>
      </c>
      <c r="R72" s="30"/>
    </row>
    <row r="73" spans="1:19" s="4" customFormat="1" x14ac:dyDescent="0.25">
      <c r="A73" s="58">
        <v>75009</v>
      </c>
      <c r="B73" s="14" t="s">
        <v>428</v>
      </c>
      <c r="C73" s="55" t="s">
        <v>429</v>
      </c>
      <c r="D73" s="58" t="s">
        <v>188</v>
      </c>
      <c r="E73" s="59">
        <v>36</v>
      </c>
      <c r="F73" s="45">
        <v>204</v>
      </c>
      <c r="G73" s="28">
        <v>72</v>
      </c>
      <c r="H73" s="32">
        <v>88</v>
      </c>
      <c r="I73" s="32">
        <v>218</v>
      </c>
      <c r="J73" s="343"/>
      <c r="K73" s="77"/>
      <c r="L73" s="77"/>
      <c r="M73" s="77"/>
      <c r="N73" s="77"/>
      <c r="O73" s="77"/>
      <c r="P73" s="344"/>
      <c r="Q73" s="371">
        <f t="shared" si="3"/>
        <v>618</v>
      </c>
      <c r="R73" s="30"/>
    </row>
    <row r="74" spans="1:19" s="4" customFormat="1" x14ac:dyDescent="0.25">
      <c r="A74" s="58">
        <v>75009</v>
      </c>
      <c r="B74" s="14" t="s">
        <v>430</v>
      </c>
      <c r="C74" s="55" t="s">
        <v>431</v>
      </c>
      <c r="D74" s="58" t="s">
        <v>188</v>
      </c>
      <c r="E74" s="59" t="s">
        <v>48</v>
      </c>
      <c r="F74" s="45">
        <v>204</v>
      </c>
      <c r="G74" s="28">
        <v>435</v>
      </c>
      <c r="H74" s="32">
        <v>931</v>
      </c>
      <c r="I74" s="32">
        <v>430</v>
      </c>
      <c r="J74" s="343"/>
      <c r="K74" s="77"/>
      <c r="L74" s="77"/>
      <c r="M74" s="77"/>
      <c r="N74" s="77"/>
      <c r="O74" s="77"/>
      <c r="P74" s="344"/>
      <c r="Q74" s="371">
        <f t="shared" si="3"/>
        <v>2000</v>
      </c>
      <c r="R74" s="30"/>
    </row>
    <row r="75" spans="1:19" s="4" customFormat="1" x14ac:dyDescent="0.25">
      <c r="A75" s="58">
        <v>75009</v>
      </c>
      <c r="B75" s="14" t="s">
        <v>954</v>
      </c>
      <c r="C75" s="55" t="s">
        <v>955</v>
      </c>
      <c r="D75" s="58" t="s">
        <v>186</v>
      </c>
      <c r="E75" s="59" t="s">
        <v>48</v>
      </c>
      <c r="F75" s="45" t="s">
        <v>48</v>
      </c>
      <c r="G75" s="28">
        <v>648</v>
      </c>
      <c r="H75" s="28" t="s">
        <v>48</v>
      </c>
      <c r="I75" s="32" t="s">
        <v>48</v>
      </c>
      <c r="J75" s="343"/>
      <c r="K75" s="77"/>
      <c r="L75" s="77"/>
      <c r="M75" s="77"/>
      <c r="N75" s="77"/>
      <c r="O75" s="77"/>
      <c r="P75" s="344"/>
      <c r="Q75" s="371">
        <f t="shared" si="3"/>
        <v>648</v>
      </c>
      <c r="R75" s="30"/>
    </row>
    <row r="76" spans="1:19" s="4" customFormat="1" x14ac:dyDescent="0.25">
      <c r="A76" s="58">
        <v>75009</v>
      </c>
      <c r="B76" s="14" t="s">
        <v>1255</v>
      </c>
      <c r="C76" s="55" t="s">
        <v>1256</v>
      </c>
      <c r="D76" s="58" t="s">
        <v>187</v>
      </c>
      <c r="E76" s="59" t="s">
        <v>48</v>
      </c>
      <c r="F76" s="45" t="s">
        <v>48</v>
      </c>
      <c r="G76" s="28" t="s">
        <v>48</v>
      </c>
      <c r="H76" s="28" t="s">
        <v>48</v>
      </c>
      <c r="I76" s="32">
        <v>88</v>
      </c>
      <c r="J76" s="343"/>
      <c r="K76" s="77"/>
      <c r="L76" s="77"/>
      <c r="M76" s="77"/>
      <c r="N76" s="77"/>
      <c r="O76" s="77"/>
      <c r="P76" s="344"/>
      <c r="Q76" s="371">
        <f t="shared" si="3"/>
        <v>88</v>
      </c>
      <c r="R76" s="34"/>
    </row>
    <row r="77" spans="1:19" s="4" customFormat="1" x14ac:dyDescent="0.25">
      <c r="A77" s="58">
        <v>75009</v>
      </c>
      <c r="B77" s="14" t="s">
        <v>1257</v>
      </c>
      <c r="C77" s="55" t="s">
        <v>1258</v>
      </c>
      <c r="D77" s="58" t="s">
        <v>188</v>
      </c>
      <c r="E77" s="59" t="s">
        <v>48</v>
      </c>
      <c r="F77" s="45" t="s">
        <v>48</v>
      </c>
      <c r="G77" s="28" t="s">
        <v>48</v>
      </c>
      <c r="H77" s="28" t="s">
        <v>48</v>
      </c>
      <c r="I77" s="32">
        <v>68</v>
      </c>
      <c r="J77" s="343"/>
      <c r="K77" s="77"/>
      <c r="L77" s="77"/>
      <c r="M77" s="77"/>
      <c r="N77" s="77"/>
      <c r="O77" s="77"/>
      <c r="P77" s="344"/>
      <c r="Q77" s="371">
        <f t="shared" si="3"/>
        <v>68</v>
      </c>
      <c r="R77" s="405"/>
    </row>
    <row r="78" spans="1:19" s="4" customFormat="1" x14ac:dyDescent="0.25">
      <c r="A78" s="58">
        <v>75009</v>
      </c>
      <c r="B78" s="14" t="s">
        <v>861</v>
      </c>
      <c r="C78" s="55" t="s">
        <v>862</v>
      </c>
      <c r="D78" s="58" t="s">
        <v>186</v>
      </c>
      <c r="E78" s="59" t="s">
        <v>48</v>
      </c>
      <c r="F78" s="45" t="s">
        <v>48</v>
      </c>
      <c r="G78" s="28" t="s">
        <v>48</v>
      </c>
      <c r="H78" s="45">
        <v>68</v>
      </c>
      <c r="I78" s="32">
        <v>304</v>
      </c>
      <c r="J78" s="343"/>
      <c r="K78" s="77"/>
      <c r="L78" s="77"/>
      <c r="M78" s="77"/>
      <c r="N78" s="77"/>
      <c r="O78" s="77"/>
      <c r="P78" s="344"/>
      <c r="Q78" s="371">
        <f t="shared" si="3"/>
        <v>372</v>
      </c>
      <c r="R78" s="405"/>
    </row>
    <row r="79" spans="1:19" s="4" customFormat="1" ht="15.75" thickBot="1" x14ac:dyDescent="0.3">
      <c r="A79" s="58">
        <v>75009</v>
      </c>
      <c r="B79" s="14" t="s">
        <v>956</v>
      </c>
      <c r="C79" s="55" t="s">
        <v>957</v>
      </c>
      <c r="D79" s="58" t="s">
        <v>188</v>
      </c>
      <c r="E79" s="59" t="s">
        <v>48</v>
      </c>
      <c r="F79" s="45" t="s">
        <v>48</v>
      </c>
      <c r="G79" s="28">
        <v>200</v>
      </c>
      <c r="H79" s="28" t="s">
        <v>48</v>
      </c>
      <c r="I79" s="32" t="s">
        <v>48</v>
      </c>
      <c r="J79" s="343"/>
      <c r="K79" s="77"/>
      <c r="L79" s="77"/>
      <c r="M79" s="77"/>
      <c r="N79" s="77"/>
      <c r="O79" s="77"/>
      <c r="P79" s="344"/>
      <c r="Q79" s="371">
        <f t="shared" si="3"/>
        <v>200</v>
      </c>
      <c r="R79" s="405"/>
    </row>
    <row r="80" spans="1:19" s="4" customFormat="1" ht="15.75" thickBot="1" x14ac:dyDescent="0.3">
      <c r="A80" s="382" t="s">
        <v>10</v>
      </c>
      <c r="B80" s="383">
        <f>SUBTOTAL(103,Ventes9ème[Hotel])</f>
        <v>76</v>
      </c>
      <c r="C80" s="384"/>
      <c r="D80" s="382"/>
      <c r="E80" s="385">
        <f>SUBTOTAL(109,Ventes9ème[Janv])</f>
        <v>3157</v>
      </c>
      <c r="F80" s="386">
        <f>SUBTOTAL(109,Ventes9ème[Fév])</f>
        <v>5968</v>
      </c>
      <c r="G80" s="387">
        <f>SUBTOTAL(109,Ventes9ème[mars])</f>
        <v>7705</v>
      </c>
      <c r="H80" s="334">
        <f>SUBTOTAL(109,Ventes9ème[Avril])</f>
        <v>10416</v>
      </c>
      <c r="I80" s="334">
        <f>SUBTOTAL(109,Ventes9ème[Mai])</f>
        <v>14867</v>
      </c>
      <c r="J80" s="334">
        <f>SUBTOTAL(109,Ventes9ème[Juin])</f>
        <v>0</v>
      </c>
      <c r="K80" s="334">
        <f>SUBTOTAL(109,Ventes9ème[Juillet])</f>
        <v>0</v>
      </c>
      <c r="L80" s="336">
        <f>SUBTOTAL(109,Ventes9ème[Août])</f>
        <v>0</v>
      </c>
      <c r="M80" s="336">
        <f>SUBTOTAL(109,Ventes9ème[Sept.])</f>
        <v>0</v>
      </c>
      <c r="N80" s="336">
        <f>SUBTOTAL(109,Ventes9ème[Oct])</f>
        <v>0</v>
      </c>
      <c r="O80" s="336">
        <f>SUBTOTAL(109,Ventes9ème[Nov.])</f>
        <v>0</v>
      </c>
      <c r="P80" s="337">
        <f>SUBTOTAL(109,Ventes9ème[déc])</f>
        <v>0</v>
      </c>
      <c r="Q80" s="388">
        <f>SUBTOTAL(109,Ventes9ème[TOTAL])</f>
        <v>42113</v>
      </c>
      <c r="R80" s="378"/>
      <c r="S80" s="80"/>
    </row>
    <row r="81" spans="1:19" s="4" customFormat="1" ht="15.75" thickBot="1" x14ac:dyDescent="0.3">
      <c r="A81" s="62"/>
      <c r="B81" s="62"/>
      <c r="C81" s="62"/>
      <c r="D81" s="62"/>
      <c r="E81" s="62"/>
      <c r="F81" s="62"/>
      <c r="G81" s="62"/>
      <c r="H81" s="62"/>
      <c r="I81" s="64"/>
      <c r="J81" s="62"/>
      <c r="K81" s="64"/>
      <c r="L81" s="335"/>
      <c r="M81" s="335"/>
      <c r="N81" s="335"/>
      <c r="O81" s="335"/>
      <c r="P81" s="335"/>
      <c r="Q81" s="64"/>
      <c r="R81" s="62"/>
      <c r="S81" s="80"/>
    </row>
    <row r="82" spans="1:19" ht="30" x14ac:dyDescent="0.25">
      <c r="A82" s="389" t="s">
        <v>36</v>
      </c>
      <c r="B82" s="338">
        <v>186</v>
      </c>
      <c r="C82" s="62"/>
      <c r="D82" s="62"/>
      <c r="E82" s="62"/>
      <c r="F82" s="62"/>
      <c r="G82" s="62"/>
      <c r="H82" s="62"/>
      <c r="I82" s="62"/>
      <c r="J82" s="390"/>
      <c r="K82" s="64"/>
      <c r="L82" s="335"/>
      <c r="M82" s="335"/>
      <c r="N82" s="335"/>
      <c r="O82" s="335"/>
      <c r="P82" s="335"/>
      <c r="Q82" s="64"/>
      <c r="R82" s="62"/>
    </row>
    <row r="83" spans="1:19" ht="30.75" thickBot="1" x14ac:dyDescent="0.3">
      <c r="A83" s="391" t="s">
        <v>1330</v>
      </c>
      <c r="B83" s="339">
        <f>Ventes9ème[[#Totals],[Hotel]]/B82</f>
        <v>0.40860215053763443</v>
      </c>
      <c r="C83" s="413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51"/>
  <sheetViews>
    <sheetView zoomScale="80" zoomScaleNormal="80" workbookViewId="0">
      <selection activeCell="B23" sqref="B23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155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74">
        <v>75010</v>
      </c>
      <c r="B4" s="31" t="s">
        <v>268</v>
      </c>
      <c r="C4" s="92" t="s">
        <v>269</v>
      </c>
      <c r="D4" s="67" t="s">
        <v>187</v>
      </c>
      <c r="E4" s="75">
        <v>700</v>
      </c>
      <c r="F4" s="76">
        <v>941</v>
      </c>
      <c r="G4" s="76">
        <v>340</v>
      </c>
      <c r="H4" s="76">
        <v>660</v>
      </c>
      <c r="I4" s="33">
        <v>346</v>
      </c>
      <c r="J4" s="343"/>
      <c r="K4" s="77"/>
      <c r="L4" s="77"/>
      <c r="M4" s="77"/>
      <c r="N4" s="77"/>
      <c r="O4" s="77"/>
      <c r="P4" s="344"/>
      <c r="Q4" s="371">
        <f t="shared" ref="Q4:Q47" si="0">SUM(E4:P4)</f>
        <v>2987</v>
      </c>
      <c r="R4" s="89"/>
    </row>
    <row r="5" spans="1:19" s="4" customFormat="1" x14ac:dyDescent="0.25">
      <c r="A5" s="74">
        <v>75010</v>
      </c>
      <c r="B5" s="31" t="s">
        <v>270</v>
      </c>
      <c r="C5" s="92" t="s">
        <v>271</v>
      </c>
      <c r="D5" s="67" t="s">
        <v>187</v>
      </c>
      <c r="E5" s="75">
        <v>328</v>
      </c>
      <c r="F5" s="76" t="s">
        <v>48</v>
      </c>
      <c r="G5" s="76" t="s">
        <v>48</v>
      </c>
      <c r="H5" s="32" t="s">
        <v>48</v>
      </c>
      <c r="I5" s="33">
        <v>492</v>
      </c>
      <c r="J5" s="343"/>
      <c r="K5" s="77"/>
      <c r="L5" s="77"/>
      <c r="M5" s="77"/>
      <c r="N5" s="77"/>
      <c r="O5" s="77"/>
      <c r="P5" s="344"/>
      <c r="Q5" s="371">
        <f t="shared" si="0"/>
        <v>820</v>
      </c>
      <c r="R5" s="89"/>
    </row>
    <row r="6" spans="1:19" s="4" customFormat="1" x14ac:dyDescent="0.25">
      <c r="A6" s="74">
        <v>75010</v>
      </c>
      <c r="B6" s="31" t="s">
        <v>432</v>
      </c>
      <c r="C6" s="92" t="s">
        <v>433</v>
      </c>
      <c r="D6" s="67" t="s">
        <v>187</v>
      </c>
      <c r="E6" s="75" t="s">
        <v>48</v>
      </c>
      <c r="F6" s="76">
        <v>138</v>
      </c>
      <c r="G6" s="76">
        <v>36</v>
      </c>
      <c r="H6" s="32" t="s">
        <v>48</v>
      </c>
      <c r="I6" s="32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174</v>
      </c>
      <c r="R6" s="89"/>
    </row>
    <row r="7" spans="1:19" s="4" customFormat="1" x14ac:dyDescent="0.25">
      <c r="A7" s="74">
        <v>75010</v>
      </c>
      <c r="B7" s="31" t="s">
        <v>863</v>
      </c>
      <c r="C7" s="92" t="s">
        <v>864</v>
      </c>
      <c r="D7" s="67" t="s">
        <v>187</v>
      </c>
      <c r="E7" s="75" t="s">
        <v>48</v>
      </c>
      <c r="F7" s="76" t="s">
        <v>48</v>
      </c>
      <c r="G7" s="76" t="s">
        <v>48</v>
      </c>
      <c r="H7" s="32">
        <v>88</v>
      </c>
      <c r="I7" s="32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88</v>
      </c>
      <c r="R7" s="89"/>
    </row>
    <row r="8" spans="1:19" s="4" customFormat="1" x14ac:dyDescent="0.25">
      <c r="A8" s="74">
        <v>75010</v>
      </c>
      <c r="B8" s="31" t="s">
        <v>272</v>
      </c>
      <c r="C8" s="92" t="s">
        <v>273</v>
      </c>
      <c r="D8" s="67" t="s">
        <v>187</v>
      </c>
      <c r="E8" s="75">
        <v>72</v>
      </c>
      <c r="F8" s="76" t="s">
        <v>48</v>
      </c>
      <c r="G8" s="76">
        <v>68</v>
      </c>
      <c r="H8" s="32">
        <v>673</v>
      </c>
      <c r="I8" s="32">
        <v>488</v>
      </c>
      <c r="J8" s="343"/>
      <c r="K8" s="77"/>
      <c r="L8" s="77"/>
      <c r="M8" s="77"/>
      <c r="N8" s="77"/>
      <c r="O8" s="77"/>
      <c r="P8" s="344"/>
      <c r="Q8" s="371">
        <f t="shared" si="0"/>
        <v>1301</v>
      </c>
      <c r="R8" s="89"/>
    </row>
    <row r="9" spans="1:19" s="4" customFormat="1" x14ac:dyDescent="0.25">
      <c r="A9" s="74">
        <v>75010</v>
      </c>
      <c r="B9" s="300" t="s">
        <v>958</v>
      </c>
      <c r="C9" s="92" t="s">
        <v>959</v>
      </c>
      <c r="D9" s="67" t="s">
        <v>188</v>
      </c>
      <c r="E9" s="75" t="s">
        <v>48</v>
      </c>
      <c r="F9" s="76" t="s">
        <v>48</v>
      </c>
      <c r="G9" s="265">
        <v>200</v>
      </c>
      <c r="H9" s="32" t="s">
        <v>48</v>
      </c>
      <c r="I9" s="32" t="s">
        <v>48</v>
      </c>
      <c r="J9" s="343"/>
      <c r="K9" s="77"/>
      <c r="L9" s="77"/>
      <c r="M9" s="77"/>
      <c r="N9" s="77"/>
      <c r="O9" s="77"/>
      <c r="P9" s="344"/>
      <c r="Q9" s="371">
        <f t="shared" si="0"/>
        <v>200</v>
      </c>
      <c r="R9" s="302" t="s">
        <v>869</v>
      </c>
    </row>
    <row r="10" spans="1:19" s="4" customFormat="1" x14ac:dyDescent="0.25">
      <c r="A10" s="74">
        <v>75010</v>
      </c>
      <c r="B10" s="31" t="s">
        <v>1113</v>
      </c>
      <c r="C10" s="92" t="s">
        <v>1114</v>
      </c>
      <c r="D10" s="67" t="s">
        <v>187</v>
      </c>
      <c r="E10" s="75" t="s">
        <v>48</v>
      </c>
      <c r="F10" s="76" t="s">
        <v>48</v>
      </c>
      <c r="G10" s="76" t="s">
        <v>48</v>
      </c>
      <c r="H10" s="32">
        <v>514</v>
      </c>
      <c r="I10" s="32" t="s">
        <v>48</v>
      </c>
      <c r="J10" s="343"/>
      <c r="K10" s="77"/>
      <c r="L10" s="77"/>
      <c r="M10" s="77"/>
      <c r="N10" s="77"/>
      <c r="O10" s="77"/>
      <c r="P10" s="344"/>
      <c r="Q10" s="371">
        <f t="shared" si="0"/>
        <v>514</v>
      </c>
      <c r="R10" s="159"/>
    </row>
    <row r="11" spans="1:19" s="4" customFormat="1" x14ac:dyDescent="0.25">
      <c r="A11" s="74">
        <v>75010</v>
      </c>
      <c r="B11" s="31" t="s">
        <v>274</v>
      </c>
      <c r="C11" s="92" t="s">
        <v>275</v>
      </c>
      <c r="D11" s="113" t="s">
        <v>187</v>
      </c>
      <c r="E11" s="93">
        <v>63</v>
      </c>
      <c r="F11" s="76">
        <v>1047</v>
      </c>
      <c r="G11" s="76">
        <v>73</v>
      </c>
      <c r="H11" s="32" t="s">
        <v>48</v>
      </c>
      <c r="I11" s="32">
        <v>218</v>
      </c>
      <c r="J11" s="343"/>
      <c r="K11" s="77"/>
      <c r="L11" s="77"/>
      <c r="M11" s="77"/>
      <c r="N11" s="77"/>
      <c r="O11" s="77"/>
      <c r="P11" s="344"/>
      <c r="Q11" s="371">
        <f t="shared" ref="Q11:Q41" si="1">SUM(E11:P11)</f>
        <v>1401</v>
      </c>
      <c r="R11" s="89"/>
    </row>
    <row r="12" spans="1:19" s="4" customFormat="1" x14ac:dyDescent="0.25">
      <c r="A12" s="74">
        <v>75010</v>
      </c>
      <c r="B12" s="31" t="s">
        <v>960</v>
      </c>
      <c r="C12" s="92" t="s">
        <v>961</v>
      </c>
      <c r="D12" s="113" t="s">
        <v>187</v>
      </c>
      <c r="E12" s="75" t="s">
        <v>48</v>
      </c>
      <c r="F12" s="76" t="s">
        <v>48</v>
      </c>
      <c r="G12" s="76">
        <v>88</v>
      </c>
      <c r="H12" s="76" t="s">
        <v>48</v>
      </c>
      <c r="I12" s="32">
        <v>269</v>
      </c>
      <c r="J12" s="343"/>
      <c r="K12" s="77"/>
      <c r="L12" s="77"/>
      <c r="M12" s="77"/>
      <c r="N12" s="77"/>
      <c r="O12" s="77"/>
      <c r="P12" s="344"/>
      <c r="Q12" s="371">
        <f t="shared" si="1"/>
        <v>357</v>
      </c>
      <c r="R12" s="89"/>
    </row>
    <row r="13" spans="1:19" s="4" customFormat="1" x14ac:dyDescent="0.25">
      <c r="A13" s="74">
        <v>75010</v>
      </c>
      <c r="B13" s="31" t="s">
        <v>865</v>
      </c>
      <c r="C13" s="92" t="s">
        <v>866</v>
      </c>
      <c r="D13" s="113" t="s">
        <v>188</v>
      </c>
      <c r="E13" s="75" t="s">
        <v>48</v>
      </c>
      <c r="F13" s="76" t="s">
        <v>48</v>
      </c>
      <c r="G13" s="76" t="s">
        <v>48</v>
      </c>
      <c r="H13" s="32">
        <v>118</v>
      </c>
      <c r="I13" s="32" t="s">
        <v>48</v>
      </c>
      <c r="J13" s="343"/>
      <c r="K13" s="77"/>
      <c r="L13" s="77"/>
      <c r="M13" s="77"/>
      <c r="N13" s="77"/>
      <c r="O13" s="77"/>
      <c r="P13" s="344"/>
      <c r="Q13" s="371">
        <f t="shared" si="1"/>
        <v>118</v>
      </c>
      <c r="R13" s="89"/>
    </row>
    <row r="14" spans="1:19" s="4" customFormat="1" x14ac:dyDescent="0.25">
      <c r="A14" s="74">
        <v>75010</v>
      </c>
      <c r="B14" s="266" t="s">
        <v>1193</v>
      </c>
      <c r="C14" s="92" t="s">
        <v>1194</v>
      </c>
      <c r="D14" s="113" t="s">
        <v>186</v>
      </c>
      <c r="E14" s="75" t="s">
        <v>48</v>
      </c>
      <c r="F14" s="76" t="s">
        <v>48</v>
      </c>
      <c r="G14" s="76" t="s">
        <v>48</v>
      </c>
      <c r="H14" s="76" t="s">
        <v>48</v>
      </c>
      <c r="I14" s="272">
        <v>30</v>
      </c>
      <c r="J14" s="343"/>
      <c r="K14" s="77"/>
      <c r="L14" s="77"/>
      <c r="M14" s="77"/>
      <c r="N14" s="77"/>
      <c r="O14" s="77"/>
      <c r="P14" s="344"/>
      <c r="Q14" s="371">
        <f t="shared" si="1"/>
        <v>30</v>
      </c>
      <c r="R14" s="267" t="s">
        <v>718</v>
      </c>
    </row>
    <row r="15" spans="1:19" s="4" customFormat="1" x14ac:dyDescent="0.25">
      <c r="A15" s="74">
        <v>75010</v>
      </c>
      <c r="B15" s="31" t="s">
        <v>434</v>
      </c>
      <c r="C15" s="92" t="s">
        <v>435</v>
      </c>
      <c r="D15" s="113" t="s">
        <v>188</v>
      </c>
      <c r="E15" s="75" t="s">
        <v>48</v>
      </c>
      <c r="F15" s="76">
        <v>192</v>
      </c>
      <c r="G15" s="76" t="s">
        <v>48</v>
      </c>
      <c r="H15" s="32" t="s">
        <v>48</v>
      </c>
      <c r="I15" s="32" t="s">
        <v>48</v>
      </c>
      <c r="J15" s="343"/>
      <c r="K15" s="77"/>
      <c r="L15" s="77"/>
      <c r="M15" s="77"/>
      <c r="N15" s="77"/>
      <c r="O15" s="77"/>
      <c r="P15" s="344"/>
      <c r="Q15" s="371">
        <f t="shared" si="1"/>
        <v>192</v>
      </c>
      <c r="R15" s="89"/>
    </row>
    <row r="16" spans="1:19" s="4" customFormat="1" x14ac:dyDescent="0.25">
      <c r="A16" s="74">
        <v>75010</v>
      </c>
      <c r="B16" s="31" t="s">
        <v>962</v>
      </c>
      <c r="C16" s="92" t="s">
        <v>963</v>
      </c>
      <c r="D16" s="113" t="s">
        <v>186</v>
      </c>
      <c r="E16" s="75" t="s">
        <v>48</v>
      </c>
      <c r="F16" s="76" t="s">
        <v>48</v>
      </c>
      <c r="G16" s="76">
        <v>320</v>
      </c>
      <c r="H16" s="76" t="s">
        <v>48</v>
      </c>
      <c r="I16" s="32">
        <v>20</v>
      </c>
      <c r="J16" s="343"/>
      <c r="K16" s="77"/>
      <c r="L16" s="77"/>
      <c r="M16" s="77"/>
      <c r="N16" s="77"/>
      <c r="O16" s="77"/>
      <c r="P16" s="344"/>
      <c r="Q16" s="371">
        <f t="shared" si="1"/>
        <v>340</v>
      </c>
      <c r="R16" s="89"/>
    </row>
    <row r="17" spans="1:18" s="4" customFormat="1" x14ac:dyDescent="0.25">
      <c r="A17" s="74">
        <v>75010</v>
      </c>
      <c r="B17" s="300" t="s">
        <v>867</v>
      </c>
      <c r="C17" s="92" t="s">
        <v>868</v>
      </c>
      <c r="D17" s="113" t="s">
        <v>188</v>
      </c>
      <c r="E17" s="75" t="s">
        <v>48</v>
      </c>
      <c r="F17" s="76" t="s">
        <v>48</v>
      </c>
      <c r="G17" s="76" t="s">
        <v>48</v>
      </c>
      <c r="H17" s="301">
        <v>66</v>
      </c>
      <c r="I17" s="32" t="s">
        <v>48</v>
      </c>
      <c r="J17" s="343"/>
      <c r="K17" s="77"/>
      <c r="L17" s="77"/>
      <c r="M17" s="77"/>
      <c r="N17" s="77"/>
      <c r="O17" s="77"/>
      <c r="P17" s="344"/>
      <c r="Q17" s="371">
        <f t="shared" si="1"/>
        <v>66</v>
      </c>
      <c r="R17" s="302" t="s">
        <v>869</v>
      </c>
    </row>
    <row r="18" spans="1:18" s="4" customFormat="1" x14ac:dyDescent="0.25">
      <c r="A18" s="74">
        <v>75010</v>
      </c>
      <c r="B18" s="31" t="s">
        <v>276</v>
      </c>
      <c r="C18" s="92" t="s">
        <v>277</v>
      </c>
      <c r="D18" s="113" t="s">
        <v>187</v>
      </c>
      <c r="E18" s="75">
        <v>2338</v>
      </c>
      <c r="F18" s="76">
        <v>504</v>
      </c>
      <c r="G18" s="76">
        <v>1041</v>
      </c>
      <c r="H18" s="32">
        <v>1267</v>
      </c>
      <c r="I18" s="32">
        <v>3437</v>
      </c>
      <c r="J18" s="343"/>
      <c r="K18" s="77"/>
      <c r="L18" s="77"/>
      <c r="M18" s="77"/>
      <c r="N18" s="77"/>
      <c r="O18" s="77"/>
      <c r="P18" s="344"/>
      <c r="Q18" s="371">
        <f t="shared" si="1"/>
        <v>8587</v>
      </c>
      <c r="R18" s="89"/>
    </row>
    <row r="19" spans="1:18" s="4" customFormat="1" x14ac:dyDescent="0.25">
      <c r="A19" s="74">
        <v>75010</v>
      </c>
      <c r="B19" s="31" t="s">
        <v>597</v>
      </c>
      <c r="C19" s="92" t="s">
        <v>598</v>
      </c>
      <c r="D19" s="113" t="s">
        <v>187</v>
      </c>
      <c r="E19" s="75">
        <v>164</v>
      </c>
      <c r="F19" s="76" t="s">
        <v>48</v>
      </c>
      <c r="G19" s="76" t="s">
        <v>48</v>
      </c>
      <c r="H19" s="32" t="s">
        <v>48</v>
      </c>
      <c r="I19" s="32" t="s">
        <v>48</v>
      </c>
      <c r="J19" s="343"/>
      <c r="K19" s="77"/>
      <c r="L19" s="77"/>
      <c r="M19" s="77"/>
      <c r="N19" s="77"/>
      <c r="O19" s="77"/>
      <c r="P19" s="344"/>
      <c r="Q19" s="371">
        <f t="shared" si="1"/>
        <v>164</v>
      </c>
      <c r="R19" s="89"/>
    </row>
    <row r="20" spans="1:18" s="4" customFormat="1" x14ac:dyDescent="0.25">
      <c r="A20" s="74">
        <v>75010</v>
      </c>
      <c r="B20" s="31" t="s">
        <v>964</v>
      </c>
      <c r="C20" s="92" t="s">
        <v>965</v>
      </c>
      <c r="D20" s="113" t="s">
        <v>187</v>
      </c>
      <c r="E20" s="75" t="s">
        <v>48</v>
      </c>
      <c r="F20" s="76" t="s">
        <v>48</v>
      </c>
      <c r="G20" s="76">
        <v>367</v>
      </c>
      <c r="H20" s="32" t="s">
        <v>48</v>
      </c>
      <c r="I20" s="32" t="s">
        <v>48</v>
      </c>
      <c r="J20" s="343"/>
      <c r="K20" s="77"/>
      <c r="L20" s="77"/>
      <c r="M20" s="77"/>
      <c r="N20" s="77"/>
      <c r="O20" s="77"/>
      <c r="P20" s="344"/>
      <c r="Q20" s="371">
        <f t="shared" si="1"/>
        <v>367</v>
      </c>
      <c r="R20" s="89"/>
    </row>
    <row r="21" spans="1:18" s="4" customFormat="1" x14ac:dyDescent="0.25">
      <c r="A21" s="74">
        <v>75010</v>
      </c>
      <c r="B21" s="31" t="s">
        <v>436</v>
      </c>
      <c r="C21" s="92" t="s">
        <v>437</v>
      </c>
      <c r="D21" s="113" t="s">
        <v>187</v>
      </c>
      <c r="E21" s="75">
        <v>68</v>
      </c>
      <c r="F21" s="76">
        <v>80</v>
      </c>
      <c r="G21" s="76" t="s">
        <v>48</v>
      </c>
      <c r="H21" s="32">
        <v>343</v>
      </c>
      <c r="I21" s="32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491</v>
      </c>
      <c r="R21" s="89"/>
    </row>
    <row r="22" spans="1:18" s="4" customFormat="1" x14ac:dyDescent="0.25">
      <c r="A22" s="74">
        <v>75010</v>
      </c>
      <c r="B22" s="31" t="s">
        <v>278</v>
      </c>
      <c r="C22" s="92" t="s">
        <v>279</v>
      </c>
      <c r="D22" s="113" t="s">
        <v>188</v>
      </c>
      <c r="E22" s="75">
        <v>258</v>
      </c>
      <c r="F22" s="76">
        <v>950</v>
      </c>
      <c r="G22" s="76">
        <v>2196</v>
      </c>
      <c r="H22" s="32">
        <v>252</v>
      </c>
      <c r="I22" s="32">
        <v>1216</v>
      </c>
      <c r="J22" s="343"/>
      <c r="K22" s="77"/>
      <c r="L22" s="77"/>
      <c r="M22" s="77"/>
      <c r="N22" s="77"/>
      <c r="O22" s="77"/>
      <c r="P22" s="344"/>
      <c r="Q22" s="371">
        <f t="shared" si="1"/>
        <v>4872</v>
      </c>
      <c r="R22" s="89"/>
    </row>
    <row r="23" spans="1:18" s="4" customFormat="1" x14ac:dyDescent="0.25">
      <c r="A23" s="74">
        <v>75010</v>
      </c>
      <c r="B23" s="31" t="s">
        <v>966</v>
      </c>
      <c r="C23" s="92" t="s">
        <v>967</v>
      </c>
      <c r="D23" s="113" t="s">
        <v>186</v>
      </c>
      <c r="E23" s="75" t="s">
        <v>48</v>
      </c>
      <c r="F23" s="76" t="s">
        <v>48</v>
      </c>
      <c r="G23" s="76">
        <v>106</v>
      </c>
      <c r="H23" s="76" t="s">
        <v>48</v>
      </c>
      <c r="I23" s="32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106</v>
      </c>
      <c r="R23" s="89"/>
    </row>
    <row r="24" spans="1:18" s="4" customFormat="1" x14ac:dyDescent="0.25">
      <c r="A24" s="74">
        <v>75010</v>
      </c>
      <c r="B24" s="31" t="s">
        <v>280</v>
      </c>
      <c r="C24" s="92" t="s">
        <v>281</v>
      </c>
      <c r="D24" s="113" t="s">
        <v>187</v>
      </c>
      <c r="E24" s="75">
        <v>360</v>
      </c>
      <c r="F24" s="76" t="s">
        <v>48</v>
      </c>
      <c r="G24" s="76" t="s">
        <v>48</v>
      </c>
      <c r="H24" s="32">
        <v>460</v>
      </c>
      <c r="I24" s="32" t="s">
        <v>48</v>
      </c>
      <c r="J24" s="343"/>
      <c r="K24" s="77"/>
      <c r="L24" s="77"/>
      <c r="M24" s="77"/>
      <c r="N24" s="77"/>
      <c r="O24" s="77"/>
      <c r="P24" s="344"/>
      <c r="Q24" s="371">
        <f t="shared" si="1"/>
        <v>820</v>
      </c>
      <c r="R24" s="159"/>
    </row>
    <row r="25" spans="1:18" s="4" customFormat="1" x14ac:dyDescent="0.25">
      <c r="A25" s="74">
        <v>75010</v>
      </c>
      <c r="B25" s="27" t="s">
        <v>282</v>
      </c>
      <c r="C25" s="72" t="s">
        <v>283</v>
      </c>
      <c r="D25" s="84" t="s">
        <v>188</v>
      </c>
      <c r="E25" s="18">
        <v>68</v>
      </c>
      <c r="F25" s="13">
        <v>272</v>
      </c>
      <c r="G25" s="76">
        <v>264</v>
      </c>
      <c r="H25" s="32">
        <v>176</v>
      </c>
      <c r="I25" s="32">
        <v>184</v>
      </c>
      <c r="J25" s="343"/>
      <c r="K25" s="77"/>
      <c r="L25" s="77"/>
      <c r="M25" s="77"/>
      <c r="N25" s="77"/>
      <c r="O25" s="77"/>
      <c r="P25" s="344"/>
      <c r="Q25" s="371">
        <f t="shared" si="1"/>
        <v>964</v>
      </c>
      <c r="R25" s="47"/>
    </row>
    <row r="26" spans="1:18" s="4" customFormat="1" x14ac:dyDescent="0.25">
      <c r="A26" s="74">
        <v>75010</v>
      </c>
      <c r="B26" s="27" t="s">
        <v>1195</v>
      </c>
      <c r="C26" s="72" t="s">
        <v>1196</v>
      </c>
      <c r="D26" s="84" t="s">
        <v>187</v>
      </c>
      <c r="E26" s="59" t="s">
        <v>48</v>
      </c>
      <c r="F26" s="45" t="s">
        <v>48</v>
      </c>
      <c r="G26" s="45" t="s">
        <v>48</v>
      </c>
      <c r="H26" s="45" t="s">
        <v>48</v>
      </c>
      <c r="I26" s="32">
        <v>166</v>
      </c>
      <c r="J26" s="343"/>
      <c r="K26" s="77"/>
      <c r="L26" s="77"/>
      <c r="M26" s="77"/>
      <c r="N26" s="77"/>
      <c r="O26" s="77"/>
      <c r="P26" s="344"/>
      <c r="Q26" s="371">
        <f t="shared" si="1"/>
        <v>166</v>
      </c>
      <c r="R26" s="47"/>
    </row>
    <row r="27" spans="1:18" s="4" customFormat="1" x14ac:dyDescent="0.25">
      <c r="A27" s="74">
        <v>75010</v>
      </c>
      <c r="B27" s="27" t="s">
        <v>1197</v>
      </c>
      <c r="C27" s="72" t="s">
        <v>1198</v>
      </c>
      <c r="D27" s="84" t="s">
        <v>187</v>
      </c>
      <c r="E27" s="59" t="s">
        <v>48</v>
      </c>
      <c r="F27" s="45" t="s">
        <v>48</v>
      </c>
      <c r="G27" s="45" t="s">
        <v>48</v>
      </c>
      <c r="H27" s="45" t="s">
        <v>48</v>
      </c>
      <c r="I27" s="32">
        <v>396</v>
      </c>
      <c r="J27" s="343"/>
      <c r="K27" s="77"/>
      <c r="L27" s="77"/>
      <c r="M27" s="77"/>
      <c r="N27" s="77"/>
      <c r="O27" s="77"/>
      <c r="P27" s="344"/>
      <c r="Q27" s="371">
        <f t="shared" si="1"/>
        <v>396</v>
      </c>
      <c r="R27" s="47"/>
    </row>
    <row r="28" spans="1:18" s="4" customFormat="1" x14ac:dyDescent="0.25">
      <c r="A28" s="74">
        <v>75010</v>
      </c>
      <c r="B28" s="27" t="s">
        <v>599</v>
      </c>
      <c r="C28" s="72" t="s">
        <v>600</v>
      </c>
      <c r="D28" s="84" t="s">
        <v>188</v>
      </c>
      <c r="E28" s="18">
        <v>360</v>
      </c>
      <c r="F28" s="45" t="s">
        <v>48</v>
      </c>
      <c r="G28" s="76">
        <v>66</v>
      </c>
      <c r="H28" s="32">
        <v>1298</v>
      </c>
      <c r="I28" s="32" t="s">
        <v>48</v>
      </c>
      <c r="J28" s="343"/>
      <c r="K28" s="77"/>
      <c r="L28" s="77"/>
      <c r="M28" s="77"/>
      <c r="N28" s="77"/>
      <c r="O28" s="77"/>
      <c r="P28" s="344"/>
      <c r="Q28" s="371">
        <f t="shared" si="1"/>
        <v>1724</v>
      </c>
      <c r="R28" s="47"/>
    </row>
    <row r="29" spans="1:18" s="4" customFormat="1" x14ac:dyDescent="0.25">
      <c r="A29" s="74">
        <v>75010</v>
      </c>
      <c r="B29" s="27" t="s">
        <v>1199</v>
      </c>
      <c r="C29" s="72" t="s">
        <v>1200</v>
      </c>
      <c r="D29" s="84" t="s">
        <v>188</v>
      </c>
      <c r="E29" s="59" t="s">
        <v>48</v>
      </c>
      <c r="F29" s="45" t="s">
        <v>48</v>
      </c>
      <c r="G29" s="76" t="s">
        <v>48</v>
      </c>
      <c r="H29" s="76" t="s">
        <v>48</v>
      </c>
      <c r="I29" s="32">
        <v>68</v>
      </c>
      <c r="J29" s="343"/>
      <c r="K29" s="77"/>
      <c r="L29" s="77"/>
      <c r="M29" s="77"/>
      <c r="N29" s="77"/>
      <c r="O29" s="77"/>
      <c r="P29" s="344"/>
      <c r="Q29" s="371">
        <f t="shared" si="1"/>
        <v>68</v>
      </c>
      <c r="R29" s="47"/>
    </row>
    <row r="30" spans="1:18" s="4" customFormat="1" x14ac:dyDescent="0.25">
      <c r="A30" s="74">
        <v>75010</v>
      </c>
      <c r="B30" s="27" t="s">
        <v>870</v>
      </c>
      <c r="C30" s="72" t="s">
        <v>871</v>
      </c>
      <c r="D30" s="84" t="s">
        <v>187</v>
      </c>
      <c r="E30" s="59" t="s">
        <v>48</v>
      </c>
      <c r="F30" s="45" t="s">
        <v>48</v>
      </c>
      <c r="G30" s="76" t="s">
        <v>48</v>
      </c>
      <c r="H30" s="32">
        <v>18</v>
      </c>
      <c r="I30" s="32" t="s">
        <v>48</v>
      </c>
      <c r="J30" s="343"/>
      <c r="K30" s="77"/>
      <c r="L30" s="77"/>
      <c r="M30" s="77"/>
      <c r="N30" s="77"/>
      <c r="O30" s="77"/>
      <c r="P30" s="344"/>
      <c r="Q30" s="371">
        <f t="shared" si="1"/>
        <v>18</v>
      </c>
      <c r="R30" s="47"/>
    </row>
    <row r="31" spans="1:18" s="4" customFormat="1" x14ac:dyDescent="0.25">
      <c r="A31" s="74">
        <v>75010</v>
      </c>
      <c r="B31" s="27" t="s">
        <v>969</v>
      </c>
      <c r="C31" s="72" t="s">
        <v>968</v>
      </c>
      <c r="D31" s="84" t="s">
        <v>188</v>
      </c>
      <c r="E31" s="59" t="s">
        <v>48</v>
      </c>
      <c r="F31" s="45" t="s">
        <v>48</v>
      </c>
      <c r="G31" s="76">
        <v>800</v>
      </c>
      <c r="H31" s="76">
        <v>190</v>
      </c>
      <c r="I31" s="32">
        <v>157</v>
      </c>
      <c r="J31" s="343"/>
      <c r="K31" s="77"/>
      <c r="L31" s="77"/>
      <c r="M31" s="77"/>
      <c r="N31" s="77"/>
      <c r="O31" s="77"/>
      <c r="P31" s="344"/>
      <c r="Q31" s="371">
        <f t="shared" si="1"/>
        <v>1147</v>
      </c>
      <c r="R31" s="47"/>
    </row>
    <row r="32" spans="1:18" s="4" customFormat="1" x14ac:dyDescent="0.25">
      <c r="A32" s="74">
        <v>75010</v>
      </c>
      <c r="B32" s="27" t="s">
        <v>872</v>
      </c>
      <c r="C32" s="72" t="s">
        <v>873</v>
      </c>
      <c r="D32" s="84" t="s">
        <v>186</v>
      </c>
      <c r="E32" s="59" t="s">
        <v>48</v>
      </c>
      <c r="F32" s="45" t="s">
        <v>48</v>
      </c>
      <c r="G32" s="76" t="s">
        <v>48</v>
      </c>
      <c r="H32" s="32">
        <v>72</v>
      </c>
      <c r="I32" s="32">
        <v>396</v>
      </c>
      <c r="J32" s="343"/>
      <c r="K32" s="77"/>
      <c r="L32" s="77"/>
      <c r="M32" s="77"/>
      <c r="N32" s="77"/>
      <c r="O32" s="77"/>
      <c r="P32" s="344"/>
      <c r="Q32" s="371">
        <f t="shared" si="1"/>
        <v>468</v>
      </c>
      <c r="R32" s="47"/>
    </row>
    <row r="33" spans="1:19" s="4" customFormat="1" x14ac:dyDescent="0.25">
      <c r="A33" s="74">
        <v>75010</v>
      </c>
      <c r="B33" s="27" t="s">
        <v>439</v>
      </c>
      <c r="C33" s="72" t="s">
        <v>438</v>
      </c>
      <c r="D33" s="84" t="s">
        <v>187</v>
      </c>
      <c r="E33" s="59" t="s">
        <v>48</v>
      </c>
      <c r="F33" s="13">
        <v>99</v>
      </c>
      <c r="G33" s="76" t="s">
        <v>48</v>
      </c>
      <c r="H33" s="32" t="s">
        <v>48</v>
      </c>
      <c r="I33" s="32">
        <v>112</v>
      </c>
      <c r="J33" s="343"/>
      <c r="K33" s="77"/>
      <c r="L33" s="77"/>
      <c r="M33" s="77"/>
      <c r="N33" s="77"/>
      <c r="O33" s="77"/>
      <c r="P33" s="344"/>
      <c r="Q33" s="371">
        <f t="shared" si="1"/>
        <v>211</v>
      </c>
      <c r="R33" s="47"/>
    </row>
    <row r="34" spans="1:19" s="4" customFormat="1" x14ac:dyDescent="0.25">
      <c r="A34" s="74">
        <v>75010</v>
      </c>
      <c r="B34" s="27" t="s">
        <v>601</v>
      </c>
      <c r="C34" s="72" t="s">
        <v>602</v>
      </c>
      <c r="D34" s="84" t="s">
        <v>188</v>
      </c>
      <c r="E34" s="59">
        <v>383</v>
      </c>
      <c r="F34" s="45" t="s">
        <v>48</v>
      </c>
      <c r="G34" s="76">
        <v>68</v>
      </c>
      <c r="H34" s="32">
        <v>456</v>
      </c>
      <c r="I34" s="32" t="s">
        <v>48</v>
      </c>
      <c r="J34" s="343"/>
      <c r="K34" s="77"/>
      <c r="L34" s="77"/>
      <c r="M34" s="77"/>
      <c r="N34" s="77"/>
      <c r="O34" s="77"/>
      <c r="P34" s="344"/>
      <c r="Q34" s="371">
        <f t="shared" si="1"/>
        <v>907</v>
      </c>
      <c r="R34" s="47"/>
    </row>
    <row r="35" spans="1:19" s="4" customFormat="1" x14ac:dyDescent="0.25">
      <c r="A35" s="74">
        <v>75010</v>
      </c>
      <c r="B35" s="27" t="s">
        <v>603</v>
      </c>
      <c r="C35" s="72" t="s">
        <v>604</v>
      </c>
      <c r="D35" s="84" t="s">
        <v>187</v>
      </c>
      <c r="E35" s="59">
        <v>68</v>
      </c>
      <c r="F35" s="45" t="s">
        <v>48</v>
      </c>
      <c r="G35" s="76" t="s">
        <v>48</v>
      </c>
      <c r="H35" s="32" t="s">
        <v>48</v>
      </c>
      <c r="I35" s="32" t="s">
        <v>48</v>
      </c>
      <c r="J35" s="343"/>
      <c r="K35" s="77"/>
      <c r="L35" s="77"/>
      <c r="M35" s="77"/>
      <c r="N35" s="77"/>
      <c r="O35" s="77"/>
      <c r="P35" s="344"/>
      <c r="Q35" s="371">
        <f t="shared" si="1"/>
        <v>68</v>
      </c>
      <c r="R35" s="47"/>
    </row>
    <row r="36" spans="1:19" s="4" customFormat="1" x14ac:dyDescent="0.25">
      <c r="A36" s="74">
        <v>75010</v>
      </c>
      <c r="B36" s="27" t="s">
        <v>440</v>
      </c>
      <c r="C36" s="72" t="s">
        <v>441</v>
      </c>
      <c r="D36" s="84" t="s">
        <v>187</v>
      </c>
      <c r="E36" s="59" t="s">
        <v>48</v>
      </c>
      <c r="F36" s="13">
        <v>832</v>
      </c>
      <c r="G36" s="76" t="s">
        <v>48</v>
      </c>
      <c r="H36" s="32" t="s">
        <v>48</v>
      </c>
      <c r="I36" s="32">
        <v>40</v>
      </c>
      <c r="J36" s="343"/>
      <c r="K36" s="77"/>
      <c r="L36" s="77"/>
      <c r="M36" s="77"/>
      <c r="N36" s="77"/>
      <c r="O36" s="77"/>
      <c r="P36" s="344"/>
      <c r="Q36" s="371">
        <f t="shared" si="1"/>
        <v>872</v>
      </c>
      <c r="R36" s="47"/>
    </row>
    <row r="37" spans="1:19" s="4" customFormat="1" x14ac:dyDescent="0.25">
      <c r="A37" s="74">
        <v>75010</v>
      </c>
      <c r="B37" s="27" t="s">
        <v>284</v>
      </c>
      <c r="C37" s="72" t="s">
        <v>285</v>
      </c>
      <c r="D37" s="84" t="s">
        <v>187</v>
      </c>
      <c r="E37" s="18">
        <v>612</v>
      </c>
      <c r="F37" s="45">
        <v>893</v>
      </c>
      <c r="G37" s="76">
        <v>204</v>
      </c>
      <c r="H37" s="32">
        <v>460</v>
      </c>
      <c r="I37" s="32">
        <v>718</v>
      </c>
      <c r="J37" s="343"/>
      <c r="K37" s="77"/>
      <c r="L37" s="77"/>
      <c r="M37" s="77"/>
      <c r="N37" s="77"/>
      <c r="O37" s="77"/>
      <c r="P37" s="344"/>
      <c r="Q37" s="371">
        <f t="shared" si="1"/>
        <v>2887</v>
      </c>
      <c r="R37" s="47"/>
    </row>
    <row r="38" spans="1:19" s="4" customFormat="1" x14ac:dyDescent="0.25">
      <c r="A38" s="74">
        <v>75010</v>
      </c>
      <c r="B38" s="27" t="s">
        <v>442</v>
      </c>
      <c r="C38" s="72" t="s">
        <v>443</v>
      </c>
      <c r="D38" s="84" t="s">
        <v>187</v>
      </c>
      <c r="E38" s="59" t="s">
        <v>48</v>
      </c>
      <c r="F38" s="45">
        <v>412</v>
      </c>
      <c r="G38" s="76" t="s">
        <v>48</v>
      </c>
      <c r="H38" s="32">
        <v>1024</v>
      </c>
      <c r="I38" s="32">
        <v>102</v>
      </c>
      <c r="J38" s="343"/>
      <c r="K38" s="77"/>
      <c r="L38" s="77"/>
      <c r="M38" s="77"/>
      <c r="N38" s="77"/>
      <c r="O38" s="77"/>
      <c r="P38" s="344"/>
      <c r="Q38" s="371">
        <f t="shared" si="1"/>
        <v>1538</v>
      </c>
      <c r="R38" s="47"/>
    </row>
    <row r="39" spans="1:19" s="4" customFormat="1" x14ac:dyDescent="0.25">
      <c r="A39" s="74">
        <v>75010</v>
      </c>
      <c r="B39" s="27" t="s">
        <v>605</v>
      </c>
      <c r="C39" s="72" t="s">
        <v>606</v>
      </c>
      <c r="D39" s="84" t="s">
        <v>186</v>
      </c>
      <c r="E39" s="59">
        <v>183</v>
      </c>
      <c r="F39" s="45" t="s">
        <v>48</v>
      </c>
      <c r="G39" s="76">
        <v>338</v>
      </c>
      <c r="H39" s="32" t="s">
        <v>48</v>
      </c>
      <c r="I39" s="32" t="s">
        <v>48</v>
      </c>
      <c r="J39" s="343"/>
      <c r="K39" s="77"/>
      <c r="L39" s="77"/>
      <c r="M39" s="77"/>
      <c r="N39" s="77"/>
      <c r="O39" s="77"/>
      <c r="P39" s="344"/>
      <c r="Q39" s="371">
        <f t="shared" si="1"/>
        <v>521</v>
      </c>
      <c r="R39" s="47"/>
    </row>
    <row r="40" spans="1:19" s="4" customFormat="1" x14ac:dyDescent="0.25">
      <c r="A40" s="74">
        <v>75010</v>
      </c>
      <c r="B40" s="271" t="s">
        <v>874</v>
      </c>
      <c r="C40" s="72" t="s">
        <v>875</v>
      </c>
      <c r="D40" s="84" t="s">
        <v>320</v>
      </c>
      <c r="E40" s="59" t="s">
        <v>48</v>
      </c>
      <c r="F40" s="45" t="s">
        <v>48</v>
      </c>
      <c r="G40" s="76" t="s">
        <v>48</v>
      </c>
      <c r="H40" s="272">
        <v>40</v>
      </c>
      <c r="I40" s="32" t="s">
        <v>48</v>
      </c>
      <c r="J40" s="343"/>
      <c r="K40" s="77"/>
      <c r="L40" s="77"/>
      <c r="M40" s="77"/>
      <c r="N40" s="77"/>
      <c r="O40" s="77"/>
      <c r="P40" s="344"/>
      <c r="Q40" s="371">
        <f t="shared" si="1"/>
        <v>40</v>
      </c>
      <c r="R40" s="285" t="s">
        <v>718</v>
      </c>
    </row>
    <row r="41" spans="1:19" s="4" customFormat="1" x14ac:dyDescent="0.25">
      <c r="A41" s="74">
        <v>75010</v>
      </c>
      <c r="B41" s="27" t="s">
        <v>1201</v>
      </c>
      <c r="C41" s="72" t="s">
        <v>1202</v>
      </c>
      <c r="D41" s="84" t="s">
        <v>187</v>
      </c>
      <c r="E41" s="59" t="s">
        <v>48</v>
      </c>
      <c r="F41" s="45" t="s">
        <v>48</v>
      </c>
      <c r="G41" s="76" t="s">
        <v>48</v>
      </c>
      <c r="H41" s="76" t="s">
        <v>48</v>
      </c>
      <c r="I41" s="32">
        <v>51</v>
      </c>
      <c r="J41" s="343"/>
      <c r="K41" s="77"/>
      <c r="L41" s="77"/>
      <c r="M41" s="77"/>
      <c r="N41" s="77"/>
      <c r="O41" s="77"/>
      <c r="P41" s="344"/>
      <c r="Q41" s="371">
        <f t="shared" si="1"/>
        <v>51</v>
      </c>
      <c r="R41" s="34"/>
    </row>
    <row r="42" spans="1:19" s="4" customFormat="1" x14ac:dyDescent="0.25">
      <c r="A42" s="74">
        <v>75010</v>
      </c>
      <c r="B42" s="27" t="s">
        <v>286</v>
      </c>
      <c r="C42" s="72" t="s">
        <v>287</v>
      </c>
      <c r="D42" s="84" t="s">
        <v>187</v>
      </c>
      <c r="E42" s="18">
        <v>100</v>
      </c>
      <c r="F42" s="45" t="s">
        <v>48</v>
      </c>
      <c r="G42" s="76" t="s">
        <v>48</v>
      </c>
      <c r="H42" s="32">
        <v>212</v>
      </c>
      <c r="I42" s="32">
        <v>247</v>
      </c>
      <c r="J42" s="343"/>
      <c r="K42" s="77"/>
      <c r="L42" s="77"/>
      <c r="M42" s="77"/>
      <c r="N42" s="77"/>
      <c r="O42" s="77"/>
      <c r="P42" s="344"/>
      <c r="Q42" s="371">
        <f t="shared" si="0"/>
        <v>559</v>
      </c>
      <c r="R42" s="47"/>
    </row>
    <row r="43" spans="1:19" s="4" customFormat="1" x14ac:dyDescent="0.25">
      <c r="A43" s="74">
        <v>75010</v>
      </c>
      <c r="B43" s="27" t="s">
        <v>607</v>
      </c>
      <c r="C43" s="72" t="s">
        <v>608</v>
      </c>
      <c r="D43" s="84" t="s">
        <v>186</v>
      </c>
      <c r="E43" s="18">
        <v>148</v>
      </c>
      <c r="F43" s="45" t="s">
        <v>48</v>
      </c>
      <c r="G43" s="76">
        <v>22</v>
      </c>
      <c r="H43" s="32" t="s">
        <v>48</v>
      </c>
      <c r="I43" s="32">
        <v>116</v>
      </c>
      <c r="J43" s="343"/>
      <c r="K43" s="77"/>
      <c r="L43" s="77"/>
      <c r="M43" s="77"/>
      <c r="N43" s="77"/>
      <c r="O43" s="77"/>
      <c r="P43" s="344"/>
      <c r="Q43" s="371">
        <f t="shared" si="0"/>
        <v>286</v>
      </c>
      <c r="R43" s="47"/>
    </row>
    <row r="44" spans="1:19" s="4" customFormat="1" x14ac:dyDescent="0.25">
      <c r="A44" s="74">
        <v>75010</v>
      </c>
      <c r="B44" s="27" t="s">
        <v>609</v>
      </c>
      <c r="C44" s="72" t="s">
        <v>610</v>
      </c>
      <c r="D44" s="84" t="s">
        <v>188</v>
      </c>
      <c r="E44" s="18">
        <v>118</v>
      </c>
      <c r="F44" s="45" t="s">
        <v>48</v>
      </c>
      <c r="G44" s="76" t="s">
        <v>48</v>
      </c>
      <c r="H44" s="32">
        <v>610</v>
      </c>
      <c r="I44" s="32">
        <v>188</v>
      </c>
      <c r="J44" s="343"/>
      <c r="K44" s="77"/>
      <c r="L44" s="77"/>
      <c r="M44" s="77"/>
      <c r="N44" s="77"/>
      <c r="O44" s="77"/>
      <c r="P44" s="344"/>
      <c r="Q44" s="371">
        <f t="shared" si="0"/>
        <v>916</v>
      </c>
      <c r="R44" s="47"/>
    </row>
    <row r="45" spans="1:19" s="4" customFormat="1" x14ac:dyDescent="0.25">
      <c r="A45" s="74">
        <v>75010</v>
      </c>
      <c r="B45" s="316" t="s">
        <v>1203</v>
      </c>
      <c r="C45" s="72" t="s">
        <v>1204</v>
      </c>
      <c r="D45" s="84" t="s">
        <v>187</v>
      </c>
      <c r="E45" s="59" t="s">
        <v>48</v>
      </c>
      <c r="F45" s="45" t="s">
        <v>48</v>
      </c>
      <c r="G45" s="76" t="s">
        <v>48</v>
      </c>
      <c r="H45" s="76" t="s">
        <v>48</v>
      </c>
      <c r="I45" s="301">
        <v>118</v>
      </c>
      <c r="J45" s="343"/>
      <c r="K45" s="77"/>
      <c r="L45" s="77"/>
      <c r="M45" s="77"/>
      <c r="N45" s="77"/>
      <c r="O45" s="77"/>
      <c r="P45" s="344"/>
      <c r="Q45" s="371">
        <f t="shared" si="0"/>
        <v>118</v>
      </c>
      <c r="R45" s="317" t="s">
        <v>869</v>
      </c>
    </row>
    <row r="46" spans="1:19" s="4" customFormat="1" x14ac:dyDescent="0.25">
      <c r="A46" s="74">
        <v>75010</v>
      </c>
      <c r="B46" s="27" t="s">
        <v>288</v>
      </c>
      <c r="C46" s="72" t="s">
        <v>289</v>
      </c>
      <c r="D46" s="84" t="s">
        <v>187</v>
      </c>
      <c r="E46" s="18">
        <v>346</v>
      </c>
      <c r="F46" s="45" t="s">
        <v>48</v>
      </c>
      <c r="G46" s="76">
        <v>796</v>
      </c>
      <c r="H46" s="32" t="s">
        <v>48</v>
      </c>
      <c r="I46" s="32">
        <v>68</v>
      </c>
      <c r="J46" s="343"/>
      <c r="K46" s="77"/>
      <c r="L46" s="77"/>
      <c r="M46" s="77"/>
      <c r="N46" s="77"/>
      <c r="O46" s="77"/>
      <c r="P46" s="344"/>
      <c r="Q46" s="371">
        <f t="shared" si="0"/>
        <v>1210</v>
      </c>
      <c r="R46" s="47"/>
    </row>
    <row r="47" spans="1:19" s="4" customFormat="1" ht="15.75" thickBot="1" x14ac:dyDescent="0.3">
      <c r="A47" s="74">
        <v>75010</v>
      </c>
      <c r="B47" s="271" t="s">
        <v>1205</v>
      </c>
      <c r="C47" s="72" t="s">
        <v>1206</v>
      </c>
      <c r="D47" s="84" t="s">
        <v>187</v>
      </c>
      <c r="E47" s="59" t="s">
        <v>48</v>
      </c>
      <c r="F47" s="45" t="s">
        <v>48</v>
      </c>
      <c r="G47" s="45" t="s">
        <v>48</v>
      </c>
      <c r="H47" s="45" t="s">
        <v>48</v>
      </c>
      <c r="I47" s="313">
        <v>100</v>
      </c>
      <c r="J47" s="343"/>
      <c r="K47" s="77"/>
      <c r="L47" s="77"/>
      <c r="M47" s="77"/>
      <c r="N47" s="77"/>
      <c r="O47" s="77"/>
      <c r="P47" s="344"/>
      <c r="Q47" s="371">
        <f t="shared" si="0"/>
        <v>100</v>
      </c>
      <c r="R47" s="285" t="s">
        <v>579</v>
      </c>
    </row>
    <row r="48" spans="1:19" s="4" customFormat="1" ht="15.75" thickBot="1" x14ac:dyDescent="0.3">
      <c r="A48" s="382" t="s">
        <v>10</v>
      </c>
      <c r="B48" s="383">
        <f>SUBTOTAL(103,Ventes10ème[Hotel])</f>
        <v>44</v>
      </c>
      <c r="C48" s="384"/>
      <c r="D48" s="382"/>
      <c r="E48" s="385">
        <f>SUBTOTAL(109,Ventes10ème[Janv])</f>
        <v>6737</v>
      </c>
      <c r="F48" s="386">
        <f>SUBTOTAL(109,Ventes10ème[Fév])</f>
        <v>6360</v>
      </c>
      <c r="G48" s="387">
        <f>SUBTOTAL(109,Ventes10ème[mars])</f>
        <v>7393</v>
      </c>
      <c r="H48" s="334">
        <f>SUBTOTAL(109,Ventes10ème[Avril])</f>
        <v>8997</v>
      </c>
      <c r="I48" s="334">
        <f>SUBTOTAL(109,Ventes10ème[Mai])</f>
        <v>9743</v>
      </c>
      <c r="J48" s="334">
        <f>SUBTOTAL(109,Ventes10ème[Juin])</f>
        <v>0</v>
      </c>
      <c r="K48" s="334">
        <f>SUBTOTAL(109,Ventes10ème[Juillet])</f>
        <v>0</v>
      </c>
      <c r="L48" s="336">
        <f>SUBTOTAL(109,Ventes10ème[Août])</f>
        <v>0</v>
      </c>
      <c r="M48" s="336">
        <f>SUBTOTAL(109,Ventes10ème[Sept.])</f>
        <v>0</v>
      </c>
      <c r="N48" s="336">
        <f>SUBTOTAL(109,Ventes10ème[Oct])</f>
        <v>0</v>
      </c>
      <c r="O48" s="336">
        <f>SUBTOTAL(109,Ventes10ème[Nov.])</f>
        <v>0</v>
      </c>
      <c r="P48" s="337">
        <f>SUBTOTAL(109,Ventes10ème[déc])</f>
        <v>0</v>
      </c>
      <c r="Q48" s="388">
        <f>SUBTOTAL(109,Ventes10ème[TOTAL])</f>
        <v>39230</v>
      </c>
      <c r="R48" s="378"/>
      <c r="S48" s="80"/>
    </row>
    <row r="49" spans="1:19" s="4" customFormat="1" ht="15.75" thickBot="1" x14ac:dyDescent="0.3">
      <c r="A49" s="62"/>
      <c r="B49" s="62"/>
      <c r="C49" s="62"/>
      <c r="D49" s="62"/>
      <c r="E49" s="62"/>
      <c r="F49" s="62"/>
      <c r="G49" s="62"/>
      <c r="H49" s="62"/>
      <c r="I49" s="64"/>
      <c r="J49" s="62"/>
      <c r="K49" s="64"/>
      <c r="L49" s="335"/>
      <c r="M49" s="335"/>
      <c r="N49" s="335"/>
      <c r="O49" s="335"/>
      <c r="P49" s="335"/>
      <c r="Q49" s="64"/>
      <c r="R49" s="62"/>
      <c r="S49" s="80"/>
    </row>
    <row r="50" spans="1:19" ht="30" x14ac:dyDescent="0.25">
      <c r="A50" s="389" t="s">
        <v>36</v>
      </c>
      <c r="B50" s="338">
        <v>119</v>
      </c>
      <c r="C50" s="62"/>
      <c r="D50" s="62"/>
      <c r="E50" s="62"/>
      <c r="F50" s="62"/>
      <c r="G50" s="62"/>
      <c r="H50" s="62"/>
      <c r="I50" s="62"/>
      <c r="J50" s="390"/>
      <c r="K50" s="64"/>
      <c r="L50" s="335"/>
      <c r="M50" s="335"/>
      <c r="N50" s="335"/>
      <c r="O50" s="335"/>
      <c r="P50" s="335"/>
      <c r="Q50" s="64"/>
      <c r="R50" s="62"/>
    </row>
    <row r="51" spans="1:19" ht="30.75" thickBot="1" x14ac:dyDescent="0.3">
      <c r="A51" s="391" t="s">
        <v>1330</v>
      </c>
      <c r="B51" s="339">
        <f>Ventes10ème[[#Totals],[Hotel]]/B50</f>
        <v>0.36974789915966388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34"/>
  <sheetViews>
    <sheetView zoomScale="80" zoomScaleNormal="80" workbookViewId="0">
      <selection activeCell="B23" sqref="B23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1334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6" t="s">
        <v>4</v>
      </c>
      <c r="H3" s="19" t="s">
        <v>7</v>
      </c>
      <c r="I3" s="42" t="s">
        <v>37</v>
      </c>
      <c r="J3" s="42" t="s">
        <v>38</v>
      </c>
      <c r="K3" s="20" t="s">
        <v>40</v>
      </c>
      <c r="L3" s="63" t="s">
        <v>41</v>
      </c>
      <c r="M3" s="63" t="s">
        <v>42</v>
      </c>
      <c r="N3" s="20" t="s">
        <v>43</v>
      </c>
      <c r="O3" s="63" t="s">
        <v>44</v>
      </c>
      <c r="P3" s="85" t="s">
        <v>45</v>
      </c>
      <c r="Q3" s="333" t="s">
        <v>8</v>
      </c>
      <c r="R3" s="10" t="s">
        <v>9</v>
      </c>
    </row>
    <row r="4" spans="1:19" s="4" customFormat="1" x14ac:dyDescent="0.25">
      <c r="A4" s="43">
        <v>75011</v>
      </c>
      <c r="B4" s="14" t="s">
        <v>1207</v>
      </c>
      <c r="C4" s="57" t="s">
        <v>1208</v>
      </c>
      <c r="D4" s="234" t="s">
        <v>187</v>
      </c>
      <c r="E4" s="59" t="s">
        <v>48</v>
      </c>
      <c r="F4" s="45" t="s">
        <v>48</v>
      </c>
      <c r="G4" s="45" t="s">
        <v>48</v>
      </c>
      <c r="H4" s="45" t="s">
        <v>48</v>
      </c>
      <c r="I4" s="28">
        <v>242</v>
      </c>
      <c r="J4" s="343"/>
      <c r="K4" s="77"/>
      <c r="L4" s="77"/>
      <c r="M4" s="77"/>
      <c r="N4" s="77"/>
      <c r="O4" s="77"/>
      <c r="P4" s="344"/>
      <c r="Q4" s="371">
        <f t="shared" ref="Q4:Q30" si="0">SUM(E4:P4)</f>
        <v>242</v>
      </c>
      <c r="R4" s="235"/>
    </row>
    <row r="5" spans="1:19" s="4" customFormat="1" x14ac:dyDescent="0.25">
      <c r="A5" s="43">
        <v>75011</v>
      </c>
      <c r="B5" s="61" t="s">
        <v>444</v>
      </c>
      <c r="C5" s="303" t="s">
        <v>445</v>
      </c>
      <c r="D5" s="56" t="s">
        <v>186</v>
      </c>
      <c r="E5" s="59" t="s">
        <v>48</v>
      </c>
      <c r="F5" s="45">
        <v>72</v>
      </c>
      <c r="G5" s="45" t="s">
        <v>48</v>
      </c>
      <c r="H5" s="45" t="s">
        <v>48</v>
      </c>
      <c r="I5" s="29">
        <v>200</v>
      </c>
      <c r="J5" s="343"/>
      <c r="K5" s="77"/>
      <c r="L5" s="77"/>
      <c r="M5" s="77"/>
      <c r="N5" s="77"/>
      <c r="O5" s="77"/>
      <c r="P5" s="344"/>
      <c r="Q5" s="371">
        <f t="shared" si="0"/>
        <v>272</v>
      </c>
      <c r="R5" s="235"/>
    </row>
    <row r="6" spans="1:19" s="4" customFormat="1" x14ac:dyDescent="0.25">
      <c r="A6" s="43">
        <v>75011</v>
      </c>
      <c r="B6" s="315" t="s">
        <v>1209</v>
      </c>
      <c r="C6" s="303" t="s">
        <v>1210</v>
      </c>
      <c r="D6" s="318" t="s">
        <v>187</v>
      </c>
      <c r="E6" s="59" t="s">
        <v>48</v>
      </c>
      <c r="F6" s="45" t="s">
        <v>48</v>
      </c>
      <c r="G6" s="45" t="s">
        <v>48</v>
      </c>
      <c r="H6" s="45" t="s">
        <v>48</v>
      </c>
      <c r="I6" s="313">
        <v>60</v>
      </c>
      <c r="J6" s="343"/>
      <c r="K6" s="77"/>
      <c r="L6" s="77"/>
      <c r="M6" s="77"/>
      <c r="N6" s="77"/>
      <c r="O6" s="77"/>
      <c r="P6" s="344"/>
      <c r="Q6" s="371">
        <f t="shared" si="0"/>
        <v>60</v>
      </c>
      <c r="R6" s="304" t="s">
        <v>1211</v>
      </c>
    </row>
    <row r="7" spans="1:19" s="4" customFormat="1" x14ac:dyDescent="0.25">
      <c r="A7" s="43">
        <v>75011</v>
      </c>
      <c r="B7" s="82" t="s">
        <v>876</v>
      </c>
      <c r="C7" s="65" t="s">
        <v>877</v>
      </c>
      <c r="D7" s="67" t="s">
        <v>187</v>
      </c>
      <c r="E7" s="59" t="s">
        <v>48</v>
      </c>
      <c r="F7" s="45" t="s">
        <v>48</v>
      </c>
      <c r="G7" s="45" t="s">
        <v>48</v>
      </c>
      <c r="H7" s="45">
        <v>820</v>
      </c>
      <c r="I7" s="28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820</v>
      </c>
      <c r="R7" s="79"/>
    </row>
    <row r="8" spans="1:19" s="4" customFormat="1" x14ac:dyDescent="0.25">
      <c r="A8" s="43">
        <v>75011</v>
      </c>
      <c r="B8" s="82" t="s">
        <v>878</v>
      </c>
      <c r="C8" s="65" t="s">
        <v>879</v>
      </c>
      <c r="D8" s="67" t="s">
        <v>188</v>
      </c>
      <c r="E8" s="59" t="s">
        <v>48</v>
      </c>
      <c r="F8" s="45" t="s">
        <v>48</v>
      </c>
      <c r="G8" s="45" t="s">
        <v>48</v>
      </c>
      <c r="H8" s="45">
        <v>66</v>
      </c>
      <c r="I8" s="28" t="s">
        <v>48</v>
      </c>
      <c r="J8" s="343"/>
      <c r="K8" s="77"/>
      <c r="L8" s="77"/>
      <c r="M8" s="77"/>
      <c r="N8" s="77"/>
      <c r="O8" s="77"/>
      <c r="P8" s="344"/>
      <c r="Q8" s="371">
        <f t="shared" si="0"/>
        <v>66</v>
      </c>
      <c r="R8" s="79"/>
    </row>
    <row r="9" spans="1:19" s="4" customFormat="1" x14ac:dyDescent="0.25">
      <c r="A9" s="43">
        <v>75011</v>
      </c>
      <c r="B9" s="82" t="s">
        <v>880</v>
      </c>
      <c r="C9" s="237" t="s">
        <v>881</v>
      </c>
      <c r="D9" s="67" t="s">
        <v>187</v>
      </c>
      <c r="E9" s="59" t="s">
        <v>48</v>
      </c>
      <c r="F9" s="45" t="s">
        <v>48</v>
      </c>
      <c r="G9" s="45" t="s">
        <v>48</v>
      </c>
      <c r="H9" s="45">
        <v>222</v>
      </c>
      <c r="I9" s="28">
        <v>240</v>
      </c>
      <c r="J9" s="343"/>
      <c r="K9" s="77"/>
      <c r="L9" s="77"/>
      <c r="M9" s="77"/>
      <c r="N9" s="77"/>
      <c r="O9" s="77"/>
      <c r="P9" s="344"/>
      <c r="Q9" s="371">
        <f t="shared" si="0"/>
        <v>462</v>
      </c>
      <c r="R9" s="79"/>
    </row>
    <row r="10" spans="1:19" s="4" customFormat="1" x14ac:dyDescent="0.25">
      <c r="A10" s="43">
        <v>75011</v>
      </c>
      <c r="B10" s="14" t="s">
        <v>290</v>
      </c>
      <c r="C10" s="55" t="s">
        <v>291</v>
      </c>
      <c r="D10" s="58" t="s">
        <v>188</v>
      </c>
      <c r="E10" s="59">
        <v>478</v>
      </c>
      <c r="F10" s="45">
        <v>70</v>
      </c>
      <c r="G10" s="45" t="s">
        <v>48</v>
      </c>
      <c r="H10" s="45" t="s">
        <v>48</v>
      </c>
      <c r="I10" s="28">
        <v>588</v>
      </c>
      <c r="J10" s="343"/>
      <c r="K10" s="77"/>
      <c r="L10" s="77"/>
      <c r="M10" s="77"/>
      <c r="N10" s="77"/>
      <c r="O10" s="77"/>
      <c r="P10" s="344"/>
      <c r="Q10" s="371">
        <f t="shared" si="0"/>
        <v>1136</v>
      </c>
      <c r="R10" s="78"/>
    </row>
    <row r="11" spans="1:19" s="4" customFormat="1" x14ac:dyDescent="0.25">
      <c r="A11" s="43">
        <v>75011</v>
      </c>
      <c r="B11" s="14" t="s">
        <v>611</v>
      </c>
      <c r="C11" s="55" t="s">
        <v>612</v>
      </c>
      <c r="D11" s="58" t="s">
        <v>188</v>
      </c>
      <c r="E11" s="59">
        <v>136</v>
      </c>
      <c r="F11" s="45" t="s">
        <v>48</v>
      </c>
      <c r="G11" s="45" t="s">
        <v>48</v>
      </c>
      <c r="H11" s="45" t="s">
        <v>48</v>
      </c>
      <c r="I11" s="28" t="s">
        <v>48</v>
      </c>
      <c r="J11" s="343"/>
      <c r="K11" s="77"/>
      <c r="L11" s="77"/>
      <c r="M11" s="77"/>
      <c r="N11" s="77"/>
      <c r="O11" s="77"/>
      <c r="P11" s="344"/>
      <c r="Q11" s="371">
        <f t="shared" ref="Q11:Q26" si="1">SUM(E11:P11)</f>
        <v>136</v>
      </c>
      <c r="R11" s="78"/>
    </row>
    <row r="12" spans="1:19" s="4" customFormat="1" x14ac:dyDescent="0.25">
      <c r="A12" s="43">
        <v>75011</v>
      </c>
      <c r="B12" s="14" t="s">
        <v>446</v>
      </c>
      <c r="C12" s="55" t="s">
        <v>447</v>
      </c>
      <c r="D12" s="58" t="s">
        <v>186</v>
      </c>
      <c r="E12" s="59">
        <v>136</v>
      </c>
      <c r="F12" s="45">
        <v>636</v>
      </c>
      <c r="G12" s="45" t="s">
        <v>48</v>
      </c>
      <c r="H12" s="45">
        <v>1419</v>
      </c>
      <c r="I12" s="28">
        <v>3620</v>
      </c>
      <c r="J12" s="343"/>
      <c r="K12" s="77"/>
      <c r="L12" s="77"/>
      <c r="M12" s="77"/>
      <c r="N12" s="77"/>
      <c r="O12" s="77"/>
      <c r="P12" s="344"/>
      <c r="Q12" s="371">
        <f t="shared" si="1"/>
        <v>5811</v>
      </c>
      <c r="R12" s="78"/>
    </row>
    <row r="13" spans="1:19" s="4" customFormat="1" x14ac:dyDescent="0.25">
      <c r="A13" s="43">
        <v>75011</v>
      </c>
      <c r="B13" s="14" t="s">
        <v>1115</v>
      </c>
      <c r="C13" s="55" t="s">
        <v>1116</v>
      </c>
      <c r="D13" s="58" t="s">
        <v>188</v>
      </c>
      <c r="E13" s="59" t="s">
        <v>48</v>
      </c>
      <c r="F13" s="45" t="s">
        <v>48</v>
      </c>
      <c r="G13" s="45" t="s">
        <v>48</v>
      </c>
      <c r="H13" s="45">
        <v>465</v>
      </c>
      <c r="I13" s="28">
        <v>197</v>
      </c>
      <c r="J13" s="343"/>
      <c r="K13" s="77"/>
      <c r="L13" s="77"/>
      <c r="M13" s="77"/>
      <c r="N13" s="77"/>
      <c r="O13" s="77"/>
      <c r="P13" s="344"/>
      <c r="Q13" s="371">
        <f t="shared" si="1"/>
        <v>662</v>
      </c>
      <c r="R13" s="78"/>
    </row>
    <row r="14" spans="1:19" s="4" customFormat="1" x14ac:dyDescent="0.25">
      <c r="A14" s="43">
        <v>75011</v>
      </c>
      <c r="B14" s="14" t="s">
        <v>882</v>
      </c>
      <c r="C14" s="55" t="s">
        <v>883</v>
      </c>
      <c r="D14" s="58" t="s">
        <v>187</v>
      </c>
      <c r="E14" s="59" t="s">
        <v>48</v>
      </c>
      <c r="F14" s="45" t="s">
        <v>48</v>
      </c>
      <c r="G14" s="45" t="s">
        <v>48</v>
      </c>
      <c r="H14" s="45">
        <v>114</v>
      </c>
      <c r="I14" s="28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114</v>
      </c>
      <c r="R14" s="78"/>
    </row>
    <row r="15" spans="1:19" s="4" customFormat="1" x14ac:dyDescent="0.25">
      <c r="A15" s="43">
        <v>75011</v>
      </c>
      <c r="B15" s="14" t="s">
        <v>1212</v>
      </c>
      <c r="C15" s="55" t="s">
        <v>1213</v>
      </c>
      <c r="D15" s="58" t="s">
        <v>187</v>
      </c>
      <c r="E15" s="59" t="s">
        <v>48</v>
      </c>
      <c r="F15" s="45" t="s">
        <v>48</v>
      </c>
      <c r="G15" s="45" t="s">
        <v>48</v>
      </c>
      <c r="H15" s="45" t="s">
        <v>48</v>
      </c>
      <c r="I15" s="28">
        <v>284</v>
      </c>
      <c r="J15" s="343"/>
      <c r="K15" s="77"/>
      <c r="L15" s="77"/>
      <c r="M15" s="77"/>
      <c r="N15" s="77"/>
      <c r="O15" s="77"/>
      <c r="P15" s="344"/>
      <c r="Q15" s="371">
        <f t="shared" si="1"/>
        <v>284</v>
      </c>
      <c r="R15" s="78"/>
    </row>
    <row r="16" spans="1:19" s="4" customFormat="1" x14ac:dyDescent="0.25">
      <c r="A16" s="43">
        <v>75011</v>
      </c>
      <c r="B16" s="14" t="s">
        <v>1214</v>
      </c>
      <c r="C16" s="55" t="s">
        <v>1215</v>
      </c>
      <c r="D16" s="58" t="s">
        <v>188</v>
      </c>
      <c r="E16" s="59" t="s">
        <v>48</v>
      </c>
      <c r="F16" s="45" t="s">
        <v>48</v>
      </c>
      <c r="G16" s="45" t="s">
        <v>48</v>
      </c>
      <c r="H16" s="45" t="s">
        <v>48</v>
      </c>
      <c r="I16" s="28">
        <v>310</v>
      </c>
      <c r="J16" s="343"/>
      <c r="K16" s="77"/>
      <c r="L16" s="77"/>
      <c r="M16" s="77"/>
      <c r="N16" s="77"/>
      <c r="O16" s="77"/>
      <c r="P16" s="344"/>
      <c r="Q16" s="371">
        <f t="shared" si="1"/>
        <v>310</v>
      </c>
      <c r="R16" s="78"/>
    </row>
    <row r="17" spans="1:19" s="4" customFormat="1" x14ac:dyDescent="0.25">
      <c r="A17" s="43">
        <v>75011</v>
      </c>
      <c r="B17" s="14" t="s">
        <v>448</v>
      </c>
      <c r="C17" s="55" t="s">
        <v>449</v>
      </c>
      <c r="D17" s="58" t="s">
        <v>187</v>
      </c>
      <c r="E17" s="59">
        <v>108</v>
      </c>
      <c r="F17" s="45">
        <v>138</v>
      </c>
      <c r="G17" s="45">
        <v>658</v>
      </c>
      <c r="H17" s="45">
        <v>258</v>
      </c>
      <c r="I17" s="28">
        <v>68</v>
      </c>
      <c r="J17" s="343"/>
      <c r="K17" s="77"/>
      <c r="L17" s="77"/>
      <c r="M17" s="77"/>
      <c r="N17" s="77"/>
      <c r="O17" s="77"/>
      <c r="P17" s="344"/>
      <c r="Q17" s="371">
        <f t="shared" si="1"/>
        <v>1230</v>
      </c>
      <c r="R17" s="78"/>
    </row>
    <row r="18" spans="1:19" s="4" customFormat="1" x14ac:dyDescent="0.25">
      <c r="A18" s="43">
        <v>75011</v>
      </c>
      <c r="B18" s="14" t="s">
        <v>970</v>
      </c>
      <c r="C18" s="55" t="s">
        <v>971</v>
      </c>
      <c r="D18" s="58" t="s">
        <v>187</v>
      </c>
      <c r="E18" s="59" t="s">
        <v>48</v>
      </c>
      <c r="F18" s="45" t="s">
        <v>48</v>
      </c>
      <c r="G18" s="45">
        <v>80</v>
      </c>
      <c r="H18" s="45" t="s">
        <v>48</v>
      </c>
      <c r="I18" s="28" t="s">
        <v>48</v>
      </c>
      <c r="J18" s="343"/>
      <c r="K18" s="77"/>
      <c r="L18" s="77"/>
      <c r="M18" s="77"/>
      <c r="N18" s="77"/>
      <c r="O18" s="77"/>
      <c r="P18" s="344"/>
      <c r="Q18" s="371">
        <f t="shared" si="1"/>
        <v>80</v>
      </c>
      <c r="R18" s="78"/>
    </row>
    <row r="19" spans="1:19" s="4" customFormat="1" x14ac:dyDescent="0.25">
      <c r="A19" s="43">
        <v>75011</v>
      </c>
      <c r="B19" s="14" t="s">
        <v>884</v>
      </c>
      <c r="C19" s="55" t="s">
        <v>885</v>
      </c>
      <c r="D19" s="58" t="s">
        <v>188</v>
      </c>
      <c r="E19" s="59" t="s">
        <v>48</v>
      </c>
      <c r="F19" s="45" t="s">
        <v>48</v>
      </c>
      <c r="G19" s="45" t="s">
        <v>48</v>
      </c>
      <c r="H19" s="45">
        <v>60</v>
      </c>
      <c r="I19" s="28">
        <v>230</v>
      </c>
      <c r="J19" s="343"/>
      <c r="K19" s="77"/>
      <c r="L19" s="77"/>
      <c r="M19" s="77"/>
      <c r="N19" s="77"/>
      <c r="O19" s="77"/>
      <c r="P19" s="344"/>
      <c r="Q19" s="371">
        <f t="shared" si="1"/>
        <v>290</v>
      </c>
      <c r="R19" s="78"/>
    </row>
    <row r="20" spans="1:19" s="4" customFormat="1" x14ac:dyDescent="0.25">
      <c r="A20" s="43">
        <v>75011</v>
      </c>
      <c r="B20" s="14" t="s">
        <v>1216</v>
      </c>
      <c r="C20" s="55" t="s">
        <v>1217</v>
      </c>
      <c r="D20" s="58" t="s">
        <v>187</v>
      </c>
      <c r="E20" s="59" t="s">
        <v>48</v>
      </c>
      <c r="F20" s="45" t="s">
        <v>48</v>
      </c>
      <c r="G20" s="45" t="s">
        <v>48</v>
      </c>
      <c r="H20" s="45" t="s">
        <v>48</v>
      </c>
      <c r="I20" s="28">
        <v>88</v>
      </c>
      <c r="J20" s="343"/>
      <c r="K20" s="77"/>
      <c r="L20" s="77"/>
      <c r="M20" s="77"/>
      <c r="N20" s="77"/>
      <c r="O20" s="77"/>
      <c r="P20" s="344"/>
      <c r="Q20" s="371">
        <f t="shared" si="1"/>
        <v>88</v>
      </c>
      <c r="R20" s="78"/>
    </row>
    <row r="21" spans="1:19" s="4" customFormat="1" x14ac:dyDescent="0.25">
      <c r="A21" s="43">
        <v>75011</v>
      </c>
      <c r="B21" s="294" t="s">
        <v>972</v>
      </c>
      <c r="C21" s="55" t="s">
        <v>973</v>
      </c>
      <c r="D21" s="58" t="s">
        <v>186</v>
      </c>
      <c r="E21" s="59" t="s">
        <v>48</v>
      </c>
      <c r="F21" s="45" t="s">
        <v>48</v>
      </c>
      <c r="G21" s="295">
        <v>107</v>
      </c>
      <c r="H21" s="45" t="s">
        <v>48</v>
      </c>
      <c r="I21" s="28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107</v>
      </c>
      <c r="R21" s="304" t="s">
        <v>974</v>
      </c>
    </row>
    <row r="22" spans="1:19" s="4" customFormat="1" x14ac:dyDescent="0.25">
      <c r="A22" s="43">
        <v>75011</v>
      </c>
      <c r="B22" s="14" t="s">
        <v>886</v>
      </c>
      <c r="C22" s="55" t="s">
        <v>887</v>
      </c>
      <c r="D22" s="58" t="s">
        <v>188</v>
      </c>
      <c r="E22" s="59" t="s">
        <v>48</v>
      </c>
      <c r="F22" s="45" t="s">
        <v>48</v>
      </c>
      <c r="G22" s="45">
        <v>338</v>
      </c>
      <c r="H22" s="45">
        <v>148</v>
      </c>
      <c r="I22" s="28">
        <v>154</v>
      </c>
      <c r="J22" s="343"/>
      <c r="K22" s="77"/>
      <c r="L22" s="77"/>
      <c r="M22" s="77"/>
      <c r="N22" s="77"/>
      <c r="O22" s="77"/>
      <c r="P22" s="344"/>
      <c r="Q22" s="371">
        <f t="shared" si="1"/>
        <v>640</v>
      </c>
      <c r="R22" s="405"/>
    </row>
    <row r="23" spans="1:19" s="4" customFormat="1" x14ac:dyDescent="0.25">
      <c r="A23" s="43">
        <v>75011</v>
      </c>
      <c r="B23" s="14" t="s">
        <v>1117</v>
      </c>
      <c r="C23" s="55" t="s">
        <v>1118</v>
      </c>
      <c r="D23" s="58" t="s">
        <v>188</v>
      </c>
      <c r="E23" s="59" t="s">
        <v>48</v>
      </c>
      <c r="F23" s="45" t="s">
        <v>48</v>
      </c>
      <c r="G23" s="45" t="s">
        <v>48</v>
      </c>
      <c r="H23" s="45">
        <v>180</v>
      </c>
      <c r="I23" s="28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180</v>
      </c>
      <c r="R23" s="405"/>
    </row>
    <row r="24" spans="1:19" s="4" customFormat="1" x14ac:dyDescent="0.25">
      <c r="A24" s="43">
        <v>75011</v>
      </c>
      <c r="B24" s="14" t="s">
        <v>450</v>
      </c>
      <c r="C24" s="55" t="s">
        <v>451</v>
      </c>
      <c r="D24" s="58" t="s">
        <v>188</v>
      </c>
      <c r="E24" s="59" t="s">
        <v>48</v>
      </c>
      <c r="F24" s="45">
        <v>209</v>
      </c>
      <c r="G24" s="45" t="s">
        <v>48</v>
      </c>
      <c r="H24" s="45">
        <v>120</v>
      </c>
      <c r="I24" s="28">
        <v>120</v>
      </c>
      <c r="J24" s="343"/>
      <c r="K24" s="77"/>
      <c r="L24" s="77"/>
      <c r="M24" s="77"/>
      <c r="N24" s="77"/>
      <c r="O24" s="77"/>
      <c r="P24" s="344"/>
      <c r="Q24" s="371">
        <f t="shared" si="1"/>
        <v>449</v>
      </c>
      <c r="R24" s="405"/>
    </row>
    <row r="25" spans="1:19" s="4" customFormat="1" x14ac:dyDescent="0.25">
      <c r="A25" s="43">
        <v>75011</v>
      </c>
      <c r="B25" s="14" t="s">
        <v>292</v>
      </c>
      <c r="C25" s="55" t="s">
        <v>293</v>
      </c>
      <c r="D25" s="58" t="s">
        <v>187</v>
      </c>
      <c r="E25" s="59">
        <v>105</v>
      </c>
      <c r="F25" s="45" t="s">
        <v>48</v>
      </c>
      <c r="G25" s="45" t="s">
        <v>48</v>
      </c>
      <c r="H25" s="45" t="s">
        <v>48</v>
      </c>
      <c r="I25" s="28" t="s">
        <v>48</v>
      </c>
      <c r="J25" s="343"/>
      <c r="K25" s="77"/>
      <c r="L25" s="77"/>
      <c r="M25" s="77"/>
      <c r="N25" s="77"/>
      <c r="O25" s="77"/>
      <c r="P25" s="344"/>
      <c r="Q25" s="371">
        <f t="shared" si="1"/>
        <v>105</v>
      </c>
      <c r="R25" s="405"/>
    </row>
    <row r="26" spans="1:19" s="4" customFormat="1" x14ac:dyDescent="0.25">
      <c r="A26" s="43">
        <v>75011</v>
      </c>
      <c r="B26" s="14" t="s">
        <v>1218</v>
      </c>
      <c r="C26" s="55" t="s">
        <v>1219</v>
      </c>
      <c r="D26" s="58" t="s">
        <v>187</v>
      </c>
      <c r="E26" s="59" t="s">
        <v>48</v>
      </c>
      <c r="F26" s="45" t="s">
        <v>48</v>
      </c>
      <c r="G26" s="45" t="s">
        <v>48</v>
      </c>
      <c r="H26" s="45" t="s">
        <v>48</v>
      </c>
      <c r="I26" s="28">
        <v>229</v>
      </c>
      <c r="J26" s="343"/>
      <c r="K26" s="77"/>
      <c r="L26" s="77"/>
      <c r="M26" s="77"/>
      <c r="N26" s="77"/>
      <c r="O26" s="77"/>
      <c r="P26" s="344"/>
      <c r="Q26" s="371">
        <f t="shared" si="1"/>
        <v>229</v>
      </c>
      <c r="R26" s="405"/>
    </row>
    <row r="27" spans="1:19" s="4" customFormat="1" x14ac:dyDescent="0.25">
      <c r="A27" s="43">
        <v>75011</v>
      </c>
      <c r="B27" s="14" t="s">
        <v>1220</v>
      </c>
      <c r="C27" s="55" t="s">
        <v>1221</v>
      </c>
      <c r="D27" s="58" t="s">
        <v>188</v>
      </c>
      <c r="E27" s="59" t="s">
        <v>48</v>
      </c>
      <c r="F27" s="45" t="s">
        <v>48</v>
      </c>
      <c r="G27" s="45" t="s">
        <v>48</v>
      </c>
      <c r="H27" s="45" t="s">
        <v>48</v>
      </c>
      <c r="I27" s="28">
        <v>100</v>
      </c>
      <c r="J27" s="343"/>
      <c r="K27" s="77"/>
      <c r="L27" s="77"/>
      <c r="M27" s="77"/>
      <c r="N27" s="77"/>
      <c r="O27" s="77"/>
      <c r="P27" s="344"/>
      <c r="Q27" s="371">
        <f t="shared" si="0"/>
        <v>100</v>
      </c>
      <c r="R27" s="405"/>
    </row>
    <row r="28" spans="1:19" s="4" customFormat="1" x14ac:dyDescent="0.25">
      <c r="A28" s="43">
        <v>75011</v>
      </c>
      <c r="B28" s="14" t="s">
        <v>888</v>
      </c>
      <c r="C28" s="55" t="s">
        <v>889</v>
      </c>
      <c r="D28" s="58" t="s">
        <v>188</v>
      </c>
      <c r="E28" s="59" t="s">
        <v>48</v>
      </c>
      <c r="F28" s="45" t="s">
        <v>48</v>
      </c>
      <c r="G28" s="45" t="s">
        <v>48</v>
      </c>
      <c r="H28" s="45">
        <v>132</v>
      </c>
      <c r="I28" s="28">
        <v>60</v>
      </c>
      <c r="J28" s="343"/>
      <c r="K28" s="77"/>
      <c r="L28" s="77"/>
      <c r="M28" s="77"/>
      <c r="N28" s="77"/>
      <c r="O28" s="77"/>
      <c r="P28" s="344"/>
      <c r="Q28" s="371">
        <f t="shared" si="0"/>
        <v>192</v>
      </c>
      <c r="R28" s="405"/>
    </row>
    <row r="29" spans="1:19" s="4" customFormat="1" x14ac:dyDescent="0.25">
      <c r="A29" s="43">
        <v>75011</v>
      </c>
      <c r="B29" s="14" t="s">
        <v>1222</v>
      </c>
      <c r="C29" s="55" t="s">
        <v>1223</v>
      </c>
      <c r="D29" s="58" t="s">
        <v>187</v>
      </c>
      <c r="E29" s="59" t="s">
        <v>48</v>
      </c>
      <c r="F29" s="45" t="s">
        <v>48</v>
      </c>
      <c r="G29" s="45" t="s">
        <v>48</v>
      </c>
      <c r="H29" s="45" t="s">
        <v>48</v>
      </c>
      <c r="I29" s="28">
        <v>304</v>
      </c>
      <c r="J29" s="343"/>
      <c r="K29" s="77"/>
      <c r="L29" s="77"/>
      <c r="M29" s="77"/>
      <c r="N29" s="77"/>
      <c r="O29" s="77"/>
      <c r="P29" s="344"/>
      <c r="Q29" s="371">
        <f t="shared" si="0"/>
        <v>304</v>
      </c>
      <c r="R29" s="405"/>
    </row>
    <row r="30" spans="1:19" s="4" customFormat="1" ht="15.75" thickBot="1" x14ac:dyDescent="0.3">
      <c r="A30" s="43">
        <v>75011</v>
      </c>
      <c r="B30" s="14" t="s">
        <v>890</v>
      </c>
      <c r="C30" s="55" t="s">
        <v>891</v>
      </c>
      <c r="D30" s="58" t="s">
        <v>187</v>
      </c>
      <c r="E30" s="59" t="s">
        <v>48</v>
      </c>
      <c r="F30" s="45" t="s">
        <v>48</v>
      </c>
      <c r="G30" s="45">
        <v>184</v>
      </c>
      <c r="H30" s="45">
        <v>417</v>
      </c>
      <c r="I30" s="28">
        <v>361</v>
      </c>
      <c r="J30" s="343"/>
      <c r="K30" s="77"/>
      <c r="L30" s="77"/>
      <c r="M30" s="77"/>
      <c r="N30" s="77"/>
      <c r="O30" s="77"/>
      <c r="P30" s="344"/>
      <c r="Q30" s="371">
        <f t="shared" si="0"/>
        <v>962</v>
      </c>
      <c r="R30" s="405"/>
    </row>
    <row r="31" spans="1:19" s="4" customFormat="1" ht="15.75" thickBot="1" x14ac:dyDescent="0.3">
      <c r="A31" s="382" t="s">
        <v>10</v>
      </c>
      <c r="B31" s="383">
        <f>SUBTOTAL(103,Ventes11ème[Hotel])</f>
        <v>27</v>
      </c>
      <c r="C31" s="384"/>
      <c r="D31" s="382"/>
      <c r="E31" s="385">
        <f>SUBTOTAL(109,Ventes11ème[Janv])</f>
        <v>963</v>
      </c>
      <c r="F31" s="386">
        <f>SUBTOTAL(109,Ventes11ème[Fév])</f>
        <v>1125</v>
      </c>
      <c r="G31" s="387">
        <f>SUBTOTAL(109,Ventes11ème[mars])</f>
        <v>1367</v>
      </c>
      <c r="H31" s="334">
        <f>SUBTOTAL(109,Ventes11ème[Avril])</f>
        <v>4421</v>
      </c>
      <c r="I31" s="334">
        <f>SUBTOTAL(109,Ventes11ème[Mai])</f>
        <v>7455</v>
      </c>
      <c r="J31" s="334">
        <f>SUBTOTAL(109,Ventes11ème[Juin])</f>
        <v>0</v>
      </c>
      <c r="K31" s="334">
        <f>SUBTOTAL(109,Ventes11ème[Juillet])</f>
        <v>0</v>
      </c>
      <c r="L31" s="336">
        <f>SUBTOTAL(109,Ventes11ème[Août])</f>
        <v>0</v>
      </c>
      <c r="M31" s="336">
        <f>SUBTOTAL(109,Ventes11ème[Sept.])</f>
        <v>0</v>
      </c>
      <c r="N31" s="336">
        <f>SUBTOTAL(109,Ventes11ème[Oct])</f>
        <v>0</v>
      </c>
      <c r="O31" s="336">
        <f>SUBTOTAL(109,Ventes11ème[Nov.])</f>
        <v>0</v>
      </c>
      <c r="P31" s="337">
        <f>SUBTOTAL(109,Ventes11ème[déc])</f>
        <v>0</v>
      </c>
      <c r="Q31" s="388">
        <f>SUBTOTAL(109,Ventes11ème[TOTAL])</f>
        <v>15331</v>
      </c>
      <c r="R31" s="378"/>
      <c r="S31" s="80"/>
    </row>
    <row r="32" spans="1:19" s="4" customFormat="1" ht="15.75" thickBot="1" x14ac:dyDescent="0.3">
      <c r="A32" s="62"/>
      <c r="B32" s="62"/>
      <c r="C32" s="62"/>
      <c r="D32" s="62"/>
      <c r="E32" s="62"/>
      <c r="F32" s="62"/>
      <c r="G32" s="62"/>
      <c r="H32" s="62"/>
      <c r="I32" s="64"/>
      <c r="J32" s="62"/>
      <c r="K32" s="64"/>
      <c r="L32" s="335"/>
      <c r="M32" s="335"/>
      <c r="N32" s="335"/>
      <c r="O32" s="335"/>
      <c r="P32" s="335"/>
      <c r="Q32" s="64"/>
      <c r="R32" s="62"/>
      <c r="S32" s="80"/>
    </row>
    <row r="33" spans="1:18" ht="30" x14ac:dyDescent="0.25">
      <c r="A33" s="389" t="s">
        <v>36</v>
      </c>
      <c r="B33" s="338">
        <v>77</v>
      </c>
      <c r="C33" s="62"/>
      <c r="D33" s="62"/>
      <c r="E33" s="62"/>
      <c r="F33" s="62"/>
      <c r="G33" s="62"/>
      <c r="H33" s="62"/>
      <c r="I33" s="62"/>
      <c r="J33" s="390"/>
      <c r="K33" s="64"/>
      <c r="L33" s="335"/>
      <c r="M33" s="335"/>
      <c r="N33" s="335"/>
      <c r="O33" s="335"/>
      <c r="P33" s="335"/>
      <c r="Q33" s="64"/>
      <c r="R33" s="62"/>
    </row>
    <row r="34" spans="1:18" ht="30.75" thickBot="1" x14ac:dyDescent="0.3">
      <c r="A34" s="391" t="s">
        <v>1330</v>
      </c>
      <c r="B34" s="339">
        <f>Ventes11ème[[#Totals],[Hotel]]/B33</f>
        <v>0.35064935064935066</v>
      </c>
      <c r="C34" s="413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30"/>
  <sheetViews>
    <sheetView zoomScale="80" zoomScaleNormal="80" workbookViewId="0">
      <selection activeCell="C6" sqref="C6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156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438" t="s">
        <v>2</v>
      </c>
      <c r="D3" s="23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94">
        <v>75012</v>
      </c>
      <c r="B4" s="95" t="s">
        <v>892</v>
      </c>
      <c r="C4" s="439" t="s">
        <v>893</v>
      </c>
      <c r="D4" s="441" t="s">
        <v>187</v>
      </c>
      <c r="E4" s="69" t="s">
        <v>48</v>
      </c>
      <c r="F4" s="70" t="s">
        <v>48</v>
      </c>
      <c r="G4" s="70" t="s">
        <v>48</v>
      </c>
      <c r="H4" s="155">
        <v>200</v>
      </c>
      <c r="I4" s="154">
        <v>160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360</v>
      </c>
      <c r="R4" s="216"/>
    </row>
    <row r="5" spans="1:19" s="4" customFormat="1" x14ac:dyDescent="0.25">
      <c r="A5" s="94">
        <v>75012</v>
      </c>
      <c r="B5" s="95" t="s">
        <v>894</v>
      </c>
      <c r="C5" s="439" t="s">
        <v>895</v>
      </c>
      <c r="D5" s="441" t="s">
        <v>187</v>
      </c>
      <c r="E5" s="69" t="s">
        <v>48</v>
      </c>
      <c r="F5" s="70" t="s">
        <v>48</v>
      </c>
      <c r="G5" s="70" t="s">
        <v>48</v>
      </c>
      <c r="H5" s="155">
        <v>417</v>
      </c>
      <c r="I5" s="154">
        <v>216</v>
      </c>
      <c r="J5" s="343"/>
      <c r="K5" s="77"/>
      <c r="L5" s="77"/>
      <c r="M5" s="77"/>
      <c r="N5" s="77"/>
      <c r="O5" s="77"/>
      <c r="P5" s="344"/>
      <c r="Q5" s="371">
        <f t="shared" si="0"/>
        <v>633</v>
      </c>
      <c r="R5" s="216"/>
    </row>
    <row r="6" spans="1:19" s="4" customFormat="1" x14ac:dyDescent="0.25">
      <c r="A6" s="94">
        <v>75012</v>
      </c>
      <c r="B6" s="95" t="s">
        <v>1030</v>
      </c>
      <c r="C6" s="439" t="s">
        <v>1031</v>
      </c>
      <c r="D6" s="441" t="s">
        <v>186</v>
      </c>
      <c r="E6" s="69" t="s">
        <v>48</v>
      </c>
      <c r="F6" s="70" t="s">
        <v>48</v>
      </c>
      <c r="G6" s="70" t="s">
        <v>48</v>
      </c>
      <c r="H6" s="155">
        <v>125</v>
      </c>
      <c r="I6" s="155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125</v>
      </c>
      <c r="R6" s="216"/>
    </row>
    <row r="7" spans="1:19" s="4" customFormat="1" x14ac:dyDescent="0.25">
      <c r="A7" s="94">
        <v>75012</v>
      </c>
      <c r="B7" s="95" t="s">
        <v>452</v>
      </c>
      <c r="C7" s="439" t="s">
        <v>453</v>
      </c>
      <c r="D7" s="441" t="s">
        <v>188</v>
      </c>
      <c r="E7" s="69" t="s">
        <v>48</v>
      </c>
      <c r="F7" s="70">
        <v>465</v>
      </c>
      <c r="G7" s="70" t="s">
        <v>48</v>
      </c>
      <c r="H7" s="70">
        <v>66</v>
      </c>
      <c r="I7" s="155">
        <v>224</v>
      </c>
      <c r="J7" s="343"/>
      <c r="K7" s="77"/>
      <c r="L7" s="77"/>
      <c r="M7" s="77"/>
      <c r="N7" s="77"/>
      <c r="O7" s="77"/>
      <c r="P7" s="344"/>
      <c r="Q7" s="371">
        <f t="shared" si="0"/>
        <v>755</v>
      </c>
      <c r="R7" s="269"/>
    </row>
    <row r="8" spans="1:19" s="4" customFormat="1" x14ac:dyDescent="0.25">
      <c r="A8" s="94">
        <v>75012</v>
      </c>
      <c r="B8" s="95" t="s">
        <v>454</v>
      </c>
      <c r="C8" s="439" t="s">
        <v>455</v>
      </c>
      <c r="D8" s="441" t="s">
        <v>187</v>
      </c>
      <c r="E8" s="69">
        <v>630</v>
      </c>
      <c r="F8" s="70">
        <v>530</v>
      </c>
      <c r="G8" s="70">
        <v>347</v>
      </c>
      <c r="H8" s="70">
        <v>437</v>
      </c>
      <c r="I8" s="155">
        <v>1060</v>
      </c>
      <c r="J8" s="343"/>
      <c r="K8" s="77"/>
      <c r="L8" s="77"/>
      <c r="M8" s="77"/>
      <c r="N8" s="77"/>
      <c r="O8" s="77"/>
      <c r="P8" s="344"/>
      <c r="Q8" s="371">
        <f t="shared" si="0"/>
        <v>3004</v>
      </c>
      <c r="R8" s="298"/>
    </row>
    <row r="9" spans="1:19" s="4" customFormat="1" x14ac:dyDescent="0.25">
      <c r="A9" s="94">
        <v>75012</v>
      </c>
      <c r="B9" s="95" t="s">
        <v>1032</v>
      </c>
      <c r="C9" s="439" t="s">
        <v>1033</v>
      </c>
      <c r="D9" s="441" t="s">
        <v>186</v>
      </c>
      <c r="E9" s="69" t="s">
        <v>48</v>
      </c>
      <c r="F9" s="70" t="s">
        <v>48</v>
      </c>
      <c r="G9" s="70" t="s">
        <v>48</v>
      </c>
      <c r="H9" s="70">
        <v>100</v>
      </c>
      <c r="I9" s="155" t="s">
        <v>48</v>
      </c>
      <c r="J9" s="343"/>
      <c r="K9" s="77"/>
      <c r="L9" s="77"/>
      <c r="M9" s="77"/>
      <c r="N9" s="77"/>
      <c r="O9" s="77"/>
      <c r="P9" s="344"/>
      <c r="Q9" s="371">
        <f t="shared" ref="Q9:Q26" si="1">SUM(E9:P9)</f>
        <v>100</v>
      </c>
      <c r="R9" s="270"/>
    </row>
    <row r="10" spans="1:19" s="4" customFormat="1" x14ac:dyDescent="0.25">
      <c r="A10" s="94">
        <v>75012</v>
      </c>
      <c r="B10" s="95" t="s">
        <v>1259</v>
      </c>
      <c r="C10" s="439" t="s">
        <v>1260</v>
      </c>
      <c r="D10" s="441" t="s">
        <v>188</v>
      </c>
      <c r="E10" s="69" t="s">
        <v>48</v>
      </c>
      <c r="F10" s="70" t="s">
        <v>48</v>
      </c>
      <c r="G10" s="70" t="s">
        <v>48</v>
      </c>
      <c r="H10" s="70" t="s">
        <v>48</v>
      </c>
      <c r="I10" s="155">
        <v>134</v>
      </c>
      <c r="J10" s="343"/>
      <c r="K10" s="77"/>
      <c r="L10" s="77"/>
      <c r="M10" s="77"/>
      <c r="N10" s="77"/>
      <c r="O10" s="77"/>
      <c r="P10" s="344"/>
      <c r="Q10" s="371">
        <f t="shared" si="1"/>
        <v>134</v>
      </c>
      <c r="R10" s="270"/>
    </row>
    <row r="11" spans="1:19" s="4" customFormat="1" x14ac:dyDescent="0.25">
      <c r="A11" s="94">
        <v>75012</v>
      </c>
      <c r="B11" s="95" t="s">
        <v>456</v>
      </c>
      <c r="C11" s="439" t="s">
        <v>457</v>
      </c>
      <c r="D11" s="441" t="s">
        <v>187</v>
      </c>
      <c r="E11" s="69" t="s">
        <v>48</v>
      </c>
      <c r="F11" s="70">
        <v>171</v>
      </c>
      <c r="G11" s="70" t="s">
        <v>48</v>
      </c>
      <c r="H11" s="70" t="s">
        <v>48</v>
      </c>
      <c r="I11" s="155" t="s">
        <v>48</v>
      </c>
      <c r="J11" s="343"/>
      <c r="K11" s="77"/>
      <c r="L11" s="77"/>
      <c r="M11" s="77"/>
      <c r="N11" s="77"/>
      <c r="O11" s="77"/>
      <c r="P11" s="344"/>
      <c r="Q11" s="371">
        <f t="shared" si="1"/>
        <v>171</v>
      </c>
      <c r="R11" s="270"/>
    </row>
    <row r="12" spans="1:19" s="4" customFormat="1" x14ac:dyDescent="0.25">
      <c r="A12" s="94">
        <v>75012</v>
      </c>
      <c r="B12" s="95" t="s">
        <v>1034</v>
      </c>
      <c r="C12" s="439" t="s">
        <v>1035</v>
      </c>
      <c r="D12" s="441" t="s">
        <v>188</v>
      </c>
      <c r="E12" s="69" t="s">
        <v>48</v>
      </c>
      <c r="F12" s="70" t="s">
        <v>48</v>
      </c>
      <c r="G12" s="70" t="s">
        <v>48</v>
      </c>
      <c r="H12" s="70">
        <v>844</v>
      </c>
      <c r="I12" s="155">
        <v>474</v>
      </c>
      <c r="J12" s="343"/>
      <c r="K12" s="77"/>
      <c r="L12" s="77"/>
      <c r="M12" s="77"/>
      <c r="N12" s="77"/>
      <c r="O12" s="77"/>
      <c r="P12" s="344"/>
      <c r="Q12" s="371">
        <f t="shared" si="1"/>
        <v>1318</v>
      </c>
      <c r="R12" s="236"/>
    </row>
    <row r="13" spans="1:19" s="4" customFormat="1" x14ac:dyDescent="0.25">
      <c r="A13" s="94">
        <v>75012</v>
      </c>
      <c r="B13" s="319" t="s">
        <v>1261</v>
      </c>
      <c r="C13" s="439" t="s">
        <v>1262</v>
      </c>
      <c r="D13" s="441" t="s">
        <v>186</v>
      </c>
      <c r="E13" s="69" t="s">
        <v>48</v>
      </c>
      <c r="F13" s="70" t="s">
        <v>48</v>
      </c>
      <c r="G13" s="70" t="s">
        <v>48</v>
      </c>
      <c r="H13" s="70" t="s">
        <v>48</v>
      </c>
      <c r="I13" s="320">
        <v>99</v>
      </c>
      <c r="J13" s="343"/>
      <c r="K13" s="77"/>
      <c r="L13" s="77"/>
      <c r="M13" s="77"/>
      <c r="N13" s="77"/>
      <c r="O13" s="77"/>
      <c r="P13" s="344"/>
      <c r="Q13" s="371">
        <f t="shared" si="1"/>
        <v>99</v>
      </c>
      <c r="R13" s="443" t="s">
        <v>1263</v>
      </c>
    </row>
    <row r="14" spans="1:19" s="4" customFormat="1" x14ac:dyDescent="0.25">
      <c r="A14" s="94">
        <v>75012</v>
      </c>
      <c r="B14" s="95" t="s">
        <v>1264</v>
      </c>
      <c r="C14" s="439" t="s">
        <v>1265</v>
      </c>
      <c r="D14" s="441" t="s">
        <v>188</v>
      </c>
      <c r="E14" s="69" t="s">
        <v>48</v>
      </c>
      <c r="F14" s="70" t="s">
        <v>48</v>
      </c>
      <c r="G14" s="70" t="s">
        <v>48</v>
      </c>
      <c r="H14" s="70" t="s">
        <v>48</v>
      </c>
      <c r="I14" s="155">
        <v>376</v>
      </c>
      <c r="J14" s="343"/>
      <c r="K14" s="77"/>
      <c r="L14" s="77"/>
      <c r="M14" s="77"/>
      <c r="N14" s="77"/>
      <c r="O14" s="77"/>
      <c r="P14" s="344"/>
      <c r="Q14" s="371">
        <f t="shared" si="1"/>
        <v>376</v>
      </c>
      <c r="R14" s="270"/>
    </row>
    <row r="15" spans="1:19" s="4" customFormat="1" x14ac:dyDescent="0.25">
      <c r="A15" s="94">
        <v>75012</v>
      </c>
      <c r="B15" s="95" t="s">
        <v>458</v>
      </c>
      <c r="C15" s="439" t="s">
        <v>459</v>
      </c>
      <c r="D15" s="441" t="s">
        <v>188</v>
      </c>
      <c r="E15" s="69">
        <v>145</v>
      </c>
      <c r="F15" s="70">
        <v>58</v>
      </c>
      <c r="G15" s="70" t="s">
        <v>48</v>
      </c>
      <c r="H15" s="70">
        <v>687</v>
      </c>
      <c r="I15" s="155">
        <v>306</v>
      </c>
      <c r="J15" s="343"/>
      <c r="K15" s="77"/>
      <c r="L15" s="77"/>
      <c r="M15" s="77"/>
      <c r="N15" s="77"/>
      <c r="O15" s="77"/>
      <c r="P15" s="344"/>
      <c r="Q15" s="371">
        <f t="shared" si="1"/>
        <v>1196</v>
      </c>
      <c r="R15" s="270"/>
    </row>
    <row r="16" spans="1:19" s="4" customFormat="1" x14ac:dyDescent="0.25">
      <c r="A16" s="94">
        <v>75012</v>
      </c>
      <c r="B16" s="95" t="s">
        <v>460</v>
      </c>
      <c r="C16" s="439" t="s">
        <v>461</v>
      </c>
      <c r="D16" s="441" t="s">
        <v>186</v>
      </c>
      <c r="E16" s="69">
        <v>536</v>
      </c>
      <c r="F16" s="70">
        <v>204</v>
      </c>
      <c r="G16" s="70">
        <v>284</v>
      </c>
      <c r="H16" s="70">
        <v>566</v>
      </c>
      <c r="I16" s="155">
        <v>417</v>
      </c>
      <c r="J16" s="343"/>
      <c r="K16" s="77"/>
      <c r="L16" s="77"/>
      <c r="M16" s="77"/>
      <c r="N16" s="77"/>
      <c r="O16" s="77"/>
      <c r="P16" s="344"/>
      <c r="Q16" s="371">
        <f t="shared" si="1"/>
        <v>2007</v>
      </c>
      <c r="R16" s="270"/>
    </row>
    <row r="17" spans="1:19" s="4" customFormat="1" x14ac:dyDescent="0.25">
      <c r="A17" s="94">
        <v>75012</v>
      </c>
      <c r="B17" s="95" t="s">
        <v>613</v>
      </c>
      <c r="C17" s="439" t="s">
        <v>614</v>
      </c>
      <c r="D17" s="441" t="s">
        <v>188</v>
      </c>
      <c r="E17" s="69">
        <v>108</v>
      </c>
      <c r="F17" s="70" t="s">
        <v>48</v>
      </c>
      <c r="G17" s="70" t="s">
        <v>48</v>
      </c>
      <c r="H17" s="70" t="s">
        <v>48</v>
      </c>
      <c r="I17" s="155">
        <v>124</v>
      </c>
      <c r="J17" s="343"/>
      <c r="K17" s="77"/>
      <c r="L17" s="77"/>
      <c r="M17" s="77"/>
      <c r="N17" s="77"/>
      <c r="O17" s="77"/>
      <c r="P17" s="344"/>
      <c r="Q17" s="371">
        <f t="shared" si="1"/>
        <v>232</v>
      </c>
      <c r="R17" s="270"/>
    </row>
    <row r="18" spans="1:19" s="4" customFormat="1" x14ac:dyDescent="0.25">
      <c r="A18" s="94">
        <v>75012</v>
      </c>
      <c r="B18" s="95" t="s">
        <v>615</v>
      </c>
      <c r="C18" s="439" t="s">
        <v>616</v>
      </c>
      <c r="D18" s="441" t="s">
        <v>188</v>
      </c>
      <c r="E18" s="69">
        <v>258</v>
      </c>
      <c r="F18" s="70" t="s">
        <v>48</v>
      </c>
      <c r="G18" s="70">
        <v>457</v>
      </c>
      <c r="H18" s="70">
        <v>769</v>
      </c>
      <c r="I18" s="155">
        <v>633</v>
      </c>
      <c r="J18" s="343"/>
      <c r="K18" s="77"/>
      <c r="L18" s="77"/>
      <c r="M18" s="77"/>
      <c r="N18" s="77"/>
      <c r="O18" s="77"/>
      <c r="P18" s="344"/>
      <c r="Q18" s="371">
        <f t="shared" si="1"/>
        <v>2117</v>
      </c>
      <c r="R18" s="270"/>
    </row>
    <row r="19" spans="1:19" s="4" customFormat="1" x14ac:dyDescent="0.25">
      <c r="A19" s="94">
        <v>75012</v>
      </c>
      <c r="B19" s="95" t="s">
        <v>617</v>
      </c>
      <c r="C19" s="439" t="s">
        <v>618</v>
      </c>
      <c r="D19" s="441" t="s">
        <v>188</v>
      </c>
      <c r="E19" s="69">
        <v>577</v>
      </c>
      <c r="F19" s="70" t="s">
        <v>48</v>
      </c>
      <c r="G19" s="70" t="s">
        <v>48</v>
      </c>
      <c r="H19" s="70" t="s">
        <v>48</v>
      </c>
      <c r="I19" s="155">
        <v>284</v>
      </c>
      <c r="J19" s="343"/>
      <c r="K19" s="77"/>
      <c r="L19" s="77"/>
      <c r="M19" s="77"/>
      <c r="N19" s="77"/>
      <c r="O19" s="77"/>
      <c r="P19" s="344"/>
      <c r="Q19" s="371">
        <f t="shared" si="1"/>
        <v>861</v>
      </c>
      <c r="R19" s="270"/>
    </row>
    <row r="20" spans="1:19" s="4" customFormat="1" x14ac:dyDescent="0.25">
      <c r="A20" s="94">
        <v>75012</v>
      </c>
      <c r="B20" s="95" t="s">
        <v>1266</v>
      </c>
      <c r="C20" s="439" t="s">
        <v>1267</v>
      </c>
      <c r="D20" s="441" t="s">
        <v>188</v>
      </c>
      <c r="E20" s="69" t="s">
        <v>48</v>
      </c>
      <c r="F20" s="70" t="s">
        <v>48</v>
      </c>
      <c r="G20" s="70" t="s">
        <v>48</v>
      </c>
      <c r="H20" s="70" t="s">
        <v>48</v>
      </c>
      <c r="I20" s="155">
        <v>200</v>
      </c>
      <c r="J20" s="343"/>
      <c r="K20" s="77"/>
      <c r="L20" s="77"/>
      <c r="M20" s="77"/>
      <c r="N20" s="77"/>
      <c r="O20" s="77"/>
      <c r="P20" s="344"/>
      <c r="Q20" s="371">
        <f t="shared" si="1"/>
        <v>200</v>
      </c>
      <c r="R20" s="270"/>
    </row>
    <row r="21" spans="1:19" s="4" customFormat="1" x14ac:dyDescent="0.25">
      <c r="A21" s="94">
        <v>75012</v>
      </c>
      <c r="B21" s="95" t="s">
        <v>619</v>
      </c>
      <c r="C21" s="439" t="s">
        <v>620</v>
      </c>
      <c r="D21" s="441" t="s">
        <v>186</v>
      </c>
      <c r="E21" s="69">
        <v>204</v>
      </c>
      <c r="F21" s="70" t="s">
        <v>48</v>
      </c>
      <c r="G21" s="70" t="s">
        <v>48</v>
      </c>
      <c r="H21" s="70">
        <v>406</v>
      </c>
      <c r="I21" s="155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610</v>
      </c>
      <c r="R21" s="298"/>
    </row>
    <row r="22" spans="1:19" s="4" customFormat="1" x14ac:dyDescent="0.25">
      <c r="A22" s="94">
        <v>75012</v>
      </c>
      <c r="B22" s="95" t="s">
        <v>975</v>
      </c>
      <c r="C22" s="439" t="s">
        <v>976</v>
      </c>
      <c r="D22" s="441" t="s">
        <v>186</v>
      </c>
      <c r="E22" s="69" t="s">
        <v>48</v>
      </c>
      <c r="F22" s="70" t="s">
        <v>48</v>
      </c>
      <c r="G22" s="70">
        <v>258</v>
      </c>
      <c r="H22" s="70" t="s">
        <v>48</v>
      </c>
      <c r="I22" s="155" t="s">
        <v>48</v>
      </c>
      <c r="J22" s="343"/>
      <c r="K22" s="77"/>
      <c r="L22" s="77"/>
      <c r="M22" s="77"/>
      <c r="N22" s="77"/>
      <c r="O22" s="77"/>
      <c r="P22" s="344"/>
      <c r="Q22" s="371">
        <f t="shared" si="1"/>
        <v>258</v>
      </c>
      <c r="R22" s="298"/>
    </row>
    <row r="23" spans="1:19" s="4" customFormat="1" x14ac:dyDescent="0.25">
      <c r="A23" s="94">
        <v>75012</v>
      </c>
      <c r="B23" s="95" t="s">
        <v>621</v>
      </c>
      <c r="C23" s="439" t="s">
        <v>622</v>
      </c>
      <c r="D23" s="441" t="s">
        <v>186</v>
      </c>
      <c r="E23" s="69">
        <v>118</v>
      </c>
      <c r="F23" s="70" t="s">
        <v>48</v>
      </c>
      <c r="G23" s="70" t="s">
        <v>48</v>
      </c>
      <c r="H23" s="70" t="s">
        <v>48</v>
      </c>
      <c r="I23" s="155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118</v>
      </c>
      <c r="R23" s="298"/>
    </row>
    <row r="24" spans="1:19" s="4" customFormat="1" x14ac:dyDescent="0.25">
      <c r="A24" s="94">
        <v>75012</v>
      </c>
      <c r="B24" s="95" t="s">
        <v>1036</v>
      </c>
      <c r="C24" s="439" t="s">
        <v>1037</v>
      </c>
      <c r="D24" s="441" t="s">
        <v>186</v>
      </c>
      <c r="E24" s="69" t="s">
        <v>48</v>
      </c>
      <c r="F24" s="70" t="s">
        <v>48</v>
      </c>
      <c r="G24" s="70" t="s">
        <v>48</v>
      </c>
      <c r="H24" s="70">
        <v>126</v>
      </c>
      <c r="I24" s="155">
        <v>197</v>
      </c>
      <c r="J24" s="343"/>
      <c r="K24" s="77"/>
      <c r="L24" s="77"/>
      <c r="M24" s="77"/>
      <c r="N24" s="77"/>
      <c r="O24" s="77"/>
      <c r="P24" s="344"/>
      <c r="Q24" s="371">
        <f t="shared" si="1"/>
        <v>323</v>
      </c>
      <c r="R24" s="57"/>
    </row>
    <row r="25" spans="1:19" s="4" customFormat="1" x14ac:dyDescent="0.25">
      <c r="A25" s="94">
        <v>75012</v>
      </c>
      <c r="B25" s="95" t="s">
        <v>462</v>
      </c>
      <c r="C25" s="439" t="s">
        <v>463</v>
      </c>
      <c r="D25" s="441" t="s">
        <v>188</v>
      </c>
      <c r="E25" s="69" t="s">
        <v>48</v>
      </c>
      <c r="F25" s="70">
        <v>432</v>
      </c>
      <c r="G25" s="70" t="s">
        <v>48</v>
      </c>
      <c r="H25" s="70" t="s">
        <v>48</v>
      </c>
      <c r="I25" s="155" t="s">
        <v>48</v>
      </c>
      <c r="J25" s="343"/>
      <c r="K25" s="77"/>
      <c r="L25" s="77"/>
      <c r="M25" s="77"/>
      <c r="N25" s="77"/>
      <c r="O25" s="77"/>
      <c r="P25" s="344"/>
      <c r="Q25" s="371">
        <f t="shared" si="1"/>
        <v>432</v>
      </c>
      <c r="R25" s="57"/>
    </row>
    <row r="26" spans="1:19" s="4" customFormat="1" ht="15.75" thickBot="1" x14ac:dyDescent="0.3">
      <c r="A26" s="94">
        <v>75012</v>
      </c>
      <c r="B26" s="95" t="s">
        <v>623</v>
      </c>
      <c r="C26" s="439" t="s">
        <v>624</v>
      </c>
      <c r="D26" s="441" t="s">
        <v>187</v>
      </c>
      <c r="E26" s="69">
        <v>194</v>
      </c>
      <c r="F26" s="70" t="s">
        <v>48</v>
      </c>
      <c r="G26" s="70" t="s">
        <v>48</v>
      </c>
      <c r="H26" s="70" t="s">
        <v>48</v>
      </c>
      <c r="I26" s="155" t="s">
        <v>48</v>
      </c>
      <c r="J26" s="343"/>
      <c r="K26" s="77"/>
      <c r="L26" s="77"/>
      <c r="M26" s="77"/>
      <c r="N26" s="77"/>
      <c r="O26" s="77"/>
      <c r="P26" s="344"/>
      <c r="Q26" s="371">
        <f t="shared" si="1"/>
        <v>194</v>
      </c>
      <c r="R26" s="57"/>
    </row>
    <row r="27" spans="1:19" s="4" customFormat="1" ht="15.75" thickBot="1" x14ac:dyDescent="0.3">
      <c r="A27" s="382" t="s">
        <v>10</v>
      </c>
      <c r="B27" s="383">
        <f>SUBTOTAL(103,Ventes12ème[Hotel])</f>
        <v>23</v>
      </c>
      <c r="C27" s="440"/>
      <c r="D27" s="442"/>
      <c r="E27" s="385">
        <f>SUBTOTAL(109,Ventes12ème[Janv])</f>
        <v>2770</v>
      </c>
      <c r="F27" s="386">
        <f>SUBTOTAL(109,Ventes12ème[Fév])</f>
        <v>1860</v>
      </c>
      <c r="G27" s="387">
        <f>SUBTOTAL(109,Ventes12ème[mars])</f>
        <v>1346</v>
      </c>
      <c r="H27" s="334">
        <f>SUBTOTAL(109,Ventes12ème[Avril])</f>
        <v>4743</v>
      </c>
      <c r="I27" s="334">
        <f>SUBTOTAL(109,Ventes12ème[Mai])</f>
        <v>4904</v>
      </c>
      <c r="J27" s="334">
        <f>SUBTOTAL(109,Ventes12ème[Juin])</f>
        <v>0</v>
      </c>
      <c r="K27" s="334">
        <f>SUBTOTAL(109,Ventes12ème[Juillet])</f>
        <v>0</v>
      </c>
      <c r="L27" s="336">
        <f>SUBTOTAL(109,Ventes12ème[Août])</f>
        <v>0</v>
      </c>
      <c r="M27" s="336">
        <f>SUBTOTAL(109,Ventes12ème[Sept.])</f>
        <v>0</v>
      </c>
      <c r="N27" s="336">
        <f>SUBTOTAL(109,Ventes12ème[Oct])</f>
        <v>0</v>
      </c>
      <c r="O27" s="336">
        <f>SUBTOTAL(109,Ventes12ème[Nov.])</f>
        <v>0</v>
      </c>
      <c r="P27" s="337">
        <f>SUBTOTAL(109,Ventes12ème[déc])</f>
        <v>0</v>
      </c>
      <c r="Q27" s="388">
        <f>SUBTOTAL(109,Ventes12ème[TOTAL])</f>
        <v>15623</v>
      </c>
      <c r="R27" s="378"/>
      <c r="S27" s="80"/>
    </row>
    <row r="28" spans="1:19" s="4" customFormat="1" ht="15.75" thickBot="1" x14ac:dyDescent="0.3">
      <c r="A28" s="62"/>
      <c r="B28" s="62"/>
      <c r="C28" s="62"/>
      <c r="D28" s="62"/>
      <c r="E28" s="62"/>
      <c r="F28" s="62"/>
      <c r="G28" s="62"/>
      <c r="H28" s="62"/>
      <c r="I28" s="64"/>
      <c r="J28" s="62"/>
      <c r="K28" s="64"/>
      <c r="L28" s="335"/>
      <c r="M28" s="335"/>
      <c r="N28" s="335"/>
      <c r="O28" s="335"/>
      <c r="P28" s="335"/>
      <c r="Q28" s="64"/>
      <c r="R28" s="62"/>
      <c r="S28" s="80"/>
    </row>
    <row r="29" spans="1:19" ht="30" x14ac:dyDescent="0.25">
      <c r="A29" s="389" t="s">
        <v>36</v>
      </c>
      <c r="B29" s="338">
        <v>86</v>
      </c>
      <c r="C29" s="62"/>
      <c r="D29" s="62"/>
      <c r="E29" s="62"/>
      <c r="F29" s="62"/>
      <c r="G29" s="62"/>
      <c r="H29" s="62"/>
      <c r="I29" s="62"/>
      <c r="J29" s="390"/>
      <c r="K29" s="64"/>
      <c r="L29" s="335"/>
      <c r="M29" s="335"/>
      <c r="N29" s="335"/>
      <c r="O29" s="335"/>
      <c r="P29" s="335"/>
      <c r="Q29" s="64"/>
      <c r="R29" s="62"/>
    </row>
    <row r="30" spans="1:19" ht="30.75" thickBot="1" x14ac:dyDescent="0.3">
      <c r="A30" s="391" t="s">
        <v>1330</v>
      </c>
      <c r="B30" s="339">
        <f>Ventes12ème[[#Totals],[Hotel]]/B29</f>
        <v>0.26744186046511625</v>
      </c>
      <c r="C30" s="413" t="s">
        <v>46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17"/>
  <sheetViews>
    <sheetView zoomScale="80" zoomScaleNormal="80" workbookViewId="0">
      <selection activeCell="B11" sqref="B11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157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438" t="s">
        <v>2</v>
      </c>
      <c r="D3" s="23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111">
        <v>75013</v>
      </c>
      <c r="B4" s="156" t="s">
        <v>464</v>
      </c>
      <c r="C4" s="157" t="s">
        <v>465</v>
      </c>
      <c r="D4" s="152" t="s">
        <v>188</v>
      </c>
      <c r="E4" s="153" t="s">
        <v>48</v>
      </c>
      <c r="F4" s="155">
        <v>429</v>
      </c>
      <c r="G4" s="155" t="s">
        <v>48</v>
      </c>
      <c r="H4" s="155">
        <v>68</v>
      </c>
      <c r="I4" s="155">
        <v>2111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2608</v>
      </c>
      <c r="R4" s="216"/>
    </row>
    <row r="5" spans="1:19" s="4" customFormat="1" x14ac:dyDescent="0.25">
      <c r="A5" s="111">
        <v>75013</v>
      </c>
      <c r="B5" s="156" t="s">
        <v>466</v>
      </c>
      <c r="C5" s="157" t="s">
        <v>467</v>
      </c>
      <c r="D5" s="152" t="s">
        <v>187</v>
      </c>
      <c r="E5" s="153" t="s">
        <v>48</v>
      </c>
      <c r="F5" s="155">
        <v>200</v>
      </c>
      <c r="G5" s="155">
        <v>34</v>
      </c>
      <c r="H5" s="155">
        <v>195</v>
      </c>
      <c r="I5" s="155" t="s">
        <v>48</v>
      </c>
      <c r="J5" s="343"/>
      <c r="K5" s="77"/>
      <c r="L5" s="77"/>
      <c r="M5" s="77"/>
      <c r="N5" s="77"/>
      <c r="O5" s="77"/>
      <c r="P5" s="344"/>
      <c r="Q5" s="371">
        <f t="shared" si="0"/>
        <v>429</v>
      </c>
      <c r="R5" s="216"/>
    </row>
    <row r="6" spans="1:19" s="4" customFormat="1" x14ac:dyDescent="0.25">
      <c r="A6" s="111">
        <v>75013</v>
      </c>
      <c r="B6" s="156" t="s">
        <v>625</v>
      </c>
      <c r="C6" s="157" t="s">
        <v>626</v>
      </c>
      <c r="D6" s="152" t="s">
        <v>320</v>
      </c>
      <c r="E6" s="153">
        <v>194</v>
      </c>
      <c r="F6" s="155" t="s">
        <v>48</v>
      </c>
      <c r="G6" s="155" t="s">
        <v>48</v>
      </c>
      <c r="H6" s="155" t="s">
        <v>48</v>
      </c>
      <c r="I6" s="155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194</v>
      </c>
      <c r="R6" s="216"/>
    </row>
    <row r="7" spans="1:19" s="4" customFormat="1" x14ac:dyDescent="0.25">
      <c r="A7" s="111">
        <v>75013</v>
      </c>
      <c r="B7" s="156" t="s">
        <v>1038</v>
      </c>
      <c r="C7" s="280" t="s">
        <v>1039</v>
      </c>
      <c r="D7" s="308" t="s">
        <v>186</v>
      </c>
      <c r="E7" s="153" t="s">
        <v>48</v>
      </c>
      <c r="F7" s="155" t="s">
        <v>48</v>
      </c>
      <c r="G7" s="155" t="s">
        <v>48</v>
      </c>
      <c r="H7" s="155">
        <v>69</v>
      </c>
      <c r="I7" s="155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69</v>
      </c>
      <c r="R7" s="269"/>
    </row>
    <row r="8" spans="1:19" s="4" customFormat="1" x14ac:dyDescent="0.25">
      <c r="A8" s="111">
        <v>75013</v>
      </c>
      <c r="B8" s="281" t="s">
        <v>1268</v>
      </c>
      <c r="C8" s="280" t="s">
        <v>1269</v>
      </c>
      <c r="D8" s="308" t="s">
        <v>188</v>
      </c>
      <c r="E8" s="153" t="s">
        <v>48</v>
      </c>
      <c r="F8" s="155" t="s">
        <v>48</v>
      </c>
      <c r="G8" s="155" t="s">
        <v>48</v>
      </c>
      <c r="H8" s="155" t="s">
        <v>48</v>
      </c>
      <c r="I8" s="320">
        <v>60</v>
      </c>
      <c r="J8" s="343"/>
      <c r="K8" s="77"/>
      <c r="L8" s="77"/>
      <c r="M8" s="77"/>
      <c r="N8" s="77"/>
      <c r="O8" s="77"/>
      <c r="P8" s="344"/>
      <c r="Q8" s="371">
        <f t="shared" si="0"/>
        <v>60</v>
      </c>
      <c r="R8" s="445" t="s">
        <v>1270</v>
      </c>
    </row>
    <row r="9" spans="1:19" s="4" customFormat="1" x14ac:dyDescent="0.25">
      <c r="A9" s="111">
        <v>75013</v>
      </c>
      <c r="B9" s="156" t="s">
        <v>1271</v>
      </c>
      <c r="C9" s="280" t="s">
        <v>1272</v>
      </c>
      <c r="D9" s="308" t="s">
        <v>320</v>
      </c>
      <c r="E9" s="153"/>
      <c r="F9" s="155"/>
      <c r="G9" s="155"/>
      <c r="H9" s="155"/>
      <c r="I9" s="155">
        <v>200</v>
      </c>
      <c r="J9" s="343"/>
      <c r="K9" s="77"/>
      <c r="L9" s="77"/>
      <c r="M9" s="77"/>
      <c r="N9" s="77"/>
      <c r="O9" s="77"/>
      <c r="P9" s="344"/>
      <c r="Q9" s="371">
        <f>SUM(E9:P9)</f>
        <v>200</v>
      </c>
      <c r="R9" s="270"/>
    </row>
    <row r="10" spans="1:19" s="4" customFormat="1" x14ac:dyDescent="0.25">
      <c r="A10" s="111">
        <v>75013</v>
      </c>
      <c r="B10" s="156" t="s">
        <v>627</v>
      </c>
      <c r="C10" s="280" t="s">
        <v>628</v>
      </c>
      <c r="D10" s="305" t="s">
        <v>188</v>
      </c>
      <c r="E10" s="153">
        <v>300</v>
      </c>
      <c r="F10" s="155" t="s">
        <v>48</v>
      </c>
      <c r="G10" s="155" t="s">
        <v>48</v>
      </c>
      <c r="H10" s="155" t="s">
        <v>48</v>
      </c>
      <c r="I10" s="155" t="s">
        <v>48</v>
      </c>
      <c r="J10" s="343"/>
      <c r="K10" s="77"/>
      <c r="L10" s="77"/>
      <c r="M10" s="77"/>
      <c r="N10" s="77"/>
      <c r="O10" s="77"/>
      <c r="P10" s="344"/>
      <c r="Q10" s="371">
        <f>SUM(E10:P10)</f>
        <v>300</v>
      </c>
      <c r="R10" s="270"/>
    </row>
    <row r="11" spans="1:19" s="4" customFormat="1" x14ac:dyDescent="0.25">
      <c r="A11" s="111">
        <v>75013</v>
      </c>
      <c r="B11" s="156" t="s">
        <v>1273</v>
      </c>
      <c r="C11" s="280" t="s">
        <v>1274</v>
      </c>
      <c r="D11" s="308" t="s">
        <v>186</v>
      </c>
      <c r="E11" s="153"/>
      <c r="F11" s="155" t="s">
        <v>48</v>
      </c>
      <c r="G11" s="155" t="s">
        <v>48</v>
      </c>
      <c r="H11" s="155" t="s">
        <v>48</v>
      </c>
      <c r="I11" s="155">
        <v>54</v>
      </c>
      <c r="J11" s="343"/>
      <c r="K11" s="77"/>
      <c r="L11" s="77"/>
      <c r="M11" s="77"/>
      <c r="N11" s="77"/>
      <c r="O11" s="77"/>
      <c r="P11" s="344"/>
      <c r="Q11" s="371">
        <f>SUM(E11:P11)</f>
        <v>54</v>
      </c>
      <c r="R11" s="270"/>
    </row>
    <row r="12" spans="1:19" s="4" customFormat="1" x14ac:dyDescent="0.25">
      <c r="A12" s="111">
        <v>75013</v>
      </c>
      <c r="B12" s="156" t="s">
        <v>1040</v>
      </c>
      <c r="C12" s="157" t="s">
        <v>1041</v>
      </c>
      <c r="D12" s="308" t="s">
        <v>188</v>
      </c>
      <c r="E12" s="153" t="s">
        <v>48</v>
      </c>
      <c r="F12" s="155" t="s">
        <v>48</v>
      </c>
      <c r="G12" s="155" t="s">
        <v>48</v>
      </c>
      <c r="H12" s="155">
        <v>254</v>
      </c>
      <c r="I12" s="155" t="s">
        <v>48</v>
      </c>
      <c r="J12" s="343"/>
      <c r="K12" s="77"/>
      <c r="L12" s="77"/>
      <c r="M12" s="77"/>
      <c r="N12" s="77"/>
      <c r="O12" s="77"/>
      <c r="P12" s="344"/>
      <c r="Q12" s="371">
        <f>SUM(E12:P12)</f>
        <v>254</v>
      </c>
      <c r="R12" s="236"/>
    </row>
    <row r="13" spans="1:19" s="4" customFormat="1" ht="15.75" thickBot="1" x14ac:dyDescent="0.3">
      <c r="A13" s="111">
        <v>75013</v>
      </c>
      <c r="B13" s="109" t="s">
        <v>977</v>
      </c>
      <c r="C13" s="110" t="s">
        <v>978</v>
      </c>
      <c r="D13" s="152" t="s">
        <v>187</v>
      </c>
      <c r="E13" s="153" t="s">
        <v>48</v>
      </c>
      <c r="F13" s="155" t="s">
        <v>48</v>
      </c>
      <c r="G13" s="155">
        <v>943</v>
      </c>
      <c r="H13" s="155">
        <v>172</v>
      </c>
      <c r="I13" s="155" t="s">
        <v>48</v>
      </c>
      <c r="J13" s="343"/>
      <c r="K13" s="77"/>
      <c r="L13" s="77"/>
      <c r="M13" s="77"/>
      <c r="N13" s="77"/>
      <c r="O13" s="77"/>
      <c r="P13" s="344"/>
      <c r="Q13" s="371">
        <f>SUM(E13:P13)</f>
        <v>1115</v>
      </c>
      <c r="R13" s="444"/>
    </row>
    <row r="14" spans="1:19" s="4" customFormat="1" ht="15.75" thickBot="1" x14ac:dyDescent="0.3">
      <c r="A14" s="382" t="s">
        <v>10</v>
      </c>
      <c r="B14" s="383">
        <f>SUBTOTAL(103,Ventes13ème[Hotel])</f>
        <v>10</v>
      </c>
      <c r="C14" s="440"/>
      <c r="D14" s="442"/>
      <c r="E14" s="385">
        <f>SUBTOTAL(109,Ventes13ème[Janv])</f>
        <v>494</v>
      </c>
      <c r="F14" s="386">
        <f>SUBTOTAL(109,Ventes13ème[Fév])</f>
        <v>629</v>
      </c>
      <c r="G14" s="387">
        <f>SUBTOTAL(109,Ventes13ème[mars])</f>
        <v>977</v>
      </c>
      <c r="H14" s="334">
        <f>SUBTOTAL(109,Ventes13ème[Avril])</f>
        <v>758</v>
      </c>
      <c r="I14" s="334">
        <f>SUBTOTAL(109,Ventes13ème[Mai])</f>
        <v>2425</v>
      </c>
      <c r="J14" s="334">
        <f>SUBTOTAL(109,Ventes13ème[Juin])</f>
        <v>0</v>
      </c>
      <c r="K14" s="334">
        <f>SUBTOTAL(109,Ventes13ème[Juillet])</f>
        <v>0</v>
      </c>
      <c r="L14" s="336">
        <f>SUBTOTAL(109,Ventes13ème[Août])</f>
        <v>0</v>
      </c>
      <c r="M14" s="336">
        <f>SUBTOTAL(109,Ventes13ème[Sept.])</f>
        <v>0</v>
      </c>
      <c r="N14" s="336">
        <f>SUBTOTAL(109,Ventes13ème[Oct])</f>
        <v>0</v>
      </c>
      <c r="O14" s="336">
        <f>SUBTOTAL(109,Ventes13ème[Nov.])</f>
        <v>0</v>
      </c>
      <c r="P14" s="337">
        <f>SUBTOTAL(109,Ventes13ème[déc])</f>
        <v>0</v>
      </c>
      <c r="Q14" s="388">
        <f>SUBTOTAL(109,Ventes13ème[TOTAL])</f>
        <v>5283</v>
      </c>
      <c r="R14" s="378"/>
      <c r="S14" s="80"/>
    </row>
    <row r="15" spans="1:19" s="4" customFormat="1" ht="15.75" thickBot="1" x14ac:dyDescent="0.3">
      <c r="A15" s="62"/>
      <c r="B15" s="62"/>
      <c r="C15" s="62"/>
      <c r="D15" s="62"/>
      <c r="E15" s="62"/>
      <c r="F15" s="62"/>
      <c r="G15" s="62"/>
      <c r="H15" s="62"/>
      <c r="I15" s="64"/>
      <c r="J15" s="62"/>
      <c r="K15" s="64"/>
      <c r="L15" s="335"/>
      <c r="M15" s="335"/>
      <c r="N15" s="335"/>
      <c r="O15" s="335"/>
      <c r="P15" s="335"/>
      <c r="Q15" s="64"/>
      <c r="R15" s="62"/>
      <c r="S15" s="80"/>
    </row>
    <row r="16" spans="1:19" ht="30" x14ac:dyDescent="0.25">
      <c r="A16" s="389" t="s">
        <v>36</v>
      </c>
      <c r="B16" s="338">
        <v>49</v>
      </c>
      <c r="C16" s="62"/>
      <c r="D16" s="62"/>
      <c r="E16" s="62"/>
      <c r="F16" s="62"/>
      <c r="G16" s="62"/>
      <c r="H16" s="62"/>
      <c r="I16" s="62"/>
      <c r="J16" s="390"/>
      <c r="K16" s="64"/>
      <c r="L16" s="335"/>
      <c r="M16" s="335"/>
      <c r="N16" s="335"/>
      <c r="O16" s="335"/>
      <c r="P16" s="335"/>
      <c r="Q16" s="64"/>
      <c r="R16" s="62"/>
    </row>
    <row r="17" spans="1:3" ht="30.75" thickBot="1" x14ac:dyDescent="0.3">
      <c r="A17" s="391" t="s">
        <v>1330</v>
      </c>
      <c r="B17" s="339">
        <f>Ventes13ème[[#Totals],[Hotel]]/B16</f>
        <v>0.20408163265306123</v>
      </c>
      <c r="C17" s="413"/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40"/>
  <sheetViews>
    <sheetView zoomScale="80" zoomScaleNormal="80" workbookViewId="0">
      <selection activeCell="B25" sqref="B25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158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43">
        <v>75014</v>
      </c>
      <c r="B4" s="14" t="s">
        <v>1042</v>
      </c>
      <c r="C4" s="55" t="s">
        <v>1043</v>
      </c>
      <c r="D4" s="58" t="s">
        <v>186</v>
      </c>
      <c r="E4" s="59" t="s">
        <v>48</v>
      </c>
      <c r="F4" s="45" t="s">
        <v>48</v>
      </c>
      <c r="G4" s="45" t="s">
        <v>48</v>
      </c>
      <c r="H4" s="45">
        <v>327</v>
      </c>
      <c r="I4" s="45">
        <v>388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715</v>
      </c>
      <c r="R4" s="57"/>
    </row>
    <row r="5" spans="1:19" s="4" customFormat="1" x14ac:dyDescent="0.25">
      <c r="A5" s="43">
        <v>75014</v>
      </c>
      <c r="B5" s="14" t="s">
        <v>468</v>
      </c>
      <c r="C5" s="55" t="s">
        <v>469</v>
      </c>
      <c r="D5" s="58" t="s">
        <v>186</v>
      </c>
      <c r="E5" s="59" t="s">
        <v>48</v>
      </c>
      <c r="F5" s="45">
        <v>284</v>
      </c>
      <c r="G5" s="45">
        <v>558</v>
      </c>
      <c r="H5" s="45">
        <v>242</v>
      </c>
      <c r="I5" s="45" t="s">
        <v>48</v>
      </c>
      <c r="J5" s="343"/>
      <c r="K5" s="77"/>
      <c r="L5" s="77"/>
      <c r="M5" s="77"/>
      <c r="N5" s="77"/>
      <c r="O5" s="77"/>
      <c r="P5" s="344"/>
      <c r="Q5" s="371">
        <f t="shared" si="0"/>
        <v>1084</v>
      </c>
      <c r="R5" s="57"/>
    </row>
    <row r="6" spans="1:19" s="4" customFormat="1" x14ac:dyDescent="0.25">
      <c r="A6" s="43">
        <v>75014</v>
      </c>
      <c r="B6" s="14" t="s">
        <v>979</v>
      </c>
      <c r="C6" s="55" t="s">
        <v>980</v>
      </c>
      <c r="D6" s="58" t="s">
        <v>188</v>
      </c>
      <c r="E6" s="59" t="s">
        <v>48</v>
      </c>
      <c r="F6" s="45" t="s">
        <v>48</v>
      </c>
      <c r="G6" s="45">
        <v>151</v>
      </c>
      <c r="H6" s="45" t="s">
        <v>48</v>
      </c>
      <c r="I6" s="45">
        <v>36</v>
      </c>
      <c r="J6" s="343"/>
      <c r="K6" s="77"/>
      <c r="L6" s="77"/>
      <c r="M6" s="77"/>
      <c r="N6" s="77"/>
      <c r="O6" s="77"/>
      <c r="P6" s="344"/>
      <c r="Q6" s="371">
        <f t="shared" si="0"/>
        <v>187</v>
      </c>
      <c r="R6" s="57"/>
    </row>
    <row r="7" spans="1:19" s="4" customFormat="1" x14ac:dyDescent="0.25">
      <c r="A7" s="43">
        <v>75014</v>
      </c>
      <c r="B7" s="14" t="s">
        <v>1275</v>
      </c>
      <c r="C7" s="55" t="s">
        <v>1276</v>
      </c>
      <c r="D7" s="58" t="s">
        <v>186</v>
      </c>
      <c r="E7" s="59" t="s">
        <v>48</v>
      </c>
      <c r="F7" s="45" t="s">
        <v>48</v>
      </c>
      <c r="G7" s="45" t="s">
        <v>48</v>
      </c>
      <c r="H7" s="45" t="s">
        <v>48</v>
      </c>
      <c r="I7" s="45">
        <v>60</v>
      </c>
      <c r="J7" s="343"/>
      <c r="K7" s="77"/>
      <c r="L7" s="77"/>
      <c r="M7" s="77"/>
      <c r="N7" s="77"/>
      <c r="O7" s="77"/>
      <c r="P7" s="344"/>
      <c r="Q7" s="371">
        <f t="shared" si="0"/>
        <v>60</v>
      </c>
      <c r="R7" s="57"/>
    </row>
    <row r="8" spans="1:19" s="4" customFormat="1" x14ac:dyDescent="0.25">
      <c r="A8" s="43">
        <v>75014</v>
      </c>
      <c r="B8" s="14" t="s">
        <v>1044</v>
      </c>
      <c r="C8" s="55" t="s">
        <v>1045</v>
      </c>
      <c r="D8" s="58" t="s">
        <v>187</v>
      </c>
      <c r="E8" s="59" t="s">
        <v>48</v>
      </c>
      <c r="F8" s="45" t="s">
        <v>48</v>
      </c>
      <c r="G8" s="45" t="s">
        <v>48</v>
      </c>
      <c r="H8" s="45">
        <v>259</v>
      </c>
      <c r="I8" s="45">
        <v>949</v>
      </c>
      <c r="J8" s="343"/>
      <c r="K8" s="77"/>
      <c r="L8" s="77"/>
      <c r="M8" s="77"/>
      <c r="N8" s="77"/>
      <c r="O8" s="77"/>
      <c r="P8" s="344"/>
      <c r="Q8" s="371">
        <f t="shared" si="0"/>
        <v>1208</v>
      </c>
      <c r="R8" s="57"/>
    </row>
    <row r="9" spans="1:19" s="4" customFormat="1" x14ac:dyDescent="0.25">
      <c r="A9" s="43">
        <v>75014</v>
      </c>
      <c r="B9" s="14" t="s">
        <v>629</v>
      </c>
      <c r="C9" s="55" t="s">
        <v>630</v>
      </c>
      <c r="D9" s="58" t="s">
        <v>188</v>
      </c>
      <c r="E9" s="59">
        <v>240</v>
      </c>
      <c r="F9" s="45" t="s">
        <v>48</v>
      </c>
      <c r="G9" s="45" t="s">
        <v>48</v>
      </c>
      <c r="H9" s="45" t="s">
        <v>48</v>
      </c>
      <c r="I9" s="45" t="s">
        <v>48</v>
      </c>
      <c r="J9" s="343"/>
      <c r="K9" s="77"/>
      <c r="L9" s="77"/>
      <c r="M9" s="77"/>
      <c r="N9" s="77"/>
      <c r="O9" s="77"/>
      <c r="P9" s="344"/>
      <c r="Q9" s="371">
        <f t="shared" ref="Q9:Q36" si="1">SUM(E9:P9)</f>
        <v>240</v>
      </c>
      <c r="R9" s="57"/>
    </row>
    <row r="10" spans="1:19" s="4" customFormat="1" x14ac:dyDescent="0.25">
      <c r="A10" s="43">
        <v>75014</v>
      </c>
      <c r="B10" s="14" t="s">
        <v>1277</v>
      </c>
      <c r="C10" s="55" t="s">
        <v>1278</v>
      </c>
      <c r="D10" s="58" t="s">
        <v>187</v>
      </c>
      <c r="E10" s="59" t="s">
        <v>48</v>
      </c>
      <c r="F10" s="45" t="s">
        <v>48</v>
      </c>
      <c r="G10" s="45" t="s">
        <v>48</v>
      </c>
      <c r="H10" s="45" t="s">
        <v>48</v>
      </c>
      <c r="I10" s="45">
        <v>510</v>
      </c>
      <c r="J10" s="343"/>
      <c r="K10" s="77"/>
      <c r="L10" s="77"/>
      <c r="M10" s="77"/>
      <c r="N10" s="77"/>
      <c r="O10" s="77"/>
      <c r="P10" s="344"/>
      <c r="Q10" s="371">
        <f t="shared" si="1"/>
        <v>510</v>
      </c>
      <c r="R10" s="57"/>
    </row>
    <row r="11" spans="1:19" s="4" customFormat="1" x14ac:dyDescent="0.25">
      <c r="A11" s="43">
        <v>75014</v>
      </c>
      <c r="B11" s="14" t="s">
        <v>1046</v>
      </c>
      <c r="C11" s="55" t="s">
        <v>1047</v>
      </c>
      <c r="D11" s="58" t="s">
        <v>188</v>
      </c>
      <c r="E11" s="59" t="s">
        <v>48</v>
      </c>
      <c r="F11" s="45" t="s">
        <v>48</v>
      </c>
      <c r="G11" s="45" t="s">
        <v>48</v>
      </c>
      <c r="H11" s="45">
        <v>110</v>
      </c>
      <c r="I11" s="45">
        <v>242</v>
      </c>
      <c r="J11" s="343"/>
      <c r="K11" s="77"/>
      <c r="L11" s="77"/>
      <c r="M11" s="77"/>
      <c r="N11" s="77"/>
      <c r="O11" s="77"/>
      <c r="P11" s="344"/>
      <c r="Q11" s="371">
        <f t="shared" si="1"/>
        <v>352</v>
      </c>
      <c r="R11" s="57"/>
    </row>
    <row r="12" spans="1:19" s="4" customFormat="1" x14ac:dyDescent="0.25">
      <c r="A12" s="43">
        <v>75014</v>
      </c>
      <c r="B12" s="14" t="s">
        <v>1119</v>
      </c>
      <c r="C12" s="55" t="s">
        <v>1120</v>
      </c>
      <c r="D12" s="58" t="s">
        <v>681</v>
      </c>
      <c r="E12" s="59" t="s">
        <v>48</v>
      </c>
      <c r="F12" s="45" t="s">
        <v>48</v>
      </c>
      <c r="G12" s="45" t="s">
        <v>48</v>
      </c>
      <c r="H12" s="45">
        <v>98</v>
      </c>
      <c r="I12" s="45">
        <v>364</v>
      </c>
      <c r="J12" s="343"/>
      <c r="K12" s="77"/>
      <c r="L12" s="77"/>
      <c r="M12" s="77"/>
      <c r="N12" s="77"/>
      <c r="O12" s="77"/>
      <c r="P12" s="344"/>
      <c r="Q12" s="371">
        <f t="shared" si="1"/>
        <v>462</v>
      </c>
      <c r="R12" s="57"/>
    </row>
    <row r="13" spans="1:19" s="4" customFormat="1" x14ac:dyDescent="0.25">
      <c r="A13" s="43">
        <v>75014</v>
      </c>
      <c r="B13" s="14" t="s">
        <v>470</v>
      </c>
      <c r="C13" s="55" t="s">
        <v>471</v>
      </c>
      <c r="D13" s="58" t="s">
        <v>187</v>
      </c>
      <c r="E13" s="59">
        <v>556</v>
      </c>
      <c r="F13" s="45">
        <v>457</v>
      </c>
      <c r="G13" s="45">
        <v>418</v>
      </c>
      <c r="H13" s="45">
        <v>360</v>
      </c>
      <c r="I13" s="45">
        <v>913</v>
      </c>
      <c r="J13" s="343"/>
      <c r="K13" s="77"/>
      <c r="L13" s="77"/>
      <c r="M13" s="77"/>
      <c r="N13" s="77"/>
      <c r="O13" s="77"/>
      <c r="P13" s="344"/>
      <c r="Q13" s="371">
        <f t="shared" si="1"/>
        <v>2704</v>
      </c>
      <c r="R13" s="57"/>
    </row>
    <row r="14" spans="1:19" s="4" customFormat="1" x14ac:dyDescent="0.25">
      <c r="A14" s="43">
        <v>75014</v>
      </c>
      <c r="B14" s="14" t="s">
        <v>472</v>
      </c>
      <c r="C14" s="55" t="s">
        <v>473</v>
      </c>
      <c r="D14" s="58" t="s">
        <v>186</v>
      </c>
      <c r="E14" s="59" t="s">
        <v>48</v>
      </c>
      <c r="F14" s="45">
        <v>28</v>
      </c>
      <c r="G14" s="45">
        <v>278</v>
      </c>
      <c r="H14" s="45" t="s">
        <v>48</v>
      </c>
      <c r="I14" s="45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306</v>
      </c>
      <c r="R14" s="57"/>
    </row>
    <row r="15" spans="1:19" s="4" customFormat="1" x14ac:dyDescent="0.25">
      <c r="A15" s="43">
        <v>75014</v>
      </c>
      <c r="B15" s="14" t="s">
        <v>1279</v>
      </c>
      <c r="C15" s="55" t="s">
        <v>1280</v>
      </c>
      <c r="D15" s="58" t="s">
        <v>187</v>
      </c>
      <c r="E15" s="59" t="s">
        <v>48</v>
      </c>
      <c r="F15" s="45" t="s">
        <v>48</v>
      </c>
      <c r="G15" s="45" t="s">
        <v>48</v>
      </c>
      <c r="H15" s="45" t="s">
        <v>48</v>
      </c>
      <c r="I15" s="45">
        <v>120</v>
      </c>
      <c r="J15" s="343"/>
      <c r="K15" s="77"/>
      <c r="L15" s="77"/>
      <c r="M15" s="77"/>
      <c r="N15" s="77"/>
      <c r="O15" s="77"/>
      <c r="P15" s="344"/>
      <c r="Q15" s="371">
        <f t="shared" si="1"/>
        <v>120</v>
      </c>
      <c r="R15" s="57"/>
    </row>
    <row r="16" spans="1:19" s="4" customFormat="1" x14ac:dyDescent="0.25">
      <c r="A16" s="43">
        <v>75014</v>
      </c>
      <c r="B16" s="14" t="s">
        <v>474</v>
      </c>
      <c r="C16" s="55" t="s">
        <v>475</v>
      </c>
      <c r="D16" s="58" t="s">
        <v>186</v>
      </c>
      <c r="E16" s="59" t="s">
        <v>48</v>
      </c>
      <c r="F16" s="45">
        <v>40</v>
      </c>
      <c r="G16" s="45">
        <v>54</v>
      </c>
      <c r="H16" s="45">
        <v>436</v>
      </c>
      <c r="I16" s="45">
        <v>60</v>
      </c>
      <c r="J16" s="343"/>
      <c r="K16" s="77"/>
      <c r="L16" s="77"/>
      <c r="M16" s="77"/>
      <c r="N16" s="77"/>
      <c r="O16" s="77"/>
      <c r="P16" s="344"/>
      <c r="Q16" s="371">
        <f t="shared" si="1"/>
        <v>590</v>
      </c>
      <c r="R16" s="57"/>
    </row>
    <row r="17" spans="1:18" s="4" customFormat="1" x14ac:dyDescent="0.25">
      <c r="A17" s="43">
        <v>75014</v>
      </c>
      <c r="B17" s="14" t="s">
        <v>476</v>
      </c>
      <c r="C17" s="55" t="s">
        <v>477</v>
      </c>
      <c r="D17" s="58" t="s">
        <v>186</v>
      </c>
      <c r="E17" s="59" t="s">
        <v>48</v>
      </c>
      <c r="F17" s="45">
        <v>188</v>
      </c>
      <c r="G17" s="45" t="s">
        <v>48</v>
      </c>
      <c r="H17" s="45">
        <v>112</v>
      </c>
      <c r="I17" s="45">
        <v>80</v>
      </c>
      <c r="J17" s="343"/>
      <c r="K17" s="77"/>
      <c r="L17" s="77"/>
      <c r="M17" s="77"/>
      <c r="N17" s="77"/>
      <c r="O17" s="77"/>
      <c r="P17" s="344"/>
      <c r="Q17" s="371">
        <f t="shared" si="1"/>
        <v>380</v>
      </c>
      <c r="R17" s="57"/>
    </row>
    <row r="18" spans="1:18" s="4" customFormat="1" x14ac:dyDescent="0.25">
      <c r="A18" s="43">
        <v>75014</v>
      </c>
      <c r="B18" s="294" t="s">
        <v>1281</v>
      </c>
      <c r="C18" s="55" t="s">
        <v>1282</v>
      </c>
      <c r="D18" s="58" t="s">
        <v>320</v>
      </c>
      <c r="E18" s="59" t="s">
        <v>48</v>
      </c>
      <c r="F18" s="45" t="s">
        <v>48</v>
      </c>
      <c r="G18" s="45" t="s">
        <v>48</v>
      </c>
      <c r="H18" s="45" t="s">
        <v>48</v>
      </c>
      <c r="I18" s="295">
        <v>124</v>
      </c>
      <c r="J18" s="343"/>
      <c r="K18" s="77"/>
      <c r="L18" s="77"/>
      <c r="M18" s="77"/>
      <c r="N18" s="77"/>
      <c r="O18" s="77"/>
      <c r="P18" s="344"/>
      <c r="Q18" s="371">
        <f t="shared" si="1"/>
        <v>124</v>
      </c>
      <c r="R18" s="299" t="s">
        <v>1283</v>
      </c>
    </row>
    <row r="19" spans="1:18" s="4" customFormat="1" x14ac:dyDescent="0.25">
      <c r="A19" s="43">
        <v>75014</v>
      </c>
      <c r="B19" s="14" t="s">
        <v>1048</v>
      </c>
      <c r="C19" s="55" t="s">
        <v>1049</v>
      </c>
      <c r="D19" s="58" t="s">
        <v>188</v>
      </c>
      <c r="E19" s="59" t="s">
        <v>48</v>
      </c>
      <c r="F19" s="45" t="s">
        <v>48</v>
      </c>
      <c r="G19" s="45" t="s">
        <v>48</v>
      </c>
      <c r="H19" s="45">
        <v>448</v>
      </c>
      <c r="I19" s="45">
        <v>229</v>
      </c>
      <c r="J19" s="419"/>
      <c r="K19" s="77"/>
      <c r="L19" s="77"/>
      <c r="M19" s="77"/>
      <c r="N19" s="77"/>
      <c r="O19" s="77"/>
      <c r="P19" s="344"/>
      <c r="Q19" s="371">
        <f t="shared" si="1"/>
        <v>677</v>
      </c>
      <c r="R19" s="57"/>
    </row>
    <row r="20" spans="1:18" s="4" customFormat="1" x14ac:dyDescent="0.25">
      <c r="A20" s="43">
        <v>75014</v>
      </c>
      <c r="B20" s="14" t="s">
        <v>981</v>
      </c>
      <c r="C20" s="55" t="s">
        <v>982</v>
      </c>
      <c r="D20" s="58" t="s">
        <v>187</v>
      </c>
      <c r="E20" s="59" t="s">
        <v>48</v>
      </c>
      <c r="F20" s="45" t="s">
        <v>48</v>
      </c>
      <c r="G20" s="45">
        <v>338</v>
      </c>
      <c r="H20" s="45" t="s">
        <v>48</v>
      </c>
      <c r="I20" s="45">
        <v>327</v>
      </c>
      <c r="J20" s="343"/>
      <c r="K20" s="77"/>
      <c r="L20" s="77"/>
      <c r="M20" s="77"/>
      <c r="N20" s="77"/>
      <c r="O20" s="77"/>
      <c r="P20" s="344"/>
      <c r="Q20" s="371">
        <f t="shared" si="1"/>
        <v>665</v>
      </c>
      <c r="R20" s="57"/>
    </row>
    <row r="21" spans="1:18" s="4" customFormat="1" x14ac:dyDescent="0.25">
      <c r="A21" s="43">
        <v>75014</v>
      </c>
      <c r="B21" s="14" t="s">
        <v>631</v>
      </c>
      <c r="C21" s="55" t="s">
        <v>632</v>
      </c>
      <c r="D21" s="58" t="s">
        <v>187</v>
      </c>
      <c r="E21" s="59">
        <v>458</v>
      </c>
      <c r="F21" s="45" t="s">
        <v>48</v>
      </c>
      <c r="G21" s="45" t="s">
        <v>48</v>
      </c>
      <c r="H21" s="45" t="s">
        <v>48</v>
      </c>
      <c r="I21" s="45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458</v>
      </c>
      <c r="R21" s="57"/>
    </row>
    <row r="22" spans="1:18" s="4" customFormat="1" x14ac:dyDescent="0.25">
      <c r="A22" s="43">
        <v>75014</v>
      </c>
      <c r="B22" s="294" t="s">
        <v>983</v>
      </c>
      <c r="C22" s="55" t="s">
        <v>984</v>
      </c>
      <c r="D22" s="58" t="s">
        <v>187</v>
      </c>
      <c r="E22" s="59" t="s">
        <v>48</v>
      </c>
      <c r="F22" s="45" t="s">
        <v>48</v>
      </c>
      <c r="G22" s="295">
        <v>156</v>
      </c>
      <c r="H22" s="45" t="s">
        <v>48</v>
      </c>
      <c r="I22" s="45" t="s">
        <v>48</v>
      </c>
      <c r="J22" s="343"/>
      <c r="K22" s="77"/>
      <c r="L22" s="77"/>
      <c r="M22" s="77"/>
      <c r="N22" s="77"/>
      <c r="O22" s="77"/>
      <c r="P22" s="344"/>
      <c r="Q22" s="371">
        <f t="shared" si="1"/>
        <v>156</v>
      </c>
      <c r="R22" s="299" t="s">
        <v>725</v>
      </c>
    </row>
    <row r="23" spans="1:18" s="4" customFormat="1" x14ac:dyDescent="0.25">
      <c r="A23" s="43">
        <v>75014</v>
      </c>
      <c r="B23" s="14" t="s">
        <v>633</v>
      </c>
      <c r="C23" s="55" t="s">
        <v>634</v>
      </c>
      <c r="D23" s="58" t="s">
        <v>188</v>
      </c>
      <c r="E23" s="59">
        <v>132</v>
      </c>
      <c r="F23" s="45" t="s">
        <v>48</v>
      </c>
      <c r="G23" s="45" t="s">
        <v>48</v>
      </c>
      <c r="H23" s="45" t="s">
        <v>48</v>
      </c>
      <c r="I23" s="45" t="s">
        <v>48</v>
      </c>
      <c r="J23" s="343"/>
      <c r="K23" s="77"/>
      <c r="L23" s="77"/>
      <c r="M23" s="77"/>
      <c r="N23" s="77"/>
      <c r="O23" s="77"/>
      <c r="P23" s="344"/>
      <c r="Q23" s="371">
        <f t="shared" si="1"/>
        <v>132</v>
      </c>
      <c r="R23" s="57"/>
    </row>
    <row r="24" spans="1:18" s="4" customFormat="1" x14ac:dyDescent="0.25">
      <c r="A24" s="43">
        <v>75014</v>
      </c>
      <c r="B24" s="14" t="s">
        <v>1284</v>
      </c>
      <c r="C24" s="55" t="s">
        <v>1285</v>
      </c>
      <c r="D24" s="58" t="s">
        <v>187</v>
      </c>
      <c r="E24" s="59" t="s">
        <v>48</v>
      </c>
      <c r="F24" s="45" t="s">
        <v>48</v>
      </c>
      <c r="G24" s="45" t="s">
        <v>48</v>
      </c>
      <c r="H24" s="45" t="s">
        <v>48</v>
      </c>
      <c r="I24" s="45">
        <v>16</v>
      </c>
      <c r="J24" s="343"/>
      <c r="K24" s="77"/>
      <c r="L24" s="77"/>
      <c r="M24" s="77"/>
      <c r="N24" s="77"/>
      <c r="O24" s="77"/>
      <c r="P24" s="344"/>
      <c r="Q24" s="371">
        <f t="shared" si="1"/>
        <v>16</v>
      </c>
      <c r="R24" s="57"/>
    </row>
    <row r="25" spans="1:18" s="4" customFormat="1" x14ac:dyDescent="0.25">
      <c r="A25" s="43">
        <v>75014</v>
      </c>
      <c r="B25" s="14" t="s">
        <v>478</v>
      </c>
      <c r="C25" s="55" t="s">
        <v>479</v>
      </c>
      <c r="D25" s="58" t="s">
        <v>186</v>
      </c>
      <c r="E25" s="59" t="s">
        <v>48</v>
      </c>
      <c r="F25" s="45">
        <v>436</v>
      </c>
      <c r="G25" s="45">
        <v>178</v>
      </c>
      <c r="H25" s="45" t="s">
        <v>48</v>
      </c>
      <c r="I25" s="45">
        <v>836</v>
      </c>
      <c r="J25" s="343"/>
      <c r="K25" s="77"/>
      <c r="L25" s="77"/>
      <c r="M25" s="77"/>
      <c r="N25" s="77"/>
      <c r="O25" s="77"/>
      <c r="P25" s="344"/>
      <c r="Q25" s="371">
        <f t="shared" si="1"/>
        <v>1450</v>
      </c>
      <c r="R25" s="57"/>
    </row>
    <row r="26" spans="1:18" s="4" customFormat="1" x14ac:dyDescent="0.25">
      <c r="A26" s="43">
        <v>75014</v>
      </c>
      <c r="B26" s="294" t="s">
        <v>1286</v>
      </c>
      <c r="C26" s="55" t="s">
        <v>1287</v>
      </c>
      <c r="D26" s="58" t="s">
        <v>188</v>
      </c>
      <c r="E26" s="59" t="s">
        <v>48</v>
      </c>
      <c r="F26" s="45" t="s">
        <v>48</v>
      </c>
      <c r="G26" s="45" t="s">
        <v>48</v>
      </c>
      <c r="H26" s="45" t="s">
        <v>48</v>
      </c>
      <c r="I26" s="295">
        <v>246</v>
      </c>
      <c r="J26" s="343"/>
      <c r="K26" s="77"/>
      <c r="L26" s="77"/>
      <c r="M26" s="77"/>
      <c r="N26" s="77"/>
      <c r="O26" s="77"/>
      <c r="P26" s="344"/>
      <c r="Q26" s="371">
        <f t="shared" si="1"/>
        <v>246</v>
      </c>
      <c r="R26" s="299" t="s">
        <v>1270</v>
      </c>
    </row>
    <row r="27" spans="1:18" s="4" customFormat="1" x14ac:dyDescent="0.25">
      <c r="A27" s="43">
        <v>75014</v>
      </c>
      <c r="B27" s="14" t="s">
        <v>480</v>
      </c>
      <c r="C27" s="55" t="s">
        <v>481</v>
      </c>
      <c r="D27" s="58" t="s">
        <v>186</v>
      </c>
      <c r="E27" s="59" t="s">
        <v>48</v>
      </c>
      <c r="F27" s="45">
        <v>102</v>
      </c>
      <c r="G27" s="45" t="s">
        <v>48</v>
      </c>
      <c r="H27" s="45">
        <v>374</v>
      </c>
      <c r="I27" s="45" t="s">
        <v>48</v>
      </c>
      <c r="J27" s="343"/>
      <c r="K27" s="77"/>
      <c r="L27" s="77"/>
      <c r="M27" s="77"/>
      <c r="N27" s="77"/>
      <c r="O27" s="77"/>
      <c r="P27" s="344"/>
      <c r="Q27" s="371">
        <f t="shared" si="1"/>
        <v>476</v>
      </c>
      <c r="R27" s="57"/>
    </row>
    <row r="28" spans="1:18" s="4" customFormat="1" x14ac:dyDescent="0.25">
      <c r="A28" s="43">
        <v>75014</v>
      </c>
      <c r="B28" s="14" t="s">
        <v>985</v>
      </c>
      <c r="C28" s="55" t="s">
        <v>986</v>
      </c>
      <c r="D28" s="58" t="s">
        <v>188</v>
      </c>
      <c r="E28" s="59" t="s">
        <v>48</v>
      </c>
      <c r="F28" s="45" t="s">
        <v>48</v>
      </c>
      <c r="G28" s="45">
        <v>247</v>
      </c>
      <c r="H28" s="45">
        <v>226</v>
      </c>
      <c r="I28" s="45">
        <v>266</v>
      </c>
      <c r="J28" s="343"/>
      <c r="K28" s="77"/>
      <c r="L28" s="77"/>
      <c r="M28" s="77"/>
      <c r="N28" s="77"/>
      <c r="O28" s="77"/>
      <c r="P28" s="344"/>
      <c r="Q28" s="371">
        <f t="shared" si="1"/>
        <v>739</v>
      </c>
      <c r="R28" s="57"/>
    </row>
    <row r="29" spans="1:18" s="4" customFormat="1" x14ac:dyDescent="0.25">
      <c r="A29" s="43">
        <v>75014</v>
      </c>
      <c r="B29" s="14" t="s">
        <v>1050</v>
      </c>
      <c r="C29" s="55" t="s">
        <v>1051</v>
      </c>
      <c r="D29" s="58" t="s">
        <v>186</v>
      </c>
      <c r="E29" s="59" t="s">
        <v>48</v>
      </c>
      <c r="F29" s="45" t="s">
        <v>48</v>
      </c>
      <c r="G29" s="45" t="s">
        <v>48</v>
      </c>
      <c r="H29" s="45">
        <v>128</v>
      </c>
      <c r="I29" s="45">
        <v>196</v>
      </c>
      <c r="J29" s="343"/>
      <c r="K29" s="77"/>
      <c r="L29" s="77"/>
      <c r="M29" s="77"/>
      <c r="N29" s="77"/>
      <c r="O29" s="77"/>
      <c r="P29" s="344"/>
      <c r="Q29" s="371">
        <f t="shared" si="1"/>
        <v>324</v>
      </c>
      <c r="R29" s="57"/>
    </row>
    <row r="30" spans="1:18" s="4" customFormat="1" x14ac:dyDescent="0.25">
      <c r="A30" s="43">
        <v>75014</v>
      </c>
      <c r="B30" s="14" t="s">
        <v>1052</v>
      </c>
      <c r="C30" s="55" t="s">
        <v>1053</v>
      </c>
      <c r="D30" s="58" t="s">
        <v>187</v>
      </c>
      <c r="E30" s="59" t="s">
        <v>48</v>
      </c>
      <c r="F30" s="45" t="s">
        <v>48</v>
      </c>
      <c r="G30" s="45" t="s">
        <v>48</v>
      </c>
      <c r="H30" s="45">
        <v>200</v>
      </c>
      <c r="I30" s="45" t="s">
        <v>48</v>
      </c>
      <c r="J30" s="343"/>
      <c r="K30" s="77"/>
      <c r="L30" s="77"/>
      <c r="M30" s="77"/>
      <c r="N30" s="77"/>
      <c r="O30" s="77"/>
      <c r="P30" s="344"/>
      <c r="Q30" s="371">
        <f t="shared" si="1"/>
        <v>200</v>
      </c>
      <c r="R30" s="107"/>
    </row>
    <row r="31" spans="1:18" s="4" customFormat="1" x14ac:dyDescent="0.25">
      <c r="A31" s="43">
        <v>75014</v>
      </c>
      <c r="B31" s="14" t="s">
        <v>987</v>
      </c>
      <c r="C31" s="55" t="s">
        <v>988</v>
      </c>
      <c r="D31" s="58" t="s">
        <v>187</v>
      </c>
      <c r="E31" s="59" t="s">
        <v>48</v>
      </c>
      <c r="F31" s="45" t="s">
        <v>48</v>
      </c>
      <c r="G31" s="45">
        <v>229</v>
      </c>
      <c r="H31" s="45" t="s">
        <v>48</v>
      </c>
      <c r="I31" s="45" t="s">
        <v>48</v>
      </c>
      <c r="J31" s="343"/>
      <c r="K31" s="77"/>
      <c r="L31" s="77"/>
      <c r="M31" s="77"/>
      <c r="N31" s="77"/>
      <c r="O31" s="77"/>
      <c r="P31" s="344"/>
      <c r="Q31" s="371">
        <f t="shared" si="1"/>
        <v>229</v>
      </c>
      <c r="R31" s="107"/>
    </row>
    <row r="32" spans="1:18" s="4" customFormat="1" x14ac:dyDescent="0.25">
      <c r="A32" s="43">
        <v>75014</v>
      </c>
      <c r="B32" s="14" t="s">
        <v>989</v>
      </c>
      <c r="C32" s="55" t="s">
        <v>990</v>
      </c>
      <c r="D32" s="58" t="s">
        <v>187</v>
      </c>
      <c r="E32" s="59" t="s">
        <v>48</v>
      </c>
      <c r="F32" s="45" t="s">
        <v>48</v>
      </c>
      <c r="G32" s="45">
        <v>218</v>
      </c>
      <c r="H32" s="45" t="s">
        <v>48</v>
      </c>
      <c r="I32" s="45">
        <v>436</v>
      </c>
      <c r="J32" s="343"/>
      <c r="K32" s="77"/>
      <c r="L32" s="77"/>
      <c r="M32" s="77"/>
      <c r="N32" s="77"/>
      <c r="O32" s="77"/>
      <c r="P32" s="344"/>
      <c r="Q32" s="371">
        <f t="shared" si="1"/>
        <v>654</v>
      </c>
      <c r="R32" s="107"/>
    </row>
    <row r="33" spans="1:19" s="4" customFormat="1" x14ac:dyDescent="0.25">
      <c r="A33" s="43">
        <v>75014</v>
      </c>
      <c r="B33" s="14" t="s">
        <v>1288</v>
      </c>
      <c r="C33" s="55" t="s">
        <v>1289</v>
      </c>
      <c r="D33" s="58" t="s">
        <v>187</v>
      </c>
      <c r="E33" s="59" t="s">
        <v>48</v>
      </c>
      <c r="F33" s="45" t="s">
        <v>48</v>
      </c>
      <c r="G33" s="45" t="s">
        <v>48</v>
      </c>
      <c r="H33" s="45" t="s">
        <v>48</v>
      </c>
      <c r="I33" s="45">
        <v>476</v>
      </c>
      <c r="J33" s="343"/>
      <c r="K33" s="77"/>
      <c r="L33" s="77"/>
      <c r="M33" s="77"/>
      <c r="N33" s="77"/>
      <c r="O33" s="77"/>
      <c r="P33" s="344"/>
      <c r="Q33" s="371">
        <f t="shared" si="1"/>
        <v>476</v>
      </c>
      <c r="R33" s="107"/>
    </row>
    <row r="34" spans="1:19" s="4" customFormat="1" x14ac:dyDescent="0.25">
      <c r="A34" s="43">
        <v>75014</v>
      </c>
      <c r="B34" s="14" t="s">
        <v>1290</v>
      </c>
      <c r="C34" s="55" t="s">
        <v>1291</v>
      </c>
      <c r="D34" s="58" t="s">
        <v>187</v>
      </c>
      <c r="E34" s="59" t="s">
        <v>48</v>
      </c>
      <c r="F34" s="45" t="s">
        <v>48</v>
      </c>
      <c r="G34" s="45" t="s">
        <v>48</v>
      </c>
      <c r="H34" s="45" t="s">
        <v>48</v>
      </c>
      <c r="I34" s="45">
        <v>188</v>
      </c>
      <c r="J34" s="343"/>
      <c r="K34" s="77"/>
      <c r="L34" s="77"/>
      <c r="M34" s="77"/>
      <c r="N34" s="77"/>
      <c r="O34" s="77"/>
      <c r="P34" s="344"/>
      <c r="Q34" s="371">
        <f t="shared" si="1"/>
        <v>188</v>
      </c>
      <c r="R34" s="107"/>
    </row>
    <row r="35" spans="1:19" s="4" customFormat="1" x14ac:dyDescent="0.25">
      <c r="A35" s="43">
        <v>75014</v>
      </c>
      <c r="B35" s="14" t="s">
        <v>482</v>
      </c>
      <c r="C35" s="55" t="s">
        <v>483</v>
      </c>
      <c r="D35" s="58" t="s">
        <v>187</v>
      </c>
      <c r="E35" s="59">
        <v>208</v>
      </c>
      <c r="F35" s="45">
        <v>312</v>
      </c>
      <c r="G35" s="45">
        <v>132</v>
      </c>
      <c r="H35" s="45">
        <v>465</v>
      </c>
      <c r="I35" s="45">
        <v>621</v>
      </c>
      <c r="J35" s="343"/>
      <c r="K35" s="77"/>
      <c r="L35" s="77"/>
      <c r="M35" s="77"/>
      <c r="N35" s="77"/>
      <c r="O35" s="77"/>
      <c r="P35" s="344"/>
      <c r="Q35" s="371">
        <f t="shared" si="1"/>
        <v>1738</v>
      </c>
      <c r="R35" s="107"/>
    </row>
    <row r="36" spans="1:19" s="4" customFormat="1" ht="15.75" thickBot="1" x14ac:dyDescent="0.3">
      <c r="A36" s="43">
        <v>75014</v>
      </c>
      <c r="B36" s="14" t="s">
        <v>484</v>
      </c>
      <c r="C36" s="55" t="s">
        <v>485</v>
      </c>
      <c r="D36" s="58" t="s">
        <v>187</v>
      </c>
      <c r="E36" s="59">
        <v>108</v>
      </c>
      <c r="F36" s="45">
        <v>66</v>
      </c>
      <c r="G36" s="45">
        <v>29</v>
      </c>
      <c r="H36" s="45" t="s">
        <v>48</v>
      </c>
      <c r="I36" s="45" t="s">
        <v>48</v>
      </c>
      <c r="J36" s="343"/>
      <c r="K36" s="77"/>
      <c r="L36" s="77"/>
      <c r="M36" s="77"/>
      <c r="N36" s="77"/>
      <c r="O36" s="77"/>
      <c r="P36" s="344"/>
      <c r="Q36" s="371">
        <f t="shared" si="1"/>
        <v>203</v>
      </c>
      <c r="R36" s="107"/>
    </row>
    <row r="37" spans="1:19" s="4" customFormat="1" ht="15.75" thickBot="1" x14ac:dyDescent="0.3">
      <c r="A37" s="382" t="s">
        <v>10</v>
      </c>
      <c r="B37" s="383">
        <f>SUBTOTAL(103,Ventes14ème[Hotel])</f>
        <v>33</v>
      </c>
      <c r="C37" s="384"/>
      <c r="D37" s="382"/>
      <c r="E37" s="385">
        <f>SUBTOTAL(109,Ventes14ème[Janv])</f>
        <v>1702</v>
      </c>
      <c r="F37" s="386">
        <f>SUBTOTAL(109,Ventes14ème[Fév])</f>
        <v>1913</v>
      </c>
      <c r="G37" s="387">
        <f>SUBTOTAL(109,Ventes14ème[mars])</f>
        <v>2986</v>
      </c>
      <c r="H37" s="334">
        <f>SUBTOTAL(109,Ventes14ème[Avril])</f>
        <v>3785</v>
      </c>
      <c r="I37" s="334">
        <f>SUBTOTAL(109,Ventes14ème[Mai])</f>
        <v>7683</v>
      </c>
      <c r="J37" s="334">
        <f>SUBTOTAL(109,Ventes14ème[Juin])</f>
        <v>0</v>
      </c>
      <c r="K37" s="334">
        <f>SUBTOTAL(109,Ventes14ème[Juillet])</f>
        <v>0</v>
      </c>
      <c r="L37" s="336">
        <f>SUBTOTAL(109,Ventes14ème[Août])</f>
        <v>0</v>
      </c>
      <c r="M37" s="336">
        <f>SUBTOTAL(109,Ventes14ème[Sept.])</f>
        <v>0</v>
      </c>
      <c r="N37" s="336">
        <f>SUBTOTAL(109,Ventes14ème[Oct])</f>
        <v>0</v>
      </c>
      <c r="O37" s="336">
        <f>SUBTOTAL(109,Ventes14ème[Nov.])</f>
        <v>0</v>
      </c>
      <c r="P37" s="337">
        <f>SUBTOTAL(109,Ventes14ème[déc])</f>
        <v>0</v>
      </c>
      <c r="Q37" s="388">
        <f>SUBTOTAL(109,Ventes14ème[TOTAL])</f>
        <v>18069</v>
      </c>
      <c r="R37" s="378"/>
      <c r="S37" s="80"/>
    </row>
    <row r="38" spans="1:19" s="4" customFormat="1" ht="15.75" thickBot="1" x14ac:dyDescent="0.3">
      <c r="A38" s="62"/>
      <c r="B38" s="62"/>
      <c r="C38" s="62"/>
      <c r="D38" s="62"/>
      <c r="E38" s="62"/>
      <c r="F38" s="62"/>
      <c r="G38" s="62"/>
      <c r="H38" s="62"/>
      <c r="I38" s="64"/>
      <c r="J38" s="62"/>
      <c r="K38" s="64"/>
      <c r="L38" s="335"/>
      <c r="M38" s="335"/>
      <c r="N38" s="335"/>
      <c r="O38" s="335"/>
      <c r="P38" s="335"/>
      <c r="Q38" s="64"/>
      <c r="R38" s="62"/>
      <c r="S38" s="80"/>
    </row>
    <row r="39" spans="1:19" ht="30" x14ac:dyDescent="0.25">
      <c r="A39" s="389" t="s">
        <v>36</v>
      </c>
      <c r="B39" s="338">
        <v>102</v>
      </c>
      <c r="C39" s="62"/>
      <c r="D39" s="62"/>
      <c r="E39" s="62"/>
      <c r="F39" s="62"/>
      <c r="G39" s="62"/>
      <c r="H39" s="62"/>
      <c r="I39" s="62"/>
      <c r="J39" s="390"/>
      <c r="K39" s="64"/>
      <c r="L39" s="335"/>
      <c r="M39" s="335"/>
      <c r="N39" s="335"/>
      <c r="O39" s="335"/>
      <c r="P39" s="335"/>
      <c r="Q39" s="64"/>
      <c r="R39" s="62"/>
    </row>
    <row r="40" spans="1:19" ht="30.75" thickBot="1" x14ac:dyDescent="0.3">
      <c r="A40" s="391" t="s">
        <v>1330</v>
      </c>
      <c r="B40" s="339">
        <f>Ventes14ème[[#Totals],[Hotel]]/B39</f>
        <v>0.3235294117647059</v>
      </c>
      <c r="C40" s="413"/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51"/>
  <sheetViews>
    <sheetView zoomScale="80" zoomScaleNormal="80" workbookViewId="0">
      <selection activeCell="B19" sqref="B19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159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43">
        <v>75015</v>
      </c>
      <c r="B4" s="156" t="s">
        <v>991</v>
      </c>
      <c r="C4" s="157" t="s">
        <v>992</v>
      </c>
      <c r="D4" s="306" t="s">
        <v>186</v>
      </c>
      <c r="E4" s="59" t="s">
        <v>48</v>
      </c>
      <c r="F4" s="45" t="s">
        <v>48</v>
      </c>
      <c r="G4" s="45">
        <v>88</v>
      </c>
      <c r="H4" s="45" t="s">
        <v>48</v>
      </c>
      <c r="I4" s="45" t="s">
        <v>48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88</v>
      </c>
      <c r="R4" s="307"/>
    </row>
    <row r="5" spans="1:19" s="4" customFormat="1" x14ac:dyDescent="0.25">
      <c r="A5" s="43">
        <v>75015</v>
      </c>
      <c r="B5" s="14" t="s">
        <v>635</v>
      </c>
      <c r="C5" s="55" t="s">
        <v>636</v>
      </c>
      <c r="D5" s="58" t="s">
        <v>187</v>
      </c>
      <c r="E5" s="59">
        <v>664</v>
      </c>
      <c r="F5" s="45" t="s">
        <v>48</v>
      </c>
      <c r="G5" s="45" t="s">
        <v>48</v>
      </c>
      <c r="H5" s="45" t="s">
        <v>48</v>
      </c>
      <c r="I5" s="45" t="s">
        <v>48</v>
      </c>
      <c r="J5" s="343"/>
      <c r="K5" s="77"/>
      <c r="L5" s="77"/>
      <c r="M5" s="77"/>
      <c r="N5" s="77"/>
      <c r="O5" s="77"/>
      <c r="P5" s="344"/>
      <c r="Q5" s="371">
        <f t="shared" si="0"/>
        <v>664</v>
      </c>
      <c r="R5" s="47"/>
    </row>
    <row r="6" spans="1:19" s="4" customFormat="1" x14ac:dyDescent="0.25">
      <c r="A6" s="43">
        <v>75015</v>
      </c>
      <c r="B6" s="14" t="s">
        <v>486</v>
      </c>
      <c r="C6" s="55" t="s">
        <v>487</v>
      </c>
      <c r="D6" s="58" t="s">
        <v>320</v>
      </c>
      <c r="E6" s="59">
        <v>311</v>
      </c>
      <c r="F6" s="13">
        <v>97</v>
      </c>
      <c r="G6" s="45">
        <v>2535</v>
      </c>
      <c r="H6" s="45">
        <v>623</v>
      </c>
      <c r="I6" s="29">
        <v>400</v>
      </c>
      <c r="J6" s="343"/>
      <c r="K6" s="77"/>
      <c r="L6" s="77"/>
      <c r="M6" s="77"/>
      <c r="N6" s="77"/>
      <c r="O6" s="77"/>
      <c r="P6" s="344"/>
      <c r="Q6" s="371">
        <f t="shared" si="0"/>
        <v>3966</v>
      </c>
      <c r="R6" s="47"/>
    </row>
    <row r="7" spans="1:19" s="4" customFormat="1" x14ac:dyDescent="0.25">
      <c r="A7" s="43">
        <v>75015</v>
      </c>
      <c r="B7" s="14" t="s">
        <v>488</v>
      </c>
      <c r="C7" s="55" t="s">
        <v>489</v>
      </c>
      <c r="D7" s="58" t="s">
        <v>187</v>
      </c>
      <c r="E7" s="59">
        <v>70</v>
      </c>
      <c r="F7" s="45">
        <v>354</v>
      </c>
      <c r="G7" s="45" t="s">
        <v>48</v>
      </c>
      <c r="H7" s="45">
        <v>463</v>
      </c>
      <c r="I7" s="28">
        <v>854</v>
      </c>
      <c r="J7" s="343"/>
      <c r="K7" s="77"/>
      <c r="L7" s="77"/>
      <c r="M7" s="77"/>
      <c r="N7" s="77"/>
      <c r="O7" s="77"/>
      <c r="P7" s="344"/>
      <c r="Q7" s="371">
        <f t="shared" si="0"/>
        <v>1741</v>
      </c>
      <c r="R7" s="47"/>
    </row>
    <row r="8" spans="1:19" s="4" customFormat="1" x14ac:dyDescent="0.25">
      <c r="A8" s="43">
        <v>75015</v>
      </c>
      <c r="B8" s="14" t="s">
        <v>1292</v>
      </c>
      <c r="C8" s="55" t="s">
        <v>1293</v>
      </c>
      <c r="D8" s="58" t="s">
        <v>188</v>
      </c>
      <c r="E8" s="59" t="s">
        <v>48</v>
      </c>
      <c r="F8" s="45" t="s">
        <v>48</v>
      </c>
      <c r="G8" s="45" t="s">
        <v>48</v>
      </c>
      <c r="H8" s="45" t="s">
        <v>48</v>
      </c>
      <c r="I8" s="28">
        <v>351</v>
      </c>
      <c r="J8" s="343"/>
      <c r="K8" s="77"/>
      <c r="L8" s="77"/>
      <c r="M8" s="77"/>
      <c r="N8" s="77"/>
      <c r="O8" s="77"/>
      <c r="P8" s="344"/>
      <c r="Q8" s="371">
        <f t="shared" si="0"/>
        <v>351</v>
      </c>
      <c r="R8" s="47"/>
    </row>
    <row r="9" spans="1:19" s="4" customFormat="1" x14ac:dyDescent="0.25">
      <c r="A9" s="43">
        <v>75015</v>
      </c>
      <c r="B9" s="14" t="s">
        <v>637</v>
      </c>
      <c r="C9" s="55" t="s">
        <v>638</v>
      </c>
      <c r="D9" s="58" t="s">
        <v>186</v>
      </c>
      <c r="E9" s="59">
        <v>40</v>
      </c>
      <c r="F9" s="45" t="s">
        <v>48</v>
      </c>
      <c r="G9" s="45">
        <v>204</v>
      </c>
      <c r="H9" s="45">
        <v>550</v>
      </c>
      <c r="I9" s="28">
        <v>200</v>
      </c>
      <c r="J9" s="343"/>
      <c r="K9" s="77"/>
      <c r="L9" s="77"/>
      <c r="M9" s="77"/>
      <c r="N9" s="77"/>
      <c r="O9" s="77"/>
      <c r="P9" s="344"/>
      <c r="Q9" s="371">
        <f t="shared" ref="Q9:Q47" si="1">SUM(E9:P9)</f>
        <v>994</v>
      </c>
      <c r="R9" s="47"/>
    </row>
    <row r="10" spans="1:19" s="4" customFormat="1" x14ac:dyDescent="0.25">
      <c r="A10" s="43">
        <v>75015</v>
      </c>
      <c r="B10" s="14" t="s">
        <v>490</v>
      </c>
      <c r="C10" s="55" t="s">
        <v>491</v>
      </c>
      <c r="D10" s="58" t="s">
        <v>187</v>
      </c>
      <c r="E10" s="59" t="s">
        <v>48</v>
      </c>
      <c r="F10" s="45">
        <v>309</v>
      </c>
      <c r="G10" s="45">
        <v>250</v>
      </c>
      <c r="H10" s="45">
        <v>36</v>
      </c>
      <c r="I10" s="28">
        <v>346</v>
      </c>
      <c r="J10" s="343"/>
      <c r="K10" s="77"/>
      <c r="L10" s="77"/>
      <c r="M10" s="77"/>
      <c r="N10" s="77"/>
      <c r="O10" s="77"/>
      <c r="P10" s="344"/>
      <c r="Q10" s="371">
        <f t="shared" si="1"/>
        <v>941</v>
      </c>
      <c r="R10" s="34"/>
    </row>
    <row r="11" spans="1:19" s="4" customFormat="1" x14ac:dyDescent="0.25">
      <c r="A11" s="43">
        <v>75015</v>
      </c>
      <c r="B11" s="14" t="s">
        <v>492</v>
      </c>
      <c r="C11" s="55" t="s">
        <v>493</v>
      </c>
      <c r="D11" s="58" t="s">
        <v>188</v>
      </c>
      <c r="E11" s="59" t="s">
        <v>48</v>
      </c>
      <c r="F11" s="45">
        <v>218</v>
      </c>
      <c r="G11" s="45">
        <v>416</v>
      </c>
      <c r="H11" s="45">
        <v>872</v>
      </c>
      <c r="I11" s="28">
        <v>218</v>
      </c>
      <c r="J11" s="343"/>
      <c r="K11" s="77"/>
      <c r="L11" s="77"/>
      <c r="M11" s="77"/>
      <c r="N11" s="77"/>
      <c r="O11" s="77"/>
      <c r="P11" s="344"/>
      <c r="Q11" s="371">
        <f t="shared" si="1"/>
        <v>1724</v>
      </c>
      <c r="R11" s="47"/>
    </row>
    <row r="12" spans="1:19" s="4" customFormat="1" x14ac:dyDescent="0.25">
      <c r="A12" s="43">
        <v>75015</v>
      </c>
      <c r="B12" s="14" t="s">
        <v>494</v>
      </c>
      <c r="C12" s="55" t="s">
        <v>495</v>
      </c>
      <c r="D12" s="58" t="s">
        <v>188</v>
      </c>
      <c r="E12" s="59">
        <v>704</v>
      </c>
      <c r="F12" s="45">
        <v>68</v>
      </c>
      <c r="G12" s="45">
        <v>400</v>
      </c>
      <c r="H12" s="45" t="s">
        <v>48</v>
      </c>
      <c r="I12" s="28">
        <v>158</v>
      </c>
      <c r="J12" s="343"/>
      <c r="K12" s="77"/>
      <c r="L12" s="77"/>
      <c r="M12" s="77"/>
      <c r="N12" s="77"/>
      <c r="O12" s="77"/>
      <c r="P12" s="344"/>
      <c r="Q12" s="371">
        <f t="shared" si="1"/>
        <v>1330</v>
      </c>
      <c r="R12" s="47"/>
    </row>
    <row r="13" spans="1:19" s="4" customFormat="1" x14ac:dyDescent="0.25">
      <c r="A13" s="43">
        <v>75015</v>
      </c>
      <c r="B13" s="14" t="s">
        <v>639</v>
      </c>
      <c r="C13" s="55" t="s">
        <v>640</v>
      </c>
      <c r="D13" s="58" t="s">
        <v>188</v>
      </c>
      <c r="E13" s="59">
        <v>38</v>
      </c>
      <c r="F13" s="45" t="s">
        <v>48</v>
      </c>
      <c r="G13" s="45" t="s">
        <v>48</v>
      </c>
      <c r="H13" s="45" t="s">
        <v>48</v>
      </c>
      <c r="I13" s="28" t="s">
        <v>48</v>
      </c>
      <c r="J13" s="343"/>
      <c r="K13" s="77"/>
      <c r="L13" s="77"/>
      <c r="M13" s="77"/>
      <c r="N13" s="77"/>
      <c r="O13" s="77"/>
      <c r="P13" s="344"/>
      <c r="Q13" s="371">
        <f t="shared" si="1"/>
        <v>38</v>
      </c>
      <c r="R13" s="47"/>
    </row>
    <row r="14" spans="1:19" s="4" customFormat="1" x14ac:dyDescent="0.25">
      <c r="A14" s="43">
        <v>75015</v>
      </c>
      <c r="B14" s="14" t="s">
        <v>496</v>
      </c>
      <c r="C14" s="55" t="s">
        <v>497</v>
      </c>
      <c r="D14" s="58" t="s">
        <v>186</v>
      </c>
      <c r="E14" s="59">
        <v>753</v>
      </c>
      <c r="F14" s="45">
        <v>393</v>
      </c>
      <c r="G14" s="45">
        <v>328</v>
      </c>
      <c r="H14" s="45">
        <v>1198</v>
      </c>
      <c r="I14" s="28">
        <v>818</v>
      </c>
      <c r="J14" s="343"/>
      <c r="K14" s="77"/>
      <c r="L14" s="77"/>
      <c r="M14" s="77"/>
      <c r="N14" s="77"/>
      <c r="O14" s="77"/>
      <c r="P14" s="344"/>
      <c r="Q14" s="371">
        <f t="shared" si="1"/>
        <v>3490</v>
      </c>
      <c r="R14" s="47"/>
    </row>
    <row r="15" spans="1:19" s="4" customFormat="1" x14ac:dyDescent="0.25">
      <c r="A15" s="43">
        <v>75015</v>
      </c>
      <c r="B15" s="294" t="s">
        <v>1294</v>
      </c>
      <c r="C15" s="55" t="s">
        <v>1295</v>
      </c>
      <c r="D15" s="58" t="s">
        <v>320</v>
      </c>
      <c r="E15" s="59" t="s">
        <v>48</v>
      </c>
      <c r="F15" s="45" t="s">
        <v>48</v>
      </c>
      <c r="G15" s="45" t="s">
        <v>48</v>
      </c>
      <c r="H15" s="45" t="s">
        <v>48</v>
      </c>
      <c r="I15" s="314">
        <v>68</v>
      </c>
      <c r="J15" s="343"/>
      <c r="K15" s="77"/>
      <c r="L15" s="77"/>
      <c r="M15" s="77"/>
      <c r="N15" s="77"/>
      <c r="O15" s="77"/>
      <c r="P15" s="344"/>
      <c r="Q15" s="371">
        <f t="shared" si="1"/>
        <v>68</v>
      </c>
      <c r="R15" s="285" t="s">
        <v>584</v>
      </c>
    </row>
    <row r="16" spans="1:19" s="4" customFormat="1" x14ac:dyDescent="0.25">
      <c r="A16" s="43">
        <v>75015</v>
      </c>
      <c r="B16" s="14" t="s">
        <v>498</v>
      </c>
      <c r="C16" s="55" t="s">
        <v>499</v>
      </c>
      <c r="D16" s="58" t="s">
        <v>188</v>
      </c>
      <c r="E16" s="59">
        <v>496</v>
      </c>
      <c r="F16" s="45">
        <v>751</v>
      </c>
      <c r="G16" s="45">
        <v>840</v>
      </c>
      <c r="H16" s="45">
        <v>347</v>
      </c>
      <c r="I16" s="28">
        <v>1260</v>
      </c>
      <c r="J16" s="343"/>
      <c r="K16" s="77"/>
      <c r="L16" s="77"/>
      <c r="M16" s="77"/>
      <c r="N16" s="77"/>
      <c r="O16" s="77"/>
      <c r="P16" s="344"/>
      <c r="Q16" s="371">
        <f t="shared" si="1"/>
        <v>3694</v>
      </c>
      <c r="R16" s="47"/>
    </row>
    <row r="17" spans="1:18" s="4" customFormat="1" x14ac:dyDescent="0.25">
      <c r="A17" s="43">
        <v>75015</v>
      </c>
      <c r="B17" s="14" t="s">
        <v>500</v>
      </c>
      <c r="C17" s="55" t="s">
        <v>501</v>
      </c>
      <c r="D17" s="58" t="s">
        <v>186</v>
      </c>
      <c r="E17" s="59">
        <v>251</v>
      </c>
      <c r="F17" s="45">
        <v>681</v>
      </c>
      <c r="G17" s="45">
        <v>300</v>
      </c>
      <c r="H17" s="45">
        <v>212</v>
      </c>
      <c r="I17" s="28">
        <v>100</v>
      </c>
      <c r="J17" s="343"/>
      <c r="K17" s="77"/>
      <c r="L17" s="77"/>
      <c r="M17" s="77"/>
      <c r="N17" s="77"/>
      <c r="O17" s="77"/>
      <c r="P17" s="344"/>
      <c r="Q17" s="371">
        <f t="shared" si="1"/>
        <v>1544</v>
      </c>
      <c r="R17" s="47"/>
    </row>
    <row r="18" spans="1:18" s="4" customFormat="1" x14ac:dyDescent="0.25">
      <c r="A18" s="43">
        <v>75015</v>
      </c>
      <c r="B18" s="274" t="s">
        <v>502</v>
      </c>
      <c r="C18" s="55" t="s">
        <v>503</v>
      </c>
      <c r="D18" s="58" t="s">
        <v>188</v>
      </c>
      <c r="E18" s="59" t="s">
        <v>48</v>
      </c>
      <c r="F18" s="275">
        <v>91</v>
      </c>
      <c r="G18" s="45">
        <v>30</v>
      </c>
      <c r="H18" s="45">
        <v>133</v>
      </c>
      <c r="I18" s="28">
        <v>40</v>
      </c>
      <c r="J18" s="343"/>
      <c r="K18" s="77"/>
      <c r="L18" s="77"/>
      <c r="M18" s="77"/>
      <c r="N18" s="77"/>
      <c r="O18" s="77"/>
      <c r="P18" s="344"/>
      <c r="Q18" s="371">
        <f t="shared" si="1"/>
        <v>294</v>
      </c>
      <c r="R18" s="276" t="s">
        <v>504</v>
      </c>
    </row>
    <row r="19" spans="1:18" s="4" customFormat="1" x14ac:dyDescent="0.25">
      <c r="A19" s="43">
        <v>75015</v>
      </c>
      <c r="B19" s="14" t="s">
        <v>505</v>
      </c>
      <c r="C19" s="55" t="s">
        <v>506</v>
      </c>
      <c r="D19" s="58" t="s">
        <v>187</v>
      </c>
      <c r="E19" s="59">
        <v>36</v>
      </c>
      <c r="F19" s="45">
        <v>88</v>
      </c>
      <c r="G19" s="45">
        <v>318</v>
      </c>
      <c r="H19" s="45">
        <v>202</v>
      </c>
      <c r="I19" s="28">
        <v>629</v>
      </c>
      <c r="J19" s="343"/>
      <c r="K19" s="77"/>
      <c r="L19" s="77"/>
      <c r="M19" s="77"/>
      <c r="N19" s="77"/>
      <c r="O19" s="77"/>
      <c r="P19" s="344"/>
      <c r="Q19" s="371">
        <f t="shared" si="1"/>
        <v>1273</v>
      </c>
      <c r="R19" s="47"/>
    </row>
    <row r="20" spans="1:18" s="4" customFormat="1" x14ac:dyDescent="0.25">
      <c r="A20" s="43">
        <v>75015</v>
      </c>
      <c r="B20" s="14" t="s">
        <v>1296</v>
      </c>
      <c r="C20" s="55" t="s">
        <v>1297</v>
      </c>
      <c r="D20" s="58" t="s">
        <v>186</v>
      </c>
      <c r="E20" s="59" t="s">
        <v>48</v>
      </c>
      <c r="F20" s="45" t="s">
        <v>48</v>
      </c>
      <c r="G20" s="45" t="s">
        <v>48</v>
      </c>
      <c r="H20" s="45" t="s">
        <v>48</v>
      </c>
      <c r="I20" s="28">
        <v>247</v>
      </c>
      <c r="J20" s="343"/>
      <c r="K20" s="77"/>
      <c r="L20" s="77"/>
      <c r="M20" s="77"/>
      <c r="N20" s="77"/>
      <c r="O20" s="77"/>
      <c r="P20" s="344"/>
      <c r="Q20" s="371">
        <f t="shared" si="1"/>
        <v>247</v>
      </c>
      <c r="R20" s="47"/>
    </row>
    <row r="21" spans="1:18" s="4" customFormat="1" x14ac:dyDescent="0.25">
      <c r="A21" s="43">
        <v>75015</v>
      </c>
      <c r="B21" s="14" t="s">
        <v>1054</v>
      </c>
      <c r="C21" s="55" t="s">
        <v>1055</v>
      </c>
      <c r="D21" s="58" t="s">
        <v>187</v>
      </c>
      <c r="E21" s="59" t="s">
        <v>48</v>
      </c>
      <c r="F21" s="45" t="s">
        <v>48</v>
      </c>
      <c r="G21" s="45" t="s">
        <v>48</v>
      </c>
      <c r="H21" s="45">
        <v>418</v>
      </c>
      <c r="I21" s="28">
        <v>370</v>
      </c>
      <c r="J21" s="343"/>
      <c r="K21" s="77"/>
      <c r="L21" s="77"/>
      <c r="M21" s="77"/>
      <c r="N21" s="77"/>
      <c r="O21" s="77"/>
      <c r="P21" s="344"/>
      <c r="Q21" s="371">
        <f t="shared" si="1"/>
        <v>788</v>
      </c>
      <c r="R21" s="47"/>
    </row>
    <row r="22" spans="1:18" s="4" customFormat="1" x14ac:dyDescent="0.25">
      <c r="A22" s="43">
        <v>75015</v>
      </c>
      <c r="B22" s="14" t="s">
        <v>993</v>
      </c>
      <c r="C22" s="55" t="s">
        <v>994</v>
      </c>
      <c r="D22" s="58" t="s">
        <v>187</v>
      </c>
      <c r="E22" s="59" t="s">
        <v>48</v>
      </c>
      <c r="F22" s="45" t="s">
        <v>48</v>
      </c>
      <c r="G22" s="45">
        <v>286</v>
      </c>
      <c r="H22" s="45">
        <v>381</v>
      </c>
      <c r="I22" s="28">
        <v>154</v>
      </c>
      <c r="J22" s="343"/>
      <c r="K22" s="77"/>
      <c r="L22" s="77"/>
      <c r="M22" s="77"/>
      <c r="N22" s="77"/>
      <c r="O22" s="77"/>
      <c r="P22" s="344"/>
      <c r="Q22" s="371">
        <f t="shared" si="1"/>
        <v>821</v>
      </c>
      <c r="R22" s="47"/>
    </row>
    <row r="23" spans="1:18" s="4" customFormat="1" x14ac:dyDescent="0.25">
      <c r="A23" s="43">
        <v>75015</v>
      </c>
      <c r="B23" s="14" t="s">
        <v>507</v>
      </c>
      <c r="C23" s="55" t="s">
        <v>508</v>
      </c>
      <c r="D23" s="58" t="s">
        <v>188</v>
      </c>
      <c r="E23" s="59" t="s">
        <v>48</v>
      </c>
      <c r="F23" s="45">
        <v>54</v>
      </c>
      <c r="G23" s="45">
        <v>154</v>
      </c>
      <c r="H23" s="45">
        <v>858</v>
      </c>
      <c r="I23" s="28">
        <v>184</v>
      </c>
      <c r="J23" s="343"/>
      <c r="K23" s="77"/>
      <c r="L23" s="77"/>
      <c r="M23" s="77"/>
      <c r="N23" s="77"/>
      <c r="O23" s="77"/>
      <c r="P23" s="344"/>
      <c r="Q23" s="371">
        <f t="shared" si="1"/>
        <v>1250</v>
      </c>
      <c r="R23" s="34"/>
    </row>
    <row r="24" spans="1:18" s="4" customFormat="1" x14ac:dyDescent="0.25">
      <c r="A24" s="43">
        <v>75015</v>
      </c>
      <c r="B24" s="14" t="s">
        <v>995</v>
      </c>
      <c r="C24" s="55" t="s">
        <v>996</v>
      </c>
      <c r="D24" s="58" t="s">
        <v>188</v>
      </c>
      <c r="E24" s="59" t="s">
        <v>48</v>
      </c>
      <c r="F24" s="45" t="s">
        <v>48</v>
      </c>
      <c r="G24" s="45">
        <v>36</v>
      </c>
      <c r="H24" s="45" t="s">
        <v>48</v>
      </c>
      <c r="I24" s="28">
        <v>62</v>
      </c>
      <c r="J24" s="343"/>
      <c r="K24" s="77"/>
      <c r="L24" s="77"/>
      <c r="M24" s="77"/>
      <c r="N24" s="77"/>
      <c r="O24" s="77"/>
      <c r="P24" s="344"/>
      <c r="Q24" s="371">
        <f t="shared" si="1"/>
        <v>98</v>
      </c>
      <c r="R24" s="34"/>
    </row>
    <row r="25" spans="1:18" s="4" customFormat="1" x14ac:dyDescent="0.25">
      <c r="A25" s="43">
        <v>75015</v>
      </c>
      <c r="B25" s="14" t="s">
        <v>997</v>
      </c>
      <c r="C25" s="55" t="s">
        <v>998</v>
      </c>
      <c r="D25" s="58" t="s">
        <v>188</v>
      </c>
      <c r="E25" s="59" t="s">
        <v>48</v>
      </c>
      <c r="F25" s="45" t="s">
        <v>48</v>
      </c>
      <c r="G25" s="45">
        <v>102</v>
      </c>
      <c r="H25" s="45" t="s">
        <v>48</v>
      </c>
      <c r="I25" s="28" t="s">
        <v>48</v>
      </c>
      <c r="J25" s="343"/>
      <c r="K25" s="77"/>
      <c r="L25" s="77"/>
      <c r="M25" s="77"/>
      <c r="N25" s="77"/>
      <c r="O25" s="77"/>
      <c r="P25" s="344"/>
      <c r="Q25" s="371">
        <f t="shared" si="1"/>
        <v>102</v>
      </c>
      <c r="R25" s="34"/>
    </row>
    <row r="26" spans="1:18" s="4" customFormat="1" x14ac:dyDescent="0.25">
      <c r="A26" s="43">
        <v>75015</v>
      </c>
      <c r="B26" s="14" t="s">
        <v>641</v>
      </c>
      <c r="C26" s="55" t="s">
        <v>642</v>
      </c>
      <c r="D26" s="58" t="s">
        <v>187</v>
      </c>
      <c r="E26" s="59">
        <v>207</v>
      </c>
      <c r="F26" s="45" t="s">
        <v>48</v>
      </c>
      <c r="G26" s="45">
        <v>755</v>
      </c>
      <c r="H26" s="45">
        <v>113</v>
      </c>
      <c r="I26" s="28">
        <v>378</v>
      </c>
      <c r="J26" s="343"/>
      <c r="K26" s="77"/>
      <c r="L26" s="77"/>
      <c r="M26" s="77"/>
      <c r="N26" s="77"/>
      <c r="O26" s="77"/>
      <c r="P26" s="344"/>
      <c r="Q26" s="371">
        <f t="shared" si="1"/>
        <v>1453</v>
      </c>
      <c r="R26" s="34"/>
    </row>
    <row r="27" spans="1:18" s="4" customFormat="1" x14ac:dyDescent="0.25">
      <c r="A27" s="43">
        <v>75015</v>
      </c>
      <c r="B27" s="14" t="s">
        <v>1056</v>
      </c>
      <c r="C27" s="55" t="s">
        <v>1057</v>
      </c>
      <c r="D27" s="58" t="s">
        <v>188</v>
      </c>
      <c r="E27" s="59" t="s">
        <v>48</v>
      </c>
      <c r="F27" s="45" t="s">
        <v>48</v>
      </c>
      <c r="G27" s="45" t="s">
        <v>48</v>
      </c>
      <c r="H27" s="45">
        <v>124</v>
      </c>
      <c r="I27" s="28">
        <v>200</v>
      </c>
      <c r="J27" s="343"/>
      <c r="K27" s="77"/>
      <c r="L27" s="77"/>
      <c r="M27" s="77"/>
      <c r="N27" s="77"/>
      <c r="O27" s="77"/>
      <c r="P27" s="344"/>
      <c r="Q27" s="371">
        <f t="shared" si="1"/>
        <v>324</v>
      </c>
      <c r="R27" s="34"/>
    </row>
    <row r="28" spans="1:18" s="4" customFormat="1" x14ac:dyDescent="0.25">
      <c r="A28" s="43">
        <v>75015</v>
      </c>
      <c r="B28" s="14" t="s">
        <v>509</v>
      </c>
      <c r="C28" s="55" t="s">
        <v>510</v>
      </c>
      <c r="D28" s="58" t="s">
        <v>188</v>
      </c>
      <c r="E28" s="59" t="s">
        <v>48</v>
      </c>
      <c r="F28" s="45">
        <v>124</v>
      </c>
      <c r="G28" s="45">
        <v>118</v>
      </c>
      <c r="H28" s="45">
        <v>127</v>
      </c>
      <c r="I28" s="28" t="s">
        <v>48</v>
      </c>
      <c r="J28" s="343"/>
      <c r="K28" s="77"/>
      <c r="L28" s="77"/>
      <c r="M28" s="77"/>
      <c r="N28" s="77"/>
      <c r="O28" s="77"/>
      <c r="P28" s="344"/>
      <c r="Q28" s="371">
        <f t="shared" si="1"/>
        <v>369</v>
      </c>
      <c r="R28" s="34"/>
    </row>
    <row r="29" spans="1:18" s="4" customFormat="1" x14ac:dyDescent="0.25">
      <c r="A29" s="43">
        <v>75015</v>
      </c>
      <c r="B29" s="14" t="s">
        <v>999</v>
      </c>
      <c r="C29" s="55" t="s">
        <v>1000</v>
      </c>
      <c r="D29" s="58" t="s">
        <v>187</v>
      </c>
      <c r="E29" s="59" t="s">
        <v>48</v>
      </c>
      <c r="F29" s="45" t="s">
        <v>48</v>
      </c>
      <c r="G29" s="45">
        <v>730</v>
      </c>
      <c r="H29" s="45" t="s">
        <v>48</v>
      </c>
      <c r="I29" s="28" t="s">
        <v>48</v>
      </c>
      <c r="J29" s="343"/>
      <c r="K29" s="77"/>
      <c r="L29" s="77"/>
      <c r="M29" s="77"/>
      <c r="N29" s="77"/>
      <c r="O29" s="77"/>
      <c r="P29" s="344"/>
      <c r="Q29" s="371">
        <f t="shared" si="1"/>
        <v>730</v>
      </c>
      <c r="R29" s="34"/>
    </row>
    <row r="30" spans="1:18" s="4" customFormat="1" x14ac:dyDescent="0.25">
      <c r="A30" s="43">
        <v>75015</v>
      </c>
      <c r="B30" s="14" t="s">
        <v>643</v>
      </c>
      <c r="C30" s="55" t="s">
        <v>644</v>
      </c>
      <c r="D30" s="58" t="s">
        <v>188</v>
      </c>
      <c r="E30" s="59">
        <v>308</v>
      </c>
      <c r="F30" s="45" t="s">
        <v>48</v>
      </c>
      <c r="G30" s="45">
        <v>69</v>
      </c>
      <c r="H30" s="45" t="s">
        <v>48</v>
      </c>
      <c r="I30" s="28" t="s">
        <v>48</v>
      </c>
      <c r="J30" s="343"/>
      <c r="K30" s="77"/>
      <c r="L30" s="77"/>
      <c r="M30" s="77"/>
      <c r="N30" s="77"/>
      <c r="O30" s="77"/>
      <c r="P30" s="344"/>
      <c r="Q30" s="371">
        <f t="shared" si="1"/>
        <v>377</v>
      </c>
      <c r="R30" s="34"/>
    </row>
    <row r="31" spans="1:18" s="4" customFormat="1" x14ac:dyDescent="0.25">
      <c r="A31" s="43">
        <v>75015</v>
      </c>
      <c r="B31" s="14" t="s">
        <v>1001</v>
      </c>
      <c r="C31" s="55" t="s">
        <v>1002</v>
      </c>
      <c r="D31" s="58" t="s">
        <v>188</v>
      </c>
      <c r="E31" s="59" t="s">
        <v>48</v>
      </c>
      <c r="F31" s="45" t="s">
        <v>48</v>
      </c>
      <c r="G31" s="45">
        <v>1453</v>
      </c>
      <c r="H31" s="45" t="s">
        <v>48</v>
      </c>
      <c r="I31" s="28" t="s">
        <v>48</v>
      </c>
      <c r="J31" s="343"/>
      <c r="K31" s="77"/>
      <c r="L31" s="77"/>
      <c r="M31" s="77"/>
      <c r="N31" s="77"/>
      <c r="O31" s="77"/>
      <c r="P31" s="344"/>
      <c r="Q31" s="371">
        <f t="shared" si="1"/>
        <v>1453</v>
      </c>
      <c r="R31" s="34"/>
    </row>
    <row r="32" spans="1:18" s="4" customFormat="1" x14ac:dyDescent="0.25">
      <c r="A32" s="43">
        <v>75015</v>
      </c>
      <c r="B32" s="14" t="s">
        <v>645</v>
      </c>
      <c r="C32" s="55" t="s">
        <v>646</v>
      </c>
      <c r="D32" s="58" t="s">
        <v>188</v>
      </c>
      <c r="E32" s="59">
        <v>66</v>
      </c>
      <c r="F32" s="45" t="s">
        <v>48</v>
      </c>
      <c r="G32" s="45" t="s">
        <v>48</v>
      </c>
      <c r="H32" s="45" t="s">
        <v>48</v>
      </c>
      <c r="I32" s="28" t="s">
        <v>48</v>
      </c>
      <c r="J32" s="343"/>
      <c r="K32" s="77"/>
      <c r="L32" s="77"/>
      <c r="M32" s="77"/>
      <c r="N32" s="77"/>
      <c r="O32" s="77"/>
      <c r="P32" s="344"/>
      <c r="Q32" s="371">
        <f t="shared" si="1"/>
        <v>66</v>
      </c>
      <c r="R32" s="34"/>
    </row>
    <row r="33" spans="1:19" s="4" customFormat="1" x14ac:dyDescent="0.25">
      <c r="A33" s="43">
        <v>75015</v>
      </c>
      <c r="B33" s="14" t="s">
        <v>1003</v>
      </c>
      <c r="C33" s="55" t="s">
        <v>1004</v>
      </c>
      <c r="D33" s="58" t="s">
        <v>188</v>
      </c>
      <c r="E33" s="59" t="s">
        <v>48</v>
      </c>
      <c r="F33" s="45" t="s">
        <v>48</v>
      </c>
      <c r="G33" s="45">
        <v>970</v>
      </c>
      <c r="H33" s="45" t="s">
        <v>48</v>
      </c>
      <c r="I33" s="28" t="s">
        <v>48</v>
      </c>
      <c r="J33" s="343"/>
      <c r="K33" s="77"/>
      <c r="L33" s="77"/>
      <c r="M33" s="77"/>
      <c r="N33" s="77"/>
      <c r="O33" s="77"/>
      <c r="P33" s="344"/>
      <c r="Q33" s="371">
        <f t="shared" si="1"/>
        <v>970</v>
      </c>
      <c r="R33" s="34"/>
    </row>
    <row r="34" spans="1:19" s="4" customFormat="1" x14ac:dyDescent="0.25">
      <c r="A34" s="43">
        <v>75015</v>
      </c>
      <c r="B34" s="14" t="s">
        <v>647</v>
      </c>
      <c r="C34" s="55" t="s">
        <v>648</v>
      </c>
      <c r="D34" s="58" t="s">
        <v>188</v>
      </c>
      <c r="E34" s="59">
        <v>220</v>
      </c>
      <c r="F34" s="45" t="s">
        <v>48</v>
      </c>
      <c r="G34" s="45" t="s">
        <v>48</v>
      </c>
      <c r="H34" s="45">
        <v>80</v>
      </c>
      <c r="I34" s="28">
        <v>247</v>
      </c>
      <c r="J34" s="343"/>
      <c r="K34" s="77"/>
      <c r="L34" s="77"/>
      <c r="M34" s="77"/>
      <c r="N34" s="77"/>
      <c r="O34" s="77"/>
      <c r="P34" s="344"/>
      <c r="Q34" s="371">
        <f t="shared" si="1"/>
        <v>547</v>
      </c>
      <c r="R34" s="34"/>
    </row>
    <row r="35" spans="1:19" s="4" customFormat="1" x14ac:dyDescent="0.25">
      <c r="A35" s="43">
        <v>75015</v>
      </c>
      <c r="B35" s="14" t="s">
        <v>1058</v>
      </c>
      <c r="C35" s="55" t="s">
        <v>1059</v>
      </c>
      <c r="D35" s="58" t="s">
        <v>188</v>
      </c>
      <c r="E35" s="59" t="s">
        <v>48</v>
      </c>
      <c r="F35" s="45" t="s">
        <v>48</v>
      </c>
      <c r="G35" s="45" t="s">
        <v>48</v>
      </c>
      <c r="H35" s="45">
        <v>540</v>
      </c>
      <c r="I35" s="28">
        <v>350</v>
      </c>
      <c r="J35" s="343"/>
      <c r="K35" s="77"/>
      <c r="L35" s="77"/>
      <c r="M35" s="77"/>
      <c r="N35" s="77"/>
      <c r="O35" s="77"/>
      <c r="P35" s="344"/>
      <c r="Q35" s="371">
        <f t="shared" si="1"/>
        <v>890</v>
      </c>
      <c r="R35" s="34"/>
    </row>
    <row r="36" spans="1:19" s="4" customFormat="1" x14ac:dyDescent="0.25">
      <c r="A36" s="43">
        <v>75015</v>
      </c>
      <c r="B36" s="274" t="s">
        <v>511</v>
      </c>
      <c r="C36" s="55" t="s">
        <v>512</v>
      </c>
      <c r="D36" s="58" t="s">
        <v>1005</v>
      </c>
      <c r="E36" s="277">
        <v>199</v>
      </c>
      <c r="F36" s="45">
        <v>329</v>
      </c>
      <c r="G36" s="45">
        <v>200</v>
      </c>
      <c r="H36" s="45" t="s">
        <v>48</v>
      </c>
      <c r="I36" s="28">
        <v>629</v>
      </c>
      <c r="J36" s="343"/>
      <c r="K36" s="77"/>
      <c r="L36" s="77"/>
      <c r="M36" s="77"/>
      <c r="N36" s="77"/>
      <c r="O36" s="77"/>
      <c r="P36" s="344"/>
      <c r="Q36" s="371">
        <f t="shared" si="1"/>
        <v>1357</v>
      </c>
      <c r="R36" s="276" t="s">
        <v>504</v>
      </c>
    </row>
    <row r="37" spans="1:19" s="4" customFormat="1" x14ac:dyDescent="0.25">
      <c r="A37" s="43">
        <v>75015</v>
      </c>
      <c r="B37" s="14" t="s">
        <v>649</v>
      </c>
      <c r="C37" s="55" t="s">
        <v>650</v>
      </c>
      <c r="D37" s="58" t="s">
        <v>188</v>
      </c>
      <c r="E37" s="59">
        <v>151</v>
      </c>
      <c r="F37" s="45" t="s">
        <v>48</v>
      </c>
      <c r="G37" s="45" t="s">
        <v>48</v>
      </c>
      <c r="H37" s="45" t="s">
        <v>48</v>
      </c>
      <c r="I37" s="28">
        <v>1016</v>
      </c>
      <c r="J37" s="343"/>
      <c r="K37" s="77"/>
      <c r="L37" s="77"/>
      <c r="M37" s="77"/>
      <c r="N37" s="77"/>
      <c r="O37" s="77"/>
      <c r="P37" s="344"/>
      <c r="Q37" s="371">
        <f t="shared" si="1"/>
        <v>1167</v>
      </c>
      <c r="R37" s="34"/>
    </row>
    <row r="38" spans="1:19" s="4" customFormat="1" x14ac:dyDescent="0.25">
      <c r="A38" s="43">
        <v>75015</v>
      </c>
      <c r="B38" s="14" t="s">
        <v>1060</v>
      </c>
      <c r="C38" s="55" t="s">
        <v>1061</v>
      </c>
      <c r="D38" s="58" t="s">
        <v>186</v>
      </c>
      <c r="E38" s="59" t="s">
        <v>48</v>
      </c>
      <c r="F38" s="45" t="s">
        <v>48</v>
      </c>
      <c r="G38" s="45" t="s">
        <v>48</v>
      </c>
      <c r="H38" s="45">
        <v>68</v>
      </c>
      <c r="I38" s="28" t="s">
        <v>48</v>
      </c>
      <c r="J38" s="343"/>
      <c r="K38" s="77"/>
      <c r="L38" s="77"/>
      <c r="M38" s="77"/>
      <c r="N38" s="77"/>
      <c r="O38" s="77"/>
      <c r="P38" s="344"/>
      <c r="Q38" s="371">
        <f t="shared" si="1"/>
        <v>68</v>
      </c>
      <c r="R38" s="34"/>
    </row>
    <row r="39" spans="1:19" s="4" customFormat="1" x14ac:dyDescent="0.25">
      <c r="A39" s="43">
        <v>75015</v>
      </c>
      <c r="B39" s="14" t="s">
        <v>513</v>
      </c>
      <c r="C39" s="55" t="s">
        <v>514</v>
      </c>
      <c r="D39" s="58" t="s">
        <v>188</v>
      </c>
      <c r="E39" s="59" t="s">
        <v>48</v>
      </c>
      <c r="F39" s="45">
        <v>165</v>
      </c>
      <c r="G39" s="45" t="s">
        <v>48</v>
      </c>
      <c r="H39" s="45" t="s">
        <v>48</v>
      </c>
      <c r="I39" s="28">
        <v>110</v>
      </c>
      <c r="J39" s="343"/>
      <c r="K39" s="77"/>
      <c r="L39" s="77"/>
      <c r="M39" s="77"/>
      <c r="N39" s="77"/>
      <c r="O39" s="77"/>
      <c r="P39" s="344"/>
      <c r="Q39" s="371">
        <f t="shared" si="1"/>
        <v>275</v>
      </c>
      <c r="R39" s="107"/>
    </row>
    <row r="40" spans="1:19" s="4" customFormat="1" x14ac:dyDescent="0.25">
      <c r="A40" s="43">
        <v>75015</v>
      </c>
      <c r="B40" s="14" t="s">
        <v>1062</v>
      </c>
      <c r="C40" s="55" t="s">
        <v>1063</v>
      </c>
      <c r="D40" s="58" t="s">
        <v>187</v>
      </c>
      <c r="E40" s="59" t="s">
        <v>48</v>
      </c>
      <c r="F40" s="45" t="s">
        <v>48</v>
      </c>
      <c r="G40" s="45" t="s">
        <v>48</v>
      </c>
      <c r="H40" s="45">
        <v>218</v>
      </c>
      <c r="I40" s="28" t="s">
        <v>48</v>
      </c>
      <c r="J40" s="343"/>
      <c r="K40" s="77"/>
      <c r="L40" s="77"/>
      <c r="M40" s="77"/>
      <c r="N40" s="77"/>
      <c r="O40" s="77"/>
      <c r="P40" s="344"/>
      <c r="Q40" s="371">
        <f t="shared" si="1"/>
        <v>218</v>
      </c>
      <c r="R40" s="107"/>
    </row>
    <row r="41" spans="1:19" s="4" customFormat="1" x14ac:dyDescent="0.25">
      <c r="A41" s="43">
        <v>75015</v>
      </c>
      <c r="B41" s="14" t="s">
        <v>515</v>
      </c>
      <c r="C41" s="55" t="s">
        <v>516</v>
      </c>
      <c r="D41" s="58" t="s">
        <v>186</v>
      </c>
      <c r="E41" s="59">
        <v>68</v>
      </c>
      <c r="F41" s="45">
        <v>132</v>
      </c>
      <c r="G41" s="45">
        <v>370</v>
      </c>
      <c r="H41" s="45">
        <v>66</v>
      </c>
      <c r="I41" s="28">
        <v>696</v>
      </c>
      <c r="J41" s="343"/>
      <c r="K41" s="77"/>
      <c r="L41" s="77"/>
      <c r="M41" s="77"/>
      <c r="N41" s="77"/>
      <c r="O41" s="77"/>
      <c r="P41" s="344"/>
      <c r="Q41" s="371">
        <f t="shared" si="1"/>
        <v>1332</v>
      </c>
      <c r="R41" s="107"/>
    </row>
    <row r="42" spans="1:19" s="4" customFormat="1" x14ac:dyDescent="0.25">
      <c r="A42" s="43">
        <v>75015</v>
      </c>
      <c r="B42" s="14" t="s">
        <v>517</v>
      </c>
      <c r="C42" s="55" t="s">
        <v>518</v>
      </c>
      <c r="D42" s="58" t="s">
        <v>187</v>
      </c>
      <c r="E42" s="59" t="s">
        <v>48</v>
      </c>
      <c r="F42" s="45">
        <v>34</v>
      </c>
      <c r="G42" s="45">
        <v>338</v>
      </c>
      <c r="H42" s="45" t="s">
        <v>48</v>
      </c>
      <c r="I42" s="28">
        <v>268</v>
      </c>
      <c r="J42" s="343"/>
      <c r="K42" s="77"/>
      <c r="L42" s="77"/>
      <c r="M42" s="77"/>
      <c r="N42" s="77"/>
      <c r="O42" s="77"/>
      <c r="P42" s="344"/>
      <c r="Q42" s="371">
        <f t="shared" si="1"/>
        <v>640</v>
      </c>
      <c r="R42" s="107"/>
    </row>
    <row r="43" spans="1:19" s="4" customFormat="1" x14ac:dyDescent="0.25">
      <c r="A43" s="43">
        <v>75015</v>
      </c>
      <c r="B43" s="14" t="s">
        <v>651</v>
      </c>
      <c r="C43" s="55" t="s">
        <v>652</v>
      </c>
      <c r="D43" s="58" t="s">
        <v>188</v>
      </c>
      <c r="E43" s="59">
        <v>120</v>
      </c>
      <c r="F43" s="45" t="s">
        <v>48</v>
      </c>
      <c r="G43" s="45">
        <v>88</v>
      </c>
      <c r="H43" s="45" t="s">
        <v>48</v>
      </c>
      <c r="I43" s="28">
        <v>188</v>
      </c>
      <c r="J43" s="343"/>
      <c r="K43" s="77"/>
      <c r="L43" s="77"/>
      <c r="M43" s="77"/>
      <c r="N43" s="77"/>
      <c r="O43" s="77"/>
      <c r="P43" s="344"/>
      <c r="Q43" s="371">
        <f t="shared" si="1"/>
        <v>396</v>
      </c>
      <c r="R43" s="107"/>
    </row>
    <row r="44" spans="1:19" s="4" customFormat="1" x14ac:dyDescent="0.25">
      <c r="A44" s="43">
        <v>75015</v>
      </c>
      <c r="B44" s="14" t="s">
        <v>1064</v>
      </c>
      <c r="C44" s="55" t="s">
        <v>1065</v>
      </c>
      <c r="D44" s="58" t="s">
        <v>187</v>
      </c>
      <c r="E44" s="59" t="s">
        <v>48</v>
      </c>
      <c r="F44" s="45" t="s">
        <v>48</v>
      </c>
      <c r="G44" s="45" t="s">
        <v>48</v>
      </c>
      <c r="H44" s="45">
        <v>327</v>
      </c>
      <c r="I44" s="28">
        <v>646</v>
      </c>
      <c r="J44" s="343"/>
      <c r="K44" s="77"/>
      <c r="L44" s="77"/>
      <c r="M44" s="77"/>
      <c r="N44" s="77"/>
      <c r="O44" s="77"/>
      <c r="P44" s="344"/>
      <c r="Q44" s="371">
        <f t="shared" si="1"/>
        <v>973</v>
      </c>
      <c r="R44" s="107"/>
    </row>
    <row r="45" spans="1:19" s="4" customFormat="1" x14ac:dyDescent="0.25">
      <c r="A45" s="43">
        <v>75015</v>
      </c>
      <c r="B45" s="14" t="s">
        <v>653</v>
      </c>
      <c r="C45" s="55" t="s">
        <v>654</v>
      </c>
      <c r="D45" s="58" t="s">
        <v>187</v>
      </c>
      <c r="E45" s="59">
        <v>178</v>
      </c>
      <c r="F45" s="45"/>
      <c r="G45" s="45">
        <v>364</v>
      </c>
      <c r="H45" s="45">
        <v>384</v>
      </c>
      <c r="I45" s="28">
        <v>1054</v>
      </c>
      <c r="J45" s="343"/>
      <c r="K45" s="77"/>
      <c r="L45" s="77"/>
      <c r="M45" s="77"/>
      <c r="N45" s="77"/>
      <c r="O45" s="77"/>
      <c r="P45" s="344"/>
      <c r="Q45" s="371">
        <f t="shared" si="1"/>
        <v>1980</v>
      </c>
      <c r="R45" s="107"/>
    </row>
    <row r="46" spans="1:19" s="4" customFormat="1" x14ac:dyDescent="0.25">
      <c r="A46" s="43">
        <v>75015</v>
      </c>
      <c r="B46" s="14" t="s">
        <v>519</v>
      </c>
      <c r="C46" s="55" t="s">
        <v>520</v>
      </c>
      <c r="D46" s="58" t="s">
        <v>186</v>
      </c>
      <c r="E46" s="59" t="s">
        <v>48</v>
      </c>
      <c r="F46" s="45">
        <v>298</v>
      </c>
      <c r="G46" s="45" t="s">
        <v>48</v>
      </c>
      <c r="H46" s="45" t="s">
        <v>48</v>
      </c>
      <c r="I46" s="28" t="s">
        <v>48</v>
      </c>
      <c r="J46" s="343"/>
      <c r="K46" s="77"/>
      <c r="L46" s="77"/>
      <c r="M46" s="77"/>
      <c r="N46" s="77"/>
      <c r="O46" s="77"/>
      <c r="P46" s="344"/>
      <c r="Q46" s="371">
        <f t="shared" si="1"/>
        <v>298</v>
      </c>
      <c r="R46" s="107"/>
    </row>
    <row r="47" spans="1:19" s="4" customFormat="1" ht="15.75" thickBot="1" x14ac:dyDescent="0.3">
      <c r="A47" s="43">
        <v>75015</v>
      </c>
      <c r="B47" s="14" t="s">
        <v>655</v>
      </c>
      <c r="C47" s="55" t="s">
        <v>656</v>
      </c>
      <c r="D47" s="58" t="s">
        <v>188</v>
      </c>
      <c r="E47" s="59">
        <v>1039</v>
      </c>
      <c r="F47" s="45" t="s">
        <v>48</v>
      </c>
      <c r="G47" s="45">
        <v>494</v>
      </c>
      <c r="H47" s="45">
        <v>230</v>
      </c>
      <c r="I47" s="28">
        <v>278</v>
      </c>
      <c r="J47" s="343"/>
      <c r="K47" s="77"/>
      <c r="L47" s="77"/>
      <c r="M47" s="77"/>
      <c r="N47" s="77"/>
      <c r="O47" s="77"/>
      <c r="P47" s="344"/>
      <c r="Q47" s="371">
        <f t="shared" si="1"/>
        <v>2041</v>
      </c>
      <c r="R47" s="107"/>
    </row>
    <row r="48" spans="1:19" s="4" customFormat="1" ht="15.75" thickBot="1" x14ac:dyDescent="0.3">
      <c r="A48" s="382" t="s">
        <v>10</v>
      </c>
      <c r="B48" s="383">
        <f>SUBTOTAL(103,Ventes15ème[Hotel])</f>
        <v>44</v>
      </c>
      <c r="C48" s="384"/>
      <c r="D48" s="382"/>
      <c r="E48" s="385">
        <f>SUBTOTAL(109,Ventes15ème[Janv])</f>
        <v>5919</v>
      </c>
      <c r="F48" s="386">
        <f>SUBTOTAL(109,Ventes15ème[Fév])</f>
        <v>4186</v>
      </c>
      <c r="G48" s="387">
        <f>SUBTOTAL(109,Ventes15ème[mars])</f>
        <v>12236</v>
      </c>
      <c r="H48" s="334">
        <f>SUBTOTAL(109,Ventes15ème[Avril])</f>
        <v>8570</v>
      </c>
      <c r="I48" s="334">
        <f>SUBTOTAL(109,Ventes15ème[Mai])</f>
        <v>12519</v>
      </c>
      <c r="J48" s="334">
        <f>SUBTOTAL(109,Ventes15ème[Juin])</f>
        <v>0</v>
      </c>
      <c r="K48" s="334">
        <f>SUBTOTAL(109,Ventes15ème[Juillet])</f>
        <v>0</v>
      </c>
      <c r="L48" s="336">
        <f>SUBTOTAL(109,Ventes15ème[Août])</f>
        <v>0</v>
      </c>
      <c r="M48" s="336">
        <f>SUBTOTAL(109,Ventes15ème[Sept.])</f>
        <v>0</v>
      </c>
      <c r="N48" s="336">
        <f>SUBTOTAL(109,Ventes15ème[Oct])</f>
        <v>0</v>
      </c>
      <c r="O48" s="336">
        <f>SUBTOTAL(109,Ventes15ème[Nov.])</f>
        <v>0</v>
      </c>
      <c r="P48" s="337">
        <f>SUBTOTAL(109,Ventes15ème[déc])</f>
        <v>0</v>
      </c>
      <c r="Q48" s="388">
        <f>SUBTOTAL(109,Ventes15ème[TOTAL])</f>
        <v>43430</v>
      </c>
      <c r="R48" s="378"/>
      <c r="S48" s="80"/>
    </row>
    <row r="49" spans="1:19" s="4" customFormat="1" ht="15.75" thickBot="1" x14ac:dyDescent="0.3">
      <c r="A49" s="62"/>
      <c r="B49" s="62"/>
      <c r="C49" s="62"/>
      <c r="D49" s="62"/>
      <c r="E49" s="62"/>
      <c r="F49" s="62"/>
      <c r="G49" s="62"/>
      <c r="H49" s="62"/>
      <c r="I49" s="64"/>
      <c r="J49" s="62"/>
      <c r="K49" s="64"/>
      <c r="L49" s="335"/>
      <c r="M49" s="335"/>
      <c r="N49" s="335"/>
      <c r="O49" s="335"/>
      <c r="P49" s="335"/>
      <c r="Q49" s="64"/>
      <c r="R49" s="62"/>
      <c r="S49" s="80"/>
    </row>
    <row r="50" spans="1:19" ht="30" x14ac:dyDescent="0.25">
      <c r="A50" s="389" t="s">
        <v>36</v>
      </c>
      <c r="B50" s="338">
        <v>104</v>
      </c>
      <c r="C50" s="62"/>
      <c r="D50" s="62"/>
      <c r="E50" s="62"/>
      <c r="F50" s="62"/>
      <c r="G50" s="62"/>
      <c r="H50" s="62"/>
      <c r="I50" s="62"/>
      <c r="J50" s="390"/>
      <c r="K50" s="64"/>
      <c r="L50" s="335"/>
      <c r="M50" s="335"/>
      <c r="N50" s="335"/>
      <c r="O50" s="335"/>
      <c r="P50" s="335"/>
      <c r="Q50" s="64"/>
      <c r="R50" s="62"/>
    </row>
    <row r="51" spans="1:19" ht="30.75" thickBot="1" x14ac:dyDescent="0.3">
      <c r="A51" s="391" t="s">
        <v>1330</v>
      </c>
      <c r="B51" s="339">
        <f>Ventes15ème[[#Totals],[Hotel]]/B50</f>
        <v>0.42307692307692307</v>
      </c>
      <c r="C51" s="413"/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25"/>
  <sheetViews>
    <sheetView zoomScale="80" zoomScaleNormal="80" workbookViewId="0"/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160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396">
        <v>75016</v>
      </c>
      <c r="B4" s="425" t="s">
        <v>1298</v>
      </c>
      <c r="C4" s="447" t="s">
        <v>1299</v>
      </c>
      <c r="D4" s="152" t="s">
        <v>320</v>
      </c>
      <c r="E4" s="153" t="s">
        <v>48</v>
      </c>
      <c r="F4" s="155" t="s">
        <v>48</v>
      </c>
      <c r="G4" s="155" t="s">
        <v>48</v>
      </c>
      <c r="H4" s="155" t="s">
        <v>48</v>
      </c>
      <c r="I4" s="320">
        <v>88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88</v>
      </c>
      <c r="R4" s="278" t="s">
        <v>1300</v>
      </c>
    </row>
    <row r="5" spans="1:19" s="4" customFormat="1" x14ac:dyDescent="0.25">
      <c r="A5" s="396">
        <v>75016</v>
      </c>
      <c r="B5" s="420" t="s">
        <v>521</v>
      </c>
      <c r="C5" s="447" t="s">
        <v>522</v>
      </c>
      <c r="D5" s="152" t="s">
        <v>187</v>
      </c>
      <c r="E5" s="153">
        <v>300</v>
      </c>
      <c r="F5" s="155">
        <v>328</v>
      </c>
      <c r="G5" s="155">
        <v>166</v>
      </c>
      <c r="H5" s="155" t="s">
        <v>48</v>
      </c>
      <c r="I5" s="155">
        <v>88</v>
      </c>
      <c r="J5" s="343"/>
      <c r="K5" s="77"/>
      <c r="L5" s="77"/>
      <c r="M5" s="77"/>
      <c r="N5" s="77"/>
      <c r="O5" s="77"/>
      <c r="P5" s="344"/>
      <c r="Q5" s="371">
        <f t="shared" si="0"/>
        <v>882</v>
      </c>
      <c r="R5" s="91"/>
    </row>
    <row r="6" spans="1:19" s="4" customFormat="1" ht="15" customHeight="1" x14ac:dyDescent="0.25">
      <c r="A6" s="396">
        <v>75016</v>
      </c>
      <c r="B6" s="454" t="s">
        <v>523</v>
      </c>
      <c r="C6" s="455" t="s">
        <v>524</v>
      </c>
      <c r="D6" s="448" t="s">
        <v>188</v>
      </c>
      <c r="E6" s="449" t="s">
        <v>48</v>
      </c>
      <c r="F6" s="450">
        <v>88</v>
      </c>
      <c r="G6" s="155">
        <v>140</v>
      </c>
      <c r="H6" s="155">
        <v>200</v>
      </c>
      <c r="I6" s="155">
        <v>249</v>
      </c>
      <c r="J6" s="343"/>
      <c r="K6" s="77"/>
      <c r="L6" s="77"/>
      <c r="M6" s="77"/>
      <c r="N6" s="77"/>
      <c r="O6" s="77"/>
      <c r="P6" s="344"/>
      <c r="Q6" s="371">
        <f t="shared" si="0"/>
        <v>677</v>
      </c>
      <c r="R6" s="107"/>
    </row>
    <row r="7" spans="1:19" s="4" customFormat="1" x14ac:dyDescent="0.25">
      <c r="A7" s="396">
        <v>75016</v>
      </c>
      <c r="B7" s="454" t="s">
        <v>657</v>
      </c>
      <c r="C7" s="455" t="s">
        <v>658</v>
      </c>
      <c r="D7" s="448" t="s">
        <v>188</v>
      </c>
      <c r="E7" s="449">
        <v>106</v>
      </c>
      <c r="F7" s="450" t="s">
        <v>48</v>
      </c>
      <c r="G7" s="155" t="s">
        <v>48</v>
      </c>
      <c r="H7" s="155">
        <v>386</v>
      </c>
      <c r="I7" s="155">
        <v>307</v>
      </c>
      <c r="J7" s="343"/>
      <c r="K7" s="77"/>
      <c r="L7" s="77"/>
      <c r="M7" s="77"/>
      <c r="N7" s="77"/>
      <c r="O7" s="77"/>
      <c r="P7" s="344"/>
      <c r="Q7" s="371">
        <f t="shared" si="0"/>
        <v>799</v>
      </c>
      <c r="R7" s="112"/>
    </row>
    <row r="8" spans="1:19" s="4" customFormat="1" x14ac:dyDescent="0.25">
      <c r="A8" s="396">
        <v>75016</v>
      </c>
      <c r="B8" s="454" t="s">
        <v>525</v>
      </c>
      <c r="C8" s="455" t="s">
        <v>526</v>
      </c>
      <c r="D8" s="448" t="s">
        <v>186</v>
      </c>
      <c r="E8" s="449">
        <v>251</v>
      </c>
      <c r="F8" s="450">
        <v>615</v>
      </c>
      <c r="G8" s="155">
        <v>102</v>
      </c>
      <c r="H8" s="155">
        <v>336</v>
      </c>
      <c r="I8" s="155" t="s">
        <v>48</v>
      </c>
      <c r="J8" s="343"/>
      <c r="K8" s="77"/>
      <c r="L8" s="77"/>
      <c r="M8" s="77"/>
      <c r="N8" s="77"/>
      <c r="O8" s="77"/>
      <c r="P8" s="344"/>
      <c r="Q8" s="371">
        <f t="shared" si="0"/>
        <v>1304</v>
      </c>
      <c r="R8" s="91"/>
    </row>
    <row r="9" spans="1:19" s="4" customFormat="1" ht="30" x14ac:dyDescent="0.25">
      <c r="A9" s="396">
        <v>75016</v>
      </c>
      <c r="B9" s="456" t="s">
        <v>527</v>
      </c>
      <c r="C9" s="455" t="s">
        <v>528</v>
      </c>
      <c r="D9" s="448" t="s">
        <v>188</v>
      </c>
      <c r="E9" s="449" t="s">
        <v>48</v>
      </c>
      <c r="F9" s="451">
        <v>20</v>
      </c>
      <c r="G9" s="155" t="s">
        <v>48</v>
      </c>
      <c r="H9" s="155" t="s">
        <v>48</v>
      </c>
      <c r="I9" s="155" t="s">
        <v>48</v>
      </c>
      <c r="J9" s="343"/>
      <c r="K9" s="77"/>
      <c r="L9" s="77"/>
      <c r="M9" s="77"/>
      <c r="N9" s="77"/>
      <c r="O9" s="77"/>
      <c r="P9" s="344"/>
      <c r="Q9" s="371">
        <f t="shared" ref="Q9:Q21" si="1">SUM(E9:P9)</f>
        <v>20</v>
      </c>
      <c r="R9" s="393" t="s">
        <v>529</v>
      </c>
    </row>
    <row r="10" spans="1:19" s="4" customFormat="1" x14ac:dyDescent="0.25">
      <c r="A10" s="396">
        <v>75016</v>
      </c>
      <c r="B10" s="454" t="s">
        <v>1066</v>
      </c>
      <c r="C10" s="455" t="s">
        <v>1336</v>
      </c>
      <c r="D10" s="448" t="s">
        <v>188</v>
      </c>
      <c r="E10" s="449" t="s">
        <v>48</v>
      </c>
      <c r="F10" s="450" t="s">
        <v>48</v>
      </c>
      <c r="G10" s="155" t="s">
        <v>48</v>
      </c>
      <c r="H10" s="155">
        <v>146</v>
      </c>
      <c r="I10" s="155">
        <v>94</v>
      </c>
      <c r="J10" s="343"/>
      <c r="K10" s="77"/>
      <c r="L10" s="77"/>
      <c r="M10" s="77"/>
      <c r="N10" s="77"/>
      <c r="O10" s="77"/>
      <c r="P10" s="344"/>
      <c r="Q10" s="371">
        <f t="shared" si="1"/>
        <v>240</v>
      </c>
      <c r="R10" s="112"/>
    </row>
    <row r="11" spans="1:19" s="4" customFormat="1" x14ac:dyDescent="0.25">
      <c r="A11" s="396">
        <v>75016</v>
      </c>
      <c r="B11" s="454" t="s">
        <v>1006</v>
      </c>
      <c r="C11" s="455" t="s">
        <v>1007</v>
      </c>
      <c r="D11" s="448" t="s">
        <v>681</v>
      </c>
      <c r="E11" s="449" t="s">
        <v>48</v>
      </c>
      <c r="F11" s="450" t="s">
        <v>48</v>
      </c>
      <c r="G11" s="155">
        <v>325</v>
      </c>
      <c r="H11" s="155">
        <v>405</v>
      </c>
      <c r="I11" s="155" t="s">
        <v>48</v>
      </c>
      <c r="J11" s="343"/>
      <c r="K11" s="77"/>
      <c r="L11" s="77"/>
      <c r="M11" s="77"/>
      <c r="N11" s="77"/>
      <c r="O11" s="77"/>
      <c r="P11" s="344"/>
      <c r="Q11" s="371">
        <f t="shared" si="1"/>
        <v>730</v>
      </c>
      <c r="R11" s="112"/>
    </row>
    <row r="12" spans="1:19" s="4" customFormat="1" x14ac:dyDescent="0.25">
      <c r="A12" s="396">
        <v>75016</v>
      </c>
      <c r="B12" s="454" t="s">
        <v>659</v>
      </c>
      <c r="C12" s="455" t="s">
        <v>660</v>
      </c>
      <c r="D12" s="448" t="s">
        <v>187</v>
      </c>
      <c r="E12" s="449">
        <v>211</v>
      </c>
      <c r="F12" s="450" t="s">
        <v>48</v>
      </c>
      <c r="G12" s="155" t="s">
        <v>48</v>
      </c>
      <c r="H12" s="155" t="s">
        <v>48</v>
      </c>
      <c r="I12" s="155" t="s">
        <v>48</v>
      </c>
      <c r="J12" s="343"/>
      <c r="K12" s="77"/>
      <c r="L12" s="77"/>
      <c r="M12" s="77"/>
      <c r="N12" s="77"/>
      <c r="O12" s="77"/>
      <c r="P12" s="344"/>
      <c r="Q12" s="371">
        <f t="shared" si="1"/>
        <v>211</v>
      </c>
      <c r="R12" s="112"/>
    </row>
    <row r="13" spans="1:19" s="4" customFormat="1" x14ac:dyDescent="0.25">
      <c r="A13" s="396">
        <v>75016</v>
      </c>
      <c r="B13" s="454" t="s">
        <v>1067</v>
      </c>
      <c r="C13" s="455" t="s">
        <v>1068</v>
      </c>
      <c r="D13" s="448" t="s">
        <v>186</v>
      </c>
      <c r="E13" s="449" t="s">
        <v>48</v>
      </c>
      <c r="F13" s="450" t="s">
        <v>48</v>
      </c>
      <c r="G13" s="155" t="s">
        <v>48</v>
      </c>
      <c r="H13" s="155">
        <v>180</v>
      </c>
      <c r="I13" s="155" t="s">
        <v>48</v>
      </c>
      <c r="J13" s="343"/>
      <c r="K13" s="77"/>
      <c r="L13" s="77"/>
      <c r="M13" s="77"/>
      <c r="N13" s="77"/>
      <c r="O13" s="77"/>
      <c r="P13" s="344"/>
      <c r="Q13" s="371">
        <f t="shared" si="1"/>
        <v>180</v>
      </c>
      <c r="R13" s="112"/>
    </row>
    <row r="14" spans="1:19" s="4" customFormat="1" x14ac:dyDescent="0.25">
      <c r="A14" s="396">
        <v>75016</v>
      </c>
      <c r="B14" s="454" t="s">
        <v>1069</v>
      </c>
      <c r="C14" s="455" t="s">
        <v>1335</v>
      </c>
      <c r="D14" s="448" t="s">
        <v>186</v>
      </c>
      <c r="E14" s="449" t="s">
        <v>48</v>
      </c>
      <c r="F14" s="450" t="s">
        <v>48</v>
      </c>
      <c r="G14" s="155" t="s">
        <v>48</v>
      </c>
      <c r="H14" s="155">
        <v>238</v>
      </c>
      <c r="I14" s="155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238</v>
      </c>
      <c r="R14" s="112"/>
    </row>
    <row r="15" spans="1:19" s="4" customFormat="1" x14ac:dyDescent="0.25">
      <c r="A15" s="396">
        <v>75016</v>
      </c>
      <c r="B15" s="454" t="s">
        <v>1301</v>
      </c>
      <c r="C15" s="455" t="s">
        <v>1302</v>
      </c>
      <c r="D15" s="448" t="s">
        <v>188</v>
      </c>
      <c r="E15" s="449" t="s">
        <v>48</v>
      </c>
      <c r="F15" s="450" t="s">
        <v>48</v>
      </c>
      <c r="G15" s="155" t="s">
        <v>48</v>
      </c>
      <c r="H15" s="155" t="s">
        <v>48</v>
      </c>
      <c r="I15" s="155">
        <v>64</v>
      </c>
      <c r="J15" s="343"/>
      <c r="K15" s="77"/>
      <c r="L15" s="77"/>
      <c r="M15" s="77"/>
      <c r="N15" s="77"/>
      <c r="O15" s="77"/>
      <c r="P15" s="344"/>
      <c r="Q15" s="371">
        <f t="shared" si="1"/>
        <v>64</v>
      </c>
      <c r="R15" s="112"/>
    </row>
    <row r="16" spans="1:19" s="4" customFormat="1" x14ac:dyDescent="0.25">
      <c r="A16" s="396">
        <v>75016</v>
      </c>
      <c r="B16" s="454" t="s">
        <v>1008</v>
      </c>
      <c r="C16" s="455" t="s">
        <v>1009</v>
      </c>
      <c r="D16" s="448" t="s">
        <v>186</v>
      </c>
      <c r="E16" s="449" t="s">
        <v>48</v>
      </c>
      <c r="F16" s="450" t="s">
        <v>48</v>
      </c>
      <c r="G16" s="155">
        <v>298</v>
      </c>
      <c r="H16" s="155" t="s">
        <v>48</v>
      </c>
      <c r="I16" s="155" t="s">
        <v>48</v>
      </c>
      <c r="J16" s="343"/>
      <c r="K16" s="77"/>
      <c r="L16" s="77"/>
      <c r="M16" s="77"/>
      <c r="N16" s="77"/>
      <c r="O16" s="77"/>
      <c r="P16" s="344"/>
      <c r="Q16" s="371">
        <f t="shared" si="1"/>
        <v>298</v>
      </c>
      <c r="R16" s="112"/>
    </row>
    <row r="17" spans="1:19" s="4" customFormat="1" x14ac:dyDescent="0.25">
      <c r="A17" s="396">
        <v>75016</v>
      </c>
      <c r="B17" s="454" t="s">
        <v>530</v>
      </c>
      <c r="C17" s="455" t="s">
        <v>531</v>
      </c>
      <c r="D17" s="448" t="s">
        <v>188</v>
      </c>
      <c r="E17" s="449" t="s">
        <v>48</v>
      </c>
      <c r="F17" s="450">
        <v>384</v>
      </c>
      <c r="G17" s="155" t="s">
        <v>48</v>
      </c>
      <c r="H17" s="155" t="s">
        <v>48</v>
      </c>
      <c r="I17" s="155">
        <v>84</v>
      </c>
      <c r="J17" s="343"/>
      <c r="K17" s="77"/>
      <c r="L17" s="77"/>
      <c r="M17" s="77"/>
      <c r="N17" s="77"/>
      <c r="O17" s="77"/>
      <c r="P17" s="344"/>
      <c r="Q17" s="371">
        <f t="shared" si="1"/>
        <v>468</v>
      </c>
      <c r="R17" s="91"/>
    </row>
    <row r="18" spans="1:19" s="4" customFormat="1" ht="30" x14ac:dyDescent="0.25">
      <c r="A18" s="396">
        <v>75016</v>
      </c>
      <c r="B18" s="457" t="s">
        <v>1070</v>
      </c>
      <c r="C18" s="365" t="s">
        <v>1071</v>
      </c>
      <c r="D18" s="366" t="s">
        <v>188</v>
      </c>
      <c r="E18" s="452" t="s">
        <v>48</v>
      </c>
      <c r="F18" s="453" t="s">
        <v>48</v>
      </c>
      <c r="G18" s="155" t="s">
        <v>48</v>
      </c>
      <c r="H18" s="155">
        <v>142</v>
      </c>
      <c r="I18" s="155" t="s">
        <v>48</v>
      </c>
      <c r="J18" s="419"/>
      <c r="K18" s="77"/>
      <c r="L18" s="77"/>
      <c r="M18" s="77"/>
      <c r="N18" s="77"/>
      <c r="O18" s="77"/>
      <c r="P18" s="344"/>
      <c r="Q18" s="371">
        <f t="shared" si="1"/>
        <v>142</v>
      </c>
      <c r="R18" s="91"/>
    </row>
    <row r="19" spans="1:19" s="4" customFormat="1" x14ac:dyDescent="0.25">
      <c r="A19" s="396">
        <v>75016</v>
      </c>
      <c r="B19" s="458" t="s">
        <v>1072</v>
      </c>
      <c r="C19" s="365" t="s">
        <v>1073</v>
      </c>
      <c r="D19" s="366" t="s">
        <v>320</v>
      </c>
      <c r="E19" s="452" t="s">
        <v>48</v>
      </c>
      <c r="F19" s="453" t="s">
        <v>48</v>
      </c>
      <c r="G19" s="155" t="s">
        <v>48</v>
      </c>
      <c r="H19" s="320">
        <v>178</v>
      </c>
      <c r="I19" s="155" t="s">
        <v>48</v>
      </c>
      <c r="J19" s="343"/>
      <c r="K19" s="77"/>
      <c r="L19" s="77"/>
      <c r="M19" s="77"/>
      <c r="N19" s="77"/>
      <c r="O19" s="77"/>
      <c r="P19" s="344"/>
      <c r="Q19" s="371">
        <f t="shared" si="1"/>
        <v>178</v>
      </c>
      <c r="R19" s="278" t="s">
        <v>1074</v>
      </c>
    </row>
    <row r="20" spans="1:19" s="4" customFormat="1" x14ac:dyDescent="0.25">
      <c r="A20" s="396">
        <v>75016</v>
      </c>
      <c r="B20" s="457" t="s">
        <v>532</v>
      </c>
      <c r="C20" s="365" t="s">
        <v>533</v>
      </c>
      <c r="D20" s="366" t="s">
        <v>187</v>
      </c>
      <c r="E20" s="452">
        <v>36</v>
      </c>
      <c r="F20" s="453">
        <v>286</v>
      </c>
      <c r="G20" s="155" t="s">
        <v>48</v>
      </c>
      <c r="H20" s="155">
        <v>494</v>
      </c>
      <c r="I20" s="155">
        <v>1685</v>
      </c>
      <c r="J20" s="343"/>
      <c r="K20" s="77"/>
      <c r="L20" s="77"/>
      <c r="M20" s="77"/>
      <c r="N20" s="77"/>
      <c r="O20" s="77"/>
      <c r="P20" s="344"/>
      <c r="Q20" s="371">
        <f t="shared" si="1"/>
        <v>2501</v>
      </c>
      <c r="R20" s="377"/>
    </row>
    <row r="21" spans="1:19" s="4" customFormat="1" ht="15.75" thickBot="1" x14ac:dyDescent="0.3">
      <c r="A21" s="396">
        <v>75016</v>
      </c>
      <c r="B21" s="457" t="s">
        <v>534</v>
      </c>
      <c r="C21" s="365" t="s">
        <v>535</v>
      </c>
      <c r="D21" s="366" t="s">
        <v>188</v>
      </c>
      <c r="E21" s="452" t="s">
        <v>48</v>
      </c>
      <c r="F21" s="453">
        <v>178</v>
      </c>
      <c r="G21" s="155" t="s">
        <v>48</v>
      </c>
      <c r="H21" s="155">
        <v>120</v>
      </c>
      <c r="I21" s="155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298</v>
      </c>
      <c r="R21" s="374"/>
    </row>
    <row r="22" spans="1:19" s="4" customFormat="1" ht="15.75" thickBot="1" x14ac:dyDescent="0.3">
      <c r="A22" s="382" t="s">
        <v>10</v>
      </c>
      <c r="B22" s="383">
        <f>SUBTOTAL(103,Ventes16ème[Hotel])</f>
        <v>18</v>
      </c>
      <c r="C22" s="384"/>
      <c r="D22" s="382"/>
      <c r="E22" s="385">
        <f>SUBTOTAL(109,Ventes16ème[Janv])</f>
        <v>904</v>
      </c>
      <c r="F22" s="386">
        <f>SUBTOTAL(109,Ventes16ème[Fév])</f>
        <v>1899</v>
      </c>
      <c r="G22" s="387">
        <f>SUBTOTAL(109,Ventes16ème[mars])</f>
        <v>1031</v>
      </c>
      <c r="H22" s="334">
        <f>SUBTOTAL(109,Ventes16ème[Avril])</f>
        <v>2825</v>
      </c>
      <c r="I22" s="334">
        <f>SUBTOTAL(109,Ventes16ème[Mai])</f>
        <v>2659</v>
      </c>
      <c r="J22" s="334">
        <f>SUBTOTAL(109,Ventes16ème[Juin])</f>
        <v>0</v>
      </c>
      <c r="K22" s="334">
        <f>SUBTOTAL(109,Ventes16ème[Juillet])</f>
        <v>0</v>
      </c>
      <c r="L22" s="336">
        <f>SUBTOTAL(109,Ventes16ème[Août])</f>
        <v>0</v>
      </c>
      <c r="M22" s="336">
        <f>SUBTOTAL(109,Ventes16ème[Sept.])</f>
        <v>0</v>
      </c>
      <c r="N22" s="336">
        <f>SUBTOTAL(109,Ventes16ème[Oct])</f>
        <v>0</v>
      </c>
      <c r="O22" s="336">
        <f>SUBTOTAL(109,Ventes16ème[Nov.])</f>
        <v>0</v>
      </c>
      <c r="P22" s="337">
        <f>SUBTOTAL(109,Ventes16ème[déc])</f>
        <v>0</v>
      </c>
      <c r="Q22" s="388">
        <f>SUBTOTAL(109,Ventes16ème[TOTAL])</f>
        <v>9318</v>
      </c>
      <c r="R22" s="378"/>
      <c r="S22" s="80"/>
    </row>
    <row r="23" spans="1:19" s="4" customFormat="1" ht="15.75" thickBot="1" x14ac:dyDescent="0.3">
      <c r="A23" s="62"/>
      <c r="B23" s="62"/>
      <c r="C23" s="62"/>
      <c r="D23" s="62"/>
      <c r="E23" s="62"/>
      <c r="F23" s="62"/>
      <c r="G23" s="62"/>
      <c r="H23" s="62"/>
      <c r="I23" s="64"/>
      <c r="J23" s="62"/>
      <c r="K23" s="64"/>
      <c r="L23" s="335"/>
      <c r="M23" s="335"/>
      <c r="N23" s="335"/>
      <c r="O23" s="335"/>
      <c r="P23" s="335"/>
      <c r="Q23" s="64"/>
      <c r="R23" s="62"/>
      <c r="S23" s="80"/>
    </row>
    <row r="24" spans="1:19" ht="30" x14ac:dyDescent="0.25">
      <c r="A24" s="389" t="s">
        <v>36</v>
      </c>
      <c r="B24" s="338">
        <v>70</v>
      </c>
      <c r="C24" s="62"/>
      <c r="D24" s="62"/>
      <c r="E24" s="62"/>
      <c r="F24" s="62"/>
      <c r="G24" s="62"/>
      <c r="H24" s="62"/>
      <c r="I24" s="62"/>
      <c r="J24" s="390"/>
      <c r="K24" s="64"/>
      <c r="L24" s="335"/>
      <c r="M24" s="335"/>
      <c r="N24" s="335"/>
      <c r="O24" s="335"/>
      <c r="P24" s="335"/>
      <c r="Q24" s="64"/>
      <c r="R24" s="62"/>
    </row>
    <row r="25" spans="1:19" ht="30.75" thickBot="1" x14ac:dyDescent="0.3">
      <c r="A25" s="391" t="s">
        <v>1330</v>
      </c>
      <c r="B25" s="339">
        <f>Ventes16ème[[#Totals],[Hotel]]/B24</f>
        <v>0.25714285714285712</v>
      </c>
      <c r="C25" s="413"/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46"/>
  <sheetViews>
    <sheetView zoomScale="80" zoomScaleNormal="80" workbookViewId="0">
      <selection activeCell="G35" sqref="G35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161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438" t="s">
        <v>2</v>
      </c>
      <c r="D3" s="23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396">
        <v>75017</v>
      </c>
      <c r="B4" s="420" t="s">
        <v>536</v>
      </c>
      <c r="C4" s="427" t="s">
        <v>537</v>
      </c>
      <c r="D4" s="464" t="s">
        <v>186</v>
      </c>
      <c r="E4" s="422">
        <v>174</v>
      </c>
      <c r="F4" s="423">
        <v>104</v>
      </c>
      <c r="G4" s="423">
        <v>100</v>
      </c>
      <c r="H4" s="423">
        <v>529</v>
      </c>
      <c r="I4" s="423">
        <v>438</v>
      </c>
      <c r="J4" s="343"/>
      <c r="K4" s="77"/>
      <c r="L4" s="77"/>
      <c r="M4" s="77"/>
      <c r="N4" s="77"/>
      <c r="O4" s="77"/>
      <c r="P4" s="344"/>
      <c r="Q4" s="371">
        <f t="shared" ref="Q4:Q42" si="0">SUM(E4:P4)</f>
        <v>1345</v>
      </c>
      <c r="R4" s="97"/>
    </row>
    <row r="5" spans="1:19" s="4" customFormat="1" x14ac:dyDescent="0.25">
      <c r="A5" s="396">
        <v>75017</v>
      </c>
      <c r="B5" s="425" t="s">
        <v>1303</v>
      </c>
      <c r="C5" s="427" t="s">
        <v>1304</v>
      </c>
      <c r="D5" s="464" t="s">
        <v>188</v>
      </c>
      <c r="E5" s="422" t="s">
        <v>48</v>
      </c>
      <c r="F5" s="423" t="s">
        <v>48</v>
      </c>
      <c r="G5" s="423" t="s">
        <v>48</v>
      </c>
      <c r="H5" s="423" t="s">
        <v>48</v>
      </c>
      <c r="I5" s="426">
        <v>36</v>
      </c>
      <c r="J5" s="343"/>
      <c r="K5" s="77"/>
      <c r="L5" s="77"/>
      <c r="M5" s="77"/>
      <c r="N5" s="77"/>
      <c r="O5" s="77"/>
      <c r="P5" s="344"/>
      <c r="Q5" s="371">
        <f t="shared" ref="Q5:Q39" si="1">SUM(E5:P5)</f>
        <v>36</v>
      </c>
      <c r="R5" s="321" t="s">
        <v>579</v>
      </c>
    </row>
    <row r="6" spans="1:19" s="4" customFormat="1" ht="30" x14ac:dyDescent="0.25">
      <c r="A6" s="396">
        <v>75017</v>
      </c>
      <c r="B6" s="420" t="s">
        <v>538</v>
      </c>
      <c r="C6" s="427" t="s">
        <v>539</v>
      </c>
      <c r="D6" s="464" t="s">
        <v>186</v>
      </c>
      <c r="E6" s="422" t="s">
        <v>48</v>
      </c>
      <c r="F6" s="423">
        <v>36</v>
      </c>
      <c r="G6" s="423">
        <v>328</v>
      </c>
      <c r="H6" s="423">
        <v>291</v>
      </c>
      <c r="I6" s="423" t="s">
        <v>48</v>
      </c>
      <c r="J6" s="343"/>
      <c r="K6" s="77"/>
      <c r="L6" s="77"/>
      <c r="M6" s="77"/>
      <c r="N6" s="77"/>
      <c r="O6" s="77"/>
      <c r="P6" s="344"/>
      <c r="Q6" s="371">
        <f t="shared" si="1"/>
        <v>655</v>
      </c>
      <c r="R6" s="97"/>
    </row>
    <row r="7" spans="1:19" s="4" customFormat="1" x14ac:dyDescent="0.25">
      <c r="A7" s="396">
        <v>75017</v>
      </c>
      <c r="B7" s="420" t="s">
        <v>540</v>
      </c>
      <c r="C7" s="427" t="s">
        <v>541</v>
      </c>
      <c r="D7" s="464" t="s">
        <v>188</v>
      </c>
      <c r="E7" s="422" t="s">
        <v>48</v>
      </c>
      <c r="F7" s="423">
        <v>298</v>
      </c>
      <c r="G7" s="423">
        <v>148</v>
      </c>
      <c r="H7" s="423" t="s">
        <v>48</v>
      </c>
      <c r="I7" s="423">
        <v>1096</v>
      </c>
      <c r="J7" s="343"/>
      <c r="K7" s="77"/>
      <c r="L7" s="77"/>
      <c r="M7" s="77"/>
      <c r="N7" s="77"/>
      <c r="O7" s="77"/>
      <c r="P7" s="344"/>
      <c r="Q7" s="371">
        <f t="shared" si="1"/>
        <v>1542</v>
      </c>
      <c r="R7" s="108"/>
    </row>
    <row r="8" spans="1:19" s="4" customFormat="1" x14ac:dyDescent="0.25">
      <c r="A8" s="396">
        <v>75017</v>
      </c>
      <c r="B8" s="425" t="s">
        <v>1305</v>
      </c>
      <c r="C8" s="427" t="s">
        <v>1306</v>
      </c>
      <c r="D8" s="464" t="s">
        <v>320</v>
      </c>
      <c r="E8" s="422" t="s">
        <v>48</v>
      </c>
      <c r="F8" s="423" t="s">
        <v>48</v>
      </c>
      <c r="G8" s="423" t="s">
        <v>48</v>
      </c>
      <c r="H8" s="423" t="s">
        <v>48</v>
      </c>
      <c r="I8" s="426">
        <v>40</v>
      </c>
      <c r="J8" s="343"/>
      <c r="K8" s="77"/>
      <c r="L8" s="77"/>
      <c r="M8" s="77"/>
      <c r="N8" s="77"/>
      <c r="O8" s="77"/>
      <c r="P8" s="344"/>
      <c r="Q8" s="371">
        <f t="shared" si="1"/>
        <v>40</v>
      </c>
      <c r="R8" s="321" t="s">
        <v>1307</v>
      </c>
    </row>
    <row r="9" spans="1:19" s="4" customFormat="1" ht="30" x14ac:dyDescent="0.25">
      <c r="A9" s="396">
        <v>75017</v>
      </c>
      <c r="B9" s="420" t="s">
        <v>1010</v>
      </c>
      <c r="C9" s="427" t="s">
        <v>1011</v>
      </c>
      <c r="D9" s="464" t="s">
        <v>186</v>
      </c>
      <c r="E9" s="422" t="s">
        <v>48</v>
      </c>
      <c r="F9" s="423" t="s">
        <v>48</v>
      </c>
      <c r="G9" s="423">
        <v>88</v>
      </c>
      <c r="H9" s="423" t="s">
        <v>48</v>
      </c>
      <c r="I9" s="423">
        <v>188</v>
      </c>
      <c r="J9" s="343"/>
      <c r="K9" s="77"/>
      <c r="L9" s="77"/>
      <c r="M9" s="77"/>
      <c r="N9" s="77"/>
      <c r="O9" s="77"/>
      <c r="P9" s="344"/>
      <c r="Q9" s="371">
        <f t="shared" si="1"/>
        <v>276</v>
      </c>
      <c r="R9" s="108"/>
    </row>
    <row r="10" spans="1:19" s="4" customFormat="1" x14ac:dyDescent="0.25">
      <c r="A10" s="396">
        <v>75017</v>
      </c>
      <c r="B10" s="420" t="s">
        <v>542</v>
      </c>
      <c r="C10" s="427" t="s">
        <v>543</v>
      </c>
      <c r="D10" s="464" t="s">
        <v>186</v>
      </c>
      <c r="E10" s="422" t="s">
        <v>48</v>
      </c>
      <c r="F10" s="423">
        <v>68</v>
      </c>
      <c r="G10" s="423" t="s">
        <v>48</v>
      </c>
      <c r="H10" s="423" t="s">
        <v>48</v>
      </c>
      <c r="I10" s="423">
        <v>100</v>
      </c>
      <c r="J10" s="343"/>
      <c r="K10" s="77"/>
      <c r="L10" s="77"/>
      <c r="M10" s="77"/>
      <c r="N10" s="77"/>
      <c r="O10" s="77"/>
      <c r="P10" s="344"/>
      <c r="Q10" s="371">
        <f t="shared" si="1"/>
        <v>168</v>
      </c>
      <c r="R10" s="108"/>
    </row>
    <row r="11" spans="1:19" s="4" customFormat="1" x14ac:dyDescent="0.25">
      <c r="A11" s="396">
        <v>75017</v>
      </c>
      <c r="B11" s="420" t="s">
        <v>1012</v>
      </c>
      <c r="C11" s="427" t="s">
        <v>1013</v>
      </c>
      <c r="D11" s="464" t="s">
        <v>188</v>
      </c>
      <c r="E11" s="422" t="s">
        <v>48</v>
      </c>
      <c r="F11" s="423" t="s">
        <v>48</v>
      </c>
      <c r="G11" s="423">
        <v>218</v>
      </c>
      <c r="H11" s="423" t="s">
        <v>48</v>
      </c>
      <c r="I11" s="423" t="s">
        <v>48</v>
      </c>
      <c r="J11" s="343"/>
      <c r="K11" s="77"/>
      <c r="L11" s="77"/>
      <c r="M11" s="77"/>
      <c r="N11" s="77"/>
      <c r="O11" s="77"/>
      <c r="P11" s="344"/>
      <c r="Q11" s="371">
        <f t="shared" si="1"/>
        <v>218</v>
      </c>
      <c r="R11" s="108"/>
    </row>
    <row r="12" spans="1:19" s="4" customFormat="1" x14ac:dyDescent="0.25">
      <c r="A12" s="396">
        <v>75017</v>
      </c>
      <c r="B12" s="420" t="s">
        <v>544</v>
      </c>
      <c r="C12" s="427" t="s">
        <v>545</v>
      </c>
      <c r="D12" s="464" t="s">
        <v>188</v>
      </c>
      <c r="E12" s="422">
        <v>394</v>
      </c>
      <c r="F12" s="423">
        <v>436</v>
      </c>
      <c r="G12" s="423">
        <v>68</v>
      </c>
      <c r="H12" s="423">
        <v>680</v>
      </c>
      <c r="I12" s="423">
        <v>218</v>
      </c>
      <c r="J12" s="343"/>
      <c r="K12" s="77"/>
      <c r="L12" s="77"/>
      <c r="M12" s="77"/>
      <c r="N12" s="77"/>
      <c r="O12" s="77"/>
      <c r="P12" s="344"/>
      <c r="Q12" s="371">
        <f t="shared" si="1"/>
        <v>1796</v>
      </c>
      <c r="R12" s="108"/>
    </row>
    <row r="13" spans="1:19" s="4" customFormat="1" x14ac:dyDescent="0.25">
      <c r="A13" s="396">
        <v>75017</v>
      </c>
      <c r="B13" s="420" t="s">
        <v>1308</v>
      </c>
      <c r="C13" s="427" t="s">
        <v>1309</v>
      </c>
      <c r="D13" s="464" t="s">
        <v>188</v>
      </c>
      <c r="E13" s="422" t="s">
        <v>48</v>
      </c>
      <c r="F13" s="423" t="s">
        <v>48</v>
      </c>
      <c r="G13" s="423" t="s">
        <v>48</v>
      </c>
      <c r="H13" s="423" t="s">
        <v>48</v>
      </c>
      <c r="I13" s="423">
        <v>436</v>
      </c>
      <c r="J13" s="343"/>
      <c r="K13" s="77"/>
      <c r="L13" s="77"/>
      <c r="M13" s="77"/>
      <c r="N13" s="77"/>
      <c r="O13" s="77"/>
      <c r="P13" s="344"/>
      <c r="Q13" s="371">
        <f t="shared" si="1"/>
        <v>436</v>
      </c>
      <c r="R13" s="108"/>
    </row>
    <row r="14" spans="1:19" s="4" customFormat="1" x14ac:dyDescent="0.25">
      <c r="A14" s="396">
        <v>75017</v>
      </c>
      <c r="B14" s="420" t="s">
        <v>1014</v>
      </c>
      <c r="C14" s="427" t="s">
        <v>1015</v>
      </c>
      <c r="D14" s="464" t="s">
        <v>188</v>
      </c>
      <c r="E14" s="422" t="s">
        <v>48</v>
      </c>
      <c r="F14" s="423" t="s">
        <v>48</v>
      </c>
      <c r="G14" s="423">
        <v>68</v>
      </c>
      <c r="H14" s="423">
        <v>36</v>
      </c>
      <c r="I14" s="423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104</v>
      </c>
      <c r="R14" s="108"/>
    </row>
    <row r="15" spans="1:19" s="4" customFormat="1" x14ac:dyDescent="0.25">
      <c r="A15" s="396">
        <v>75017</v>
      </c>
      <c r="B15" s="420" t="s">
        <v>1310</v>
      </c>
      <c r="C15" s="427" t="s">
        <v>1311</v>
      </c>
      <c r="D15" s="464" t="s">
        <v>186</v>
      </c>
      <c r="E15" s="422" t="s">
        <v>48</v>
      </c>
      <c r="F15" s="423" t="s">
        <v>48</v>
      </c>
      <c r="G15" s="423" t="s">
        <v>48</v>
      </c>
      <c r="H15" s="423" t="s">
        <v>48</v>
      </c>
      <c r="I15" s="423">
        <v>120</v>
      </c>
      <c r="J15" s="343"/>
      <c r="K15" s="77"/>
      <c r="L15" s="77"/>
      <c r="M15" s="77"/>
      <c r="N15" s="77"/>
      <c r="O15" s="77"/>
      <c r="P15" s="344"/>
      <c r="Q15" s="371">
        <f t="shared" si="1"/>
        <v>120</v>
      </c>
      <c r="R15" s="108"/>
    </row>
    <row r="16" spans="1:19" s="4" customFormat="1" x14ac:dyDescent="0.25">
      <c r="A16" s="396">
        <v>75017</v>
      </c>
      <c r="B16" s="420" t="s">
        <v>546</v>
      </c>
      <c r="C16" s="427" t="s">
        <v>547</v>
      </c>
      <c r="D16" s="464" t="s">
        <v>188</v>
      </c>
      <c r="E16" s="422" t="s">
        <v>48</v>
      </c>
      <c r="F16" s="423">
        <v>60</v>
      </c>
      <c r="G16" s="423">
        <v>429</v>
      </c>
      <c r="H16" s="423">
        <v>188</v>
      </c>
      <c r="I16" s="423">
        <v>255</v>
      </c>
      <c r="J16" s="343"/>
      <c r="K16" s="77"/>
      <c r="L16" s="77"/>
      <c r="M16" s="77"/>
      <c r="N16" s="77"/>
      <c r="O16" s="77"/>
      <c r="P16" s="344"/>
      <c r="Q16" s="371">
        <f t="shared" si="1"/>
        <v>932</v>
      </c>
      <c r="R16" s="108"/>
    </row>
    <row r="17" spans="1:18" s="4" customFormat="1" x14ac:dyDescent="0.25">
      <c r="A17" s="396">
        <v>75017</v>
      </c>
      <c r="B17" s="420" t="s">
        <v>661</v>
      </c>
      <c r="C17" s="427" t="s">
        <v>662</v>
      </c>
      <c r="D17" s="464" t="s">
        <v>186</v>
      </c>
      <c r="E17" s="422">
        <v>102</v>
      </c>
      <c r="F17" s="423" t="s">
        <v>48</v>
      </c>
      <c r="G17" s="423" t="s">
        <v>48</v>
      </c>
      <c r="H17" s="423" t="s">
        <v>48</v>
      </c>
      <c r="I17" s="423">
        <v>66</v>
      </c>
      <c r="J17" s="343"/>
      <c r="K17" s="77"/>
      <c r="L17" s="77"/>
      <c r="M17" s="77"/>
      <c r="N17" s="77"/>
      <c r="O17" s="77"/>
      <c r="P17" s="344"/>
      <c r="Q17" s="371">
        <f t="shared" si="1"/>
        <v>168</v>
      </c>
      <c r="R17" s="108"/>
    </row>
    <row r="18" spans="1:18" s="4" customFormat="1" x14ac:dyDescent="0.25">
      <c r="A18" s="396">
        <v>75017</v>
      </c>
      <c r="B18" s="420" t="s">
        <v>1016</v>
      </c>
      <c r="C18" s="427" t="s">
        <v>1017</v>
      </c>
      <c r="D18" s="464" t="s">
        <v>186</v>
      </c>
      <c r="E18" s="422" t="s">
        <v>48</v>
      </c>
      <c r="F18" s="423" t="s">
        <v>48</v>
      </c>
      <c r="G18" s="423">
        <v>59</v>
      </c>
      <c r="H18" s="423">
        <v>200</v>
      </c>
      <c r="I18" s="423">
        <v>200</v>
      </c>
      <c r="J18" s="343"/>
      <c r="K18" s="77"/>
      <c r="L18" s="77"/>
      <c r="M18" s="77"/>
      <c r="N18" s="77"/>
      <c r="O18" s="77"/>
      <c r="P18" s="344"/>
      <c r="Q18" s="371">
        <f t="shared" si="1"/>
        <v>459</v>
      </c>
      <c r="R18" s="108"/>
    </row>
    <row r="19" spans="1:18" s="4" customFormat="1" x14ac:dyDescent="0.25">
      <c r="A19" s="396">
        <v>75017</v>
      </c>
      <c r="B19" s="420" t="s">
        <v>663</v>
      </c>
      <c r="C19" s="427" t="s">
        <v>664</v>
      </c>
      <c r="D19" s="464" t="s">
        <v>188</v>
      </c>
      <c r="E19" s="422">
        <v>308</v>
      </c>
      <c r="F19" s="423" t="s">
        <v>48</v>
      </c>
      <c r="G19" s="423" t="s">
        <v>48</v>
      </c>
      <c r="H19" s="423" t="s">
        <v>48</v>
      </c>
      <c r="I19" s="423">
        <v>391</v>
      </c>
      <c r="J19" s="343"/>
      <c r="K19" s="77"/>
      <c r="L19" s="77"/>
      <c r="M19" s="77"/>
      <c r="N19" s="77"/>
      <c r="O19" s="77"/>
      <c r="P19" s="344"/>
      <c r="Q19" s="371">
        <f t="shared" si="1"/>
        <v>699</v>
      </c>
      <c r="R19" s="108"/>
    </row>
    <row r="20" spans="1:18" s="4" customFormat="1" x14ac:dyDescent="0.25">
      <c r="A20" s="396">
        <v>75017</v>
      </c>
      <c r="B20" s="420" t="s">
        <v>665</v>
      </c>
      <c r="C20" s="427" t="s">
        <v>666</v>
      </c>
      <c r="D20" s="464" t="s">
        <v>188</v>
      </c>
      <c r="E20" s="422">
        <v>204</v>
      </c>
      <c r="F20" s="423" t="s">
        <v>48</v>
      </c>
      <c r="G20" s="423">
        <v>306</v>
      </c>
      <c r="H20" s="423">
        <v>218</v>
      </c>
      <c r="I20" s="423">
        <v>165</v>
      </c>
      <c r="J20" s="343"/>
      <c r="K20" s="77"/>
      <c r="L20" s="77"/>
      <c r="M20" s="77"/>
      <c r="N20" s="77"/>
      <c r="O20" s="77"/>
      <c r="P20" s="344"/>
      <c r="Q20" s="371">
        <f t="shared" si="1"/>
        <v>893</v>
      </c>
      <c r="R20" s="108"/>
    </row>
    <row r="21" spans="1:18" s="4" customFormat="1" x14ac:dyDescent="0.25">
      <c r="A21" s="396">
        <v>75017</v>
      </c>
      <c r="B21" s="420" t="s">
        <v>1075</v>
      </c>
      <c r="C21" s="427" t="s">
        <v>1076</v>
      </c>
      <c r="D21" s="464" t="s">
        <v>186</v>
      </c>
      <c r="E21" s="422" t="s">
        <v>48</v>
      </c>
      <c r="F21" s="423" t="s">
        <v>48</v>
      </c>
      <c r="G21" s="423" t="s">
        <v>48</v>
      </c>
      <c r="H21" s="423">
        <v>176</v>
      </c>
      <c r="I21" s="423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176</v>
      </c>
      <c r="R21" s="108"/>
    </row>
    <row r="22" spans="1:18" s="4" customFormat="1" x14ac:dyDescent="0.25">
      <c r="A22" s="396">
        <v>75017</v>
      </c>
      <c r="B22" s="420" t="s">
        <v>667</v>
      </c>
      <c r="C22" s="427" t="s">
        <v>668</v>
      </c>
      <c r="D22" s="464" t="s">
        <v>188</v>
      </c>
      <c r="E22" s="422">
        <v>176</v>
      </c>
      <c r="F22" s="423" t="s">
        <v>48</v>
      </c>
      <c r="G22" s="423" t="s">
        <v>48</v>
      </c>
      <c r="H22" s="423" t="s">
        <v>48</v>
      </c>
      <c r="I22" s="423" t="s">
        <v>48</v>
      </c>
      <c r="J22" s="343"/>
      <c r="K22" s="77"/>
      <c r="L22" s="77"/>
      <c r="M22" s="77"/>
      <c r="N22" s="77"/>
      <c r="O22" s="77"/>
      <c r="P22" s="344"/>
      <c r="Q22" s="371">
        <f t="shared" si="1"/>
        <v>176</v>
      </c>
      <c r="R22" s="108"/>
    </row>
    <row r="23" spans="1:18" s="4" customFormat="1" x14ac:dyDescent="0.25">
      <c r="A23" s="396">
        <v>75017</v>
      </c>
      <c r="B23" s="420" t="s">
        <v>1312</v>
      </c>
      <c r="C23" s="427" t="s">
        <v>1313</v>
      </c>
      <c r="D23" s="464" t="s">
        <v>320</v>
      </c>
      <c r="E23" s="422" t="s">
        <v>48</v>
      </c>
      <c r="F23" s="423" t="s">
        <v>48</v>
      </c>
      <c r="G23" s="423" t="s">
        <v>48</v>
      </c>
      <c r="H23" s="423" t="s">
        <v>48</v>
      </c>
      <c r="I23" s="423">
        <v>88</v>
      </c>
      <c r="J23" s="343"/>
      <c r="K23" s="77"/>
      <c r="L23" s="77"/>
      <c r="M23" s="77"/>
      <c r="N23" s="77"/>
      <c r="O23" s="77"/>
      <c r="P23" s="344"/>
      <c r="Q23" s="371">
        <f t="shared" si="1"/>
        <v>88</v>
      </c>
      <c r="R23" s="108"/>
    </row>
    <row r="24" spans="1:18" s="4" customFormat="1" x14ac:dyDescent="0.25">
      <c r="A24" s="396">
        <v>75017</v>
      </c>
      <c r="B24" s="420" t="s">
        <v>1314</v>
      </c>
      <c r="C24" s="427" t="s">
        <v>1315</v>
      </c>
      <c r="D24" s="464" t="s">
        <v>187</v>
      </c>
      <c r="E24" s="422" t="s">
        <v>48</v>
      </c>
      <c r="F24" s="423" t="s">
        <v>48</v>
      </c>
      <c r="G24" s="423" t="s">
        <v>48</v>
      </c>
      <c r="H24" s="423" t="s">
        <v>48</v>
      </c>
      <c r="I24" s="423">
        <v>254</v>
      </c>
      <c r="J24" s="343"/>
      <c r="K24" s="77"/>
      <c r="L24" s="77"/>
      <c r="M24" s="77"/>
      <c r="N24" s="77"/>
      <c r="O24" s="77"/>
      <c r="P24" s="344"/>
      <c r="Q24" s="371">
        <f t="shared" si="1"/>
        <v>254</v>
      </c>
      <c r="R24" s="108"/>
    </row>
    <row r="25" spans="1:18" s="4" customFormat="1" x14ac:dyDescent="0.25">
      <c r="A25" s="396">
        <v>75017</v>
      </c>
      <c r="B25" s="420" t="s">
        <v>1077</v>
      </c>
      <c r="C25" s="427" t="s">
        <v>1078</v>
      </c>
      <c r="D25" s="464" t="s">
        <v>186</v>
      </c>
      <c r="E25" s="422" t="s">
        <v>48</v>
      </c>
      <c r="F25" s="423" t="s">
        <v>48</v>
      </c>
      <c r="G25" s="423" t="s">
        <v>48</v>
      </c>
      <c r="H25" s="423">
        <v>813</v>
      </c>
      <c r="I25" s="423">
        <v>989</v>
      </c>
      <c r="J25" s="343"/>
      <c r="K25" s="77"/>
      <c r="L25" s="77"/>
      <c r="M25" s="77"/>
      <c r="N25" s="77"/>
      <c r="O25" s="77"/>
      <c r="P25" s="344"/>
      <c r="Q25" s="371">
        <f t="shared" si="1"/>
        <v>1802</v>
      </c>
      <c r="R25" s="108"/>
    </row>
    <row r="26" spans="1:18" s="4" customFormat="1" x14ac:dyDescent="0.25">
      <c r="A26" s="396">
        <v>75017</v>
      </c>
      <c r="B26" s="420" t="s">
        <v>548</v>
      </c>
      <c r="C26" s="427" t="s">
        <v>549</v>
      </c>
      <c r="D26" s="464" t="s">
        <v>186</v>
      </c>
      <c r="E26" s="422" t="s">
        <v>48</v>
      </c>
      <c r="F26" s="423">
        <v>100</v>
      </c>
      <c r="G26" s="423" t="s">
        <v>48</v>
      </c>
      <c r="H26" s="423" t="s">
        <v>48</v>
      </c>
      <c r="I26" s="423" t="s">
        <v>48</v>
      </c>
      <c r="J26" s="343"/>
      <c r="K26" s="77"/>
      <c r="L26" s="77"/>
      <c r="M26" s="77"/>
      <c r="N26" s="77"/>
      <c r="O26" s="77"/>
      <c r="P26" s="344"/>
      <c r="Q26" s="371">
        <f t="shared" si="1"/>
        <v>100</v>
      </c>
      <c r="R26" s="108"/>
    </row>
    <row r="27" spans="1:18" s="4" customFormat="1" x14ac:dyDescent="0.25">
      <c r="A27" s="396">
        <v>75017</v>
      </c>
      <c r="B27" s="420" t="s">
        <v>550</v>
      </c>
      <c r="C27" s="427" t="s">
        <v>551</v>
      </c>
      <c r="D27" s="464" t="s">
        <v>186</v>
      </c>
      <c r="E27" s="422" t="s">
        <v>48</v>
      </c>
      <c r="F27" s="423">
        <v>345</v>
      </c>
      <c r="G27" s="423">
        <v>469</v>
      </c>
      <c r="H27" s="423" t="s">
        <v>48</v>
      </c>
      <c r="I27" s="423">
        <v>220</v>
      </c>
      <c r="J27" s="343"/>
      <c r="K27" s="77"/>
      <c r="L27" s="77"/>
      <c r="M27" s="77"/>
      <c r="N27" s="77"/>
      <c r="O27" s="77"/>
      <c r="P27" s="344"/>
      <c r="Q27" s="371">
        <f t="shared" si="1"/>
        <v>1034</v>
      </c>
      <c r="R27" s="108"/>
    </row>
    <row r="28" spans="1:18" s="4" customFormat="1" x14ac:dyDescent="0.25">
      <c r="A28" s="396">
        <v>75017</v>
      </c>
      <c r="B28" s="425" t="s">
        <v>1316</v>
      </c>
      <c r="C28" s="427" t="s">
        <v>1317</v>
      </c>
      <c r="D28" s="464" t="s">
        <v>187</v>
      </c>
      <c r="E28" s="422" t="s">
        <v>48</v>
      </c>
      <c r="F28" s="423" t="s">
        <v>48</v>
      </c>
      <c r="G28" s="423" t="s">
        <v>48</v>
      </c>
      <c r="H28" s="423" t="s">
        <v>48</v>
      </c>
      <c r="I28" s="426">
        <v>138</v>
      </c>
      <c r="J28" s="343"/>
      <c r="K28" s="77"/>
      <c r="L28" s="77"/>
      <c r="M28" s="77"/>
      <c r="N28" s="77"/>
      <c r="O28" s="77"/>
      <c r="P28" s="344"/>
      <c r="Q28" s="371">
        <f t="shared" si="1"/>
        <v>138</v>
      </c>
      <c r="R28" s="321" t="s">
        <v>529</v>
      </c>
    </row>
    <row r="29" spans="1:18" s="4" customFormat="1" x14ac:dyDescent="0.25">
      <c r="A29" s="396">
        <v>75017</v>
      </c>
      <c r="B29" s="420" t="s">
        <v>552</v>
      </c>
      <c r="C29" s="427" t="s">
        <v>553</v>
      </c>
      <c r="D29" s="464" t="s">
        <v>186</v>
      </c>
      <c r="E29" s="422">
        <v>418</v>
      </c>
      <c r="F29" s="423">
        <v>817</v>
      </c>
      <c r="G29" s="423" t="s">
        <v>48</v>
      </c>
      <c r="H29" s="423">
        <v>352</v>
      </c>
      <c r="I29" s="423">
        <v>658</v>
      </c>
      <c r="J29" s="343"/>
      <c r="K29" s="77"/>
      <c r="L29" s="77"/>
      <c r="M29" s="77"/>
      <c r="N29" s="77"/>
      <c r="O29" s="77"/>
      <c r="P29" s="344"/>
      <c r="Q29" s="371">
        <f t="shared" si="1"/>
        <v>2245</v>
      </c>
      <c r="R29" s="108"/>
    </row>
    <row r="30" spans="1:18" s="4" customFormat="1" x14ac:dyDescent="0.25">
      <c r="A30" s="396">
        <v>75017</v>
      </c>
      <c r="B30" s="420" t="s">
        <v>1018</v>
      </c>
      <c r="C30" s="427" t="s">
        <v>1019</v>
      </c>
      <c r="D30" s="464" t="s">
        <v>188</v>
      </c>
      <c r="E30" s="422" t="s">
        <v>48</v>
      </c>
      <c r="F30" s="423" t="s">
        <v>48</v>
      </c>
      <c r="G30" s="423">
        <v>1192</v>
      </c>
      <c r="H30" s="423">
        <v>260</v>
      </c>
      <c r="I30" s="423">
        <v>392</v>
      </c>
      <c r="J30" s="343"/>
      <c r="K30" s="77"/>
      <c r="L30" s="77"/>
      <c r="M30" s="77"/>
      <c r="N30" s="77"/>
      <c r="O30" s="77"/>
      <c r="P30" s="344"/>
      <c r="Q30" s="371">
        <f t="shared" si="1"/>
        <v>1844</v>
      </c>
      <c r="R30" s="108"/>
    </row>
    <row r="31" spans="1:18" s="4" customFormat="1" x14ac:dyDescent="0.25">
      <c r="A31" s="396">
        <v>75017</v>
      </c>
      <c r="B31" s="420" t="s">
        <v>669</v>
      </c>
      <c r="C31" s="427" t="s">
        <v>670</v>
      </c>
      <c r="D31" s="464" t="s">
        <v>188</v>
      </c>
      <c r="E31" s="422">
        <v>33</v>
      </c>
      <c r="F31" s="423" t="s">
        <v>48</v>
      </c>
      <c r="G31" s="423">
        <v>492</v>
      </c>
      <c r="H31" s="423" t="s">
        <v>48</v>
      </c>
      <c r="I31" s="423">
        <v>524</v>
      </c>
      <c r="J31" s="343"/>
      <c r="K31" s="77"/>
      <c r="L31" s="77"/>
      <c r="M31" s="77"/>
      <c r="N31" s="77"/>
      <c r="O31" s="77"/>
      <c r="P31" s="344"/>
      <c r="Q31" s="371">
        <f t="shared" si="1"/>
        <v>1049</v>
      </c>
      <c r="R31" s="108"/>
    </row>
    <row r="32" spans="1:18" s="4" customFormat="1" x14ac:dyDescent="0.25">
      <c r="A32" s="396">
        <v>75017</v>
      </c>
      <c r="B32" s="420" t="s">
        <v>554</v>
      </c>
      <c r="C32" s="427" t="s">
        <v>555</v>
      </c>
      <c r="D32" s="464" t="s">
        <v>188</v>
      </c>
      <c r="E32" s="422">
        <v>778</v>
      </c>
      <c r="F32" s="423">
        <v>136</v>
      </c>
      <c r="G32" s="423">
        <v>258</v>
      </c>
      <c r="H32" s="423">
        <v>478</v>
      </c>
      <c r="I32" s="423" t="s">
        <v>48</v>
      </c>
      <c r="J32" s="343"/>
      <c r="K32" s="77"/>
      <c r="L32" s="77"/>
      <c r="M32" s="77"/>
      <c r="N32" s="77"/>
      <c r="O32" s="77"/>
      <c r="P32" s="344"/>
      <c r="Q32" s="371">
        <f t="shared" si="1"/>
        <v>1650</v>
      </c>
      <c r="R32" s="108"/>
    </row>
    <row r="33" spans="1:19" s="4" customFormat="1" x14ac:dyDescent="0.25">
      <c r="A33" s="396">
        <v>75017</v>
      </c>
      <c r="B33" s="420" t="s">
        <v>556</v>
      </c>
      <c r="C33" s="427" t="s">
        <v>557</v>
      </c>
      <c r="D33" s="464" t="s">
        <v>186</v>
      </c>
      <c r="E33" s="422">
        <v>45</v>
      </c>
      <c r="F33" s="423">
        <v>268</v>
      </c>
      <c r="G33" s="423">
        <v>354</v>
      </c>
      <c r="H33" s="423">
        <v>218</v>
      </c>
      <c r="I33" s="423">
        <v>376</v>
      </c>
      <c r="J33" s="343"/>
      <c r="K33" s="77"/>
      <c r="L33" s="77"/>
      <c r="M33" s="77"/>
      <c r="N33" s="77"/>
      <c r="O33" s="77"/>
      <c r="P33" s="344"/>
      <c r="Q33" s="371">
        <f t="shared" si="1"/>
        <v>1261</v>
      </c>
      <c r="R33" s="108"/>
    </row>
    <row r="34" spans="1:19" s="4" customFormat="1" x14ac:dyDescent="0.25">
      <c r="A34" s="396">
        <v>75017</v>
      </c>
      <c r="B34" s="420" t="s">
        <v>671</v>
      </c>
      <c r="C34" s="427" t="s">
        <v>672</v>
      </c>
      <c r="D34" s="464" t="s">
        <v>186</v>
      </c>
      <c r="E34" s="422">
        <v>204</v>
      </c>
      <c r="F34" s="423" t="s">
        <v>48</v>
      </c>
      <c r="G34" s="423" t="s">
        <v>48</v>
      </c>
      <c r="H34" s="423">
        <v>418</v>
      </c>
      <c r="I34" s="423">
        <v>109</v>
      </c>
      <c r="J34" s="343"/>
      <c r="K34" s="77"/>
      <c r="L34" s="77"/>
      <c r="M34" s="77"/>
      <c r="N34" s="77"/>
      <c r="O34" s="77"/>
      <c r="P34" s="344"/>
      <c r="Q34" s="371">
        <f t="shared" si="1"/>
        <v>731</v>
      </c>
      <c r="R34" s="108"/>
    </row>
    <row r="35" spans="1:19" s="4" customFormat="1" x14ac:dyDescent="0.25">
      <c r="A35" s="396">
        <v>75017</v>
      </c>
      <c r="B35" s="420" t="s">
        <v>558</v>
      </c>
      <c r="C35" s="427" t="s">
        <v>559</v>
      </c>
      <c r="D35" s="464" t="s">
        <v>560</v>
      </c>
      <c r="E35" s="422" t="s">
        <v>48</v>
      </c>
      <c r="F35" s="423">
        <v>363</v>
      </c>
      <c r="G35" s="423" t="s">
        <v>48</v>
      </c>
      <c r="H35" s="423" t="s">
        <v>48</v>
      </c>
      <c r="I35" s="423">
        <v>261</v>
      </c>
      <c r="J35" s="343"/>
      <c r="K35" s="77"/>
      <c r="L35" s="77"/>
      <c r="M35" s="77"/>
      <c r="N35" s="77"/>
      <c r="O35" s="77"/>
      <c r="P35" s="344"/>
      <c r="Q35" s="371">
        <f t="shared" si="1"/>
        <v>624</v>
      </c>
      <c r="R35" s="108"/>
    </row>
    <row r="36" spans="1:19" s="4" customFormat="1" x14ac:dyDescent="0.25">
      <c r="A36" s="396">
        <v>75017</v>
      </c>
      <c r="B36" s="420" t="s">
        <v>673</v>
      </c>
      <c r="C36" s="427" t="s">
        <v>674</v>
      </c>
      <c r="D36" s="464" t="s">
        <v>188</v>
      </c>
      <c r="E36" s="422">
        <v>200</v>
      </c>
      <c r="F36" s="423" t="s">
        <v>48</v>
      </c>
      <c r="G36" s="423" t="s">
        <v>48</v>
      </c>
      <c r="H36" s="423" t="s">
        <v>48</v>
      </c>
      <c r="I36" s="423">
        <v>368</v>
      </c>
      <c r="J36" s="343"/>
      <c r="K36" s="77"/>
      <c r="L36" s="77"/>
      <c r="M36" s="77"/>
      <c r="N36" s="77"/>
      <c r="O36" s="77"/>
      <c r="P36" s="344"/>
      <c r="Q36" s="371">
        <f t="shared" si="1"/>
        <v>568</v>
      </c>
      <c r="R36" s="112"/>
    </row>
    <row r="37" spans="1:19" s="4" customFormat="1" x14ac:dyDescent="0.25">
      <c r="A37" s="396">
        <v>75017</v>
      </c>
      <c r="B37" s="420" t="s">
        <v>1318</v>
      </c>
      <c r="C37" s="427" t="s">
        <v>1319</v>
      </c>
      <c r="D37" s="464" t="s">
        <v>188</v>
      </c>
      <c r="E37" s="422" t="s">
        <v>48</v>
      </c>
      <c r="F37" s="423" t="s">
        <v>48</v>
      </c>
      <c r="G37" s="423" t="s">
        <v>48</v>
      </c>
      <c r="H37" s="423" t="s">
        <v>48</v>
      </c>
      <c r="I37" s="423">
        <v>180</v>
      </c>
      <c r="J37" s="343"/>
      <c r="K37" s="77"/>
      <c r="L37" s="77"/>
      <c r="M37" s="77"/>
      <c r="N37" s="77"/>
      <c r="O37" s="77"/>
      <c r="P37" s="344"/>
      <c r="Q37" s="371">
        <f t="shared" si="1"/>
        <v>180</v>
      </c>
      <c r="R37" s="112"/>
    </row>
    <row r="38" spans="1:19" s="4" customFormat="1" x14ac:dyDescent="0.25">
      <c r="A38" s="396">
        <v>75017</v>
      </c>
      <c r="B38" s="420" t="s">
        <v>1320</v>
      </c>
      <c r="C38" s="427" t="s">
        <v>1321</v>
      </c>
      <c r="D38" s="464" t="s">
        <v>188</v>
      </c>
      <c r="E38" s="422" t="s">
        <v>48</v>
      </c>
      <c r="F38" s="423" t="s">
        <v>48</v>
      </c>
      <c r="G38" s="423" t="s">
        <v>48</v>
      </c>
      <c r="H38" s="423" t="s">
        <v>48</v>
      </c>
      <c r="I38" s="423">
        <v>148</v>
      </c>
      <c r="J38" s="343"/>
      <c r="K38" s="77"/>
      <c r="L38" s="77"/>
      <c r="M38" s="77"/>
      <c r="N38" s="77"/>
      <c r="O38" s="77"/>
      <c r="P38" s="344"/>
      <c r="Q38" s="371">
        <f t="shared" si="1"/>
        <v>148</v>
      </c>
      <c r="R38" s="112"/>
    </row>
    <row r="39" spans="1:19" s="4" customFormat="1" x14ac:dyDescent="0.25">
      <c r="A39" s="396">
        <v>75017</v>
      </c>
      <c r="B39" s="420" t="s">
        <v>675</v>
      </c>
      <c r="C39" s="427" t="s">
        <v>676</v>
      </c>
      <c r="D39" s="464" t="s">
        <v>188</v>
      </c>
      <c r="E39" s="422">
        <v>68</v>
      </c>
      <c r="F39" s="423" t="s">
        <v>48</v>
      </c>
      <c r="G39" s="423" t="s">
        <v>48</v>
      </c>
      <c r="H39" s="423" t="s">
        <v>48</v>
      </c>
      <c r="I39" s="423">
        <v>176</v>
      </c>
      <c r="J39" s="343"/>
      <c r="K39" s="77"/>
      <c r="L39" s="77"/>
      <c r="M39" s="77"/>
      <c r="N39" s="77"/>
      <c r="O39" s="77"/>
      <c r="P39" s="344"/>
      <c r="Q39" s="371">
        <f t="shared" si="1"/>
        <v>244</v>
      </c>
      <c r="R39" s="112"/>
    </row>
    <row r="40" spans="1:19" s="4" customFormat="1" x14ac:dyDescent="0.25">
      <c r="A40" s="396">
        <v>75017</v>
      </c>
      <c r="B40" s="420" t="s">
        <v>1079</v>
      </c>
      <c r="C40" s="462" t="s">
        <v>1080</v>
      </c>
      <c r="D40" s="464" t="s">
        <v>187</v>
      </c>
      <c r="E40" s="422" t="s">
        <v>48</v>
      </c>
      <c r="F40" s="423" t="s">
        <v>48</v>
      </c>
      <c r="G40" s="423" t="s">
        <v>48</v>
      </c>
      <c r="H40" s="423">
        <v>56</v>
      </c>
      <c r="I40" s="423" t="s">
        <v>48</v>
      </c>
      <c r="J40" s="343"/>
      <c r="K40" s="77"/>
      <c r="L40" s="77"/>
      <c r="M40" s="77"/>
      <c r="N40" s="77"/>
      <c r="O40" s="77"/>
      <c r="P40" s="344"/>
      <c r="Q40" s="371">
        <f t="shared" si="0"/>
        <v>56</v>
      </c>
      <c r="R40" s="91"/>
    </row>
    <row r="41" spans="1:19" s="4" customFormat="1" ht="15" customHeight="1" x14ac:dyDescent="0.25">
      <c r="A41" s="459">
        <v>75017</v>
      </c>
      <c r="B41" s="340" t="s">
        <v>1020</v>
      </c>
      <c r="C41" s="437" t="s">
        <v>1021</v>
      </c>
      <c r="D41" s="464" t="s">
        <v>188</v>
      </c>
      <c r="E41" s="422" t="s">
        <v>48</v>
      </c>
      <c r="F41" s="423" t="s">
        <v>48</v>
      </c>
      <c r="G41" s="423">
        <v>630</v>
      </c>
      <c r="H41" s="423">
        <v>926</v>
      </c>
      <c r="I41" s="423">
        <v>1417</v>
      </c>
      <c r="J41" s="343"/>
      <c r="K41" s="77"/>
      <c r="L41" s="77"/>
      <c r="M41" s="77"/>
      <c r="N41" s="77"/>
      <c r="O41" s="77"/>
      <c r="P41" s="344"/>
      <c r="Q41" s="371">
        <f t="shared" si="0"/>
        <v>2973</v>
      </c>
      <c r="R41" s="107"/>
    </row>
    <row r="42" spans="1:19" s="4" customFormat="1" ht="15.75" thickBot="1" x14ac:dyDescent="0.3">
      <c r="A42" s="460">
        <v>75017</v>
      </c>
      <c r="B42" s="461" t="s">
        <v>1322</v>
      </c>
      <c r="C42" s="463" t="s">
        <v>1323</v>
      </c>
      <c r="D42" s="464" t="s">
        <v>320</v>
      </c>
      <c r="E42" s="422" t="s">
        <v>48</v>
      </c>
      <c r="F42" s="423" t="s">
        <v>48</v>
      </c>
      <c r="G42" s="423" t="s">
        <v>48</v>
      </c>
      <c r="H42" s="423" t="s">
        <v>48</v>
      </c>
      <c r="I42" s="423">
        <v>506</v>
      </c>
      <c r="J42" s="343"/>
      <c r="K42" s="77"/>
      <c r="L42" s="77"/>
      <c r="M42" s="77"/>
      <c r="N42" s="77"/>
      <c r="O42" s="77"/>
      <c r="P42" s="344"/>
      <c r="Q42" s="371">
        <f t="shared" si="0"/>
        <v>506</v>
      </c>
      <c r="R42" s="112"/>
    </row>
    <row r="43" spans="1:19" s="4" customFormat="1" ht="15.75" thickBot="1" x14ac:dyDescent="0.3">
      <c r="A43" s="382" t="s">
        <v>10</v>
      </c>
      <c r="B43" s="383">
        <f>SUBTOTAL(103,Ventes17ème[Hotel])</f>
        <v>39</v>
      </c>
      <c r="C43" s="440"/>
      <c r="D43" s="442"/>
      <c r="E43" s="385">
        <f>SUBTOTAL(109,Ventes17ème[Janv])</f>
        <v>3104</v>
      </c>
      <c r="F43" s="386">
        <f>SUBTOTAL(109,Ventes17ème[Fév])</f>
        <v>3031</v>
      </c>
      <c r="G43" s="387">
        <f>SUBTOTAL(109,Ventes17ème[mars])</f>
        <v>5207</v>
      </c>
      <c r="H43" s="334">
        <f>SUBTOTAL(109,Ventes17ème[Avril])</f>
        <v>5839</v>
      </c>
      <c r="I43" s="334">
        <f>SUBTOTAL(109,Ventes17ème[Mai])</f>
        <v>10553</v>
      </c>
      <c r="J43" s="334">
        <f>SUBTOTAL(109,Ventes17ème[Juin])</f>
        <v>0</v>
      </c>
      <c r="K43" s="334">
        <f>SUBTOTAL(109,Ventes17ème[Juillet])</f>
        <v>0</v>
      </c>
      <c r="L43" s="336">
        <f>SUBTOTAL(109,Ventes17ème[Août])</f>
        <v>0</v>
      </c>
      <c r="M43" s="336">
        <f>SUBTOTAL(109,Ventes17ème[Sept.])</f>
        <v>0</v>
      </c>
      <c r="N43" s="336">
        <f>SUBTOTAL(109,Ventes17ème[Oct])</f>
        <v>0</v>
      </c>
      <c r="O43" s="336">
        <f>SUBTOTAL(109,Ventes17ème[Nov.])</f>
        <v>0</v>
      </c>
      <c r="P43" s="337">
        <f>SUBTOTAL(109,Ventes17ème[déc])</f>
        <v>0</v>
      </c>
      <c r="Q43" s="388">
        <f>SUBTOTAL(109,Ventes17ème[TOTAL])</f>
        <v>27734</v>
      </c>
      <c r="R43" s="378"/>
      <c r="S43" s="80"/>
    </row>
    <row r="44" spans="1:19" s="4" customFormat="1" ht="15.75" thickBot="1" x14ac:dyDescent="0.3">
      <c r="A44" s="62"/>
      <c r="B44" s="62"/>
      <c r="C44" s="62"/>
      <c r="D44" s="62"/>
      <c r="E44" s="62"/>
      <c r="F44" s="62"/>
      <c r="G44" s="62"/>
      <c r="H44" s="62"/>
      <c r="I44" s="64"/>
      <c r="J44" s="62"/>
      <c r="K44" s="64"/>
      <c r="L44" s="335"/>
      <c r="M44" s="335"/>
      <c r="N44" s="335"/>
      <c r="O44" s="335"/>
      <c r="P44" s="335"/>
      <c r="Q44" s="64"/>
      <c r="R44" s="62"/>
      <c r="S44" s="80"/>
    </row>
    <row r="45" spans="1:19" ht="30" x14ac:dyDescent="0.25">
      <c r="A45" s="389" t="s">
        <v>36</v>
      </c>
      <c r="B45" s="338">
        <v>127</v>
      </c>
      <c r="C45" s="62"/>
      <c r="D45" s="62"/>
      <c r="E45" s="62"/>
      <c r="F45" s="62"/>
      <c r="G45" s="62"/>
      <c r="H45" s="62"/>
      <c r="I45" s="62"/>
      <c r="J45" s="390"/>
      <c r="K45" s="64"/>
      <c r="L45" s="335"/>
      <c r="M45" s="335"/>
      <c r="N45" s="335"/>
      <c r="O45" s="335"/>
      <c r="P45" s="335"/>
      <c r="Q45" s="64"/>
      <c r="R45" s="62"/>
    </row>
    <row r="46" spans="1:19" ht="30.75" thickBot="1" x14ac:dyDescent="0.3">
      <c r="A46" s="391" t="s">
        <v>1330</v>
      </c>
      <c r="B46" s="339">
        <f>Ventes17ème[[#Totals],[Hotel]]/B45</f>
        <v>0.30708661417322836</v>
      </c>
      <c r="C46" s="413"/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S25"/>
  <sheetViews>
    <sheetView zoomScale="80" zoomScaleNormal="80" workbookViewId="0">
      <selection activeCell="C24" sqref="C24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162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7" t="s">
        <v>2</v>
      </c>
      <c r="D3" s="8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26">
        <v>75018</v>
      </c>
      <c r="B4" s="61" t="s">
        <v>677</v>
      </c>
      <c r="C4" s="61" t="s">
        <v>678</v>
      </c>
      <c r="D4" s="465" t="s">
        <v>187</v>
      </c>
      <c r="E4" s="81">
        <v>102</v>
      </c>
      <c r="F4" s="28" t="s">
        <v>48</v>
      </c>
      <c r="G4" s="28" t="s">
        <v>48</v>
      </c>
      <c r="H4" s="28" t="s">
        <v>48</v>
      </c>
      <c r="I4" s="28">
        <v>285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387</v>
      </c>
      <c r="R4" s="47"/>
    </row>
    <row r="5" spans="1:19" s="4" customFormat="1" x14ac:dyDescent="0.25">
      <c r="A5" s="26">
        <v>75018</v>
      </c>
      <c r="B5" s="284" t="s">
        <v>1324</v>
      </c>
      <c r="C5" s="61" t="s">
        <v>1325</v>
      </c>
      <c r="D5" s="465" t="s">
        <v>186</v>
      </c>
      <c r="E5" s="81" t="s">
        <v>48</v>
      </c>
      <c r="F5" s="28" t="s">
        <v>48</v>
      </c>
      <c r="G5" s="28" t="s">
        <v>48</v>
      </c>
      <c r="H5" s="28" t="s">
        <v>48</v>
      </c>
      <c r="I5" s="314">
        <v>389</v>
      </c>
      <c r="J5" s="343"/>
      <c r="K5" s="77"/>
      <c r="L5" s="77"/>
      <c r="M5" s="77"/>
      <c r="N5" s="77"/>
      <c r="O5" s="77"/>
      <c r="P5" s="344"/>
      <c r="Q5" s="371">
        <f t="shared" si="0"/>
        <v>389</v>
      </c>
      <c r="R5" s="285" t="s">
        <v>1326</v>
      </c>
    </row>
    <row r="6" spans="1:19" s="4" customFormat="1" ht="15" customHeight="1" x14ac:dyDescent="0.25">
      <c r="A6" s="26">
        <v>75018</v>
      </c>
      <c r="B6" s="61" t="s">
        <v>679</v>
      </c>
      <c r="C6" s="61" t="s">
        <v>680</v>
      </c>
      <c r="D6" s="465" t="s">
        <v>681</v>
      </c>
      <c r="E6" s="81">
        <v>68</v>
      </c>
      <c r="F6" s="28" t="s">
        <v>48</v>
      </c>
      <c r="G6" s="28">
        <v>188</v>
      </c>
      <c r="H6" s="28" t="s">
        <v>48</v>
      </c>
      <c r="I6" s="28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256</v>
      </c>
      <c r="R6" s="47"/>
    </row>
    <row r="7" spans="1:19" s="4" customFormat="1" x14ac:dyDescent="0.25">
      <c r="A7" s="26">
        <v>75018</v>
      </c>
      <c r="B7" s="61" t="s">
        <v>561</v>
      </c>
      <c r="C7" s="61" t="s">
        <v>562</v>
      </c>
      <c r="D7" s="465" t="s">
        <v>187</v>
      </c>
      <c r="E7" s="81">
        <v>503</v>
      </c>
      <c r="F7" s="28">
        <v>294</v>
      </c>
      <c r="G7" s="28">
        <v>885</v>
      </c>
      <c r="H7" s="28" t="s">
        <v>48</v>
      </c>
      <c r="I7" s="28">
        <v>493</v>
      </c>
      <c r="J7" s="343"/>
      <c r="K7" s="77"/>
      <c r="L7" s="77"/>
      <c r="M7" s="77"/>
      <c r="N7" s="77"/>
      <c r="O7" s="77"/>
      <c r="P7" s="344"/>
      <c r="Q7" s="371">
        <f t="shared" si="0"/>
        <v>2175</v>
      </c>
      <c r="R7" s="47"/>
    </row>
    <row r="8" spans="1:19" s="4" customFormat="1" x14ac:dyDescent="0.25">
      <c r="A8" s="26">
        <v>75018</v>
      </c>
      <c r="B8" s="61" t="s">
        <v>683</v>
      </c>
      <c r="C8" s="61" t="s">
        <v>682</v>
      </c>
      <c r="D8" s="465" t="s">
        <v>187</v>
      </c>
      <c r="E8" s="81">
        <v>127</v>
      </c>
      <c r="F8" s="28" t="s">
        <v>48</v>
      </c>
      <c r="G8" s="28">
        <v>102</v>
      </c>
      <c r="H8" s="28">
        <v>68</v>
      </c>
      <c r="I8" s="28" t="s">
        <v>48</v>
      </c>
      <c r="J8" s="343"/>
      <c r="K8" s="77"/>
      <c r="L8" s="77"/>
      <c r="M8" s="77"/>
      <c r="N8" s="77"/>
      <c r="O8" s="77"/>
      <c r="P8" s="344"/>
      <c r="Q8" s="371">
        <f t="shared" si="0"/>
        <v>297</v>
      </c>
      <c r="R8" s="47"/>
    </row>
    <row r="9" spans="1:19" s="4" customFormat="1" x14ac:dyDescent="0.25">
      <c r="A9" s="26">
        <v>75018</v>
      </c>
      <c r="B9" s="61" t="s">
        <v>1081</v>
      </c>
      <c r="C9" s="61" t="s">
        <v>1082</v>
      </c>
      <c r="D9" s="465" t="s">
        <v>188</v>
      </c>
      <c r="E9" s="81" t="s">
        <v>48</v>
      </c>
      <c r="F9" s="28" t="s">
        <v>48</v>
      </c>
      <c r="G9" s="28" t="s">
        <v>48</v>
      </c>
      <c r="H9" s="28">
        <v>115</v>
      </c>
      <c r="I9" s="28" t="s">
        <v>48</v>
      </c>
      <c r="J9" s="343"/>
      <c r="K9" s="77"/>
      <c r="L9" s="77"/>
      <c r="M9" s="77"/>
      <c r="N9" s="77"/>
      <c r="O9" s="77"/>
      <c r="P9" s="344"/>
      <c r="Q9" s="371">
        <f t="shared" ref="Q9:Q21" si="1">SUM(E9:P9)</f>
        <v>115</v>
      </c>
      <c r="R9" s="47"/>
    </row>
    <row r="10" spans="1:19" s="4" customFormat="1" x14ac:dyDescent="0.25">
      <c r="A10" s="26">
        <v>75018</v>
      </c>
      <c r="B10" s="61" t="s">
        <v>1022</v>
      </c>
      <c r="C10" s="61" t="s">
        <v>1023</v>
      </c>
      <c r="D10" s="465" t="s">
        <v>320</v>
      </c>
      <c r="E10" s="81" t="s">
        <v>48</v>
      </c>
      <c r="F10" s="28" t="s">
        <v>48</v>
      </c>
      <c r="G10" s="28">
        <v>1880</v>
      </c>
      <c r="H10" s="28" t="s">
        <v>48</v>
      </c>
      <c r="I10" s="28" t="s">
        <v>48</v>
      </c>
      <c r="J10" s="343"/>
      <c r="K10" s="77"/>
      <c r="L10" s="77"/>
      <c r="M10" s="77"/>
      <c r="N10" s="77"/>
      <c r="O10" s="77"/>
      <c r="P10" s="344"/>
      <c r="Q10" s="371">
        <f t="shared" si="1"/>
        <v>1880</v>
      </c>
      <c r="R10" s="47"/>
    </row>
    <row r="11" spans="1:19" s="4" customFormat="1" x14ac:dyDescent="0.25">
      <c r="A11" s="26">
        <v>75018</v>
      </c>
      <c r="B11" s="61" t="s">
        <v>1083</v>
      </c>
      <c r="C11" s="61" t="s">
        <v>1084</v>
      </c>
      <c r="D11" s="465" t="s">
        <v>188</v>
      </c>
      <c r="E11" s="81" t="s">
        <v>48</v>
      </c>
      <c r="F11" s="28" t="s">
        <v>48</v>
      </c>
      <c r="G11" s="28" t="s">
        <v>48</v>
      </c>
      <c r="H11" s="28">
        <v>197</v>
      </c>
      <c r="I11" s="28" t="s">
        <v>48</v>
      </c>
      <c r="J11" s="343"/>
      <c r="K11" s="77"/>
      <c r="L11" s="77"/>
      <c r="M11" s="77"/>
      <c r="N11" s="77"/>
      <c r="O11" s="77"/>
      <c r="P11" s="344"/>
      <c r="Q11" s="371">
        <f t="shared" si="1"/>
        <v>197</v>
      </c>
      <c r="R11" s="47"/>
    </row>
    <row r="12" spans="1:19" s="4" customFormat="1" x14ac:dyDescent="0.25">
      <c r="A12" s="26">
        <v>75018</v>
      </c>
      <c r="B12" s="61" t="s">
        <v>1085</v>
      </c>
      <c r="C12" s="61" t="s">
        <v>1086</v>
      </c>
      <c r="D12" s="465" t="s">
        <v>187</v>
      </c>
      <c r="E12" s="81" t="s">
        <v>48</v>
      </c>
      <c r="F12" s="28" t="s">
        <v>48</v>
      </c>
      <c r="G12" s="28" t="s">
        <v>48</v>
      </c>
      <c r="H12" s="28">
        <v>1193</v>
      </c>
      <c r="I12" s="28" t="s">
        <v>48</v>
      </c>
      <c r="J12" s="343"/>
      <c r="K12" s="77"/>
      <c r="L12" s="77"/>
      <c r="M12" s="77"/>
      <c r="N12" s="77"/>
      <c r="O12" s="77"/>
      <c r="P12" s="344"/>
      <c r="Q12" s="371">
        <f t="shared" si="1"/>
        <v>1193</v>
      </c>
      <c r="R12" s="47"/>
    </row>
    <row r="13" spans="1:19" s="4" customFormat="1" x14ac:dyDescent="0.25">
      <c r="A13" s="26">
        <v>75018</v>
      </c>
      <c r="B13" s="61" t="s">
        <v>1087</v>
      </c>
      <c r="C13" s="61" t="s">
        <v>1088</v>
      </c>
      <c r="D13" s="465" t="s">
        <v>186</v>
      </c>
      <c r="E13" s="81" t="s">
        <v>48</v>
      </c>
      <c r="F13" s="28" t="s">
        <v>48</v>
      </c>
      <c r="G13" s="28" t="s">
        <v>48</v>
      </c>
      <c r="H13" s="28">
        <v>393</v>
      </c>
      <c r="I13" s="28">
        <v>40</v>
      </c>
      <c r="J13" s="343"/>
      <c r="K13" s="77"/>
      <c r="L13" s="77"/>
      <c r="M13" s="77"/>
      <c r="N13" s="77"/>
      <c r="O13" s="77"/>
      <c r="P13" s="344"/>
      <c r="Q13" s="371">
        <f t="shared" si="1"/>
        <v>433</v>
      </c>
      <c r="R13" s="47"/>
    </row>
    <row r="14" spans="1:19" s="4" customFormat="1" x14ac:dyDescent="0.25">
      <c r="A14" s="26">
        <v>75018</v>
      </c>
      <c r="B14" s="61" t="s">
        <v>684</v>
      </c>
      <c r="C14" s="61" t="s">
        <v>685</v>
      </c>
      <c r="D14" s="465" t="s">
        <v>187</v>
      </c>
      <c r="E14" s="81">
        <v>40</v>
      </c>
      <c r="F14" s="28" t="s">
        <v>48</v>
      </c>
      <c r="G14" s="28" t="s">
        <v>48</v>
      </c>
      <c r="H14" s="28" t="s">
        <v>48</v>
      </c>
      <c r="I14" s="28" t="s">
        <v>48</v>
      </c>
      <c r="J14" s="343"/>
      <c r="K14" s="77"/>
      <c r="L14" s="77"/>
      <c r="M14" s="77"/>
      <c r="N14" s="77"/>
      <c r="O14" s="77"/>
      <c r="P14" s="344"/>
      <c r="Q14" s="371">
        <f t="shared" si="1"/>
        <v>40</v>
      </c>
      <c r="R14" s="47"/>
    </row>
    <row r="15" spans="1:19" s="4" customFormat="1" x14ac:dyDescent="0.25">
      <c r="A15" s="26">
        <v>75018</v>
      </c>
      <c r="B15" s="466" t="s">
        <v>1089</v>
      </c>
      <c r="C15" s="61" t="s">
        <v>1090</v>
      </c>
      <c r="D15" s="465" t="s">
        <v>186</v>
      </c>
      <c r="E15" s="81" t="s">
        <v>48</v>
      </c>
      <c r="F15" s="28" t="s">
        <v>48</v>
      </c>
      <c r="G15" s="28" t="s">
        <v>48</v>
      </c>
      <c r="H15" s="467">
        <v>258</v>
      </c>
      <c r="I15" s="28" t="s">
        <v>48</v>
      </c>
      <c r="J15" s="343"/>
      <c r="K15" s="77"/>
      <c r="L15" s="77"/>
      <c r="M15" s="77"/>
      <c r="N15" s="77"/>
      <c r="O15" s="77"/>
      <c r="P15" s="344"/>
      <c r="Q15" s="371">
        <f t="shared" si="1"/>
        <v>258</v>
      </c>
      <c r="R15" s="276" t="s">
        <v>869</v>
      </c>
    </row>
    <row r="16" spans="1:19" s="4" customFormat="1" ht="30" x14ac:dyDescent="0.25">
      <c r="A16" s="26">
        <v>75018</v>
      </c>
      <c r="B16" s="61" t="s">
        <v>563</v>
      </c>
      <c r="C16" s="61" t="s">
        <v>564</v>
      </c>
      <c r="D16" s="465" t="s">
        <v>188</v>
      </c>
      <c r="E16" s="81">
        <v>630</v>
      </c>
      <c r="F16" s="28">
        <v>514</v>
      </c>
      <c r="G16" s="28">
        <v>348</v>
      </c>
      <c r="H16" s="28">
        <v>261</v>
      </c>
      <c r="I16" s="28">
        <v>1232</v>
      </c>
      <c r="J16" s="343"/>
      <c r="K16" s="77"/>
      <c r="L16" s="77"/>
      <c r="M16" s="77"/>
      <c r="N16" s="77"/>
      <c r="O16" s="77"/>
      <c r="P16" s="344"/>
      <c r="Q16" s="371">
        <f t="shared" si="1"/>
        <v>2985</v>
      </c>
      <c r="R16" s="34"/>
    </row>
    <row r="17" spans="1:19" s="4" customFormat="1" x14ac:dyDescent="0.25">
      <c r="A17" s="26">
        <v>75018</v>
      </c>
      <c r="B17" s="61" t="s">
        <v>1024</v>
      </c>
      <c r="C17" s="61" t="s">
        <v>1025</v>
      </c>
      <c r="D17" s="465" t="s">
        <v>187</v>
      </c>
      <c r="E17" s="81" t="s">
        <v>48</v>
      </c>
      <c r="F17" s="28" t="s">
        <v>48</v>
      </c>
      <c r="G17" s="28">
        <v>20</v>
      </c>
      <c r="H17" s="28">
        <v>234</v>
      </c>
      <c r="I17" s="28">
        <v>100</v>
      </c>
      <c r="J17" s="343"/>
      <c r="K17" s="77"/>
      <c r="L17" s="77"/>
      <c r="M17" s="77"/>
      <c r="N17" s="77"/>
      <c r="O17" s="77"/>
      <c r="P17" s="344"/>
      <c r="Q17" s="371">
        <f t="shared" si="1"/>
        <v>354</v>
      </c>
      <c r="R17" s="34"/>
    </row>
    <row r="18" spans="1:19" s="4" customFormat="1" x14ac:dyDescent="0.25">
      <c r="A18" s="26">
        <v>75018</v>
      </c>
      <c r="B18" s="61" t="s">
        <v>686</v>
      </c>
      <c r="C18" s="61" t="s">
        <v>687</v>
      </c>
      <c r="D18" s="465" t="s">
        <v>186</v>
      </c>
      <c r="E18" s="81">
        <v>68</v>
      </c>
      <c r="F18" s="28" t="s">
        <v>48</v>
      </c>
      <c r="G18" s="28" t="s">
        <v>48</v>
      </c>
      <c r="H18" s="28" t="s">
        <v>48</v>
      </c>
      <c r="I18" s="28" t="s">
        <v>48</v>
      </c>
      <c r="J18" s="419"/>
      <c r="K18" s="77"/>
      <c r="L18" s="77"/>
      <c r="M18" s="77"/>
      <c r="N18" s="77"/>
      <c r="O18" s="77"/>
      <c r="P18" s="344"/>
      <c r="Q18" s="371">
        <f t="shared" si="1"/>
        <v>68</v>
      </c>
      <c r="R18" s="34"/>
    </row>
    <row r="19" spans="1:19" s="4" customFormat="1" x14ac:dyDescent="0.25">
      <c r="A19" s="26">
        <v>75018</v>
      </c>
      <c r="B19" s="61" t="s">
        <v>1026</v>
      </c>
      <c r="C19" s="61" t="s">
        <v>1027</v>
      </c>
      <c r="D19" s="465" t="s">
        <v>187</v>
      </c>
      <c r="E19" s="81" t="s">
        <v>48</v>
      </c>
      <c r="F19" s="28" t="s">
        <v>48</v>
      </c>
      <c r="G19" s="28">
        <v>420</v>
      </c>
      <c r="H19" s="28" t="s">
        <v>48</v>
      </c>
      <c r="I19" s="28" t="s">
        <v>48</v>
      </c>
      <c r="J19" s="343"/>
      <c r="K19" s="77"/>
      <c r="L19" s="77"/>
      <c r="M19" s="77"/>
      <c r="N19" s="77"/>
      <c r="O19" s="77"/>
      <c r="P19" s="344"/>
      <c r="Q19" s="371">
        <f t="shared" si="1"/>
        <v>420</v>
      </c>
      <c r="R19" s="34"/>
    </row>
    <row r="20" spans="1:19" s="4" customFormat="1" x14ac:dyDescent="0.25">
      <c r="A20" s="26">
        <v>75018</v>
      </c>
      <c r="B20" s="61" t="s">
        <v>1091</v>
      </c>
      <c r="C20" s="61" t="s">
        <v>1092</v>
      </c>
      <c r="D20" s="465" t="s">
        <v>188</v>
      </c>
      <c r="E20" s="81" t="s">
        <v>48</v>
      </c>
      <c r="F20" s="28" t="s">
        <v>48</v>
      </c>
      <c r="G20" s="28" t="s">
        <v>48</v>
      </c>
      <c r="H20" s="28">
        <v>118</v>
      </c>
      <c r="I20" s="28">
        <v>258</v>
      </c>
      <c r="J20" s="343"/>
      <c r="K20" s="77"/>
      <c r="L20" s="77"/>
      <c r="M20" s="77"/>
      <c r="N20" s="77"/>
      <c r="O20" s="77"/>
      <c r="P20" s="344"/>
      <c r="Q20" s="371">
        <f t="shared" si="1"/>
        <v>376</v>
      </c>
      <c r="R20" s="34"/>
    </row>
    <row r="21" spans="1:19" s="4" customFormat="1" ht="15.75" thickBot="1" x14ac:dyDescent="0.3">
      <c r="A21" s="26">
        <v>75018</v>
      </c>
      <c r="B21" s="61" t="s">
        <v>688</v>
      </c>
      <c r="C21" s="61" t="s">
        <v>689</v>
      </c>
      <c r="D21" s="465" t="s">
        <v>320</v>
      </c>
      <c r="E21" s="81">
        <v>68</v>
      </c>
      <c r="F21" s="28" t="s">
        <v>48</v>
      </c>
      <c r="G21" s="28" t="s">
        <v>48</v>
      </c>
      <c r="H21" s="28" t="s">
        <v>48</v>
      </c>
      <c r="I21" s="28" t="s">
        <v>48</v>
      </c>
      <c r="J21" s="343"/>
      <c r="K21" s="77"/>
      <c r="L21" s="77"/>
      <c r="M21" s="77"/>
      <c r="N21" s="77"/>
      <c r="O21" s="77"/>
      <c r="P21" s="344"/>
      <c r="Q21" s="371">
        <f t="shared" si="1"/>
        <v>68</v>
      </c>
      <c r="R21" s="374"/>
    </row>
    <row r="22" spans="1:19" s="4" customFormat="1" ht="15.75" thickBot="1" x14ac:dyDescent="0.3">
      <c r="A22" s="382" t="s">
        <v>10</v>
      </c>
      <c r="B22" s="383">
        <f>SUBTOTAL(103,Ventes18ème[Hotel])</f>
        <v>18</v>
      </c>
      <c r="C22" s="384"/>
      <c r="D22" s="382"/>
      <c r="E22" s="385">
        <f>SUBTOTAL(109,Ventes18ème[Janv])</f>
        <v>1606</v>
      </c>
      <c r="F22" s="386">
        <f>SUBTOTAL(109,Ventes18ème[Fév])</f>
        <v>808</v>
      </c>
      <c r="G22" s="387">
        <f>SUBTOTAL(109,Ventes18ème[mars])</f>
        <v>3843</v>
      </c>
      <c r="H22" s="334">
        <f>SUBTOTAL(109,Ventes18ème[Avril])</f>
        <v>2837</v>
      </c>
      <c r="I22" s="334">
        <f>SUBTOTAL(109,Ventes18ème[Mai])</f>
        <v>2797</v>
      </c>
      <c r="J22" s="334">
        <f>SUBTOTAL(109,Ventes18ème[Juin])</f>
        <v>0</v>
      </c>
      <c r="K22" s="334">
        <f>SUBTOTAL(109,Ventes18ème[Juillet])</f>
        <v>0</v>
      </c>
      <c r="L22" s="336">
        <f>SUBTOTAL(109,Ventes18ème[Août])</f>
        <v>0</v>
      </c>
      <c r="M22" s="336">
        <f>SUBTOTAL(109,Ventes18ème[Sept.])</f>
        <v>0</v>
      </c>
      <c r="N22" s="336">
        <f>SUBTOTAL(109,Ventes18ème[Oct])</f>
        <v>0</v>
      </c>
      <c r="O22" s="336">
        <f>SUBTOTAL(109,Ventes18ème[Nov.])</f>
        <v>0</v>
      </c>
      <c r="P22" s="337">
        <f>SUBTOTAL(109,Ventes18ème[déc])</f>
        <v>0</v>
      </c>
      <c r="Q22" s="388">
        <f>SUBTOTAL(109,Ventes18ème[TOTAL])</f>
        <v>11891</v>
      </c>
      <c r="R22" s="378"/>
      <c r="S22" s="80"/>
    </row>
    <row r="23" spans="1:19" s="4" customFormat="1" ht="15.75" thickBot="1" x14ac:dyDescent="0.3">
      <c r="A23" s="62"/>
      <c r="B23" s="62"/>
      <c r="C23" s="62"/>
      <c r="D23" s="62"/>
      <c r="E23" s="62"/>
      <c r="F23" s="62"/>
      <c r="G23" s="62"/>
      <c r="H23" s="62"/>
      <c r="I23" s="64"/>
      <c r="J23" s="62"/>
      <c r="K23" s="64"/>
      <c r="L23" s="335"/>
      <c r="M23" s="335"/>
      <c r="N23" s="335"/>
      <c r="O23" s="335"/>
      <c r="P23" s="335"/>
      <c r="Q23" s="64"/>
      <c r="R23" s="62"/>
      <c r="S23" s="80"/>
    </row>
    <row r="24" spans="1:19" ht="30" x14ac:dyDescent="0.25">
      <c r="A24" s="389" t="s">
        <v>36</v>
      </c>
      <c r="B24" s="338">
        <v>79</v>
      </c>
      <c r="C24" s="62"/>
      <c r="D24" s="62"/>
      <c r="E24" s="62"/>
      <c r="F24" s="62"/>
      <c r="G24" s="62"/>
      <c r="H24" s="62"/>
      <c r="I24" s="62"/>
      <c r="J24" s="390"/>
      <c r="K24" s="64"/>
      <c r="L24" s="335"/>
      <c r="M24" s="335"/>
      <c r="N24" s="335"/>
      <c r="O24" s="335"/>
      <c r="P24" s="335"/>
      <c r="Q24" s="64"/>
      <c r="R24" s="62"/>
    </row>
    <row r="25" spans="1:19" ht="30.75" thickBot="1" x14ac:dyDescent="0.3">
      <c r="A25" s="391" t="s">
        <v>1330</v>
      </c>
      <c r="B25" s="339">
        <f>Ventes18ème[[#Totals],[Hotel]]/B24</f>
        <v>0.22784810126582278</v>
      </c>
      <c r="C25" s="413"/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11"/>
  <sheetViews>
    <sheetView zoomScale="80" zoomScaleNormal="80" workbookViewId="0">
      <selection activeCell="B6" sqref="B6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163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438" t="s">
        <v>2</v>
      </c>
      <c r="D3" s="23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43">
        <v>75019</v>
      </c>
      <c r="B4" s="87" t="s">
        <v>690</v>
      </c>
      <c r="C4" s="96" t="s">
        <v>691</v>
      </c>
      <c r="D4" s="90" t="s">
        <v>187</v>
      </c>
      <c r="E4" s="44">
        <v>82</v>
      </c>
      <c r="F4" s="45" t="s">
        <v>48</v>
      </c>
      <c r="G4" s="45" t="s">
        <v>48</v>
      </c>
      <c r="H4" s="45">
        <v>624</v>
      </c>
      <c r="I4" s="45" t="s">
        <v>48</v>
      </c>
      <c r="J4" s="343"/>
      <c r="K4" s="77"/>
      <c r="L4" s="77"/>
      <c r="M4" s="77"/>
      <c r="N4" s="77"/>
      <c r="O4" s="77"/>
      <c r="P4" s="344"/>
      <c r="Q4" s="371">
        <f t="shared" ref="Q4:Q7" si="0">SUM(E4:P4)</f>
        <v>706</v>
      </c>
      <c r="R4" s="216"/>
    </row>
    <row r="5" spans="1:19" s="4" customFormat="1" x14ac:dyDescent="0.25">
      <c r="A5" s="43">
        <v>75019</v>
      </c>
      <c r="B5" s="87" t="s">
        <v>692</v>
      </c>
      <c r="C5" s="96" t="s">
        <v>693</v>
      </c>
      <c r="D5" s="90" t="s">
        <v>186</v>
      </c>
      <c r="E5" s="44">
        <v>269</v>
      </c>
      <c r="F5" s="45" t="s">
        <v>48</v>
      </c>
      <c r="G5" s="45" t="s">
        <v>48</v>
      </c>
      <c r="H5" s="45">
        <v>760</v>
      </c>
      <c r="I5" s="45" t="s">
        <v>48</v>
      </c>
      <c r="J5" s="343"/>
      <c r="K5" s="77"/>
      <c r="L5" s="77"/>
      <c r="M5" s="77"/>
      <c r="N5" s="77"/>
      <c r="O5" s="77"/>
      <c r="P5" s="344"/>
      <c r="Q5" s="371">
        <f t="shared" si="0"/>
        <v>1029</v>
      </c>
      <c r="R5" s="216"/>
    </row>
    <row r="6" spans="1:19" s="4" customFormat="1" x14ac:dyDescent="0.25">
      <c r="A6" s="43">
        <v>75019</v>
      </c>
      <c r="B6" s="87" t="s">
        <v>1327</v>
      </c>
      <c r="C6" s="96" t="s">
        <v>1328</v>
      </c>
      <c r="D6" s="90" t="s">
        <v>186</v>
      </c>
      <c r="E6" s="44" t="s">
        <v>48</v>
      </c>
      <c r="F6" s="45" t="s">
        <v>48</v>
      </c>
      <c r="G6" s="45" t="s">
        <v>48</v>
      </c>
      <c r="H6" s="45" t="s">
        <v>48</v>
      </c>
      <c r="I6" s="45">
        <v>78</v>
      </c>
      <c r="J6" s="343"/>
      <c r="K6" s="77"/>
      <c r="L6" s="77"/>
      <c r="M6" s="77"/>
      <c r="N6" s="77"/>
      <c r="O6" s="77"/>
      <c r="P6" s="344"/>
      <c r="Q6" s="371">
        <f t="shared" si="0"/>
        <v>78</v>
      </c>
      <c r="R6" s="216"/>
    </row>
    <row r="7" spans="1:19" s="4" customFormat="1" ht="15.75" thickBot="1" x14ac:dyDescent="0.3">
      <c r="A7" s="43">
        <v>75019</v>
      </c>
      <c r="B7" s="87" t="s">
        <v>1028</v>
      </c>
      <c r="C7" s="96" t="s">
        <v>1029</v>
      </c>
      <c r="D7" s="199" t="s">
        <v>188</v>
      </c>
      <c r="E7" s="44" t="s">
        <v>48</v>
      </c>
      <c r="F7" s="45" t="s">
        <v>48</v>
      </c>
      <c r="G7" s="45">
        <v>200</v>
      </c>
      <c r="H7" s="45" t="s">
        <v>48</v>
      </c>
      <c r="I7" s="45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200</v>
      </c>
      <c r="R7" s="269"/>
    </row>
    <row r="8" spans="1:19" s="4" customFormat="1" ht="15.75" thickBot="1" x14ac:dyDescent="0.3">
      <c r="A8" s="382" t="s">
        <v>10</v>
      </c>
      <c r="B8" s="383">
        <f>SUBTOTAL(103,Ventes19ème[Hotel])</f>
        <v>4</v>
      </c>
      <c r="C8" s="440"/>
      <c r="D8" s="442"/>
      <c r="E8" s="385">
        <f>SUBTOTAL(109,Ventes19ème[Janv])</f>
        <v>351</v>
      </c>
      <c r="F8" s="386">
        <f>SUBTOTAL(109,Ventes19ème[Fév])</f>
        <v>0</v>
      </c>
      <c r="G8" s="387">
        <f>SUBTOTAL(109,Ventes19ème[mars])</f>
        <v>200</v>
      </c>
      <c r="H8" s="334">
        <f>SUBTOTAL(109,Ventes19ème[Avril])</f>
        <v>1384</v>
      </c>
      <c r="I8" s="334">
        <f>SUBTOTAL(109,Ventes19ème[Mai])</f>
        <v>78</v>
      </c>
      <c r="J8" s="334">
        <f>SUBTOTAL(109,Ventes19ème[Juin])</f>
        <v>0</v>
      </c>
      <c r="K8" s="334">
        <f>SUBTOTAL(109,Ventes19ème[Juillet])</f>
        <v>0</v>
      </c>
      <c r="L8" s="336">
        <f>SUBTOTAL(109,Ventes19ème[Août])</f>
        <v>0</v>
      </c>
      <c r="M8" s="336">
        <f>SUBTOTAL(109,Ventes19ème[Sept.])</f>
        <v>0</v>
      </c>
      <c r="N8" s="336">
        <f>SUBTOTAL(109,Ventes19ème[Oct])</f>
        <v>0</v>
      </c>
      <c r="O8" s="336">
        <f>SUBTOTAL(109,Ventes19ème[Nov.])</f>
        <v>0</v>
      </c>
      <c r="P8" s="337">
        <f>SUBTOTAL(109,Ventes19ème[déc])</f>
        <v>0</v>
      </c>
      <c r="Q8" s="388">
        <f>SUBTOTAL(109,Ventes19ème[TOTAL])</f>
        <v>2013</v>
      </c>
      <c r="R8" s="378"/>
      <c r="S8" s="80"/>
    </row>
    <row r="9" spans="1:19" s="4" customFormat="1" ht="15.75" thickBot="1" x14ac:dyDescent="0.3">
      <c r="A9" s="62"/>
      <c r="B9" s="62"/>
      <c r="C9" s="62"/>
      <c r="D9" s="62"/>
      <c r="E9" s="62"/>
      <c r="F9" s="62"/>
      <c r="G9" s="62"/>
      <c r="H9" s="62"/>
      <c r="I9" s="64"/>
      <c r="J9" s="62"/>
      <c r="K9" s="64"/>
      <c r="L9" s="335"/>
      <c r="M9" s="335"/>
      <c r="N9" s="335"/>
      <c r="O9" s="335"/>
      <c r="P9" s="335"/>
      <c r="Q9" s="64"/>
      <c r="R9" s="62"/>
      <c r="S9" s="80"/>
    </row>
    <row r="10" spans="1:19" ht="30" x14ac:dyDescent="0.25">
      <c r="A10" s="389" t="s">
        <v>36</v>
      </c>
      <c r="B10" s="338">
        <v>24</v>
      </c>
      <c r="C10" s="62"/>
      <c r="D10" s="62"/>
      <c r="E10" s="62"/>
      <c r="F10" s="62"/>
      <c r="G10" s="62"/>
      <c r="H10" s="62"/>
      <c r="I10" s="62"/>
      <c r="J10" s="390"/>
      <c r="K10" s="64"/>
      <c r="L10" s="335"/>
      <c r="M10" s="335"/>
      <c r="N10" s="335"/>
      <c r="O10" s="335"/>
      <c r="P10" s="335"/>
      <c r="Q10" s="64"/>
      <c r="R10" s="62"/>
    </row>
    <row r="11" spans="1:19" ht="30.75" thickBot="1" x14ac:dyDescent="0.3">
      <c r="A11" s="391" t="s">
        <v>1330</v>
      </c>
      <c r="B11" s="339">
        <f>Ventes19ème[[#Totals],[Hotel]]/B10</f>
        <v>0.16666666666666666</v>
      </c>
      <c r="C11" s="413"/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S12"/>
  <sheetViews>
    <sheetView zoomScale="80" zoomScaleNormal="80" workbookViewId="0">
      <selection activeCell="B15" sqref="B15"/>
    </sheetView>
  </sheetViews>
  <sheetFormatPr baseColWidth="10" defaultRowHeight="15" x14ac:dyDescent="0.25"/>
  <cols>
    <col min="1" max="1" width="11.42578125" style="379"/>
    <col min="2" max="2" width="37" style="379" customWidth="1"/>
    <col min="3" max="3" width="30.140625" style="379" customWidth="1"/>
    <col min="4" max="4" width="9.42578125" style="379" customWidth="1"/>
    <col min="5" max="5" width="9.28515625" style="379" customWidth="1"/>
    <col min="6" max="6" width="8" style="379" customWidth="1"/>
    <col min="7" max="7" width="8.28515625" style="379" customWidth="1"/>
    <col min="8" max="8" width="9" style="379" customWidth="1"/>
    <col min="9" max="9" width="9" style="392" customWidth="1"/>
    <col min="10" max="10" width="9.28515625" style="379" customWidth="1"/>
    <col min="11" max="16" width="9.28515625" style="392" customWidth="1"/>
    <col min="17" max="17" width="8.5703125" style="392" customWidth="1"/>
    <col min="18" max="18" width="31.5703125" style="379" customWidth="1"/>
    <col min="19" max="19" width="11.42578125" style="21"/>
    <col min="20" max="20" width="23.7109375" style="99" customWidth="1"/>
    <col min="21" max="16384" width="11.42578125" style="99"/>
  </cols>
  <sheetData>
    <row r="1" spans="1:19" ht="31.5" x14ac:dyDescent="0.25">
      <c r="A1" s="380" t="s">
        <v>164</v>
      </c>
      <c r="D1" s="373"/>
      <c r="E1" s="373"/>
      <c r="F1" s="373"/>
      <c r="G1" s="373"/>
      <c r="H1" s="373"/>
      <c r="I1" s="381"/>
      <c r="J1" s="373"/>
      <c r="K1" s="381"/>
      <c r="L1" s="381"/>
      <c r="M1" s="381"/>
      <c r="N1" s="381"/>
      <c r="O1" s="381"/>
      <c r="P1" s="381"/>
      <c r="Q1" s="381"/>
      <c r="R1" s="372"/>
      <c r="S1" s="22"/>
    </row>
    <row r="2" spans="1:19" ht="15.75" thickBot="1" x14ac:dyDescent="0.3">
      <c r="D2" s="373"/>
      <c r="E2" s="373"/>
      <c r="F2" s="373"/>
      <c r="G2" s="373"/>
      <c r="H2" s="373"/>
      <c r="I2" s="381"/>
      <c r="J2" s="373"/>
      <c r="K2" s="381"/>
      <c r="L2" s="381"/>
      <c r="M2" s="381"/>
      <c r="N2" s="381"/>
      <c r="O2" s="381"/>
      <c r="P2" s="381"/>
      <c r="Q2" s="381"/>
      <c r="R2" s="373"/>
      <c r="S2" s="22"/>
    </row>
    <row r="3" spans="1:19" s="2" customFormat="1" ht="15.75" thickBot="1" x14ac:dyDescent="0.3">
      <c r="A3" s="5" t="s">
        <v>0</v>
      </c>
      <c r="B3" s="6" t="s">
        <v>1</v>
      </c>
      <c r="C3" s="438" t="s">
        <v>2</v>
      </c>
      <c r="D3" s="23" t="s">
        <v>3</v>
      </c>
      <c r="E3" s="9" t="s">
        <v>5</v>
      </c>
      <c r="F3" s="6" t="s">
        <v>6</v>
      </c>
      <c r="G3" s="433" t="s">
        <v>4</v>
      </c>
      <c r="H3" s="434" t="s">
        <v>7</v>
      </c>
      <c r="I3" s="435" t="s">
        <v>37</v>
      </c>
      <c r="J3" s="435" t="s">
        <v>38</v>
      </c>
      <c r="K3" s="433" t="s">
        <v>40</v>
      </c>
      <c r="L3" s="436" t="s">
        <v>41</v>
      </c>
      <c r="M3" s="436" t="s">
        <v>42</v>
      </c>
      <c r="N3" s="433" t="s">
        <v>43</v>
      </c>
      <c r="O3" s="436" t="s">
        <v>44</v>
      </c>
      <c r="P3" s="434" t="s">
        <v>45</v>
      </c>
      <c r="Q3" s="333" t="s">
        <v>8</v>
      </c>
      <c r="R3" s="10" t="s">
        <v>9</v>
      </c>
    </row>
    <row r="4" spans="1:19" s="4" customFormat="1" x14ac:dyDescent="0.25">
      <c r="A4" s="86">
        <v>75020</v>
      </c>
      <c r="B4" s="87" t="s">
        <v>1093</v>
      </c>
      <c r="C4" s="88" t="s">
        <v>1094</v>
      </c>
      <c r="D4" s="86" t="s">
        <v>320</v>
      </c>
      <c r="E4" s="75" t="s">
        <v>48</v>
      </c>
      <c r="F4" s="76" t="s">
        <v>48</v>
      </c>
      <c r="G4" s="76" t="s">
        <v>48</v>
      </c>
      <c r="H4" s="33">
        <v>969</v>
      </c>
      <c r="I4" s="32" t="s">
        <v>48</v>
      </c>
      <c r="J4" s="343"/>
      <c r="K4" s="77"/>
      <c r="L4" s="77"/>
      <c r="M4" s="77"/>
      <c r="N4" s="77"/>
      <c r="O4" s="77"/>
      <c r="P4" s="344"/>
      <c r="Q4" s="371">
        <f t="shared" ref="Q4:Q8" si="0">SUM(E4:P4)</f>
        <v>969</v>
      </c>
      <c r="R4" s="216"/>
    </row>
    <row r="5" spans="1:19" s="4" customFormat="1" x14ac:dyDescent="0.25">
      <c r="A5" s="86">
        <v>75020</v>
      </c>
      <c r="B5" s="87" t="s">
        <v>1095</v>
      </c>
      <c r="C5" s="88" t="s">
        <v>1096</v>
      </c>
      <c r="D5" s="86" t="s">
        <v>186</v>
      </c>
      <c r="E5" s="75" t="s">
        <v>48</v>
      </c>
      <c r="F5" s="76" t="s">
        <v>48</v>
      </c>
      <c r="G5" s="76" t="s">
        <v>48</v>
      </c>
      <c r="H5" s="33">
        <v>84</v>
      </c>
      <c r="I5" s="32" t="s">
        <v>48</v>
      </c>
      <c r="J5" s="343"/>
      <c r="K5" s="77"/>
      <c r="L5" s="77"/>
      <c r="M5" s="77"/>
      <c r="N5" s="77"/>
      <c r="O5" s="77"/>
      <c r="P5" s="344"/>
      <c r="Q5" s="371">
        <f t="shared" si="0"/>
        <v>84</v>
      </c>
      <c r="R5" s="216"/>
    </row>
    <row r="6" spans="1:19" s="4" customFormat="1" x14ac:dyDescent="0.25">
      <c r="A6" s="86">
        <v>75020</v>
      </c>
      <c r="B6" s="87" t="s">
        <v>694</v>
      </c>
      <c r="C6" s="88" t="s">
        <v>695</v>
      </c>
      <c r="D6" s="86" t="s">
        <v>186</v>
      </c>
      <c r="E6" s="75">
        <v>36</v>
      </c>
      <c r="F6" s="76" t="s">
        <v>48</v>
      </c>
      <c r="G6" s="76" t="s">
        <v>48</v>
      </c>
      <c r="H6" s="76" t="s">
        <v>48</v>
      </c>
      <c r="I6" s="32" t="s">
        <v>48</v>
      </c>
      <c r="J6" s="343"/>
      <c r="K6" s="77"/>
      <c r="L6" s="77"/>
      <c r="M6" s="77"/>
      <c r="N6" s="77"/>
      <c r="O6" s="77"/>
      <c r="P6" s="344"/>
      <c r="Q6" s="371">
        <f t="shared" si="0"/>
        <v>36</v>
      </c>
      <c r="R6" s="216"/>
    </row>
    <row r="7" spans="1:19" s="4" customFormat="1" x14ac:dyDescent="0.25">
      <c r="A7" s="86">
        <v>75020</v>
      </c>
      <c r="B7" s="87" t="s">
        <v>1097</v>
      </c>
      <c r="C7" s="88" t="s">
        <v>1098</v>
      </c>
      <c r="D7" s="86" t="s">
        <v>186</v>
      </c>
      <c r="E7" s="75" t="s">
        <v>48</v>
      </c>
      <c r="F7" s="76" t="s">
        <v>48</v>
      </c>
      <c r="G7" s="76" t="s">
        <v>48</v>
      </c>
      <c r="H7" s="76">
        <v>228</v>
      </c>
      <c r="I7" s="32" t="s">
        <v>48</v>
      </c>
      <c r="J7" s="343"/>
      <c r="K7" s="77"/>
      <c r="L7" s="77"/>
      <c r="M7" s="77"/>
      <c r="N7" s="77"/>
      <c r="O7" s="77"/>
      <c r="P7" s="344"/>
      <c r="Q7" s="371">
        <f t="shared" si="0"/>
        <v>228</v>
      </c>
      <c r="R7" s="269"/>
    </row>
    <row r="8" spans="1:19" s="4" customFormat="1" ht="15.75" thickBot="1" x14ac:dyDescent="0.3">
      <c r="A8" s="86">
        <v>75020</v>
      </c>
      <c r="B8" s="87" t="s">
        <v>565</v>
      </c>
      <c r="C8" s="88" t="s">
        <v>566</v>
      </c>
      <c r="D8" s="86" t="s">
        <v>187</v>
      </c>
      <c r="E8" s="75">
        <v>40</v>
      </c>
      <c r="F8" s="76">
        <v>64</v>
      </c>
      <c r="G8" s="76" t="s">
        <v>48</v>
      </c>
      <c r="H8" s="76">
        <v>72</v>
      </c>
      <c r="I8" s="33">
        <v>36</v>
      </c>
      <c r="J8" s="343"/>
      <c r="K8" s="77"/>
      <c r="L8" s="77"/>
      <c r="M8" s="77"/>
      <c r="N8" s="77"/>
      <c r="O8" s="77"/>
      <c r="P8" s="344"/>
      <c r="Q8" s="371">
        <f t="shared" si="0"/>
        <v>212</v>
      </c>
      <c r="R8" s="446"/>
    </row>
    <row r="9" spans="1:19" s="4" customFormat="1" ht="15.75" thickBot="1" x14ac:dyDescent="0.3">
      <c r="A9" s="382" t="s">
        <v>10</v>
      </c>
      <c r="B9" s="383">
        <f>SUBTOTAL(103,Ventes20ème[Hotel])</f>
        <v>5</v>
      </c>
      <c r="C9" s="440"/>
      <c r="D9" s="442"/>
      <c r="E9" s="385">
        <f>SUBTOTAL(109,Ventes20ème[Janv])</f>
        <v>76</v>
      </c>
      <c r="F9" s="386">
        <f>SUBTOTAL(109,Ventes20ème[Fév])</f>
        <v>64</v>
      </c>
      <c r="G9" s="387">
        <f>SUBTOTAL(109,Ventes20ème[mars])</f>
        <v>0</v>
      </c>
      <c r="H9" s="334">
        <f>SUBTOTAL(109,Ventes20ème[Avril])</f>
        <v>1353</v>
      </c>
      <c r="I9" s="334">
        <f>SUBTOTAL(109,Ventes20ème[Mai])</f>
        <v>36</v>
      </c>
      <c r="J9" s="334">
        <f>SUBTOTAL(109,Ventes20ème[Juin])</f>
        <v>0</v>
      </c>
      <c r="K9" s="334">
        <f>SUBTOTAL(109,Ventes20ème[Juillet])</f>
        <v>0</v>
      </c>
      <c r="L9" s="336">
        <f>SUBTOTAL(109,Ventes20ème[Août])</f>
        <v>0</v>
      </c>
      <c r="M9" s="336">
        <f>SUBTOTAL(109,Ventes20ème[Sept.])</f>
        <v>0</v>
      </c>
      <c r="N9" s="336">
        <f>SUBTOTAL(109,Ventes20ème[Oct])</f>
        <v>0</v>
      </c>
      <c r="O9" s="336">
        <f>SUBTOTAL(109,Ventes20ème[Nov.])</f>
        <v>0</v>
      </c>
      <c r="P9" s="337">
        <f>SUBTOTAL(109,Ventes20ème[déc])</f>
        <v>0</v>
      </c>
      <c r="Q9" s="388">
        <f>SUBTOTAL(109,Ventes20ème[TOTAL])</f>
        <v>1529</v>
      </c>
      <c r="R9" s="378"/>
      <c r="S9" s="80"/>
    </row>
    <row r="10" spans="1:19" s="4" customFormat="1" ht="15.75" thickBot="1" x14ac:dyDescent="0.3">
      <c r="A10" s="62"/>
      <c r="B10" s="62"/>
      <c r="C10" s="62"/>
      <c r="D10" s="62"/>
      <c r="E10" s="62"/>
      <c r="F10" s="62"/>
      <c r="G10" s="62"/>
      <c r="H10" s="62"/>
      <c r="I10" s="64"/>
      <c r="J10" s="62"/>
      <c r="K10" s="64"/>
      <c r="L10" s="335"/>
      <c r="M10" s="335"/>
      <c r="N10" s="335"/>
      <c r="O10" s="335"/>
      <c r="P10" s="335"/>
      <c r="Q10" s="64"/>
      <c r="R10" s="62"/>
      <c r="S10" s="80"/>
    </row>
    <row r="11" spans="1:19" ht="30" x14ac:dyDescent="0.25">
      <c r="A11" s="389" t="s">
        <v>36</v>
      </c>
      <c r="B11" s="338">
        <v>27</v>
      </c>
      <c r="C11" s="62"/>
      <c r="D11" s="62"/>
      <c r="E11" s="62"/>
      <c r="F11" s="62"/>
      <c r="G11" s="62"/>
      <c r="H11" s="62"/>
      <c r="I11" s="62"/>
      <c r="J11" s="390"/>
      <c r="K11" s="64"/>
      <c r="L11" s="335"/>
      <c r="M11" s="335"/>
      <c r="N11" s="335"/>
      <c r="O11" s="335"/>
      <c r="P11" s="335"/>
      <c r="Q11" s="64"/>
      <c r="R11" s="62"/>
    </row>
    <row r="12" spans="1:19" ht="30.75" thickBot="1" x14ac:dyDescent="0.3">
      <c r="A12" s="391" t="s">
        <v>1330</v>
      </c>
      <c r="B12" s="339">
        <f>Ventes20ème[[#Totals],[Hotel]]/B11</f>
        <v>0.18518518518518517</v>
      </c>
      <c r="C12" s="413"/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H39"/>
  <sheetViews>
    <sheetView topLeftCell="B1" workbookViewId="0">
      <selection sqref="A1:IV65536"/>
    </sheetView>
  </sheetViews>
  <sheetFormatPr baseColWidth="10" defaultRowHeight="15" x14ac:dyDescent="0.25"/>
  <cols>
    <col min="2" max="2" width="10.140625" customWidth="1"/>
    <col min="3" max="3" width="10.42578125" customWidth="1"/>
    <col min="4" max="4" width="8.7109375" customWidth="1"/>
    <col min="5" max="5" width="30" customWidth="1"/>
    <col min="6" max="6" width="32" customWidth="1"/>
    <col min="7" max="7" width="29.5703125" customWidth="1"/>
    <col min="8" max="8" width="27.5703125" customWidth="1"/>
  </cols>
  <sheetData>
    <row r="1" spans="1:8" ht="21" x14ac:dyDescent="0.35">
      <c r="A1" s="228" t="s">
        <v>65</v>
      </c>
    </row>
    <row r="2" spans="1:8" s="99" customFormat="1" ht="21" x14ac:dyDescent="0.35">
      <c r="A2" s="228"/>
    </row>
    <row r="4" spans="1:8" x14ac:dyDescent="0.25">
      <c r="B4" s="221" t="s">
        <v>67</v>
      </c>
      <c r="C4" s="221" t="s">
        <v>68</v>
      </c>
      <c r="D4" s="221" t="s">
        <v>11</v>
      </c>
      <c r="E4" s="221" t="s">
        <v>69</v>
      </c>
      <c r="F4" s="221" t="s">
        <v>70</v>
      </c>
      <c r="G4" s="221" t="s">
        <v>83</v>
      </c>
      <c r="H4" s="221" t="s">
        <v>78</v>
      </c>
    </row>
    <row r="5" spans="1:8" x14ac:dyDescent="0.25">
      <c r="A5" s="217" t="s">
        <v>66</v>
      </c>
      <c r="B5" s="223">
        <v>67174</v>
      </c>
      <c r="C5" s="224">
        <v>69399</v>
      </c>
      <c r="D5" s="218">
        <f>(B5/C5)-1</f>
        <v>-3.20609807057739E-2</v>
      </c>
      <c r="E5" s="11" t="s">
        <v>71</v>
      </c>
      <c r="F5" s="11" t="s">
        <v>72</v>
      </c>
      <c r="G5" s="11"/>
      <c r="H5" s="11"/>
    </row>
    <row r="6" spans="1:8" ht="15" customHeight="1" x14ac:dyDescent="0.25">
      <c r="A6" s="134"/>
      <c r="B6" s="478" t="s">
        <v>80</v>
      </c>
      <c r="C6" s="479"/>
      <c r="D6" s="480"/>
      <c r="E6" s="11" t="s">
        <v>73</v>
      </c>
      <c r="F6" s="11" t="s">
        <v>74</v>
      </c>
      <c r="G6" s="11"/>
      <c r="H6" s="11"/>
    </row>
    <row r="7" spans="1:8" x14ac:dyDescent="0.25">
      <c r="A7" s="134"/>
      <c r="B7" s="478" t="s">
        <v>81</v>
      </c>
      <c r="C7" s="479"/>
      <c r="D7" s="480"/>
      <c r="E7" s="11" t="s">
        <v>75</v>
      </c>
      <c r="F7" s="11" t="s">
        <v>74</v>
      </c>
      <c r="G7" s="11"/>
      <c r="H7" s="11"/>
    </row>
    <row r="8" spans="1:8" x14ac:dyDescent="0.25">
      <c r="A8" s="134"/>
      <c r="B8" s="478" t="s">
        <v>82</v>
      </c>
      <c r="C8" s="479"/>
      <c r="D8" s="480"/>
      <c r="E8" s="11" t="s">
        <v>76</v>
      </c>
      <c r="F8" s="11" t="s">
        <v>77</v>
      </c>
      <c r="G8" s="11"/>
      <c r="H8" s="11"/>
    </row>
    <row r="9" spans="1:8" x14ac:dyDescent="0.25">
      <c r="A9" s="184"/>
      <c r="B9" s="219"/>
      <c r="C9" s="184"/>
      <c r="D9" s="220"/>
      <c r="E9" s="11" t="s">
        <v>79</v>
      </c>
      <c r="F9" s="11" t="s">
        <v>74</v>
      </c>
      <c r="G9" s="11"/>
      <c r="H9" s="11"/>
    </row>
    <row r="10" spans="1:8" ht="7.5" customHeight="1" x14ac:dyDescent="0.25"/>
    <row r="11" spans="1:8" x14ac:dyDescent="0.25">
      <c r="A11" s="11" t="s">
        <v>84</v>
      </c>
      <c r="B11" s="225">
        <v>19779</v>
      </c>
      <c r="C11" s="225">
        <v>16534</v>
      </c>
      <c r="D11" s="222">
        <f>(B11/C11)-1</f>
        <v>0.19626224749002064</v>
      </c>
      <c r="E11" s="11" t="s">
        <v>85</v>
      </c>
      <c r="F11" s="11" t="s">
        <v>86</v>
      </c>
      <c r="G11" s="11"/>
      <c r="H11" s="11"/>
    </row>
    <row r="12" spans="1:8" ht="6.75" customHeight="1" x14ac:dyDescent="0.25"/>
    <row r="13" spans="1:8" s="99" customFormat="1" x14ac:dyDescent="0.25">
      <c r="A13" s="11" t="s">
        <v>87</v>
      </c>
      <c r="B13" s="225">
        <v>28677</v>
      </c>
      <c r="C13" s="225">
        <v>16180</v>
      </c>
      <c r="D13" s="222">
        <f>(B13/C13)-1</f>
        <v>0.77237330037082819</v>
      </c>
      <c r="E13" s="226" t="s">
        <v>48</v>
      </c>
      <c r="F13" s="11"/>
      <c r="G13" s="11"/>
      <c r="H13" s="11"/>
    </row>
    <row r="14" spans="1:8" ht="6" customHeight="1" x14ac:dyDescent="0.25"/>
    <row r="15" spans="1:8" s="99" customFormat="1" x14ac:dyDescent="0.25">
      <c r="A15" s="11" t="s">
        <v>88</v>
      </c>
      <c r="B15" s="225">
        <v>20083</v>
      </c>
      <c r="C15" s="225">
        <v>17661</v>
      </c>
      <c r="D15" s="222">
        <f>(B15/C15)-1</f>
        <v>0.13713832738803022</v>
      </c>
      <c r="E15" s="226" t="s">
        <v>48</v>
      </c>
      <c r="F15" s="11"/>
      <c r="G15" s="11"/>
      <c r="H15" s="11"/>
    </row>
    <row r="16" spans="1:8" ht="6" customHeight="1" x14ac:dyDescent="0.25"/>
    <row r="17" spans="1:8" s="99" customFormat="1" x14ac:dyDescent="0.25">
      <c r="A17" s="217" t="s">
        <v>89</v>
      </c>
      <c r="B17" s="224">
        <v>78878</v>
      </c>
      <c r="C17" s="224">
        <v>67833</v>
      </c>
      <c r="D17" s="227">
        <f>(B17/C17)-1</f>
        <v>0.16282635295505132</v>
      </c>
      <c r="E17" s="226" t="s">
        <v>90</v>
      </c>
      <c r="F17" s="11" t="s">
        <v>74</v>
      </c>
      <c r="G17" s="11"/>
      <c r="H17" s="11"/>
    </row>
    <row r="18" spans="1:8" x14ac:dyDescent="0.25">
      <c r="A18" s="134"/>
      <c r="B18" s="134"/>
      <c r="C18" s="134"/>
      <c r="D18" s="134"/>
      <c r="E18" s="11" t="s">
        <v>91</v>
      </c>
      <c r="F18" s="11" t="s">
        <v>92</v>
      </c>
      <c r="G18" s="11"/>
      <c r="H18" s="11"/>
    </row>
    <row r="19" spans="1:8" x14ac:dyDescent="0.25">
      <c r="A19" s="134"/>
      <c r="B19" s="134"/>
      <c r="C19" s="134"/>
      <c r="D19" s="134"/>
      <c r="E19" s="14" t="s">
        <v>93</v>
      </c>
      <c r="F19" s="11" t="s">
        <v>74</v>
      </c>
      <c r="G19" s="11"/>
      <c r="H19" s="11"/>
    </row>
    <row r="20" spans="1:8" x14ac:dyDescent="0.25">
      <c r="A20" s="184"/>
      <c r="B20" s="184"/>
      <c r="C20" s="184"/>
      <c r="D20" s="184"/>
      <c r="E20" s="14" t="s">
        <v>94</v>
      </c>
      <c r="F20" s="11" t="s">
        <v>74</v>
      </c>
      <c r="G20" s="11"/>
      <c r="H20" s="11"/>
    </row>
    <row r="21" spans="1:8" ht="6" customHeight="1" x14ac:dyDescent="0.25"/>
    <row r="22" spans="1:8" s="99" customFormat="1" x14ac:dyDescent="0.25">
      <c r="A22" s="11" t="s">
        <v>95</v>
      </c>
      <c r="B22" s="225">
        <v>77245</v>
      </c>
      <c r="C22" s="225">
        <v>51249</v>
      </c>
      <c r="D22" s="222">
        <f>(B22/C22)-1</f>
        <v>0.50724892193018389</v>
      </c>
      <c r="E22" s="226" t="s">
        <v>48</v>
      </c>
      <c r="F22" s="11"/>
      <c r="G22" s="11"/>
      <c r="H22" s="11"/>
    </row>
    <row r="23" spans="1:8" ht="6" customHeight="1" x14ac:dyDescent="0.25"/>
    <row r="24" spans="1:8" s="99" customFormat="1" x14ac:dyDescent="0.25">
      <c r="A24" s="217" t="s">
        <v>96</v>
      </c>
      <c r="B24" s="224">
        <v>45556</v>
      </c>
      <c r="C24" s="224">
        <v>41426</v>
      </c>
      <c r="D24" s="227">
        <f>(B24/C24)-1</f>
        <v>9.9695843190267031E-2</v>
      </c>
      <c r="E24" s="226" t="s">
        <v>97</v>
      </c>
      <c r="F24" s="11" t="s">
        <v>74</v>
      </c>
      <c r="G24" s="11"/>
      <c r="H24" s="11"/>
    </row>
    <row r="25" spans="1:8" s="99" customFormat="1" x14ac:dyDescent="0.25">
      <c r="A25" s="184"/>
      <c r="B25" s="184"/>
      <c r="C25" s="184"/>
      <c r="D25" s="184"/>
      <c r="E25" s="14" t="s">
        <v>98</v>
      </c>
      <c r="F25" s="11" t="s">
        <v>74</v>
      </c>
      <c r="G25" s="11"/>
      <c r="H25" s="11"/>
    </row>
    <row r="26" spans="1:8" ht="5.25" customHeight="1" x14ac:dyDescent="0.25"/>
    <row r="27" spans="1:8" s="99" customFormat="1" x14ac:dyDescent="0.25">
      <c r="A27" s="217" t="s">
        <v>99</v>
      </c>
      <c r="B27" s="224">
        <v>103072</v>
      </c>
      <c r="C27" s="224">
        <v>79829</v>
      </c>
      <c r="D27" s="227">
        <f>(B27/C27)-1</f>
        <v>0.29115985418832757</v>
      </c>
      <c r="E27" s="226" t="s">
        <v>100</v>
      </c>
      <c r="F27" s="11" t="s">
        <v>74</v>
      </c>
      <c r="G27" s="11"/>
      <c r="H27" s="11"/>
    </row>
    <row r="28" spans="1:8" s="99" customFormat="1" x14ac:dyDescent="0.25">
      <c r="A28" s="134"/>
      <c r="B28" s="134"/>
      <c r="C28" s="134"/>
      <c r="D28" s="134"/>
      <c r="E28" s="11" t="s">
        <v>101</v>
      </c>
      <c r="F28" s="11" t="s">
        <v>74</v>
      </c>
      <c r="G28" s="11"/>
      <c r="H28" s="11"/>
    </row>
    <row r="29" spans="1:8" s="99" customFormat="1" x14ac:dyDescent="0.25">
      <c r="A29" s="184"/>
      <c r="B29" s="184"/>
      <c r="C29" s="184"/>
      <c r="D29" s="184"/>
      <c r="E29" s="14" t="s">
        <v>102</v>
      </c>
      <c r="F29" s="11" t="s">
        <v>92</v>
      </c>
      <c r="G29" s="11"/>
      <c r="H29" s="11"/>
    </row>
    <row r="30" spans="1:8" ht="5.25" customHeight="1" x14ac:dyDescent="0.25"/>
    <row r="31" spans="1:8" s="99" customFormat="1" x14ac:dyDescent="0.25">
      <c r="A31" s="217" t="s">
        <v>103</v>
      </c>
      <c r="B31" s="224">
        <v>121747</v>
      </c>
      <c r="C31" s="224">
        <v>112397</v>
      </c>
      <c r="D31" s="227">
        <f>(B31/C31)-1</f>
        <v>8.3187273681681884E-2</v>
      </c>
      <c r="E31" s="226" t="s">
        <v>104</v>
      </c>
      <c r="F31" s="11" t="s">
        <v>74</v>
      </c>
      <c r="G31" s="11"/>
      <c r="H31" s="11"/>
    </row>
    <row r="32" spans="1:8" s="99" customFormat="1" x14ac:dyDescent="0.25">
      <c r="A32" s="134"/>
      <c r="B32" s="134"/>
      <c r="C32" s="134"/>
      <c r="D32" s="134"/>
      <c r="E32" s="11" t="s">
        <v>105</v>
      </c>
      <c r="F32" s="11" t="s">
        <v>74</v>
      </c>
      <c r="G32" s="11"/>
      <c r="H32" s="11"/>
    </row>
    <row r="33" spans="1:8" s="99" customFormat="1" x14ac:dyDescent="0.25">
      <c r="A33" s="134"/>
      <c r="B33" s="134"/>
      <c r="C33" s="134"/>
      <c r="D33" s="134"/>
      <c r="E33" s="14" t="s">
        <v>106</v>
      </c>
      <c r="F33" s="11" t="s">
        <v>74</v>
      </c>
      <c r="G33" s="11"/>
      <c r="H33" s="11"/>
    </row>
    <row r="34" spans="1:8" s="99" customFormat="1" x14ac:dyDescent="0.25">
      <c r="A34" s="134"/>
      <c r="B34" s="134"/>
      <c r="C34" s="134"/>
      <c r="D34" s="134"/>
      <c r="E34" s="14" t="s">
        <v>107</v>
      </c>
      <c r="F34" s="11" t="s">
        <v>108</v>
      </c>
      <c r="G34" s="11"/>
      <c r="H34" s="11"/>
    </row>
    <row r="35" spans="1:8" s="99" customFormat="1" x14ac:dyDescent="0.25">
      <c r="A35" s="184"/>
      <c r="B35" s="184"/>
      <c r="C35" s="184"/>
      <c r="D35" s="184"/>
      <c r="E35" s="14" t="s">
        <v>109</v>
      </c>
      <c r="F35" s="11" t="s">
        <v>74</v>
      </c>
      <c r="G35" s="11"/>
      <c r="H35" s="11"/>
    </row>
    <row r="36" spans="1:8" ht="5.25" customHeight="1" x14ac:dyDescent="0.25"/>
    <row r="37" spans="1:8" s="99" customFormat="1" x14ac:dyDescent="0.25">
      <c r="A37" s="11" t="s">
        <v>110</v>
      </c>
      <c r="B37" s="225">
        <v>41374</v>
      </c>
      <c r="C37" s="225">
        <v>32491</v>
      </c>
      <c r="D37" s="222">
        <f>(B37/C37)-1</f>
        <v>0.2733987873564987</v>
      </c>
      <c r="E37" s="226" t="s">
        <v>111</v>
      </c>
      <c r="F37" s="11" t="s">
        <v>74</v>
      </c>
      <c r="G37" s="11"/>
      <c r="H37" s="11"/>
    </row>
    <row r="39" spans="1:8" x14ac:dyDescent="0.25">
      <c r="B39" s="229"/>
    </row>
  </sheetData>
  <mergeCells count="3">
    <mergeCell ref="B6:D6"/>
    <mergeCell ref="B7:D7"/>
    <mergeCell ref="B8:D8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H43"/>
  <sheetViews>
    <sheetView workbookViewId="0">
      <selection activeCell="E6" sqref="E6"/>
    </sheetView>
  </sheetViews>
  <sheetFormatPr baseColWidth="10" defaultRowHeight="15" x14ac:dyDescent="0.25"/>
  <cols>
    <col min="1" max="1" width="11.42578125" style="99"/>
    <col min="2" max="2" width="10.140625" style="99" customWidth="1"/>
    <col min="3" max="3" width="10.42578125" style="99" customWidth="1"/>
    <col min="4" max="4" width="8.7109375" style="99" customWidth="1"/>
    <col min="5" max="5" width="30" style="99" customWidth="1"/>
    <col min="6" max="6" width="32" style="99" customWidth="1"/>
    <col min="7" max="7" width="29.5703125" style="99" customWidth="1"/>
    <col min="8" max="8" width="27.5703125" style="99" customWidth="1"/>
    <col min="9" max="16384" width="11.42578125" style="99"/>
  </cols>
  <sheetData>
    <row r="1" spans="1:8" ht="21" x14ac:dyDescent="0.35">
      <c r="A1" s="228" t="s">
        <v>112</v>
      </c>
    </row>
    <row r="2" spans="1:8" ht="21" x14ac:dyDescent="0.35">
      <c r="A2" s="228"/>
    </row>
    <row r="4" spans="1:8" x14ac:dyDescent="0.25">
      <c r="B4" s="221" t="s">
        <v>67</v>
      </c>
      <c r="C4" s="221" t="s">
        <v>68</v>
      </c>
      <c r="D4" s="221" t="s">
        <v>11</v>
      </c>
      <c r="E4" s="221" t="s">
        <v>69</v>
      </c>
      <c r="F4" s="221" t="s">
        <v>70</v>
      </c>
      <c r="G4" s="221" t="s">
        <v>83</v>
      </c>
      <c r="H4" s="221" t="s">
        <v>78</v>
      </c>
    </row>
    <row r="5" spans="1:8" ht="7.5" customHeight="1" x14ac:dyDescent="0.25"/>
    <row r="6" spans="1:8" x14ac:dyDescent="0.25">
      <c r="A6" s="217" t="s">
        <v>113</v>
      </c>
      <c r="B6" s="224">
        <v>130814</v>
      </c>
      <c r="C6" s="224">
        <v>122100</v>
      </c>
      <c r="D6" s="227">
        <f>(B6/C6)-1</f>
        <v>7.1367731367731446E-2</v>
      </c>
      <c r="E6" s="226" t="s">
        <v>114</v>
      </c>
      <c r="F6" s="11" t="s">
        <v>74</v>
      </c>
      <c r="G6" s="11"/>
      <c r="H6" s="11"/>
    </row>
    <row r="7" spans="1:8" x14ac:dyDescent="0.25">
      <c r="A7" s="134"/>
      <c r="B7" s="134"/>
      <c r="C7" s="134"/>
      <c r="D7" s="134"/>
      <c r="E7" s="11" t="s">
        <v>115</v>
      </c>
      <c r="F7" s="11" t="s">
        <v>74</v>
      </c>
      <c r="G7" s="11"/>
      <c r="H7" s="11"/>
    </row>
    <row r="8" spans="1:8" x14ac:dyDescent="0.25">
      <c r="A8" s="134"/>
      <c r="B8" s="134"/>
      <c r="C8" s="134"/>
      <c r="D8" s="134"/>
      <c r="E8" s="14" t="s">
        <v>116</v>
      </c>
      <c r="F8" s="11" t="s">
        <v>74</v>
      </c>
      <c r="G8" s="11"/>
      <c r="H8" s="11"/>
    </row>
    <row r="9" spans="1:8" x14ac:dyDescent="0.25">
      <c r="A9" s="134"/>
      <c r="B9" s="134"/>
      <c r="C9" s="134"/>
      <c r="D9" s="134"/>
      <c r="E9" s="14" t="s">
        <v>117</v>
      </c>
      <c r="F9" s="11" t="s">
        <v>74</v>
      </c>
      <c r="G9" s="11"/>
      <c r="H9" s="11"/>
    </row>
    <row r="10" spans="1:8" x14ac:dyDescent="0.25">
      <c r="A10" s="134"/>
      <c r="B10" s="134"/>
      <c r="C10" s="134"/>
      <c r="D10" s="134"/>
      <c r="E10" s="14" t="s">
        <v>118</v>
      </c>
      <c r="F10" s="11" t="s">
        <v>74</v>
      </c>
      <c r="G10" s="11"/>
      <c r="H10" s="11"/>
    </row>
    <row r="11" spans="1:8" x14ac:dyDescent="0.25">
      <c r="A11" s="134"/>
      <c r="B11" s="134"/>
      <c r="C11" s="134"/>
      <c r="D11" s="134"/>
      <c r="E11" s="14" t="s">
        <v>119</v>
      </c>
      <c r="F11" s="11" t="s">
        <v>74</v>
      </c>
      <c r="G11" s="11"/>
      <c r="H11" s="11"/>
    </row>
    <row r="12" spans="1:8" x14ac:dyDescent="0.25">
      <c r="A12" s="134"/>
      <c r="B12" s="134"/>
      <c r="C12" s="134"/>
      <c r="D12" s="134"/>
      <c r="E12" s="14" t="s">
        <v>120</v>
      </c>
      <c r="F12" s="11" t="s">
        <v>74</v>
      </c>
      <c r="G12" s="11"/>
      <c r="H12" s="11"/>
    </row>
    <row r="13" spans="1:8" x14ac:dyDescent="0.25">
      <c r="A13" s="134"/>
      <c r="B13" s="134"/>
      <c r="C13" s="134"/>
      <c r="D13" s="134"/>
      <c r="E13" s="14" t="s">
        <v>121</v>
      </c>
      <c r="F13" s="11" t="s">
        <v>74</v>
      </c>
      <c r="G13" s="11"/>
      <c r="H13" s="11"/>
    </row>
    <row r="14" spans="1:8" x14ac:dyDescent="0.25">
      <c r="A14" s="134"/>
      <c r="B14" s="134"/>
      <c r="C14" s="134"/>
      <c r="D14" s="134"/>
      <c r="E14" s="14" t="s">
        <v>122</v>
      </c>
      <c r="F14" s="11" t="s">
        <v>74</v>
      </c>
      <c r="G14" s="11"/>
      <c r="H14" s="11"/>
    </row>
    <row r="15" spans="1:8" x14ac:dyDescent="0.25">
      <c r="A15" s="134"/>
      <c r="B15" s="134"/>
      <c r="C15" s="134"/>
      <c r="D15" s="134"/>
      <c r="E15" s="14" t="s">
        <v>123</v>
      </c>
      <c r="F15" s="11" t="s">
        <v>74</v>
      </c>
      <c r="G15" s="11"/>
      <c r="H15" s="11"/>
    </row>
    <row r="16" spans="1:8" x14ac:dyDescent="0.25">
      <c r="A16" s="184"/>
      <c r="B16" s="184"/>
      <c r="C16" s="184"/>
      <c r="D16" s="184"/>
      <c r="E16" s="14" t="s">
        <v>124</v>
      </c>
      <c r="F16" s="11" t="s">
        <v>74</v>
      </c>
      <c r="G16" s="11"/>
      <c r="H16" s="11"/>
    </row>
    <row r="17" spans="1:8" ht="7.5" customHeight="1" x14ac:dyDescent="0.25"/>
    <row r="18" spans="1:8" ht="17.25" customHeight="1" x14ac:dyDescent="0.25">
      <c r="A18" s="217" t="s">
        <v>125</v>
      </c>
      <c r="B18" s="224">
        <v>40159</v>
      </c>
      <c r="C18" s="224">
        <v>29139</v>
      </c>
      <c r="D18" s="227">
        <f>(B18/C18)-1</f>
        <v>0.37818730910463638</v>
      </c>
      <c r="E18" s="226" t="s">
        <v>126</v>
      </c>
      <c r="F18" s="11" t="s">
        <v>74</v>
      </c>
      <c r="G18" s="11"/>
      <c r="H18" s="11"/>
    </row>
    <row r="19" spans="1:8" ht="17.25" customHeight="1" x14ac:dyDescent="0.25">
      <c r="A19" s="184"/>
      <c r="B19" s="184"/>
      <c r="C19" s="184"/>
      <c r="D19" s="184"/>
      <c r="E19" s="14" t="s">
        <v>127</v>
      </c>
      <c r="F19" s="11" t="s">
        <v>74</v>
      </c>
      <c r="G19" s="11"/>
      <c r="H19" s="11"/>
    </row>
    <row r="20" spans="1:8" ht="7.5" customHeight="1" x14ac:dyDescent="0.25"/>
    <row r="21" spans="1:8" x14ac:dyDescent="0.25">
      <c r="A21" s="11" t="s">
        <v>128</v>
      </c>
      <c r="B21" s="225">
        <v>15373</v>
      </c>
      <c r="C21" s="225">
        <v>12448</v>
      </c>
      <c r="D21" s="222">
        <f>(B21/C21)-1</f>
        <v>0.23497750642673521</v>
      </c>
      <c r="E21" s="11" t="s">
        <v>129</v>
      </c>
      <c r="F21" s="11" t="s">
        <v>74</v>
      </c>
      <c r="G21" s="11"/>
      <c r="H21" s="11"/>
    </row>
    <row r="22" spans="1:8" ht="6.75" customHeight="1" x14ac:dyDescent="0.25"/>
    <row r="23" spans="1:8" x14ac:dyDescent="0.25">
      <c r="A23" s="11" t="s">
        <v>130</v>
      </c>
      <c r="B23" s="225">
        <v>57646</v>
      </c>
      <c r="C23" s="225">
        <v>45925</v>
      </c>
      <c r="D23" s="222">
        <f>(B23/C23)-1</f>
        <v>0.25522046815459998</v>
      </c>
      <c r="E23" s="226" t="s">
        <v>131</v>
      </c>
      <c r="F23" s="11" t="s">
        <v>74</v>
      </c>
      <c r="G23" s="11"/>
      <c r="H23" s="11"/>
    </row>
    <row r="24" spans="1:8" ht="6" customHeight="1" x14ac:dyDescent="0.25"/>
    <row r="25" spans="1:8" x14ac:dyDescent="0.25">
      <c r="A25" s="217" t="s">
        <v>132</v>
      </c>
      <c r="B25" s="224">
        <v>137718</v>
      </c>
      <c r="C25" s="224">
        <v>127505</v>
      </c>
      <c r="D25" s="227">
        <f>(B25/C25)-1</f>
        <v>8.0098819654131237E-2</v>
      </c>
      <c r="E25" s="226" t="s">
        <v>133</v>
      </c>
      <c r="F25" s="11" t="s">
        <v>74</v>
      </c>
      <c r="G25" s="11"/>
      <c r="H25" s="11"/>
    </row>
    <row r="26" spans="1:8" x14ac:dyDescent="0.25">
      <c r="A26" s="134"/>
      <c r="B26" s="134"/>
      <c r="C26" s="134"/>
      <c r="D26" s="134"/>
      <c r="E26" s="11" t="s">
        <v>134</v>
      </c>
      <c r="F26" s="11" t="s">
        <v>74</v>
      </c>
      <c r="G26" s="11"/>
      <c r="H26" s="11"/>
    </row>
    <row r="27" spans="1:8" x14ac:dyDescent="0.25">
      <c r="A27" s="134"/>
      <c r="B27" s="134"/>
      <c r="C27" s="134"/>
      <c r="D27" s="134"/>
      <c r="E27" s="14" t="s">
        <v>135</v>
      </c>
      <c r="F27" s="11" t="s">
        <v>74</v>
      </c>
      <c r="G27" s="11"/>
      <c r="H27" s="11"/>
    </row>
    <row r="28" spans="1:8" x14ac:dyDescent="0.25">
      <c r="A28" s="184"/>
      <c r="B28" s="184"/>
      <c r="C28" s="184"/>
      <c r="D28" s="184"/>
      <c r="E28" s="14" t="s">
        <v>136</v>
      </c>
      <c r="F28" s="11" t="s">
        <v>137</v>
      </c>
      <c r="G28" s="11"/>
      <c r="H28" s="11"/>
    </row>
    <row r="29" spans="1:8" ht="6" customHeight="1" x14ac:dyDescent="0.25"/>
    <row r="30" spans="1:8" x14ac:dyDescent="0.25">
      <c r="A30" s="11" t="s">
        <v>138</v>
      </c>
      <c r="B30" s="225">
        <v>41734</v>
      </c>
      <c r="C30" s="225">
        <v>24491</v>
      </c>
      <c r="D30" s="222">
        <f>(B30/C30)-1</f>
        <v>0.70405455065125966</v>
      </c>
      <c r="E30" s="226" t="s">
        <v>48</v>
      </c>
      <c r="F30" s="11"/>
      <c r="G30" s="11"/>
      <c r="H30" s="11"/>
    </row>
    <row r="31" spans="1:8" ht="6" customHeight="1" x14ac:dyDescent="0.25"/>
    <row r="32" spans="1:8" x14ac:dyDescent="0.25">
      <c r="A32" s="217" t="s">
        <v>139</v>
      </c>
      <c r="B32" s="224">
        <v>77995</v>
      </c>
      <c r="C32" s="224">
        <v>31037</v>
      </c>
      <c r="D32" s="227">
        <f>(B32/C32)-1</f>
        <v>1.5129683925637143</v>
      </c>
      <c r="E32" s="226" t="s">
        <v>140</v>
      </c>
      <c r="F32" s="11" t="s">
        <v>74</v>
      </c>
      <c r="G32" s="11"/>
      <c r="H32" s="11"/>
    </row>
    <row r="33" spans="1:8" x14ac:dyDescent="0.25">
      <c r="A33" s="134"/>
      <c r="B33" s="135"/>
      <c r="C33" s="135"/>
      <c r="D33" s="230"/>
      <c r="E33" s="226" t="s">
        <v>141</v>
      </c>
      <c r="F33" s="11" t="s">
        <v>74</v>
      </c>
      <c r="G33" s="11"/>
      <c r="H33" s="11"/>
    </row>
    <row r="34" spans="1:8" x14ac:dyDescent="0.25">
      <c r="A34" s="184"/>
      <c r="B34" s="231"/>
      <c r="C34" s="231"/>
      <c r="D34" s="232"/>
      <c r="E34" s="226" t="s">
        <v>142</v>
      </c>
      <c r="F34" s="11" t="s">
        <v>74</v>
      </c>
      <c r="G34" s="11"/>
      <c r="H34" s="11"/>
    </row>
    <row r="35" spans="1:8" ht="5.25" customHeight="1" x14ac:dyDescent="0.25"/>
    <row r="36" spans="1:8" x14ac:dyDescent="0.25">
      <c r="A36" s="217" t="s">
        <v>143</v>
      </c>
      <c r="B36" s="224">
        <v>37984</v>
      </c>
      <c r="C36" s="224">
        <v>34203</v>
      </c>
      <c r="D36" s="227">
        <f>(B36/C36)-1</f>
        <v>0.11054585855041954</v>
      </c>
      <c r="E36" s="226" t="s">
        <v>144</v>
      </c>
      <c r="F36" s="11" t="s">
        <v>74</v>
      </c>
      <c r="G36" s="11"/>
      <c r="H36" s="11"/>
    </row>
    <row r="37" spans="1:8" x14ac:dyDescent="0.25">
      <c r="A37" s="184"/>
      <c r="B37" s="184"/>
      <c r="C37" s="184"/>
      <c r="D37" s="184"/>
      <c r="E37" s="14" t="s">
        <v>145</v>
      </c>
      <c r="F37" s="11" t="s">
        <v>74</v>
      </c>
      <c r="G37" s="11"/>
      <c r="H37" s="11"/>
    </row>
    <row r="38" spans="1:8" ht="5.25" customHeight="1" x14ac:dyDescent="0.25"/>
    <row r="39" spans="1:8" x14ac:dyDescent="0.25">
      <c r="A39" s="11" t="s">
        <v>146</v>
      </c>
      <c r="B39" s="225">
        <v>12038</v>
      </c>
      <c r="C39" s="225">
        <v>7012</v>
      </c>
      <c r="D39" s="222">
        <f>(B39/C39)-1</f>
        <v>0.7167712492869367</v>
      </c>
      <c r="E39" s="226" t="s">
        <v>48</v>
      </c>
      <c r="F39" s="11"/>
      <c r="G39" s="11"/>
      <c r="H39" s="11"/>
    </row>
    <row r="40" spans="1:8" ht="5.25" customHeight="1" x14ac:dyDescent="0.25"/>
    <row r="41" spans="1:8" x14ac:dyDescent="0.25">
      <c r="A41" s="11" t="s">
        <v>147</v>
      </c>
      <c r="B41" s="225">
        <v>3696</v>
      </c>
      <c r="C41" s="225">
        <v>5240</v>
      </c>
      <c r="D41" s="233">
        <f>(B41/C41)-1</f>
        <v>-0.29465648854961835</v>
      </c>
      <c r="E41" s="226" t="s">
        <v>148</v>
      </c>
      <c r="F41" s="11" t="s">
        <v>74</v>
      </c>
      <c r="G41" s="11"/>
      <c r="H41" s="11"/>
    </row>
    <row r="43" spans="1:8" x14ac:dyDescent="0.25">
      <c r="B43" s="229"/>
    </row>
  </sheetData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BJ34"/>
  <sheetViews>
    <sheetView topLeftCell="T1" workbookViewId="0">
      <selection activeCell="Z34" sqref="Z1:AC34"/>
    </sheetView>
  </sheetViews>
  <sheetFormatPr baseColWidth="10" defaultRowHeight="15" x14ac:dyDescent="0.25"/>
  <cols>
    <col min="1" max="1" width="13.85546875" customWidth="1"/>
    <col min="2" max="2" width="18.85546875" style="99" customWidth="1"/>
    <col min="3" max="3" width="17.28515625" customWidth="1"/>
    <col min="6" max="6" width="11.42578125" style="99"/>
    <col min="7" max="7" width="18.85546875" style="99" customWidth="1"/>
    <col min="8" max="8" width="17.28515625" style="99" customWidth="1"/>
    <col min="9" max="9" width="15.5703125" style="99" customWidth="1"/>
    <col min="10" max="10" width="11.42578125" style="99"/>
    <col min="12" max="12" width="15.5703125" customWidth="1"/>
    <col min="13" max="13" width="15" customWidth="1"/>
    <col min="16" max="16" width="11.42578125" style="99"/>
    <col min="17" max="17" width="15.5703125" style="99" customWidth="1"/>
    <col min="18" max="18" width="18.42578125" style="99" customWidth="1"/>
    <col min="19" max="19" width="11.42578125" style="99"/>
    <col min="21" max="21" width="11.42578125" style="99"/>
    <col min="22" max="22" width="17.140625" style="99" customWidth="1"/>
    <col min="23" max="23" width="18.140625" style="99" customWidth="1"/>
    <col min="24" max="24" width="18.42578125" style="99" customWidth="1"/>
    <col min="25" max="25" width="11.42578125" style="99"/>
    <col min="27" max="27" width="14.7109375" customWidth="1"/>
    <col min="28" max="28" width="13.85546875" customWidth="1"/>
    <col min="29" max="29" width="14.5703125" customWidth="1"/>
    <col min="30" max="30" width="16.42578125" customWidth="1"/>
    <col min="31" max="31" width="11.42578125" style="99"/>
    <col min="32" max="32" width="17.140625" style="99" customWidth="1"/>
    <col min="33" max="33" width="18.140625" style="99" customWidth="1"/>
    <col min="34" max="34" width="18.42578125" style="99" customWidth="1"/>
    <col min="36" max="36" width="11.42578125" style="99"/>
    <col min="37" max="37" width="17.140625" style="99" customWidth="1"/>
    <col min="38" max="38" width="15.28515625" style="99" customWidth="1"/>
    <col min="41" max="41" width="11.42578125" style="99"/>
    <col min="42" max="42" width="17.140625" style="99" customWidth="1"/>
    <col min="43" max="43" width="15.28515625" style="99" customWidth="1"/>
    <col min="44" max="44" width="11.42578125" style="99"/>
    <col min="46" max="46" width="11.42578125" style="99"/>
    <col min="47" max="47" width="17.140625" style="99" customWidth="1"/>
    <col min="48" max="48" width="15.28515625" style="99" customWidth="1"/>
    <col min="49" max="50" width="11.42578125" style="99"/>
    <col min="52" max="56" width="11.42578125" style="99"/>
    <col min="58" max="62" width="11.42578125" style="99"/>
  </cols>
  <sheetData>
    <row r="1" spans="1:61" ht="23.25" x14ac:dyDescent="0.35">
      <c r="A1" s="12" t="s">
        <v>47</v>
      </c>
      <c r="B1" s="100"/>
      <c r="F1" s="100" t="s">
        <v>49</v>
      </c>
      <c r="G1" s="100"/>
      <c r="K1" s="100" t="s">
        <v>50</v>
      </c>
      <c r="P1" s="100" t="s">
        <v>51</v>
      </c>
      <c r="U1" s="100" t="s">
        <v>52</v>
      </c>
      <c r="Z1" s="100" t="s">
        <v>54</v>
      </c>
      <c r="AB1" s="99"/>
      <c r="AC1" s="99"/>
      <c r="AD1" s="99"/>
      <c r="AE1" s="100" t="s">
        <v>55</v>
      </c>
      <c r="AJ1" s="100" t="s">
        <v>57</v>
      </c>
      <c r="AO1" s="100" t="s">
        <v>59</v>
      </c>
      <c r="AT1" s="100" t="s">
        <v>61</v>
      </c>
      <c r="AZ1" s="100" t="s">
        <v>63</v>
      </c>
      <c r="BF1" s="100" t="s">
        <v>64</v>
      </c>
    </row>
    <row r="2" spans="1:61" ht="23.25" x14ac:dyDescent="0.35">
      <c r="A2" s="12"/>
      <c r="B2" s="100"/>
      <c r="F2" s="100"/>
      <c r="G2" s="100"/>
      <c r="K2" s="100" t="s">
        <v>697</v>
      </c>
      <c r="P2" s="100" t="s">
        <v>698</v>
      </c>
      <c r="U2" s="100" t="s">
        <v>1121</v>
      </c>
      <c r="Z2" s="228" t="s">
        <v>1329</v>
      </c>
      <c r="AA2" s="100"/>
      <c r="AB2" s="99"/>
      <c r="AC2" s="99"/>
      <c r="AD2" s="99"/>
      <c r="AE2" s="100" t="s">
        <v>56</v>
      </c>
      <c r="AJ2" s="100" t="s">
        <v>58</v>
      </c>
      <c r="AO2" s="100" t="s">
        <v>60</v>
      </c>
      <c r="AT2" s="100" t="s">
        <v>62</v>
      </c>
      <c r="AZ2" s="100"/>
      <c r="BF2" s="100"/>
    </row>
    <row r="3" spans="1:61" ht="23.25" x14ac:dyDescent="0.35">
      <c r="A3" s="485" t="s">
        <v>166</v>
      </c>
      <c r="B3" s="485"/>
      <c r="C3" s="485"/>
      <c r="D3" s="485"/>
      <c r="F3" s="484" t="s">
        <v>696</v>
      </c>
      <c r="G3" s="484"/>
      <c r="H3" s="484"/>
      <c r="I3" s="484"/>
      <c r="AA3" s="99"/>
      <c r="AB3" s="99"/>
      <c r="AC3" s="99"/>
      <c r="AD3" s="99"/>
    </row>
    <row r="4" spans="1:61" ht="23.25" x14ac:dyDescent="0.35">
      <c r="A4" s="15"/>
      <c r="B4" s="101"/>
      <c r="F4" s="101"/>
      <c r="G4" s="101"/>
      <c r="AA4" s="99"/>
      <c r="AB4" s="99"/>
      <c r="AC4" s="99"/>
      <c r="AD4" s="99"/>
    </row>
    <row r="5" spans="1:61" ht="15.75" thickBot="1" x14ac:dyDescent="0.3">
      <c r="L5" s="99"/>
      <c r="M5" s="99"/>
      <c r="N5" s="99"/>
      <c r="O5" s="99"/>
      <c r="AA5" s="99"/>
      <c r="AB5" s="16"/>
      <c r="AC5" s="16"/>
      <c r="AD5" s="99"/>
    </row>
    <row r="6" spans="1:61" ht="15.75" thickBot="1" x14ac:dyDescent="0.3">
      <c r="A6" s="4"/>
      <c r="B6" s="481" t="s">
        <v>34</v>
      </c>
      <c r="C6" s="482"/>
      <c r="D6" s="483"/>
      <c r="E6" s="40"/>
      <c r="F6" s="4"/>
      <c r="G6" s="114" t="s">
        <v>34</v>
      </c>
      <c r="H6" s="115"/>
      <c r="I6" s="116"/>
      <c r="J6"/>
      <c r="K6" s="4"/>
      <c r="L6" s="481" t="s">
        <v>34</v>
      </c>
      <c r="M6" s="482"/>
      <c r="N6" s="483"/>
      <c r="P6" s="4"/>
      <c r="Q6" s="481" t="s">
        <v>34</v>
      </c>
      <c r="R6" s="483"/>
      <c r="S6" s="142"/>
      <c r="U6" s="4"/>
      <c r="V6" s="481" t="s">
        <v>34</v>
      </c>
      <c r="W6" s="482"/>
      <c r="X6" s="483"/>
      <c r="Y6" s="133"/>
      <c r="AA6" s="481" t="s">
        <v>34</v>
      </c>
      <c r="AB6" s="482"/>
      <c r="AC6" s="483"/>
      <c r="AD6" s="16"/>
      <c r="AE6" s="4"/>
      <c r="AF6" s="481" t="s">
        <v>34</v>
      </c>
      <c r="AG6" s="482"/>
      <c r="AH6" s="483"/>
      <c r="AJ6" s="4"/>
      <c r="AK6" s="481" t="s">
        <v>34</v>
      </c>
      <c r="AL6" s="482"/>
      <c r="AM6" s="483"/>
      <c r="AO6" s="4"/>
      <c r="AP6" s="481" t="s">
        <v>34</v>
      </c>
      <c r="AQ6" s="482"/>
      <c r="AR6" s="483"/>
      <c r="AT6" s="4"/>
      <c r="AU6" s="481" t="s">
        <v>34</v>
      </c>
      <c r="AV6" s="482"/>
      <c r="AW6" s="483"/>
      <c r="AZ6" s="4"/>
      <c r="BA6" s="203" t="s">
        <v>34</v>
      </c>
      <c r="BB6" s="204"/>
      <c r="BC6" s="205"/>
      <c r="BF6" s="4"/>
      <c r="BG6" s="481" t="s">
        <v>34</v>
      </c>
      <c r="BH6" s="482"/>
      <c r="BI6" s="483"/>
    </row>
    <row r="7" spans="1:61" s="1" customFormat="1" ht="15.75" thickBot="1" x14ac:dyDescent="0.3">
      <c r="A7" s="3"/>
      <c r="B7" s="238">
        <v>41640</v>
      </c>
      <c r="C7" s="117">
        <v>42005</v>
      </c>
      <c r="D7" s="244" t="s">
        <v>11</v>
      </c>
      <c r="E7" s="83"/>
      <c r="F7" s="3"/>
      <c r="G7" s="117">
        <v>41671</v>
      </c>
      <c r="H7" s="119">
        <v>42036</v>
      </c>
      <c r="I7" s="98" t="s">
        <v>11</v>
      </c>
      <c r="K7" s="3"/>
      <c r="L7" s="119">
        <v>41699</v>
      </c>
      <c r="M7" s="132">
        <v>42064</v>
      </c>
      <c r="N7" s="98" t="s">
        <v>11</v>
      </c>
      <c r="P7" s="3"/>
      <c r="Q7" s="119">
        <v>41730</v>
      </c>
      <c r="R7" s="148">
        <v>42095</v>
      </c>
      <c r="S7" s="98" t="s">
        <v>11</v>
      </c>
      <c r="U7" s="3"/>
      <c r="V7" s="119">
        <v>41760</v>
      </c>
      <c r="W7" s="148">
        <v>42125</v>
      </c>
      <c r="X7" s="98" t="s">
        <v>11</v>
      </c>
      <c r="Y7" s="158"/>
      <c r="Z7" s="3"/>
      <c r="AA7" s="119">
        <v>41791</v>
      </c>
      <c r="AB7" s="148">
        <v>42156</v>
      </c>
      <c r="AC7" s="98" t="s">
        <v>11</v>
      </c>
      <c r="AD7" s="173"/>
      <c r="AE7" s="3"/>
      <c r="AF7" s="119">
        <v>41091</v>
      </c>
      <c r="AG7" s="148">
        <v>41821</v>
      </c>
      <c r="AH7" s="98" t="s">
        <v>11</v>
      </c>
      <c r="AJ7" s="3"/>
      <c r="AK7" s="186">
        <v>41122</v>
      </c>
      <c r="AL7" s="187">
        <v>41852</v>
      </c>
      <c r="AM7" s="98" t="s">
        <v>11</v>
      </c>
      <c r="AO7" s="3"/>
      <c r="AP7" s="186">
        <v>41153</v>
      </c>
      <c r="AQ7" s="187">
        <v>41883</v>
      </c>
      <c r="AR7" s="98" t="s">
        <v>11</v>
      </c>
      <c r="AT7" s="3"/>
      <c r="AU7" s="186">
        <v>41548</v>
      </c>
      <c r="AV7" s="187">
        <v>41913</v>
      </c>
      <c r="AW7" s="98" t="s">
        <v>11</v>
      </c>
      <c r="AZ7" s="3"/>
      <c r="BA7" s="186">
        <v>41579</v>
      </c>
      <c r="BB7" s="187">
        <v>41944</v>
      </c>
      <c r="BC7" s="98" t="s">
        <v>11</v>
      </c>
      <c r="BF7" s="3"/>
      <c r="BG7" s="186">
        <v>41609</v>
      </c>
      <c r="BH7" s="187">
        <v>41974</v>
      </c>
      <c r="BI7" s="98" t="s">
        <v>11</v>
      </c>
    </row>
    <row r="8" spans="1:61" x14ac:dyDescent="0.25">
      <c r="A8" s="126" t="s">
        <v>12</v>
      </c>
      <c r="B8" s="251">
        <v>3400</v>
      </c>
      <c r="C8" s="242">
        <v>3147</v>
      </c>
      <c r="D8" s="245">
        <f>(C8/B8)-1</f>
        <v>-7.4411764705882399E-2</v>
      </c>
      <c r="F8" s="126" t="s">
        <v>12</v>
      </c>
      <c r="G8" s="259">
        <v>1320</v>
      </c>
      <c r="H8" s="255">
        <v>3961</v>
      </c>
      <c r="I8" s="125">
        <f>(H8/G8)-1</f>
        <v>2.000757575757576</v>
      </c>
      <c r="J8"/>
      <c r="K8" s="126" t="s">
        <v>12</v>
      </c>
      <c r="L8" s="259">
        <v>3646</v>
      </c>
      <c r="M8" s="25">
        <v>5892</v>
      </c>
      <c r="N8" s="125">
        <f>(M8/L8)-1</f>
        <v>0.61601755348326925</v>
      </c>
      <c r="P8" s="60" t="s">
        <v>12</v>
      </c>
      <c r="Q8" s="144">
        <v>5765</v>
      </c>
      <c r="R8" s="129">
        <v>7211</v>
      </c>
      <c r="S8" s="35">
        <f>(R8/Q8)-1</f>
        <v>0.25082393755420651</v>
      </c>
      <c r="T8" s="4"/>
      <c r="U8" s="126" t="s">
        <v>12</v>
      </c>
      <c r="V8" s="309">
        <v>6944</v>
      </c>
      <c r="W8" s="25">
        <v>9914</v>
      </c>
      <c r="X8" s="125">
        <f>(W8/V8)-1</f>
        <v>0.42770737327188946</v>
      </c>
      <c r="Y8"/>
      <c r="Z8" s="160" t="s">
        <v>12</v>
      </c>
      <c r="AA8" s="161">
        <v>6859</v>
      </c>
      <c r="AB8" s="172">
        <v>8806</v>
      </c>
      <c r="AC8" s="162">
        <f>(AB8/AA8)-1</f>
        <v>0.28386062108179044</v>
      </c>
      <c r="AE8" s="60" t="s">
        <v>12</v>
      </c>
      <c r="AF8" s="180">
        <v>3758</v>
      </c>
      <c r="AG8" s="129">
        <v>8372</v>
      </c>
      <c r="AH8" s="35">
        <f>(AG8/AF8)-1</f>
        <v>1.227780734433209</v>
      </c>
      <c r="AJ8" s="60" t="s">
        <v>12</v>
      </c>
      <c r="AK8" s="180">
        <v>6778</v>
      </c>
      <c r="AL8" s="129">
        <v>9245</v>
      </c>
      <c r="AM8" s="35">
        <f>(AL8/AK8)-1</f>
        <v>0.36397167305989964</v>
      </c>
      <c r="AO8" s="60" t="s">
        <v>12</v>
      </c>
      <c r="AP8" s="180">
        <v>5240</v>
      </c>
      <c r="AQ8" s="129">
        <v>7624</v>
      </c>
      <c r="AR8" s="35">
        <f t="shared" ref="AR8:AR18" si="0">(AQ8/AP8)-1</f>
        <v>0.45496183206106866</v>
      </c>
      <c r="AT8" s="126" t="s">
        <v>12</v>
      </c>
      <c r="AU8" s="200">
        <v>8903</v>
      </c>
      <c r="AV8" s="25">
        <v>6842</v>
      </c>
      <c r="AW8" s="125">
        <f t="shared" ref="AW8:AW18" si="1">(AV8/AU8)-1</f>
        <v>-0.23149500168482529</v>
      </c>
      <c r="AZ8" s="126" t="s">
        <v>12</v>
      </c>
      <c r="BA8" s="200">
        <v>5186</v>
      </c>
      <c r="BB8" s="25">
        <v>2694</v>
      </c>
      <c r="BC8" s="202">
        <f t="shared" ref="BC8:BC18" si="2">(BB8/BA8)-1</f>
        <v>-0.48052448900887001</v>
      </c>
      <c r="BF8" s="50" t="s">
        <v>12</v>
      </c>
      <c r="BG8" s="209">
        <v>2237</v>
      </c>
      <c r="BH8" s="208">
        <v>1260</v>
      </c>
      <c r="BI8" s="24">
        <f t="shared" ref="BI8:BI18" si="3">(BH8/BG8)-1</f>
        <v>-0.43674564148413053</v>
      </c>
    </row>
    <row r="9" spans="1:61" x14ac:dyDescent="0.25">
      <c r="A9" s="124" t="s">
        <v>13</v>
      </c>
      <c r="B9" s="239">
        <v>400</v>
      </c>
      <c r="C9" s="242">
        <v>338</v>
      </c>
      <c r="D9" s="245">
        <f t="shared" ref="D9:D17" si="4">(C9/B9)-1</f>
        <v>-0.15500000000000003</v>
      </c>
      <c r="F9" s="124" t="s">
        <v>13</v>
      </c>
      <c r="G9" s="260">
        <v>153</v>
      </c>
      <c r="H9" s="255">
        <v>1822</v>
      </c>
      <c r="I9" s="125">
        <f t="shared" ref="I9:I18" si="5">(H9/G9)-1</f>
        <v>10.908496732026144</v>
      </c>
      <c r="J9"/>
      <c r="K9" s="287" t="s">
        <v>13</v>
      </c>
      <c r="L9" s="288">
        <v>1223</v>
      </c>
      <c r="M9" s="29">
        <v>1965</v>
      </c>
      <c r="N9" s="289">
        <f t="shared" ref="N9:N32" si="6">(M9/L9)-1</f>
        <v>0.60670482420278016</v>
      </c>
      <c r="P9" s="48" t="s">
        <v>13</v>
      </c>
      <c r="Q9" s="145">
        <v>648</v>
      </c>
      <c r="R9" s="129">
        <v>1284</v>
      </c>
      <c r="S9" s="35">
        <f t="shared" ref="S9:S18" si="7">(R9/Q9)-1</f>
        <v>0.9814814814814814</v>
      </c>
      <c r="T9" s="4"/>
      <c r="U9" s="49" t="s">
        <v>13</v>
      </c>
      <c r="V9" s="290">
        <v>2503</v>
      </c>
      <c r="W9" s="208">
        <v>2179</v>
      </c>
      <c r="X9" s="24">
        <f t="shared" ref="X9:X18" si="8">(W9/V9)-1</f>
        <v>-0.1294446664003196</v>
      </c>
      <c r="Y9"/>
      <c r="Z9" s="163" t="s">
        <v>13</v>
      </c>
      <c r="AA9" s="164">
        <v>2286</v>
      </c>
      <c r="AB9" s="172">
        <v>3194</v>
      </c>
      <c r="AC9" s="162">
        <f t="shared" ref="AC9:AC32" si="9">(AB9/AA9)-1</f>
        <v>0.39720034995625553</v>
      </c>
      <c r="AE9" s="48" t="s">
        <v>13</v>
      </c>
      <c r="AF9" s="181">
        <v>1294</v>
      </c>
      <c r="AG9" s="129">
        <v>1671</v>
      </c>
      <c r="AH9" s="35">
        <f t="shared" ref="AH9:AH18" si="10">(AG9/AF9)-1</f>
        <v>0.29134466769706346</v>
      </c>
      <c r="AJ9" s="48" t="s">
        <v>13</v>
      </c>
      <c r="AK9" s="181">
        <v>1768</v>
      </c>
      <c r="AL9" s="129">
        <v>2995</v>
      </c>
      <c r="AM9" s="35">
        <f t="shared" ref="AM9:AM32" si="11">(AL9/AK9)-1</f>
        <v>0.6940045248868778</v>
      </c>
      <c r="AO9" s="48" t="s">
        <v>13</v>
      </c>
      <c r="AP9" s="181">
        <v>1296</v>
      </c>
      <c r="AQ9" s="129">
        <v>1651</v>
      </c>
      <c r="AR9" s="35">
        <f t="shared" si="0"/>
        <v>0.27391975308641969</v>
      </c>
      <c r="AT9" s="48" t="s">
        <v>13</v>
      </c>
      <c r="AU9" s="181">
        <v>2178</v>
      </c>
      <c r="AV9" s="129">
        <v>2831</v>
      </c>
      <c r="AW9" s="35">
        <f t="shared" si="1"/>
        <v>0.29981634527089063</v>
      </c>
      <c r="AZ9" s="124" t="s">
        <v>13</v>
      </c>
      <c r="BA9" s="174">
        <v>1424</v>
      </c>
      <c r="BB9" s="25">
        <v>689</v>
      </c>
      <c r="BC9" s="202">
        <f t="shared" si="2"/>
        <v>-0.5161516853932584</v>
      </c>
      <c r="BF9" s="49" t="s">
        <v>13</v>
      </c>
      <c r="BG9" s="207">
        <v>1270</v>
      </c>
      <c r="BH9" s="208">
        <v>1164</v>
      </c>
      <c r="BI9" s="24">
        <f t="shared" si="3"/>
        <v>-8.3464566929133843E-2</v>
      </c>
    </row>
    <row r="10" spans="1:61" x14ac:dyDescent="0.25">
      <c r="A10" s="48" t="s">
        <v>14</v>
      </c>
      <c r="B10" s="248">
        <v>610</v>
      </c>
      <c r="C10" s="249">
        <v>1568</v>
      </c>
      <c r="D10" s="250">
        <f t="shared" si="4"/>
        <v>1.5704918032786885</v>
      </c>
      <c r="F10" s="124" t="s">
        <v>14</v>
      </c>
      <c r="G10" s="260">
        <v>208</v>
      </c>
      <c r="H10" s="255">
        <v>881</v>
      </c>
      <c r="I10" s="125">
        <f t="shared" si="5"/>
        <v>3.2355769230769234</v>
      </c>
      <c r="J10"/>
      <c r="K10" s="124" t="s">
        <v>14</v>
      </c>
      <c r="L10" s="260">
        <v>1216</v>
      </c>
      <c r="M10" s="25">
        <v>1504</v>
      </c>
      <c r="N10" s="125">
        <f t="shared" si="6"/>
        <v>0.23684210526315796</v>
      </c>
      <c r="P10" s="49" t="s">
        <v>14</v>
      </c>
      <c r="Q10" s="290">
        <v>1341</v>
      </c>
      <c r="R10" s="208">
        <v>1263</v>
      </c>
      <c r="S10" s="24">
        <f t="shared" si="7"/>
        <v>-5.8165548098433995E-2</v>
      </c>
      <c r="T10" s="4"/>
      <c r="U10" s="49" t="s">
        <v>14</v>
      </c>
      <c r="V10" s="290">
        <v>3704</v>
      </c>
      <c r="W10" s="208">
        <v>2198</v>
      </c>
      <c r="X10" s="24">
        <f t="shared" si="8"/>
        <v>-0.4065874730021598</v>
      </c>
      <c r="Y10"/>
      <c r="Z10" s="163" t="s">
        <v>14</v>
      </c>
      <c r="AA10" s="164">
        <v>3007</v>
      </c>
      <c r="AB10" s="172">
        <v>4045</v>
      </c>
      <c r="AC10" s="162">
        <f t="shared" si="9"/>
        <v>0.3451945460591952</v>
      </c>
      <c r="AE10" s="124" t="s">
        <v>14</v>
      </c>
      <c r="AF10" s="174">
        <v>3388</v>
      </c>
      <c r="AG10" s="25">
        <v>2771</v>
      </c>
      <c r="AH10" s="125">
        <f t="shared" si="10"/>
        <v>-0.18211334120425027</v>
      </c>
      <c r="AJ10" s="48" t="s">
        <v>14</v>
      </c>
      <c r="AK10" s="181">
        <v>1843</v>
      </c>
      <c r="AL10" s="129">
        <v>2866</v>
      </c>
      <c r="AM10" s="35">
        <f t="shared" si="11"/>
        <v>0.55507325013564834</v>
      </c>
      <c r="AO10" s="48" t="s">
        <v>14</v>
      </c>
      <c r="AP10" s="181">
        <v>1710</v>
      </c>
      <c r="AQ10" s="129">
        <v>4452</v>
      </c>
      <c r="AR10" s="35">
        <f t="shared" si="0"/>
        <v>1.6035087719298247</v>
      </c>
      <c r="AT10" s="48" t="s">
        <v>14</v>
      </c>
      <c r="AU10" s="181">
        <v>2208</v>
      </c>
      <c r="AV10" s="129">
        <v>4613</v>
      </c>
      <c r="AW10" s="35">
        <f t="shared" si="1"/>
        <v>1.0892210144927534</v>
      </c>
      <c r="AZ10" s="48" t="s">
        <v>14</v>
      </c>
      <c r="BA10" s="181">
        <v>797</v>
      </c>
      <c r="BB10" s="129">
        <v>2111</v>
      </c>
      <c r="BC10" s="35">
        <f t="shared" si="2"/>
        <v>1.6486825595984942</v>
      </c>
      <c r="BF10" s="48" t="s">
        <v>14</v>
      </c>
      <c r="BG10" s="206">
        <v>612</v>
      </c>
      <c r="BH10" s="129">
        <v>674</v>
      </c>
      <c r="BI10" s="35">
        <f t="shared" si="3"/>
        <v>0.10130718954248374</v>
      </c>
    </row>
    <row r="11" spans="1:61" x14ac:dyDescent="0.25">
      <c r="A11" s="48" t="s">
        <v>15</v>
      </c>
      <c r="B11" s="248">
        <v>0</v>
      </c>
      <c r="C11" s="249">
        <v>157</v>
      </c>
      <c r="D11" s="250" t="e">
        <f t="shared" si="4"/>
        <v>#DIV/0!</v>
      </c>
      <c r="F11" s="49" t="s">
        <v>15</v>
      </c>
      <c r="G11" s="263">
        <v>742</v>
      </c>
      <c r="H11" s="120">
        <v>117</v>
      </c>
      <c r="I11" s="24">
        <f t="shared" si="5"/>
        <v>-0.84231805929919135</v>
      </c>
      <c r="J11"/>
      <c r="K11" s="124" t="s">
        <v>15</v>
      </c>
      <c r="L11" s="260">
        <v>761</v>
      </c>
      <c r="M11" s="25">
        <v>1597</v>
      </c>
      <c r="N11" s="125">
        <f t="shared" si="6"/>
        <v>1.0985545335085414</v>
      </c>
      <c r="P11" s="48" t="s">
        <v>15</v>
      </c>
      <c r="Q11" s="145">
        <v>1331</v>
      </c>
      <c r="R11" s="129">
        <v>2343</v>
      </c>
      <c r="S11" s="35">
        <f t="shared" si="7"/>
        <v>0.7603305785123966</v>
      </c>
      <c r="T11" s="4"/>
      <c r="U11" s="124" t="s">
        <v>15</v>
      </c>
      <c r="V11" s="139">
        <v>1977</v>
      </c>
      <c r="W11" s="25">
        <v>3561</v>
      </c>
      <c r="X11" s="125">
        <f t="shared" si="8"/>
        <v>0.80121396054628224</v>
      </c>
      <c r="Y11"/>
      <c r="Z11" s="325" t="s">
        <v>15</v>
      </c>
      <c r="AA11" s="326">
        <v>2217</v>
      </c>
      <c r="AB11" s="327">
        <v>1797</v>
      </c>
      <c r="AC11" s="328">
        <f t="shared" si="9"/>
        <v>-0.18944519621109612</v>
      </c>
      <c r="AE11" s="124" t="s">
        <v>15</v>
      </c>
      <c r="AF11" s="174">
        <v>2741</v>
      </c>
      <c r="AG11" s="25">
        <v>1672</v>
      </c>
      <c r="AH11" s="125">
        <f t="shared" si="10"/>
        <v>-0.39000364830353884</v>
      </c>
      <c r="AJ11" s="48" t="s">
        <v>15</v>
      </c>
      <c r="AK11" s="181">
        <v>1962</v>
      </c>
      <c r="AL11" s="129">
        <v>3724</v>
      </c>
      <c r="AM11" s="35">
        <f t="shared" si="11"/>
        <v>0.89806320081549429</v>
      </c>
      <c r="AO11" s="48" t="s">
        <v>15</v>
      </c>
      <c r="AP11" s="181">
        <v>1246</v>
      </c>
      <c r="AQ11" s="129">
        <v>3382</v>
      </c>
      <c r="AR11" s="35">
        <f t="shared" si="0"/>
        <v>1.7142857142857144</v>
      </c>
      <c r="AT11" s="124" t="s">
        <v>15</v>
      </c>
      <c r="AU11" s="174">
        <v>2845</v>
      </c>
      <c r="AV11" s="25">
        <v>2642</v>
      </c>
      <c r="AW11" s="125">
        <f t="shared" si="1"/>
        <v>-7.1353251318101885E-2</v>
      </c>
      <c r="AZ11" s="48" t="s">
        <v>15</v>
      </c>
      <c r="BA11" s="181">
        <v>455</v>
      </c>
      <c r="BB11" s="129">
        <v>668</v>
      </c>
      <c r="BC11" s="35">
        <f t="shared" si="2"/>
        <v>0.46813186813186802</v>
      </c>
      <c r="BF11" s="48" t="s">
        <v>15</v>
      </c>
      <c r="BG11" s="206">
        <v>333</v>
      </c>
      <c r="BH11" s="129">
        <v>772</v>
      </c>
      <c r="BI11" s="35">
        <f t="shared" si="3"/>
        <v>1.3183183183183185</v>
      </c>
    </row>
    <row r="12" spans="1:61" x14ac:dyDescent="0.25">
      <c r="A12" s="124" t="s">
        <v>16</v>
      </c>
      <c r="B12" s="239">
        <v>3885</v>
      </c>
      <c r="C12" s="242">
        <v>3363</v>
      </c>
      <c r="D12" s="245">
        <f t="shared" si="4"/>
        <v>-0.13436293436293434</v>
      </c>
      <c r="F12" s="49" t="s">
        <v>16</v>
      </c>
      <c r="G12" s="263">
        <v>4059</v>
      </c>
      <c r="H12" s="120">
        <v>2461</v>
      </c>
      <c r="I12" s="24">
        <f t="shared" si="5"/>
        <v>-0.39369302783936932</v>
      </c>
      <c r="J12"/>
      <c r="K12" s="49" t="s">
        <v>16</v>
      </c>
      <c r="L12" s="263">
        <v>5454</v>
      </c>
      <c r="M12" s="208">
        <v>1316</v>
      </c>
      <c r="N12" s="24">
        <f t="shared" si="6"/>
        <v>-0.75870920425375865</v>
      </c>
      <c r="P12" s="49" t="s">
        <v>16</v>
      </c>
      <c r="Q12" s="290">
        <v>8456</v>
      </c>
      <c r="R12" s="208">
        <v>7652</v>
      </c>
      <c r="S12" s="24">
        <f t="shared" si="7"/>
        <v>-9.5080416272469215E-2</v>
      </c>
      <c r="T12" s="4"/>
      <c r="U12" s="124" t="s">
        <v>16</v>
      </c>
      <c r="V12" s="139">
        <v>9239</v>
      </c>
      <c r="W12" s="25">
        <v>13916</v>
      </c>
      <c r="X12" s="125">
        <f t="shared" si="8"/>
        <v>0.50622361727459686</v>
      </c>
      <c r="Y12"/>
      <c r="Z12" s="124" t="s">
        <v>16</v>
      </c>
      <c r="AA12" s="139">
        <v>8684</v>
      </c>
      <c r="AB12" s="322">
        <v>10422</v>
      </c>
      <c r="AC12" s="125">
        <f t="shared" si="9"/>
        <v>0.2001381851681252</v>
      </c>
      <c r="AE12" s="124" t="s">
        <v>16</v>
      </c>
      <c r="AF12" s="174">
        <v>11173</v>
      </c>
      <c r="AG12" s="25">
        <v>9660</v>
      </c>
      <c r="AH12" s="125">
        <f t="shared" si="10"/>
        <v>-0.13541573435961696</v>
      </c>
      <c r="AJ12" s="163" t="s">
        <v>16</v>
      </c>
      <c r="AK12" s="189">
        <v>8953</v>
      </c>
      <c r="AL12" s="188">
        <v>6835</v>
      </c>
      <c r="AM12" s="162">
        <f t="shared" si="11"/>
        <v>-0.2365687479057299</v>
      </c>
      <c r="AO12" s="124" t="s">
        <v>16</v>
      </c>
      <c r="AP12" s="174">
        <v>10158</v>
      </c>
      <c r="AQ12" s="25">
        <v>9453</v>
      </c>
      <c r="AR12" s="125">
        <f t="shared" si="0"/>
        <v>-6.9403425871234492E-2</v>
      </c>
      <c r="AT12" s="124" t="s">
        <v>16</v>
      </c>
      <c r="AU12" s="174">
        <v>6989</v>
      </c>
      <c r="AV12" s="25">
        <v>6519</v>
      </c>
      <c r="AW12" s="125">
        <f t="shared" si="1"/>
        <v>-6.7248533409643763E-2</v>
      </c>
      <c r="AZ12" s="124" t="s">
        <v>16</v>
      </c>
      <c r="BA12" s="174">
        <v>2605</v>
      </c>
      <c r="BB12" s="25">
        <v>2452</v>
      </c>
      <c r="BC12" s="125">
        <f t="shared" si="2"/>
        <v>-5.8733205374280284E-2</v>
      </c>
      <c r="BF12" s="48" t="s">
        <v>16</v>
      </c>
      <c r="BG12" s="206">
        <v>779</v>
      </c>
      <c r="BH12" s="129">
        <v>2336</v>
      </c>
      <c r="BI12" s="35">
        <f t="shared" si="3"/>
        <v>1.998716302952503</v>
      </c>
    </row>
    <row r="13" spans="1:61" x14ac:dyDescent="0.25">
      <c r="A13" s="48" t="s">
        <v>17</v>
      </c>
      <c r="B13" s="248">
        <v>1406</v>
      </c>
      <c r="C13" s="249">
        <v>2260</v>
      </c>
      <c r="D13" s="250">
        <f t="shared" si="4"/>
        <v>0.60739687055476521</v>
      </c>
      <c r="F13" s="49" t="s">
        <v>17</v>
      </c>
      <c r="G13" s="263">
        <v>2664</v>
      </c>
      <c r="H13" s="120">
        <v>1613</v>
      </c>
      <c r="I13" s="24">
        <f t="shared" si="5"/>
        <v>-0.39451951951951947</v>
      </c>
      <c r="J13"/>
      <c r="K13" s="49" t="s">
        <v>17</v>
      </c>
      <c r="L13" s="263">
        <v>4950</v>
      </c>
      <c r="M13" s="208">
        <v>4892</v>
      </c>
      <c r="N13" s="24">
        <f t="shared" si="6"/>
        <v>-1.1717171717171682E-2</v>
      </c>
      <c r="P13" s="49" t="s">
        <v>17</v>
      </c>
      <c r="Q13" s="290">
        <v>7593</v>
      </c>
      <c r="R13" s="208">
        <v>5586</v>
      </c>
      <c r="S13" s="24">
        <f t="shared" si="7"/>
        <v>-0.2643224022125642</v>
      </c>
      <c r="T13" s="4"/>
      <c r="U13" s="49" t="s">
        <v>17</v>
      </c>
      <c r="V13" s="290">
        <v>8673</v>
      </c>
      <c r="W13" s="208">
        <v>6917</v>
      </c>
      <c r="X13" s="24">
        <f t="shared" si="8"/>
        <v>-0.2024674276490257</v>
      </c>
      <c r="Y13"/>
      <c r="Z13" s="49" t="s">
        <v>17</v>
      </c>
      <c r="AA13" s="290">
        <v>12829</v>
      </c>
      <c r="AB13" s="329">
        <v>7518</v>
      </c>
      <c r="AC13" s="24">
        <f t="shared" si="9"/>
        <v>-0.41398394262997895</v>
      </c>
      <c r="AE13" s="48" t="s">
        <v>17</v>
      </c>
      <c r="AF13" s="181">
        <v>7190</v>
      </c>
      <c r="AG13" s="129">
        <v>9443</v>
      </c>
      <c r="AH13" s="35">
        <f t="shared" si="10"/>
        <v>0.3133518776077886</v>
      </c>
      <c r="AJ13" s="48" t="s">
        <v>17</v>
      </c>
      <c r="AK13" s="181">
        <v>4795</v>
      </c>
      <c r="AL13" s="129">
        <v>7392</v>
      </c>
      <c r="AM13" s="35">
        <f t="shared" si="11"/>
        <v>0.54160583941605833</v>
      </c>
      <c r="AO13" s="48" t="s">
        <v>17</v>
      </c>
      <c r="AP13" s="181">
        <v>3299</v>
      </c>
      <c r="AQ13" s="129">
        <v>8392</v>
      </c>
      <c r="AR13" s="35">
        <f t="shared" si="0"/>
        <v>1.5438011518642014</v>
      </c>
      <c r="AT13" s="48" t="s">
        <v>17</v>
      </c>
      <c r="AU13" s="181">
        <v>4437</v>
      </c>
      <c r="AV13" s="129">
        <v>9590</v>
      </c>
      <c r="AW13" s="35">
        <f t="shared" si="1"/>
        <v>1.1613702952445344</v>
      </c>
      <c r="AZ13" s="48" t="s">
        <v>17</v>
      </c>
      <c r="BA13" s="181">
        <v>3370</v>
      </c>
      <c r="BB13" s="129">
        <v>3559</v>
      </c>
      <c r="BC13" s="35">
        <f t="shared" si="2"/>
        <v>5.6083086053412501E-2</v>
      </c>
      <c r="BF13" s="49" t="s">
        <v>17</v>
      </c>
      <c r="BG13" s="207">
        <v>1416</v>
      </c>
      <c r="BH13" s="208">
        <v>1026</v>
      </c>
      <c r="BI13" s="24">
        <f t="shared" si="3"/>
        <v>-0.27542372881355937</v>
      </c>
    </row>
    <row r="14" spans="1:61" x14ac:dyDescent="0.25">
      <c r="A14" s="48" t="s">
        <v>18</v>
      </c>
      <c r="B14" s="248">
        <v>1578</v>
      </c>
      <c r="C14" s="249">
        <v>3028</v>
      </c>
      <c r="D14" s="250">
        <f t="shared" si="4"/>
        <v>0.91888466413181247</v>
      </c>
      <c r="F14" s="124" t="s">
        <v>18</v>
      </c>
      <c r="G14" s="260">
        <v>1229</v>
      </c>
      <c r="H14" s="255">
        <v>2598</v>
      </c>
      <c r="I14" s="125">
        <f t="shared" si="5"/>
        <v>1.1139137510170869</v>
      </c>
      <c r="J14"/>
      <c r="K14" s="124" t="s">
        <v>18</v>
      </c>
      <c r="L14" s="260">
        <v>2077</v>
      </c>
      <c r="M14" s="25">
        <v>3751</v>
      </c>
      <c r="N14" s="125">
        <f t="shared" si="6"/>
        <v>0.80597014925373145</v>
      </c>
      <c r="P14" s="48" t="s">
        <v>18</v>
      </c>
      <c r="Q14" s="145">
        <v>4743</v>
      </c>
      <c r="R14" s="129">
        <v>5941</v>
      </c>
      <c r="S14" s="35">
        <f t="shared" si="7"/>
        <v>0.25258275353152015</v>
      </c>
      <c r="T14" s="4"/>
      <c r="U14" s="49" t="s">
        <v>18</v>
      </c>
      <c r="V14" s="290">
        <v>8526</v>
      </c>
      <c r="W14" s="208">
        <v>5390</v>
      </c>
      <c r="X14" s="24">
        <f t="shared" si="8"/>
        <v>-0.36781609195402298</v>
      </c>
      <c r="Y14"/>
      <c r="Z14" s="124" t="s">
        <v>18</v>
      </c>
      <c r="AA14" s="139">
        <v>3994</v>
      </c>
      <c r="AB14" s="322">
        <v>8490</v>
      </c>
      <c r="AC14" s="125">
        <f t="shared" si="9"/>
        <v>1.1256885327991988</v>
      </c>
      <c r="AE14" s="124" t="s">
        <v>18</v>
      </c>
      <c r="AF14" s="174">
        <v>4449</v>
      </c>
      <c r="AG14" s="25">
        <v>3573</v>
      </c>
      <c r="AH14" s="125">
        <f t="shared" si="10"/>
        <v>-0.19689817936614973</v>
      </c>
      <c r="AJ14" s="48" t="s">
        <v>18</v>
      </c>
      <c r="AK14" s="181">
        <v>4652</v>
      </c>
      <c r="AL14" s="129">
        <v>6304</v>
      </c>
      <c r="AM14" s="35">
        <f t="shared" si="11"/>
        <v>0.35511607910576104</v>
      </c>
      <c r="AO14" s="124" t="s">
        <v>18</v>
      </c>
      <c r="AP14" s="174">
        <v>6284</v>
      </c>
      <c r="AQ14" s="25">
        <v>3002</v>
      </c>
      <c r="AR14" s="125">
        <f t="shared" si="0"/>
        <v>-0.52227880330999366</v>
      </c>
      <c r="AT14" s="48" t="s">
        <v>18</v>
      </c>
      <c r="AU14" s="181">
        <v>5019</v>
      </c>
      <c r="AV14" s="129">
        <v>5117</v>
      </c>
      <c r="AW14" s="35">
        <f t="shared" si="1"/>
        <v>1.9525801952580135E-2</v>
      </c>
      <c r="AZ14" s="48" t="s">
        <v>18</v>
      </c>
      <c r="BA14" s="181">
        <v>1689</v>
      </c>
      <c r="BB14" s="129">
        <v>2457</v>
      </c>
      <c r="BC14" s="35">
        <f t="shared" si="2"/>
        <v>0.45470692717584371</v>
      </c>
      <c r="BF14" s="49" t="s">
        <v>18</v>
      </c>
      <c r="BG14" s="207">
        <v>1985</v>
      </c>
      <c r="BH14" s="208">
        <v>1692</v>
      </c>
      <c r="BI14" s="24">
        <f t="shared" si="3"/>
        <v>-0.14760705289672549</v>
      </c>
    </row>
    <row r="15" spans="1:61" x14ac:dyDescent="0.25">
      <c r="A15" s="48" t="s">
        <v>19</v>
      </c>
      <c r="B15" s="248">
        <v>6053</v>
      </c>
      <c r="C15" s="249">
        <v>6563</v>
      </c>
      <c r="D15" s="250">
        <f t="shared" si="4"/>
        <v>8.4255740954898295E-2</v>
      </c>
      <c r="F15" s="124" t="s">
        <v>19</v>
      </c>
      <c r="G15" s="260">
        <v>2374</v>
      </c>
      <c r="H15" s="255">
        <v>2788</v>
      </c>
      <c r="I15" s="125">
        <f t="shared" si="5"/>
        <v>0.17438921651221562</v>
      </c>
      <c r="J15"/>
      <c r="K15" s="124" t="s">
        <v>19</v>
      </c>
      <c r="L15" s="260">
        <v>4879</v>
      </c>
      <c r="M15" s="25">
        <v>5736</v>
      </c>
      <c r="N15" s="125">
        <f t="shared" si="6"/>
        <v>0.17565074810411963</v>
      </c>
      <c r="P15" s="48" t="s">
        <v>19</v>
      </c>
      <c r="Q15" s="145">
        <v>6548</v>
      </c>
      <c r="R15" s="129">
        <v>8438</v>
      </c>
      <c r="S15" s="35">
        <f t="shared" si="7"/>
        <v>0.28863775198533914</v>
      </c>
      <c r="T15" s="4"/>
      <c r="U15" s="124" t="s">
        <v>19</v>
      </c>
      <c r="V15" s="139">
        <v>11385</v>
      </c>
      <c r="W15" s="25">
        <v>15122</v>
      </c>
      <c r="X15" s="125">
        <f t="shared" si="8"/>
        <v>0.32823891084760648</v>
      </c>
      <c r="Y15"/>
      <c r="Z15" s="124" t="s">
        <v>19</v>
      </c>
      <c r="AA15" s="139">
        <v>9849</v>
      </c>
      <c r="AB15" s="322">
        <v>10654</v>
      </c>
      <c r="AC15" s="125">
        <f t="shared" si="9"/>
        <v>8.1734186211798177E-2</v>
      </c>
      <c r="AE15" s="124" t="s">
        <v>19</v>
      </c>
      <c r="AF15" s="174">
        <v>15267</v>
      </c>
      <c r="AG15" s="25">
        <v>14137</v>
      </c>
      <c r="AH15" s="125">
        <f t="shared" si="10"/>
        <v>-7.4015851182288595E-2</v>
      </c>
      <c r="AJ15" s="124" t="s">
        <v>19</v>
      </c>
      <c r="AK15" s="174">
        <v>15075</v>
      </c>
      <c r="AL15" s="25">
        <v>14917</v>
      </c>
      <c r="AM15" s="125">
        <f t="shared" si="11"/>
        <v>-1.0480928689883928E-2</v>
      </c>
      <c r="AO15" s="124" t="s">
        <v>19</v>
      </c>
      <c r="AP15" s="174">
        <v>11229</v>
      </c>
      <c r="AQ15" s="25">
        <v>10954</v>
      </c>
      <c r="AR15" s="125">
        <f t="shared" si="0"/>
        <v>-2.4490159408673939E-2</v>
      </c>
      <c r="AT15" s="48" t="s">
        <v>19</v>
      </c>
      <c r="AU15" s="181">
        <v>10523</v>
      </c>
      <c r="AV15" s="129">
        <v>11888</v>
      </c>
      <c r="AW15" s="35">
        <f t="shared" si="1"/>
        <v>0.12971586049605621</v>
      </c>
      <c r="AZ15" s="124" t="s">
        <v>19</v>
      </c>
      <c r="BA15" s="174">
        <v>4626</v>
      </c>
      <c r="BB15" s="25">
        <v>2788</v>
      </c>
      <c r="BC15" s="202">
        <f t="shared" si="2"/>
        <v>-0.39731949848681369</v>
      </c>
      <c r="BF15" s="49" t="s">
        <v>19</v>
      </c>
      <c r="BG15" s="207">
        <v>2968</v>
      </c>
      <c r="BH15" s="208">
        <v>2820</v>
      </c>
      <c r="BI15" s="24">
        <f t="shared" si="3"/>
        <v>-4.9865229110512166E-2</v>
      </c>
    </row>
    <row r="16" spans="1:61" x14ac:dyDescent="0.25">
      <c r="A16" s="48" t="s">
        <v>20</v>
      </c>
      <c r="B16" s="248">
        <v>5074</v>
      </c>
      <c r="C16" s="249">
        <v>6737</v>
      </c>
      <c r="D16" s="250">
        <f t="shared" si="4"/>
        <v>0.32774931020890818</v>
      </c>
      <c r="F16" s="124" t="s">
        <v>20</v>
      </c>
      <c r="G16" s="260">
        <v>2615</v>
      </c>
      <c r="H16" s="255">
        <v>6360</v>
      </c>
      <c r="I16" s="125">
        <f t="shared" si="5"/>
        <v>1.4321223709369026</v>
      </c>
      <c r="J16"/>
      <c r="K16" s="124" t="s">
        <v>20</v>
      </c>
      <c r="L16" s="260">
        <v>5686</v>
      </c>
      <c r="M16" s="25">
        <v>6410</v>
      </c>
      <c r="N16" s="125">
        <f t="shared" si="6"/>
        <v>0.12733028491030596</v>
      </c>
      <c r="P16" s="49" t="s">
        <v>20</v>
      </c>
      <c r="Q16" s="290">
        <v>8872</v>
      </c>
      <c r="R16" s="208">
        <v>7680</v>
      </c>
      <c r="S16" s="24">
        <f t="shared" si="7"/>
        <v>-0.13435527502254285</v>
      </c>
      <c r="T16" s="4"/>
      <c r="U16" s="49" t="s">
        <v>20</v>
      </c>
      <c r="V16" s="290">
        <v>12208</v>
      </c>
      <c r="W16" s="208">
        <v>9744</v>
      </c>
      <c r="X16" s="24">
        <f t="shared" si="8"/>
        <v>-0.20183486238532111</v>
      </c>
      <c r="Y16"/>
      <c r="Z16" s="49" t="s">
        <v>20</v>
      </c>
      <c r="AA16" s="290">
        <v>10812</v>
      </c>
      <c r="AB16" s="329">
        <v>9089</v>
      </c>
      <c r="AC16" s="24">
        <f t="shared" si="9"/>
        <v>-0.15935997040325567</v>
      </c>
      <c r="AE16" s="124" t="s">
        <v>20</v>
      </c>
      <c r="AF16" s="174">
        <v>14377</v>
      </c>
      <c r="AG16" s="25">
        <v>12619</v>
      </c>
      <c r="AH16" s="125">
        <f t="shared" si="10"/>
        <v>-0.12227863949363571</v>
      </c>
      <c r="AJ16" s="48" t="s">
        <v>20</v>
      </c>
      <c r="AK16" s="181">
        <v>11635</v>
      </c>
      <c r="AL16" s="129">
        <v>16753</v>
      </c>
      <c r="AM16" s="35">
        <f t="shared" si="11"/>
        <v>0.43987967339922651</v>
      </c>
      <c r="AO16" s="48" t="s">
        <v>20</v>
      </c>
      <c r="AP16" s="181">
        <v>11756</v>
      </c>
      <c r="AQ16" s="129">
        <v>17353</v>
      </c>
      <c r="AR16" s="35">
        <f t="shared" si="0"/>
        <v>0.47609731201088801</v>
      </c>
      <c r="AT16" s="48" t="s">
        <v>20</v>
      </c>
      <c r="AU16" s="181">
        <v>8318</v>
      </c>
      <c r="AV16" s="129">
        <v>12621</v>
      </c>
      <c r="AW16" s="35">
        <f t="shared" si="1"/>
        <v>0.51731185381101219</v>
      </c>
      <c r="AZ16" s="124" t="s">
        <v>20</v>
      </c>
      <c r="BA16" s="174">
        <v>8434</v>
      </c>
      <c r="BB16" s="25">
        <v>8220</v>
      </c>
      <c r="BC16" s="125">
        <f t="shared" si="2"/>
        <v>-2.5373488261797528E-2</v>
      </c>
      <c r="BF16" s="48" t="s">
        <v>20</v>
      </c>
      <c r="BG16" s="206">
        <v>3284</v>
      </c>
      <c r="BH16" s="129">
        <v>4192</v>
      </c>
      <c r="BI16" s="35">
        <f t="shared" si="3"/>
        <v>0.27649208282582216</v>
      </c>
    </row>
    <row r="17" spans="1:61" ht="15.75" thickBot="1" x14ac:dyDescent="0.3">
      <c r="A17" s="137" t="s">
        <v>21</v>
      </c>
      <c r="B17" s="240">
        <v>1523</v>
      </c>
      <c r="C17" s="243">
        <v>963</v>
      </c>
      <c r="D17" s="245">
        <f t="shared" si="4"/>
        <v>-0.36769533814839128</v>
      </c>
      <c r="F17" s="137" t="s">
        <v>21</v>
      </c>
      <c r="G17" s="261">
        <v>777</v>
      </c>
      <c r="H17" s="256">
        <v>1053</v>
      </c>
      <c r="I17" s="257">
        <f t="shared" si="5"/>
        <v>0.35521235521235517</v>
      </c>
      <c r="J17"/>
      <c r="K17" s="53" t="s">
        <v>21</v>
      </c>
      <c r="L17" s="264">
        <v>1693</v>
      </c>
      <c r="M17" s="211">
        <v>1260</v>
      </c>
      <c r="N17" s="54">
        <f t="shared" si="6"/>
        <v>-0.25575900767867688</v>
      </c>
      <c r="P17" s="51" t="s">
        <v>21</v>
      </c>
      <c r="Q17" s="146">
        <v>2474</v>
      </c>
      <c r="R17" s="130">
        <v>3776</v>
      </c>
      <c r="S17" s="35">
        <f t="shared" si="7"/>
        <v>0.52627324171382384</v>
      </c>
      <c r="T17" s="4"/>
      <c r="U17" s="137" t="s">
        <v>21</v>
      </c>
      <c r="V17" s="312">
        <v>4790</v>
      </c>
      <c r="W17" s="138">
        <v>7455</v>
      </c>
      <c r="X17" s="125">
        <f t="shared" si="8"/>
        <v>0.55636743215031315</v>
      </c>
      <c r="Y17"/>
      <c r="Z17" s="137" t="s">
        <v>21</v>
      </c>
      <c r="AA17" s="312">
        <v>3382</v>
      </c>
      <c r="AB17" s="323">
        <v>4822</v>
      </c>
      <c r="AC17" s="257">
        <f t="shared" si="9"/>
        <v>0.42578356002365458</v>
      </c>
      <c r="AE17" s="137" t="s">
        <v>21</v>
      </c>
      <c r="AF17" s="175">
        <v>6241</v>
      </c>
      <c r="AG17" s="138">
        <v>6010</v>
      </c>
      <c r="AH17" s="125">
        <f t="shared" si="10"/>
        <v>-3.7013299150777113E-2</v>
      </c>
      <c r="AJ17" s="51" t="s">
        <v>21</v>
      </c>
      <c r="AK17" s="197">
        <v>3243</v>
      </c>
      <c r="AL17" s="130">
        <v>4823</v>
      </c>
      <c r="AM17" s="35">
        <f t="shared" si="11"/>
        <v>0.48720320690718477</v>
      </c>
      <c r="AO17" s="51" t="s">
        <v>21</v>
      </c>
      <c r="AP17" s="197">
        <v>3478</v>
      </c>
      <c r="AQ17" s="130">
        <v>5944</v>
      </c>
      <c r="AR17" s="35">
        <f t="shared" si="0"/>
        <v>0.70902817711328359</v>
      </c>
      <c r="AT17" s="51" t="s">
        <v>21</v>
      </c>
      <c r="AU17" s="197">
        <v>3269</v>
      </c>
      <c r="AV17" s="130">
        <v>6274</v>
      </c>
      <c r="AW17" s="35">
        <f t="shared" si="1"/>
        <v>0.91924135821352104</v>
      </c>
      <c r="AZ17" s="51" t="s">
        <v>21</v>
      </c>
      <c r="BA17" s="197">
        <v>1014</v>
      </c>
      <c r="BB17" s="130">
        <v>1928</v>
      </c>
      <c r="BC17" s="35">
        <f t="shared" si="2"/>
        <v>0.90138067061143978</v>
      </c>
      <c r="BF17" s="53" t="s">
        <v>21</v>
      </c>
      <c r="BG17" s="210">
        <v>2394</v>
      </c>
      <c r="BH17" s="211">
        <v>1229</v>
      </c>
      <c r="BI17" s="24">
        <f t="shared" si="3"/>
        <v>-0.48663324979114453</v>
      </c>
    </row>
    <row r="18" spans="1:61" ht="15.75" thickBot="1" x14ac:dyDescent="0.3">
      <c r="A18" s="39" t="s">
        <v>22</v>
      </c>
      <c r="B18" s="241">
        <f>SUM(B8:B17)</f>
        <v>23929</v>
      </c>
      <c r="C18" s="123">
        <f>SUM(C8:C17)</f>
        <v>28124</v>
      </c>
      <c r="D18" s="246">
        <f>(C18/B18)-1</f>
        <v>0.17531029294997702</v>
      </c>
      <c r="F18" s="39" t="s">
        <v>22</v>
      </c>
      <c r="G18" s="118">
        <f>SUM(G8:G17)</f>
        <v>16141</v>
      </c>
      <c r="H18" s="103">
        <f>SUM(H8:H17)</f>
        <v>23654</v>
      </c>
      <c r="I18" s="52">
        <f t="shared" si="5"/>
        <v>0.46546062821386536</v>
      </c>
      <c r="J18"/>
      <c r="K18" s="39" t="s">
        <v>22</v>
      </c>
      <c r="L18" s="104">
        <f>SUM(L8:L17)</f>
        <v>31585</v>
      </c>
      <c r="M18" s="36">
        <f>SUM(M8:M17)</f>
        <v>34323</v>
      </c>
      <c r="N18" s="52">
        <f t="shared" si="6"/>
        <v>8.6686718378977456E-2</v>
      </c>
      <c r="P18" s="39" t="s">
        <v>22</v>
      </c>
      <c r="Q18" s="104">
        <f>SUM(Q8:Q17)</f>
        <v>47771</v>
      </c>
      <c r="R18" s="36">
        <f>SUM(R8:R17)</f>
        <v>51174</v>
      </c>
      <c r="S18" s="52">
        <f t="shared" si="7"/>
        <v>7.1235686923028618E-2</v>
      </c>
      <c r="T18" s="4"/>
      <c r="U18" s="39" t="s">
        <v>22</v>
      </c>
      <c r="V18" s="104">
        <f>SUM(V8:V17)</f>
        <v>69949</v>
      </c>
      <c r="W18" s="36">
        <f>SUM(W8:W17)</f>
        <v>76396</v>
      </c>
      <c r="X18" s="52">
        <f t="shared" si="8"/>
        <v>9.2167150352399529E-2</v>
      </c>
      <c r="Y18"/>
      <c r="Z18" s="39" t="s">
        <v>22</v>
      </c>
      <c r="AA18" s="104">
        <f>SUM(AA8:AA17)</f>
        <v>63919</v>
      </c>
      <c r="AB18" s="331">
        <f>SUM(AB8:AB17)</f>
        <v>68837</v>
      </c>
      <c r="AC18" s="332">
        <f t="shared" si="9"/>
        <v>7.6941128615904519E-2</v>
      </c>
      <c r="AE18" s="39" t="s">
        <v>22</v>
      </c>
      <c r="AF18" s="104">
        <f>SUM(AF8:AF17)</f>
        <v>69878</v>
      </c>
      <c r="AG18" s="36">
        <f>SUM(AG8:AG17)</f>
        <v>69928</v>
      </c>
      <c r="AH18" s="52">
        <f t="shared" si="10"/>
        <v>7.1553278571223622E-4</v>
      </c>
      <c r="AJ18" s="165" t="s">
        <v>22</v>
      </c>
      <c r="AK18" s="166">
        <f>SUM(AK8:AK17)</f>
        <v>60704</v>
      </c>
      <c r="AL18" s="167">
        <f>SUM(AL8:AL17)</f>
        <v>75854</v>
      </c>
      <c r="AM18" s="168">
        <f t="shared" si="11"/>
        <v>0.24957169214549291</v>
      </c>
      <c r="AO18" s="39" t="s">
        <v>22</v>
      </c>
      <c r="AP18" s="104">
        <f>SUM(AP8:AP17)</f>
        <v>55696</v>
      </c>
      <c r="AQ18" s="36">
        <f>SUM(AQ8:AQ17)</f>
        <v>72207</v>
      </c>
      <c r="AR18" s="52">
        <f t="shared" si="0"/>
        <v>0.29644857799482915</v>
      </c>
      <c r="AT18" s="39" t="s">
        <v>22</v>
      </c>
      <c r="AU18" s="104">
        <f>SUM(AU8:AU17)</f>
        <v>54689</v>
      </c>
      <c r="AV18" s="36">
        <f>SUM(AV8:AV17)</f>
        <v>68937</v>
      </c>
      <c r="AW18" s="52">
        <f t="shared" si="1"/>
        <v>0.26052771123992025</v>
      </c>
      <c r="AZ18" s="39" t="s">
        <v>22</v>
      </c>
      <c r="BA18" s="104">
        <f>SUM(BA8:BA17)</f>
        <v>29600</v>
      </c>
      <c r="BB18" s="36">
        <f>SUM(BB8:BB17)</f>
        <v>27566</v>
      </c>
      <c r="BC18" s="52">
        <f t="shared" si="2"/>
        <v>-6.8716216216216264E-2</v>
      </c>
      <c r="BF18" s="39" t="s">
        <v>22</v>
      </c>
      <c r="BG18" s="104">
        <f>SUM(BG8:BG17)</f>
        <v>17278</v>
      </c>
      <c r="BH18" s="36">
        <f>SUM(BH8:BH17)</f>
        <v>17165</v>
      </c>
      <c r="BI18" s="214">
        <f t="shared" si="3"/>
        <v>-6.5401088088898884E-3</v>
      </c>
    </row>
    <row r="19" spans="1:61" s="16" customFormat="1" ht="15.75" thickBot="1" x14ac:dyDescent="0.3">
      <c r="A19" s="105"/>
      <c r="B19" s="105"/>
      <c r="C19" s="37"/>
      <c r="D19" s="38"/>
      <c r="E19"/>
      <c r="F19" s="105"/>
      <c r="G19" s="105"/>
      <c r="H19" s="37"/>
      <c r="I19" s="38"/>
      <c r="K19" s="105"/>
      <c r="L19" s="105"/>
      <c r="M19" s="37"/>
      <c r="N19" s="38"/>
      <c r="P19" s="105"/>
      <c r="Q19" s="105"/>
      <c r="R19" s="37"/>
      <c r="S19" s="38"/>
      <c r="T19" s="131"/>
      <c r="U19" s="105"/>
      <c r="V19" s="105"/>
      <c r="W19" s="37"/>
      <c r="X19" s="38"/>
      <c r="Z19" s="105"/>
      <c r="AA19" s="105"/>
      <c r="AB19" s="37"/>
      <c r="AC19" s="38"/>
      <c r="AE19" s="105"/>
      <c r="AF19" s="176"/>
      <c r="AG19" s="37"/>
      <c r="AH19" s="38"/>
      <c r="AJ19" s="169"/>
      <c r="AK19" s="190"/>
      <c r="AL19" s="170"/>
      <c r="AM19" s="171"/>
      <c r="AO19" s="105"/>
      <c r="AP19" s="176"/>
      <c r="AQ19" s="37"/>
      <c r="AR19" s="38"/>
      <c r="AT19" s="105"/>
      <c r="AU19" s="176"/>
      <c r="AV19" s="37"/>
      <c r="AW19" s="38"/>
      <c r="AZ19" s="105"/>
      <c r="BA19" s="176"/>
      <c r="BB19" s="37"/>
      <c r="BC19" s="38"/>
      <c r="BF19" s="105"/>
      <c r="BG19" s="176"/>
      <c r="BH19" s="37"/>
      <c r="BI19" s="38"/>
    </row>
    <row r="20" spans="1:61" x14ac:dyDescent="0.25">
      <c r="A20" s="126" t="s">
        <v>23</v>
      </c>
      <c r="B20" s="252">
        <v>3827</v>
      </c>
      <c r="C20" s="253">
        <v>3157</v>
      </c>
      <c r="D20" s="254">
        <f>(C20/B20)-1</f>
        <v>-0.17507185785210344</v>
      </c>
      <c r="F20" s="126" t="s">
        <v>23</v>
      </c>
      <c r="G20" s="262">
        <v>3809</v>
      </c>
      <c r="H20" s="258">
        <v>5912</v>
      </c>
      <c r="I20" s="128">
        <f t="shared" ref="I20:I30" si="12">(H20/G20)-1</f>
        <v>0.55211341559464433</v>
      </c>
      <c r="J20"/>
      <c r="K20" s="126" t="s">
        <v>23</v>
      </c>
      <c r="L20" s="262">
        <v>5746</v>
      </c>
      <c r="M20" s="127">
        <v>6945</v>
      </c>
      <c r="N20" s="128">
        <f t="shared" si="6"/>
        <v>0.20866689871214761</v>
      </c>
      <c r="P20" s="60" t="s">
        <v>23</v>
      </c>
      <c r="Q20" s="149">
        <v>8543</v>
      </c>
      <c r="R20" s="150">
        <v>10151</v>
      </c>
      <c r="S20" s="151">
        <f t="shared" ref="S20:S32" si="13">(R20/Q20)-1</f>
        <v>0.18822427718600032</v>
      </c>
      <c r="T20" s="4"/>
      <c r="U20" s="126" t="s">
        <v>23</v>
      </c>
      <c r="V20" s="140">
        <v>11606</v>
      </c>
      <c r="W20" s="127">
        <v>14867</v>
      </c>
      <c r="X20" s="128">
        <f t="shared" ref="X20:X30" si="14">(W20/V20)-1</f>
        <v>0.28097535757366887</v>
      </c>
      <c r="Y20"/>
      <c r="Z20" s="126" t="s">
        <v>23</v>
      </c>
      <c r="AA20" s="140">
        <v>13306</v>
      </c>
      <c r="AB20" s="324">
        <v>13475</v>
      </c>
      <c r="AC20" s="128">
        <f t="shared" si="9"/>
        <v>1.2701037126108483E-2</v>
      </c>
      <c r="AE20" s="60" t="s">
        <v>23</v>
      </c>
      <c r="AF20" s="182">
        <v>12903</v>
      </c>
      <c r="AG20" s="150">
        <v>21064</v>
      </c>
      <c r="AH20" s="151">
        <f t="shared" ref="AH20:AH30" si="15">(AG20/AF20)-1</f>
        <v>0.63248856854994973</v>
      </c>
      <c r="AJ20" s="60" t="s">
        <v>23</v>
      </c>
      <c r="AK20" s="182">
        <v>14642</v>
      </c>
      <c r="AL20" s="150">
        <v>17037</v>
      </c>
      <c r="AM20" s="151">
        <f t="shared" si="11"/>
        <v>0.16357055047124702</v>
      </c>
      <c r="AO20" s="60" t="s">
        <v>23</v>
      </c>
      <c r="AP20" s="182">
        <v>11531</v>
      </c>
      <c r="AQ20" s="150">
        <v>15640</v>
      </c>
      <c r="AR20" s="151">
        <f t="shared" ref="AR20:AR30" si="16">(AQ20/AP20)-1</f>
        <v>0.35634376897060105</v>
      </c>
      <c r="AT20" s="126" t="s">
        <v>23</v>
      </c>
      <c r="AU20" s="201">
        <v>14418</v>
      </c>
      <c r="AV20" s="127">
        <v>13652</v>
      </c>
      <c r="AW20" s="128">
        <f t="shared" ref="AW20:AW30" si="17">(AV20/AU20)-1</f>
        <v>-5.3128034401442648E-2</v>
      </c>
      <c r="AZ20" s="126" t="s">
        <v>23</v>
      </c>
      <c r="BA20" s="201">
        <v>7614</v>
      </c>
      <c r="BB20" s="127">
        <v>6748</v>
      </c>
      <c r="BC20" s="128">
        <f t="shared" ref="BC20:BC30" si="18">(BB20/BA20)-1</f>
        <v>-0.11373785132650382</v>
      </c>
      <c r="BF20" s="60" t="s">
        <v>23</v>
      </c>
      <c r="BG20" s="212">
        <v>3922</v>
      </c>
      <c r="BH20" s="150">
        <v>4613</v>
      </c>
      <c r="BI20" s="151">
        <f t="shared" ref="BI20:BI30" si="19">(BH20/BG20)-1</f>
        <v>0.17618561958184609</v>
      </c>
    </row>
    <row r="21" spans="1:61" x14ac:dyDescent="0.25">
      <c r="A21" s="48" t="s">
        <v>24</v>
      </c>
      <c r="B21" s="248">
        <v>1792</v>
      </c>
      <c r="C21" s="249">
        <v>2770</v>
      </c>
      <c r="D21" s="250">
        <f t="shared" ref="D21:D32" si="20">(C21/B21)-1</f>
        <v>0.5457589285714286</v>
      </c>
      <c r="F21" s="124" t="s">
        <v>24</v>
      </c>
      <c r="G21" s="260">
        <v>598</v>
      </c>
      <c r="H21" s="255">
        <v>1860</v>
      </c>
      <c r="I21" s="125">
        <f t="shared" si="12"/>
        <v>2.1103678929765888</v>
      </c>
      <c r="J21"/>
      <c r="K21" s="49" t="s">
        <v>24</v>
      </c>
      <c r="L21" s="263">
        <v>1882</v>
      </c>
      <c r="M21" s="208">
        <v>1346</v>
      </c>
      <c r="N21" s="24">
        <f t="shared" si="6"/>
        <v>-0.28480340063761955</v>
      </c>
      <c r="P21" s="49" t="s">
        <v>24</v>
      </c>
      <c r="Q21" s="291">
        <v>4524</v>
      </c>
      <c r="R21" s="208">
        <v>4342</v>
      </c>
      <c r="S21" s="24">
        <f t="shared" si="13"/>
        <v>-4.0229885057471271E-2</v>
      </c>
      <c r="T21" s="4"/>
      <c r="U21" s="124" t="s">
        <v>24</v>
      </c>
      <c r="V21" s="141">
        <v>1640</v>
      </c>
      <c r="W21" s="25">
        <v>4904</v>
      </c>
      <c r="X21" s="125">
        <f t="shared" si="14"/>
        <v>1.9902439024390244</v>
      </c>
      <c r="Y21"/>
      <c r="Z21" s="124" t="s">
        <v>24</v>
      </c>
      <c r="AA21" s="141">
        <v>6137</v>
      </c>
      <c r="AB21" s="322">
        <v>6470</v>
      </c>
      <c r="AC21" s="125">
        <f t="shared" si="9"/>
        <v>5.426103959589379E-2</v>
      </c>
      <c r="AE21" s="48" t="s">
        <v>24</v>
      </c>
      <c r="AF21" s="183">
        <v>3819</v>
      </c>
      <c r="AG21" s="129">
        <v>3983</v>
      </c>
      <c r="AH21" s="35">
        <f t="shared" si="15"/>
        <v>4.2943178842628882E-2</v>
      </c>
      <c r="AJ21" s="48" t="s">
        <v>24</v>
      </c>
      <c r="AK21" s="183">
        <v>4114</v>
      </c>
      <c r="AL21" s="129">
        <v>5678</v>
      </c>
      <c r="AM21" s="35">
        <f t="shared" si="11"/>
        <v>0.38016528925619841</v>
      </c>
      <c r="AO21" s="48" t="s">
        <v>24</v>
      </c>
      <c r="AP21" s="183">
        <v>3149</v>
      </c>
      <c r="AQ21" s="129">
        <v>5078</v>
      </c>
      <c r="AR21" s="35">
        <f t="shared" si="16"/>
        <v>0.61257542076849791</v>
      </c>
      <c r="AT21" s="48" t="s">
        <v>24</v>
      </c>
      <c r="AU21" s="183">
        <v>3603</v>
      </c>
      <c r="AV21" s="129">
        <v>3769</v>
      </c>
      <c r="AW21" s="35">
        <f t="shared" si="17"/>
        <v>4.607271718012762E-2</v>
      </c>
      <c r="AZ21" s="48" t="s">
        <v>24</v>
      </c>
      <c r="BA21" s="183">
        <v>866</v>
      </c>
      <c r="BB21" s="129">
        <v>2967</v>
      </c>
      <c r="BC21" s="35">
        <f t="shared" si="18"/>
        <v>2.4260969976905313</v>
      </c>
      <c r="BF21" s="48" t="s">
        <v>24</v>
      </c>
      <c r="BG21" s="121">
        <v>424</v>
      </c>
      <c r="BH21" s="129">
        <v>1224</v>
      </c>
      <c r="BI21" s="35">
        <f t="shared" si="19"/>
        <v>1.8867924528301887</v>
      </c>
    </row>
    <row r="22" spans="1:61" x14ac:dyDescent="0.25">
      <c r="A22" s="48" t="s">
        <v>25</v>
      </c>
      <c r="B22" s="248">
        <v>318</v>
      </c>
      <c r="C22" s="249">
        <v>494</v>
      </c>
      <c r="D22" s="250">
        <f t="shared" si="20"/>
        <v>0.55345911949685545</v>
      </c>
      <c r="F22" s="124" t="s">
        <v>25</v>
      </c>
      <c r="G22" s="260">
        <v>233</v>
      </c>
      <c r="H22" s="255">
        <v>629</v>
      </c>
      <c r="I22" s="125">
        <f t="shared" si="12"/>
        <v>1.6995708154506439</v>
      </c>
      <c r="J22"/>
      <c r="K22" s="124" t="s">
        <v>25</v>
      </c>
      <c r="L22" s="260">
        <v>68</v>
      </c>
      <c r="M22" s="25">
        <v>977</v>
      </c>
      <c r="N22" s="125">
        <f t="shared" si="6"/>
        <v>13.367647058823529</v>
      </c>
      <c r="P22" s="49" t="s">
        <v>25</v>
      </c>
      <c r="Q22" s="291">
        <v>1277</v>
      </c>
      <c r="R22" s="208">
        <v>690</v>
      </c>
      <c r="S22" s="24">
        <f t="shared" si="13"/>
        <v>-0.45967110415035239</v>
      </c>
      <c r="T22" s="4"/>
      <c r="U22" s="49" t="s">
        <v>25</v>
      </c>
      <c r="V22" s="291">
        <v>2741</v>
      </c>
      <c r="W22" s="208">
        <v>2425</v>
      </c>
      <c r="X22" s="24">
        <f t="shared" si="14"/>
        <v>-0.11528639182780009</v>
      </c>
      <c r="Y22"/>
      <c r="Z22" s="49" t="s">
        <v>25</v>
      </c>
      <c r="AA22" s="291">
        <v>3548</v>
      </c>
      <c r="AB22" s="329">
        <v>1975</v>
      </c>
      <c r="AC22" s="24">
        <f t="shared" si="9"/>
        <v>-0.44334836527621191</v>
      </c>
      <c r="AE22" s="48" t="s">
        <v>25</v>
      </c>
      <c r="AF22" s="183">
        <v>2429</v>
      </c>
      <c r="AG22" s="129">
        <v>2446</v>
      </c>
      <c r="AH22" s="35">
        <f t="shared" si="15"/>
        <v>6.9987649238369976E-3</v>
      </c>
      <c r="AJ22" s="163" t="s">
        <v>25</v>
      </c>
      <c r="AK22" s="191">
        <v>1633</v>
      </c>
      <c r="AL22" s="188">
        <v>1306</v>
      </c>
      <c r="AM22" s="162">
        <f t="shared" si="11"/>
        <v>-0.20024494794856096</v>
      </c>
      <c r="AO22" s="124" t="s">
        <v>25</v>
      </c>
      <c r="AP22" s="198">
        <v>1253</v>
      </c>
      <c r="AQ22" s="25">
        <v>1121</v>
      </c>
      <c r="AR22" s="125">
        <f t="shared" si="16"/>
        <v>-0.10534716679968081</v>
      </c>
      <c r="AT22" s="48" t="s">
        <v>25</v>
      </c>
      <c r="AU22" s="183">
        <v>803</v>
      </c>
      <c r="AV22" s="129">
        <v>1515</v>
      </c>
      <c r="AW22" s="35">
        <f t="shared" si="17"/>
        <v>0.88667496886674968</v>
      </c>
      <c r="AZ22" s="124" t="s">
        <v>25</v>
      </c>
      <c r="BA22" s="198">
        <v>940</v>
      </c>
      <c r="BB22" s="25">
        <v>528</v>
      </c>
      <c r="BC22" s="202">
        <f t="shared" si="18"/>
        <v>-0.4382978723404255</v>
      </c>
      <c r="BF22" s="49" t="s">
        <v>25</v>
      </c>
      <c r="BG22" s="120">
        <v>749</v>
      </c>
      <c r="BH22" s="208">
        <v>612</v>
      </c>
      <c r="BI22" s="24">
        <f t="shared" si="19"/>
        <v>-0.18291054739652868</v>
      </c>
    </row>
    <row r="23" spans="1:61" x14ac:dyDescent="0.25">
      <c r="A23" s="124" t="s">
        <v>26</v>
      </c>
      <c r="B23" s="239">
        <v>2203</v>
      </c>
      <c r="C23" s="242">
        <v>1810</v>
      </c>
      <c r="D23" s="245">
        <f t="shared" si="20"/>
        <v>-0.17839310031774858</v>
      </c>
      <c r="F23" s="49" t="s">
        <v>26</v>
      </c>
      <c r="G23" s="263">
        <v>2544</v>
      </c>
      <c r="H23" s="120">
        <v>1865</v>
      </c>
      <c r="I23" s="24">
        <f t="shared" si="12"/>
        <v>-0.26690251572327039</v>
      </c>
      <c r="J23"/>
      <c r="K23" s="124" t="s">
        <v>26</v>
      </c>
      <c r="L23" s="260">
        <v>1876</v>
      </c>
      <c r="M23" s="25">
        <v>3108</v>
      </c>
      <c r="N23" s="125">
        <f t="shared" si="6"/>
        <v>0.65671641791044766</v>
      </c>
      <c r="P23" s="48" t="s">
        <v>26</v>
      </c>
      <c r="Q23" s="147">
        <v>3481</v>
      </c>
      <c r="R23" s="129">
        <v>3567</v>
      </c>
      <c r="S23" s="35">
        <f t="shared" si="13"/>
        <v>2.4705544383797795E-2</v>
      </c>
      <c r="T23" s="4"/>
      <c r="U23" s="124" t="s">
        <v>26</v>
      </c>
      <c r="V23" s="141">
        <v>4619</v>
      </c>
      <c r="W23" s="25">
        <v>7683</v>
      </c>
      <c r="X23" s="125">
        <f t="shared" si="14"/>
        <v>0.66334704481489504</v>
      </c>
      <c r="Y23"/>
      <c r="Z23" s="49" t="s">
        <v>26</v>
      </c>
      <c r="AA23" s="291">
        <v>6860</v>
      </c>
      <c r="AB23" s="329">
        <v>6373</v>
      </c>
      <c r="AC23" s="24">
        <f t="shared" si="9"/>
        <v>-7.0991253644314911E-2</v>
      </c>
      <c r="AE23" s="48" t="s">
        <v>26</v>
      </c>
      <c r="AF23" s="183">
        <v>7419</v>
      </c>
      <c r="AG23" s="129">
        <v>8040</v>
      </c>
      <c r="AH23" s="35">
        <f t="shared" si="15"/>
        <v>8.370400323493743E-2</v>
      </c>
      <c r="AJ23" s="48" t="s">
        <v>26</v>
      </c>
      <c r="AK23" s="183">
        <v>2924</v>
      </c>
      <c r="AL23" s="129">
        <v>9850</v>
      </c>
      <c r="AM23" s="35">
        <f t="shared" si="11"/>
        <v>2.3686730506155951</v>
      </c>
      <c r="AO23" s="48" t="s">
        <v>26</v>
      </c>
      <c r="AP23" s="183">
        <v>4025</v>
      </c>
      <c r="AQ23" s="129">
        <v>7531</v>
      </c>
      <c r="AR23" s="35">
        <f t="shared" si="16"/>
        <v>0.87105590062111804</v>
      </c>
      <c r="AT23" s="48" t="s">
        <v>26</v>
      </c>
      <c r="AU23" s="183">
        <v>4305</v>
      </c>
      <c r="AV23" s="129">
        <v>5772</v>
      </c>
      <c r="AW23" s="35">
        <f t="shared" si="17"/>
        <v>0.34076655052264804</v>
      </c>
      <c r="AZ23" s="124" t="s">
        <v>26</v>
      </c>
      <c r="BA23" s="198">
        <v>2796</v>
      </c>
      <c r="BB23" s="25">
        <v>2505</v>
      </c>
      <c r="BC23" s="125">
        <f t="shared" si="18"/>
        <v>-0.10407725321888417</v>
      </c>
      <c r="BF23" s="49" t="s">
        <v>26</v>
      </c>
      <c r="BG23" s="120">
        <v>3216</v>
      </c>
      <c r="BH23" s="208">
        <v>1486</v>
      </c>
      <c r="BI23" s="24">
        <f t="shared" si="19"/>
        <v>-0.53793532338308458</v>
      </c>
    </row>
    <row r="24" spans="1:61" x14ac:dyDescent="0.25">
      <c r="A24" s="124" t="s">
        <v>27</v>
      </c>
      <c r="B24" s="239">
        <v>7632</v>
      </c>
      <c r="C24" s="242">
        <v>5950</v>
      </c>
      <c r="D24" s="245">
        <f t="shared" si="20"/>
        <v>-0.22038784067085959</v>
      </c>
      <c r="F24" s="124" t="s">
        <v>27</v>
      </c>
      <c r="G24" s="260">
        <v>3409</v>
      </c>
      <c r="H24" s="255">
        <v>4186</v>
      </c>
      <c r="I24" s="125">
        <f t="shared" si="12"/>
        <v>0.22792607802874754</v>
      </c>
      <c r="J24"/>
      <c r="K24" s="124" t="s">
        <v>27</v>
      </c>
      <c r="L24" s="260">
        <v>2844</v>
      </c>
      <c r="M24" s="25">
        <v>12167</v>
      </c>
      <c r="N24" s="125">
        <f t="shared" si="6"/>
        <v>3.2781293952180031</v>
      </c>
      <c r="P24" s="49" t="s">
        <v>27</v>
      </c>
      <c r="Q24" s="291">
        <v>13001</v>
      </c>
      <c r="R24" s="208">
        <v>7989</v>
      </c>
      <c r="S24" s="24">
        <f t="shared" si="13"/>
        <v>-0.38550880701484502</v>
      </c>
      <c r="T24" s="4"/>
      <c r="U24" s="49" t="s">
        <v>27</v>
      </c>
      <c r="V24" s="291">
        <v>18605</v>
      </c>
      <c r="W24" s="208">
        <v>12518</v>
      </c>
      <c r="X24" s="24">
        <f t="shared" si="14"/>
        <v>-0.32717011556033326</v>
      </c>
      <c r="Y24"/>
      <c r="Z24" s="49" t="s">
        <v>27</v>
      </c>
      <c r="AA24" s="291">
        <v>19793</v>
      </c>
      <c r="AB24" s="329">
        <v>11149</v>
      </c>
      <c r="AC24" s="24">
        <f t="shared" si="9"/>
        <v>-0.43672005254382862</v>
      </c>
      <c r="AE24" s="48" t="s">
        <v>27</v>
      </c>
      <c r="AF24" s="183">
        <v>16976</v>
      </c>
      <c r="AG24" s="129">
        <v>17820</v>
      </c>
      <c r="AH24" s="35">
        <f t="shared" si="15"/>
        <v>4.971724787935905E-2</v>
      </c>
      <c r="AJ24" s="48" t="s">
        <v>27</v>
      </c>
      <c r="AK24" s="183">
        <v>10327</v>
      </c>
      <c r="AL24" s="129">
        <v>16486</v>
      </c>
      <c r="AM24" s="35">
        <f t="shared" si="11"/>
        <v>0.59639779219521638</v>
      </c>
      <c r="AO24" s="48" t="s">
        <v>27</v>
      </c>
      <c r="AP24" s="183">
        <v>12631</v>
      </c>
      <c r="AQ24" s="129">
        <v>14033</v>
      </c>
      <c r="AR24" s="35">
        <f t="shared" si="16"/>
        <v>0.11099675401789244</v>
      </c>
      <c r="AT24" s="124" t="s">
        <v>27</v>
      </c>
      <c r="AU24" s="198">
        <v>15752</v>
      </c>
      <c r="AV24" s="25">
        <v>11053</v>
      </c>
      <c r="AW24" s="125">
        <f t="shared" si="17"/>
        <v>-0.2983113255459624</v>
      </c>
      <c r="AZ24" s="124" t="s">
        <v>27</v>
      </c>
      <c r="BA24" s="198">
        <v>8482</v>
      </c>
      <c r="BB24" s="25">
        <v>5051</v>
      </c>
      <c r="BC24" s="202">
        <f t="shared" si="18"/>
        <v>-0.40450365479839656</v>
      </c>
      <c r="BF24" s="49" t="s">
        <v>27</v>
      </c>
      <c r="BG24" s="120">
        <v>4495</v>
      </c>
      <c r="BH24" s="208">
        <v>2899</v>
      </c>
      <c r="BI24" s="24">
        <f t="shared" si="19"/>
        <v>-0.35506117908787538</v>
      </c>
    </row>
    <row r="25" spans="1:61" x14ac:dyDescent="0.25">
      <c r="A25" s="124" t="s">
        <v>28</v>
      </c>
      <c r="B25" s="239">
        <v>1683</v>
      </c>
      <c r="C25" s="242">
        <v>903</v>
      </c>
      <c r="D25" s="245">
        <f t="shared" si="20"/>
        <v>-0.46345811051693409</v>
      </c>
      <c r="F25" s="124" t="s">
        <v>28</v>
      </c>
      <c r="G25" s="260">
        <v>1273</v>
      </c>
      <c r="H25" s="255">
        <v>1899</v>
      </c>
      <c r="I25" s="125">
        <f t="shared" si="12"/>
        <v>0.49175176747839755</v>
      </c>
      <c r="J25"/>
      <c r="K25" s="49" t="s">
        <v>28</v>
      </c>
      <c r="L25" s="263">
        <v>1363</v>
      </c>
      <c r="M25" s="208">
        <v>1031</v>
      </c>
      <c r="N25" s="24">
        <f t="shared" si="6"/>
        <v>-0.24358033749082908</v>
      </c>
      <c r="P25" s="124" t="s">
        <v>28</v>
      </c>
      <c r="Q25" s="141">
        <v>2483</v>
      </c>
      <c r="R25" s="25">
        <v>2477</v>
      </c>
      <c r="S25" s="125">
        <f t="shared" si="13"/>
        <v>-2.4164317358034149E-3</v>
      </c>
      <c r="T25" s="4"/>
      <c r="U25" s="49" t="s">
        <v>28</v>
      </c>
      <c r="V25" s="291">
        <v>4773</v>
      </c>
      <c r="W25" s="208">
        <v>2659</v>
      </c>
      <c r="X25" s="24">
        <f t="shared" si="14"/>
        <v>-0.44290802430337317</v>
      </c>
      <c r="Y25"/>
      <c r="Z25" s="124" t="s">
        <v>28</v>
      </c>
      <c r="AA25" s="141">
        <v>5398</v>
      </c>
      <c r="AB25" s="322">
        <v>5782</v>
      </c>
      <c r="AC25" s="125">
        <f t="shared" si="9"/>
        <v>7.1137458317895419E-2</v>
      </c>
      <c r="AE25" s="48" t="s">
        <v>28</v>
      </c>
      <c r="AF25" s="183">
        <v>1983</v>
      </c>
      <c r="AG25" s="129">
        <v>6020</v>
      </c>
      <c r="AH25" s="35">
        <f t="shared" si="15"/>
        <v>2.0358043368633383</v>
      </c>
      <c r="AJ25" s="48" t="s">
        <v>28</v>
      </c>
      <c r="AK25" s="183">
        <v>2560</v>
      </c>
      <c r="AL25" s="129">
        <v>4214</v>
      </c>
      <c r="AM25" s="35">
        <f t="shared" si="11"/>
        <v>0.64609374999999991</v>
      </c>
      <c r="AO25" s="48" t="s">
        <v>28</v>
      </c>
      <c r="AP25" s="183">
        <v>1669</v>
      </c>
      <c r="AQ25" s="129">
        <v>5523</v>
      </c>
      <c r="AR25" s="35">
        <f t="shared" si="16"/>
        <v>2.3091671659676454</v>
      </c>
      <c r="AT25" s="48" t="s">
        <v>28</v>
      </c>
      <c r="AU25" s="183">
        <v>2334</v>
      </c>
      <c r="AV25" s="129">
        <v>4435</v>
      </c>
      <c r="AW25" s="35">
        <f t="shared" si="17"/>
        <v>0.90017137960582683</v>
      </c>
      <c r="AZ25" s="48" t="s">
        <v>28</v>
      </c>
      <c r="BA25" s="183">
        <v>1159</v>
      </c>
      <c r="BB25" s="129">
        <v>2327</v>
      </c>
      <c r="BC25" s="35">
        <f t="shared" si="18"/>
        <v>1.0077653149266608</v>
      </c>
      <c r="BF25" s="48" t="s">
        <v>28</v>
      </c>
      <c r="BG25" s="121">
        <v>700</v>
      </c>
      <c r="BH25" s="129">
        <v>1937</v>
      </c>
      <c r="BI25" s="35">
        <f t="shared" si="19"/>
        <v>1.7671428571428573</v>
      </c>
    </row>
    <row r="26" spans="1:61" x14ac:dyDescent="0.25">
      <c r="A26" s="48" t="s">
        <v>29</v>
      </c>
      <c r="B26" s="248">
        <v>2240</v>
      </c>
      <c r="C26" s="249">
        <v>3104</v>
      </c>
      <c r="D26" s="250">
        <f t="shared" si="20"/>
        <v>0.38571428571428568</v>
      </c>
      <c r="F26" s="49" t="s">
        <v>29</v>
      </c>
      <c r="G26" s="263">
        <v>3335</v>
      </c>
      <c r="H26" s="120">
        <v>3031</v>
      </c>
      <c r="I26" s="24">
        <f t="shared" si="12"/>
        <v>-9.1154422788605749E-2</v>
      </c>
      <c r="J26"/>
      <c r="K26" s="49" t="s">
        <v>29</v>
      </c>
      <c r="L26" s="263">
        <v>5520</v>
      </c>
      <c r="M26" s="208">
        <v>3973</v>
      </c>
      <c r="N26" s="24">
        <f t="shared" si="6"/>
        <v>-0.28025362318840574</v>
      </c>
      <c r="P26" s="49" t="s">
        <v>29</v>
      </c>
      <c r="Q26" s="291">
        <v>6156</v>
      </c>
      <c r="R26" s="208">
        <v>4973</v>
      </c>
      <c r="S26" s="24">
        <f t="shared" si="13"/>
        <v>-0.1921702404158544</v>
      </c>
      <c r="T26" s="4"/>
      <c r="U26" s="124" t="s">
        <v>29</v>
      </c>
      <c r="V26" s="141">
        <v>8856</v>
      </c>
      <c r="W26" s="25">
        <v>10552</v>
      </c>
      <c r="X26" s="125">
        <f t="shared" si="14"/>
        <v>0.1915085817524842</v>
      </c>
      <c r="Y26"/>
      <c r="Z26" s="49" t="s">
        <v>29</v>
      </c>
      <c r="AA26" s="291">
        <v>8631</v>
      </c>
      <c r="AB26" s="329">
        <v>5732</v>
      </c>
      <c r="AC26" s="24">
        <f t="shared" si="9"/>
        <v>-0.33588228478739424</v>
      </c>
      <c r="AE26" s="48" t="s">
        <v>29</v>
      </c>
      <c r="AF26" s="183">
        <v>6109</v>
      </c>
      <c r="AG26" s="129">
        <v>10900</v>
      </c>
      <c r="AH26" s="35">
        <f t="shared" si="15"/>
        <v>0.78425274185627769</v>
      </c>
      <c r="AJ26" s="48" t="s">
        <v>29</v>
      </c>
      <c r="AK26" s="183">
        <v>5605</v>
      </c>
      <c r="AL26" s="129">
        <v>8940</v>
      </c>
      <c r="AM26" s="35">
        <f t="shared" si="11"/>
        <v>0.59500446030330068</v>
      </c>
      <c r="AO26" s="124" t="s">
        <v>29</v>
      </c>
      <c r="AP26" s="198">
        <v>6129</v>
      </c>
      <c r="AQ26" s="25">
        <v>5987</v>
      </c>
      <c r="AR26" s="125">
        <f t="shared" si="16"/>
        <v>-2.3168542992331509E-2</v>
      </c>
      <c r="AT26" s="48" t="s">
        <v>29</v>
      </c>
      <c r="AU26" s="183">
        <v>7192</v>
      </c>
      <c r="AV26" s="129">
        <v>7706</v>
      </c>
      <c r="AW26" s="35">
        <f t="shared" si="17"/>
        <v>7.1468298109010009E-2</v>
      </c>
      <c r="AZ26" s="48" t="s">
        <v>29</v>
      </c>
      <c r="BA26" s="183">
        <v>3386</v>
      </c>
      <c r="BB26" s="129">
        <v>4234</v>
      </c>
      <c r="BC26" s="35">
        <f t="shared" si="18"/>
        <v>0.25044300059066749</v>
      </c>
      <c r="BF26" s="49" t="s">
        <v>29</v>
      </c>
      <c r="BG26" s="120">
        <v>2192</v>
      </c>
      <c r="BH26" s="208">
        <v>2070</v>
      </c>
      <c r="BI26" s="24">
        <f t="shared" si="19"/>
        <v>-5.5656934306569372E-2</v>
      </c>
    </row>
    <row r="27" spans="1:61" x14ac:dyDescent="0.25">
      <c r="A27" s="48" t="s">
        <v>30</v>
      </c>
      <c r="B27" s="248">
        <v>1149</v>
      </c>
      <c r="C27" s="249">
        <v>1606</v>
      </c>
      <c r="D27" s="250">
        <f t="shared" si="20"/>
        <v>0.39773716275021753</v>
      </c>
      <c r="F27" s="124" t="s">
        <v>30</v>
      </c>
      <c r="G27" s="260">
        <v>468</v>
      </c>
      <c r="H27" s="255">
        <v>808</v>
      </c>
      <c r="I27" s="125">
        <f t="shared" si="12"/>
        <v>0.72649572649572658</v>
      </c>
      <c r="J27"/>
      <c r="K27" s="124" t="s">
        <v>30</v>
      </c>
      <c r="L27" s="260">
        <v>1442</v>
      </c>
      <c r="M27" s="25">
        <v>3843</v>
      </c>
      <c r="N27" s="125">
        <f t="shared" si="6"/>
        <v>1.6650485436893203</v>
      </c>
      <c r="P27" s="48" t="s">
        <v>30</v>
      </c>
      <c r="Q27" s="147">
        <v>2169</v>
      </c>
      <c r="R27" s="129">
        <v>2740</v>
      </c>
      <c r="S27" s="35">
        <f t="shared" si="13"/>
        <v>0.26325495620101425</v>
      </c>
      <c r="T27" s="4"/>
      <c r="U27" s="49" t="s">
        <v>30</v>
      </c>
      <c r="V27" s="291">
        <v>4608</v>
      </c>
      <c r="W27" s="208">
        <v>2797</v>
      </c>
      <c r="X27" s="24">
        <f t="shared" si="14"/>
        <v>-0.39301215277777779</v>
      </c>
      <c r="Y27"/>
      <c r="Z27" s="49" t="s">
        <v>30</v>
      </c>
      <c r="AA27" s="291">
        <v>5966</v>
      </c>
      <c r="AB27" s="329">
        <v>2902</v>
      </c>
      <c r="AC27" s="24">
        <f t="shared" si="9"/>
        <v>-0.51357693597049947</v>
      </c>
      <c r="AE27" s="48" t="s">
        <v>30</v>
      </c>
      <c r="AF27" s="183">
        <v>3804</v>
      </c>
      <c r="AG27" s="129">
        <v>4913</v>
      </c>
      <c r="AH27" s="35">
        <f t="shared" si="15"/>
        <v>0.29153522607781279</v>
      </c>
      <c r="AJ27" s="124" t="s">
        <v>30</v>
      </c>
      <c r="AK27" s="198">
        <v>6149</v>
      </c>
      <c r="AL27" s="25">
        <v>5952</v>
      </c>
      <c r="AM27" s="125">
        <f t="shared" si="11"/>
        <v>-3.2037729712148355E-2</v>
      </c>
      <c r="AO27" s="124" t="s">
        <v>30</v>
      </c>
      <c r="AP27" s="198">
        <v>5895</v>
      </c>
      <c r="AQ27" s="25">
        <v>4097</v>
      </c>
      <c r="AR27" s="125">
        <f t="shared" si="16"/>
        <v>-0.30500424088210343</v>
      </c>
      <c r="AT27" s="124" t="s">
        <v>30</v>
      </c>
      <c r="AU27" s="198">
        <v>5033</v>
      </c>
      <c r="AV27" s="25">
        <v>4587</v>
      </c>
      <c r="AW27" s="125">
        <f t="shared" si="17"/>
        <v>-8.8615140075501642E-2</v>
      </c>
      <c r="AZ27" s="48" t="s">
        <v>30</v>
      </c>
      <c r="BA27" s="183">
        <v>984</v>
      </c>
      <c r="BB27" s="129">
        <v>1947</v>
      </c>
      <c r="BC27" s="35">
        <f t="shared" si="18"/>
        <v>0.97865853658536595</v>
      </c>
      <c r="BF27" s="48" t="s">
        <v>30</v>
      </c>
      <c r="BG27" s="121">
        <v>634</v>
      </c>
      <c r="BH27" s="129">
        <v>894</v>
      </c>
      <c r="BI27" s="35">
        <f t="shared" si="19"/>
        <v>0.41009463722397466</v>
      </c>
    </row>
    <row r="28" spans="1:61" x14ac:dyDescent="0.25">
      <c r="A28" s="124" t="s">
        <v>31</v>
      </c>
      <c r="B28" s="239">
        <v>1046</v>
      </c>
      <c r="C28" s="242">
        <v>351</v>
      </c>
      <c r="D28" s="245">
        <f t="shared" si="20"/>
        <v>-0.66443594646271509</v>
      </c>
      <c r="F28" s="49" t="s">
        <v>31</v>
      </c>
      <c r="G28" s="263">
        <v>1344</v>
      </c>
      <c r="H28" s="120">
        <v>0</v>
      </c>
      <c r="I28" s="24">
        <f t="shared" si="12"/>
        <v>-1</v>
      </c>
      <c r="J28"/>
      <c r="K28" s="124" t="s">
        <v>31</v>
      </c>
      <c r="L28" s="260">
        <v>138</v>
      </c>
      <c r="M28" s="25">
        <v>247</v>
      </c>
      <c r="N28" s="125">
        <f t="shared" si="6"/>
        <v>0.78985507246376807</v>
      </c>
      <c r="P28" s="48" t="s">
        <v>31</v>
      </c>
      <c r="Q28" s="147">
        <v>481</v>
      </c>
      <c r="R28" s="129">
        <v>1384</v>
      </c>
      <c r="S28" s="35">
        <f t="shared" si="13"/>
        <v>1.8773388773388775</v>
      </c>
      <c r="T28" s="4"/>
      <c r="U28" s="49" t="s">
        <v>31</v>
      </c>
      <c r="V28" s="291">
        <v>1480</v>
      </c>
      <c r="W28" s="208">
        <v>78</v>
      </c>
      <c r="X28" s="24">
        <f t="shared" si="14"/>
        <v>-0.94729729729729728</v>
      </c>
      <c r="Y28"/>
      <c r="Z28" s="49" t="s">
        <v>31</v>
      </c>
      <c r="AA28" s="291">
        <v>2097</v>
      </c>
      <c r="AB28" s="329">
        <v>205</v>
      </c>
      <c r="AC28" s="24">
        <f t="shared" si="9"/>
        <v>-0.90224129709108247</v>
      </c>
      <c r="AE28" s="48" t="s">
        <v>31</v>
      </c>
      <c r="AF28" s="183">
        <v>1012</v>
      </c>
      <c r="AG28" s="129">
        <v>1583</v>
      </c>
      <c r="AH28" s="35">
        <f t="shared" si="15"/>
        <v>0.56422924901185767</v>
      </c>
      <c r="AJ28" s="124" t="s">
        <v>31</v>
      </c>
      <c r="AK28" s="198">
        <v>1902</v>
      </c>
      <c r="AL28" s="25">
        <v>1393</v>
      </c>
      <c r="AM28" s="125">
        <f t="shared" si="11"/>
        <v>-0.2676130389064143</v>
      </c>
      <c r="AO28" s="124" t="s">
        <v>31</v>
      </c>
      <c r="AP28" s="198">
        <v>730</v>
      </c>
      <c r="AQ28" s="25">
        <v>415</v>
      </c>
      <c r="AR28" s="125">
        <f t="shared" si="16"/>
        <v>-0.43150684931506844</v>
      </c>
      <c r="AT28" s="48" t="s">
        <v>31</v>
      </c>
      <c r="AU28" s="183">
        <v>1099</v>
      </c>
      <c r="AV28" s="129">
        <v>1432</v>
      </c>
      <c r="AW28" s="35">
        <f t="shared" si="17"/>
        <v>0.30300272975432208</v>
      </c>
      <c r="AZ28" s="124" t="s">
        <v>31</v>
      </c>
      <c r="BA28" s="198">
        <v>2050</v>
      </c>
      <c r="BB28" s="25">
        <v>54</v>
      </c>
      <c r="BC28" s="202">
        <f t="shared" si="18"/>
        <v>-0.97365853658536583</v>
      </c>
      <c r="BF28" s="49" t="s">
        <v>31</v>
      </c>
      <c r="BG28" s="120">
        <v>598</v>
      </c>
      <c r="BH28" s="208">
        <v>128</v>
      </c>
      <c r="BI28" s="24">
        <f t="shared" si="19"/>
        <v>-0.78595317725752512</v>
      </c>
    </row>
    <row r="29" spans="1:61" ht="15.75" thickBot="1" x14ac:dyDescent="0.3">
      <c r="A29" s="137" t="s">
        <v>32</v>
      </c>
      <c r="B29" s="240">
        <v>390</v>
      </c>
      <c r="C29" s="243">
        <v>76</v>
      </c>
      <c r="D29" s="247">
        <f t="shared" si="20"/>
        <v>-0.80512820512820515</v>
      </c>
      <c r="F29" s="53" t="s">
        <v>32</v>
      </c>
      <c r="G29" s="264">
        <v>598</v>
      </c>
      <c r="H29" s="122">
        <v>64</v>
      </c>
      <c r="I29" s="54">
        <f t="shared" si="12"/>
        <v>-0.8929765886287625</v>
      </c>
      <c r="J29"/>
      <c r="K29" s="137" t="s">
        <v>32</v>
      </c>
      <c r="L29" s="261">
        <v>208</v>
      </c>
      <c r="M29" s="138">
        <v>0</v>
      </c>
      <c r="N29" s="257">
        <f t="shared" si="6"/>
        <v>-1</v>
      </c>
      <c r="P29" s="51" t="s">
        <v>32</v>
      </c>
      <c r="Q29" s="292">
        <v>491</v>
      </c>
      <c r="R29" s="130">
        <v>1353</v>
      </c>
      <c r="S29" s="293">
        <f t="shared" si="13"/>
        <v>1.7556008146639512</v>
      </c>
      <c r="T29" s="4"/>
      <c r="U29" s="53" t="s">
        <v>32</v>
      </c>
      <c r="V29" s="310">
        <v>593</v>
      </c>
      <c r="W29" s="211">
        <v>36</v>
      </c>
      <c r="X29" s="311">
        <f t="shared" si="14"/>
        <v>-0.93929173693085999</v>
      </c>
      <c r="Y29" s="4"/>
      <c r="Z29" s="53" t="s">
        <v>39</v>
      </c>
      <c r="AA29" s="310">
        <v>448</v>
      </c>
      <c r="AB29" s="330">
        <v>632</v>
      </c>
      <c r="AC29" s="311">
        <f t="shared" si="9"/>
        <v>0.41071428571428581</v>
      </c>
      <c r="AE29" s="137" t="s">
        <v>39</v>
      </c>
      <c r="AF29" s="177">
        <v>962</v>
      </c>
      <c r="AG29" s="138">
        <v>231</v>
      </c>
      <c r="AH29" s="143">
        <f t="shared" si="15"/>
        <v>-0.75987525987525983</v>
      </c>
      <c r="AJ29" s="137" t="s">
        <v>39</v>
      </c>
      <c r="AK29" s="177">
        <v>483</v>
      </c>
      <c r="AL29" s="138">
        <v>272</v>
      </c>
      <c r="AM29" s="143">
        <f t="shared" si="11"/>
        <v>-0.43685300207039335</v>
      </c>
      <c r="AO29" s="137" t="s">
        <v>39</v>
      </c>
      <c r="AP29" s="177">
        <v>1339</v>
      </c>
      <c r="AQ29" s="138">
        <v>326</v>
      </c>
      <c r="AR29" s="143">
        <f t="shared" si="16"/>
        <v>-0.7565347274085138</v>
      </c>
      <c r="AT29" s="137" t="s">
        <v>39</v>
      </c>
      <c r="AU29" s="177">
        <v>174</v>
      </c>
      <c r="AV29" s="138">
        <v>0</v>
      </c>
      <c r="AW29" s="143">
        <f t="shared" si="17"/>
        <v>-1</v>
      </c>
      <c r="AZ29" s="137" t="s">
        <v>39</v>
      </c>
      <c r="BA29" s="177">
        <v>195</v>
      </c>
      <c r="BB29" s="138">
        <v>100</v>
      </c>
      <c r="BC29" s="202">
        <f t="shared" si="18"/>
        <v>-0.48717948717948723</v>
      </c>
      <c r="BF29" s="53" t="s">
        <v>39</v>
      </c>
      <c r="BG29" s="213">
        <v>330</v>
      </c>
      <c r="BH29" s="211">
        <v>139</v>
      </c>
      <c r="BI29" s="24">
        <f t="shared" si="19"/>
        <v>-0.57878787878787885</v>
      </c>
    </row>
    <row r="30" spans="1:61" ht="15.75" thickBot="1" x14ac:dyDescent="0.3">
      <c r="A30" s="39" t="s">
        <v>33</v>
      </c>
      <c r="B30" s="241">
        <f>SUM(B20:B29)</f>
        <v>22280</v>
      </c>
      <c r="C30" s="123">
        <f>SUM(C20:C29)</f>
        <v>20221</v>
      </c>
      <c r="D30" s="246">
        <f t="shared" si="20"/>
        <v>-9.2414721723518833E-2</v>
      </c>
      <c r="F30" s="39" t="s">
        <v>33</v>
      </c>
      <c r="G30" s="118">
        <f>SUM(G20:G29)</f>
        <v>17611</v>
      </c>
      <c r="H30" s="103">
        <f>SUM(H20:H29)</f>
        <v>20254</v>
      </c>
      <c r="I30" s="52">
        <f t="shared" si="12"/>
        <v>0.15007665663505754</v>
      </c>
      <c r="J30"/>
      <c r="K30" s="39" t="s">
        <v>33</v>
      </c>
      <c r="L30" s="104">
        <f>SUM(L20:L29)</f>
        <v>21087</v>
      </c>
      <c r="M30" s="36">
        <f>SUM(M20:M29)</f>
        <v>33637</v>
      </c>
      <c r="N30" s="52">
        <f t="shared" si="6"/>
        <v>0.59515341205482053</v>
      </c>
      <c r="P30" s="39" t="s">
        <v>33</v>
      </c>
      <c r="Q30" s="104">
        <f>SUM(Q20:Q29)</f>
        <v>42606</v>
      </c>
      <c r="R30" s="36">
        <f>SUM(R20:R29)</f>
        <v>39666</v>
      </c>
      <c r="S30" s="52">
        <f t="shared" si="13"/>
        <v>-6.9004365582312377E-2</v>
      </c>
      <c r="T30" s="4"/>
      <c r="U30" s="39" t="s">
        <v>33</v>
      </c>
      <c r="V30" s="104">
        <f>SUM(V20:V29)</f>
        <v>59521</v>
      </c>
      <c r="W30" s="36">
        <f>SUM(W20:W29)</f>
        <v>58519</v>
      </c>
      <c r="X30" s="52">
        <f t="shared" si="14"/>
        <v>-1.6834394583424284E-2</v>
      </c>
      <c r="Y30"/>
      <c r="Z30" s="165" t="s">
        <v>33</v>
      </c>
      <c r="AA30" s="166">
        <f>SUM(AA20:AA29)</f>
        <v>72184</v>
      </c>
      <c r="AB30" s="167">
        <f>SUM(AB20:AB29)</f>
        <v>54695</v>
      </c>
      <c r="AC30" s="168">
        <f t="shared" si="9"/>
        <v>-0.24228360855591269</v>
      </c>
      <c r="AE30" s="39" t="s">
        <v>33</v>
      </c>
      <c r="AF30" s="104">
        <f>SUM(AF20:AF29)</f>
        <v>57416</v>
      </c>
      <c r="AG30" s="36">
        <f>SUM(AG20:AG29)</f>
        <v>77000</v>
      </c>
      <c r="AH30" s="52">
        <f t="shared" si="15"/>
        <v>0.34108959175142828</v>
      </c>
      <c r="AJ30" s="165" t="s">
        <v>33</v>
      </c>
      <c r="AK30" s="166">
        <f>SUM(AK20:AK29)</f>
        <v>50339</v>
      </c>
      <c r="AL30" s="167">
        <f>SUM(AL20:AL29)</f>
        <v>71128</v>
      </c>
      <c r="AM30" s="168">
        <f t="shared" si="11"/>
        <v>0.41297999562963117</v>
      </c>
      <c r="AO30" s="39" t="s">
        <v>33</v>
      </c>
      <c r="AP30" s="104">
        <f>SUM(AP20:AP29)</f>
        <v>48351</v>
      </c>
      <c r="AQ30" s="36">
        <f>SUM(AQ20:AQ29)</f>
        <v>59751</v>
      </c>
      <c r="AR30" s="52">
        <f t="shared" si="16"/>
        <v>0.23577588881305456</v>
      </c>
      <c r="AT30" s="39" t="s">
        <v>33</v>
      </c>
      <c r="AU30" s="104">
        <f>SUM(AU20:AU29)</f>
        <v>54713</v>
      </c>
      <c r="AV30" s="36">
        <f>SUM(AV20:AV29)</f>
        <v>53921</v>
      </c>
      <c r="AW30" s="52">
        <f t="shared" si="17"/>
        <v>-1.4475535978652254E-2</v>
      </c>
      <c r="AZ30" s="39" t="s">
        <v>33</v>
      </c>
      <c r="BA30" s="104">
        <f>SUM(BA20:BA29)</f>
        <v>28472</v>
      </c>
      <c r="BB30" s="36">
        <f>SUM(BB20:BB29)</f>
        <v>26461</v>
      </c>
      <c r="BC30" s="52">
        <f t="shared" si="18"/>
        <v>-7.0630795167181848E-2</v>
      </c>
      <c r="BF30" s="39" t="s">
        <v>33</v>
      </c>
      <c r="BG30" s="104">
        <f>SUM(BG20:BG29)</f>
        <v>17260</v>
      </c>
      <c r="BH30" s="36">
        <f>SUM(BH20:BH29)</f>
        <v>16002</v>
      </c>
      <c r="BI30" s="214">
        <f t="shared" si="19"/>
        <v>-7.2885283893395103E-2</v>
      </c>
    </row>
    <row r="31" spans="1:61" ht="15.75" thickBot="1" x14ac:dyDescent="0.3">
      <c r="A31" s="40"/>
      <c r="B31" s="106"/>
      <c r="C31" s="40"/>
      <c r="D31" s="40"/>
      <c r="F31" s="40"/>
      <c r="G31" s="106"/>
      <c r="H31" s="40"/>
      <c r="I31" s="40"/>
      <c r="J31"/>
      <c r="K31" s="40"/>
      <c r="L31" s="106"/>
      <c r="M31" s="40"/>
      <c r="N31" s="40"/>
      <c r="P31" s="40"/>
      <c r="Q31" s="106"/>
      <c r="R31" s="40"/>
      <c r="S31" s="40"/>
      <c r="T31" s="99"/>
      <c r="U31" s="40"/>
      <c r="V31" s="106"/>
      <c r="W31" s="40"/>
      <c r="X31" s="40"/>
      <c r="Y31"/>
      <c r="Z31" s="40"/>
      <c r="AA31" s="106"/>
      <c r="AB31" s="40"/>
      <c r="AC31" s="40"/>
      <c r="AE31" s="40"/>
      <c r="AF31" s="178"/>
      <c r="AG31" s="179"/>
      <c r="AH31" s="40"/>
      <c r="AJ31" s="192"/>
      <c r="AK31" s="193"/>
      <c r="AL31" s="194"/>
      <c r="AM31" s="192"/>
      <c r="AO31" s="192"/>
      <c r="AP31" s="193"/>
      <c r="AQ31" s="194"/>
      <c r="AR31" s="192"/>
      <c r="AT31" s="192"/>
      <c r="AU31" s="193"/>
      <c r="AV31" s="194"/>
      <c r="AW31" s="192"/>
      <c r="AZ31" s="192"/>
      <c r="BA31" s="193"/>
      <c r="BB31" s="194"/>
      <c r="BC31" s="192"/>
      <c r="BF31" s="192"/>
      <c r="BG31" s="193"/>
      <c r="BH31" s="194"/>
      <c r="BI31" s="192"/>
    </row>
    <row r="32" spans="1:61" ht="15.75" thickBot="1" x14ac:dyDescent="0.3">
      <c r="A32" s="41" t="s">
        <v>35</v>
      </c>
      <c r="B32" s="103">
        <f>B18+B30</f>
        <v>46209</v>
      </c>
      <c r="C32" s="123">
        <f>C18+C30</f>
        <v>48345</v>
      </c>
      <c r="D32" s="246">
        <f t="shared" si="20"/>
        <v>4.6224761410115001E-2</v>
      </c>
      <c r="F32" s="41" t="s">
        <v>35</v>
      </c>
      <c r="G32" s="123">
        <f>G18+G30</f>
        <v>33752</v>
      </c>
      <c r="H32" s="103">
        <f>H18+H30</f>
        <v>43908</v>
      </c>
      <c r="I32" s="52">
        <f>(H32/G32)-1</f>
        <v>0.30090068736667464</v>
      </c>
      <c r="J32"/>
      <c r="K32" s="41" t="s">
        <v>35</v>
      </c>
      <c r="L32" s="103">
        <f>L18+L30</f>
        <v>52672</v>
      </c>
      <c r="M32" s="36">
        <f>M18+M30</f>
        <v>67960</v>
      </c>
      <c r="N32" s="52">
        <f t="shared" si="6"/>
        <v>0.29024908869987853</v>
      </c>
      <c r="P32" s="41" t="s">
        <v>35</v>
      </c>
      <c r="Q32" s="103">
        <f>Q18+Q30</f>
        <v>90377</v>
      </c>
      <c r="R32" s="36">
        <f>R18+R30</f>
        <v>90840</v>
      </c>
      <c r="S32" s="52">
        <f t="shared" si="13"/>
        <v>5.1229848302112302E-3</v>
      </c>
      <c r="T32" s="99"/>
      <c r="U32" s="41" t="s">
        <v>35</v>
      </c>
      <c r="V32" s="103">
        <f>V18+V30</f>
        <v>129470</v>
      </c>
      <c r="W32" s="36">
        <f>W18+W30</f>
        <v>134915</v>
      </c>
      <c r="X32" s="52">
        <f>(W32/V32)-1</f>
        <v>4.20560747663552E-2</v>
      </c>
      <c r="Y32"/>
      <c r="Z32" s="41" t="s">
        <v>35</v>
      </c>
      <c r="AA32" s="103">
        <f>AA18+AA30</f>
        <v>136103</v>
      </c>
      <c r="AB32" s="36">
        <f>AB18+AB30</f>
        <v>123532</v>
      </c>
      <c r="AC32" s="168">
        <f t="shared" si="9"/>
        <v>-9.2363871479688164E-2</v>
      </c>
      <c r="AE32" s="41" t="s">
        <v>35</v>
      </c>
      <c r="AF32" s="103">
        <f>AF18+AF30</f>
        <v>127294</v>
      </c>
      <c r="AG32" s="36">
        <f>AG18+AG30</f>
        <v>146928</v>
      </c>
      <c r="AH32" s="52">
        <f>(AG32/AF32)-1</f>
        <v>0.15424136251512244</v>
      </c>
      <c r="AJ32" s="195" t="s">
        <v>35</v>
      </c>
      <c r="AK32" s="196">
        <f>AK18+AK30</f>
        <v>111043</v>
      </c>
      <c r="AL32" s="167">
        <f>AL18+AL30</f>
        <v>146982</v>
      </c>
      <c r="AM32" s="168">
        <f t="shared" si="11"/>
        <v>0.32364939708041018</v>
      </c>
      <c r="AO32" s="195" t="s">
        <v>35</v>
      </c>
      <c r="AP32" s="196">
        <f>AP18+AP30</f>
        <v>104047</v>
      </c>
      <c r="AQ32" s="167">
        <f>AQ18+AQ30</f>
        <v>131958</v>
      </c>
      <c r="AR32" s="168">
        <f>(AQ32/AP32)-1</f>
        <v>0.26825376993089667</v>
      </c>
      <c r="AT32" s="195" t="s">
        <v>35</v>
      </c>
      <c r="AU32" s="196">
        <f>AU18+AU30</f>
        <v>109402</v>
      </c>
      <c r="AV32" s="167">
        <f>AV18+AV30</f>
        <v>122858</v>
      </c>
      <c r="AW32" s="168">
        <f>(AV32/AU32)-1</f>
        <v>0.12299592329207876</v>
      </c>
      <c r="AZ32" s="195" t="s">
        <v>35</v>
      </c>
      <c r="BA32" s="196">
        <f>BA18+BA30</f>
        <v>58072</v>
      </c>
      <c r="BB32" s="167">
        <f>BB18+BB30</f>
        <v>54027</v>
      </c>
      <c r="BC32" s="168">
        <f>(BB32/BA32)-1</f>
        <v>-6.9654911144785836E-2</v>
      </c>
      <c r="BF32" s="195" t="s">
        <v>35</v>
      </c>
      <c r="BG32" s="196">
        <f>BG18+BG30</f>
        <v>34538</v>
      </c>
      <c r="BH32" s="167">
        <f>BH18+BH30</f>
        <v>33167</v>
      </c>
      <c r="BI32" s="215">
        <f>(BH32/BG32)-1</f>
        <v>-3.9695407956453765E-2</v>
      </c>
    </row>
    <row r="33" spans="1:59" x14ac:dyDescent="0.25">
      <c r="L33" s="99"/>
      <c r="M33" s="99"/>
      <c r="N33" s="99"/>
      <c r="O33" s="99"/>
      <c r="Y33"/>
      <c r="Z33" s="99"/>
      <c r="AA33" s="99"/>
      <c r="AB33" s="99"/>
      <c r="AC33" s="99"/>
    </row>
    <row r="34" spans="1:59" x14ac:dyDescent="0.25">
      <c r="A34" s="17"/>
      <c r="B34" s="102"/>
      <c r="C34" t="s">
        <v>165</v>
      </c>
      <c r="F34" s="102"/>
      <c r="G34" s="102"/>
      <c r="H34" s="99" t="s">
        <v>165</v>
      </c>
      <c r="L34" s="102"/>
      <c r="M34" s="102"/>
      <c r="N34" s="99"/>
      <c r="O34" s="99"/>
      <c r="Q34" s="102"/>
      <c r="R34" s="99" t="s">
        <v>165</v>
      </c>
      <c r="V34" s="102"/>
      <c r="W34" s="99" t="s">
        <v>165</v>
      </c>
      <c r="Y34"/>
      <c r="Z34" s="99"/>
      <c r="AA34" s="102"/>
      <c r="AB34" s="99" t="s">
        <v>165</v>
      </c>
      <c r="AC34" s="99"/>
      <c r="AF34" s="102"/>
      <c r="AG34" s="99" t="s">
        <v>53</v>
      </c>
      <c r="AK34" s="102"/>
      <c r="AP34" s="102"/>
      <c r="AU34" s="102"/>
      <c r="BA34" s="102"/>
      <c r="BG34" s="102"/>
    </row>
  </sheetData>
  <mergeCells count="12">
    <mergeCell ref="F3:I3"/>
    <mergeCell ref="AP6:AR6"/>
    <mergeCell ref="AK6:AM6"/>
    <mergeCell ref="A3:D3"/>
    <mergeCell ref="AF6:AH6"/>
    <mergeCell ref="AA6:AC6"/>
    <mergeCell ref="BG6:BI6"/>
    <mergeCell ref="B6:D6"/>
    <mergeCell ref="L6:N6"/>
    <mergeCell ref="Q6:R6"/>
    <mergeCell ref="V6:X6"/>
    <mergeCell ref="AU6:AW6"/>
  </mergeCells>
  <printOptions horizontalCentered="1"/>
  <pageMargins left="0.11811023622047245" right="0.11811023622047245" top="0.55118110236220474" bottom="0.15748031496062992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4</vt:i4>
      </vt:variant>
    </vt:vector>
  </HeadingPairs>
  <TitlesOfParts>
    <vt:vector size="29" baseType="lpstr">
      <vt:lpstr>nouveau-mois</vt:lpstr>
      <vt:lpstr>1è</vt:lpstr>
      <vt:lpstr>2è</vt:lpstr>
      <vt:lpstr>3è</vt:lpstr>
      <vt:lpstr>4è</vt:lpstr>
      <vt:lpstr>5è</vt:lpstr>
      <vt:lpstr>6è</vt:lpstr>
      <vt:lpstr>7è</vt:lpstr>
      <vt:lpstr>8è</vt:lpstr>
      <vt:lpstr>9è</vt:lpstr>
      <vt:lpstr>10è</vt:lpstr>
      <vt:lpstr>11è</vt:lpstr>
      <vt:lpstr>12è</vt:lpstr>
      <vt:lpstr>13è</vt:lpstr>
      <vt:lpstr>14è</vt:lpstr>
      <vt:lpstr>15è</vt:lpstr>
      <vt:lpstr>16è</vt:lpstr>
      <vt:lpstr>17è</vt:lpstr>
      <vt:lpstr>18è</vt:lpstr>
      <vt:lpstr>19è</vt:lpstr>
      <vt:lpstr>20è</vt:lpstr>
      <vt:lpstr>Fred</vt:lpstr>
      <vt:lpstr>Graz</vt:lpstr>
      <vt:lpstr>Suivi</vt:lpstr>
      <vt:lpstr>Feuil10</vt:lpstr>
      <vt:lpstr>'1è'!Impression_des_titres</vt:lpstr>
      <vt:lpstr>'1è'!Zone_d_impression</vt:lpstr>
      <vt:lpstr>Fred!Zone_d_impression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PC-Produits</dc:creator>
  <cp:lastModifiedBy>JP</cp:lastModifiedBy>
  <cp:lastPrinted>2015-06-30T10:41:32Z</cp:lastPrinted>
  <dcterms:created xsi:type="dcterms:W3CDTF">2013-04-05T14:08:57Z</dcterms:created>
  <dcterms:modified xsi:type="dcterms:W3CDTF">2015-07-09T15:31:50Z</dcterms:modified>
</cp:coreProperties>
</file>