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135"/>
  </bookViews>
  <sheets>
    <sheet name="Feuil1" sheetId="1" r:id="rId1"/>
  </sheets>
  <definedNames>
    <definedName name="cfdtpc">Feuil1!$I$13:$I$16</definedName>
    <definedName name="cfecgtpc">Feuil1!$I$40:$I$43</definedName>
    <definedName name="cgtcpc">Feuil1!$I$49:$I$52</definedName>
    <definedName name="cgtpc">Feuil1!$I$22:$I$25</definedName>
    <definedName name="Eligiblecfdt">IF(Feuil1!$F1&lt;&gt;"",IF(OR(COUNTIF(cfdtpc,"&lt;10")=COUNTA(OFFSET(cfdtpc,0,-6,4,1)),COUNTIF(cfdtpc,"&gt;10")=COUNTA(OFFSET(cfdtpc,0,-6,4,1)),AND(Feuil1!$I1&lt;10,Feuil1!$I1&lt;&gt;"",COUNTIF(cfdtpc,"&gt;10")&lt;&gt;SUM(Feuil1!XFA6,Feuil1!XFA15,Feuil1!XFA24,Feuil1!XFA33,Feuil1!XFA42))),10,"Non Eligible"),"")</definedName>
    <definedName name="fopc">Feuil1!$I$31:$I$34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8" i="1" l="1" a="1"/>
  <c r="M128" i="1"/>
  <c r="M106" i="1" a="1"/>
  <c r="M106" i="1" s="1"/>
  <c r="M84" i="1" a="1"/>
  <c r="M84" i="1"/>
  <c r="A137" i="1"/>
  <c r="A136" i="1"/>
  <c r="A135" i="1"/>
  <c r="A134" i="1"/>
  <c r="A133" i="1"/>
  <c r="A126" i="1"/>
  <c r="A125" i="1"/>
  <c r="A124" i="1"/>
  <c r="A123" i="1"/>
  <c r="A122" i="1"/>
  <c r="A115" i="1"/>
  <c r="A114" i="1"/>
  <c r="A113" i="1"/>
  <c r="A112" i="1"/>
  <c r="A111" i="1"/>
  <c r="A104" i="1"/>
  <c r="A103" i="1"/>
  <c r="A102" i="1"/>
  <c r="A101" i="1"/>
  <c r="A100" i="1"/>
  <c r="A93" i="1"/>
  <c r="A92" i="1"/>
  <c r="A91" i="1"/>
  <c r="A90" i="1"/>
  <c r="A89" i="1"/>
  <c r="A82" i="1"/>
  <c r="A80" i="1"/>
  <c r="A79" i="1"/>
  <c r="F68" i="1"/>
  <c r="N68" i="1" s="1"/>
  <c r="F69" i="1"/>
  <c r="F67" i="1"/>
  <c r="F66" i="1"/>
  <c r="M66" i="1"/>
  <c r="N66" i="1"/>
  <c r="O66" i="1"/>
  <c r="P66" i="1"/>
  <c r="M67" i="1"/>
  <c r="N67" i="1"/>
  <c r="O67" i="1"/>
  <c r="P67" i="1"/>
  <c r="M68" i="1"/>
  <c r="O68" i="1"/>
  <c r="M69" i="1"/>
  <c r="N69" i="1"/>
  <c r="O69" i="1"/>
  <c r="P69" i="1"/>
  <c r="A66" i="1"/>
  <c r="A67" i="1"/>
  <c r="A69" i="1"/>
  <c r="A53" i="1"/>
  <c r="A50" i="1"/>
  <c r="A51" i="1"/>
  <c r="A52" i="1"/>
  <c r="A49" i="1"/>
  <c r="A35" i="1"/>
  <c r="A32" i="1"/>
  <c r="A33" i="1"/>
  <c r="A34" i="1"/>
  <c r="A31" i="1"/>
  <c r="A26" i="1"/>
  <c r="A23" i="1"/>
  <c r="A24" i="1"/>
  <c r="A25" i="1"/>
  <c r="A22" i="1"/>
  <c r="P68" i="1" l="1"/>
  <c r="P65" i="1"/>
  <c r="O65" i="1"/>
  <c r="N65" i="1"/>
  <c r="M65" i="1"/>
  <c r="K52" i="1"/>
  <c r="K51" i="1"/>
  <c r="K50" i="1"/>
  <c r="K49" i="1"/>
  <c r="K43" i="1"/>
  <c r="K42" i="1"/>
  <c r="K41" i="1"/>
  <c r="K40" i="1"/>
  <c r="K34" i="1"/>
  <c r="K25" i="1"/>
  <c r="K24" i="1"/>
  <c r="K16" i="1"/>
  <c r="I50" i="1" l="1"/>
  <c r="J50" i="1" s="1"/>
  <c r="I51" i="1"/>
  <c r="J51" i="1" s="1"/>
  <c r="I52" i="1"/>
  <c r="J52" i="1" s="1"/>
  <c r="I49" i="1"/>
  <c r="J49" i="1" s="1"/>
  <c r="I41" i="1"/>
  <c r="J41" i="1" s="1"/>
  <c r="I42" i="1"/>
  <c r="J42" i="1" s="1"/>
  <c r="I43" i="1"/>
  <c r="J43" i="1" s="1"/>
  <c r="I40" i="1"/>
  <c r="J40" i="1" s="1"/>
  <c r="I34" i="1"/>
  <c r="J34" i="1" s="1"/>
  <c r="I24" i="1"/>
  <c r="J24" i="1" s="1"/>
  <c r="I25" i="1"/>
  <c r="J25" i="1" s="1"/>
  <c r="I16" i="1"/>
  <c r="C137" i="1"/>
  <c r="C136" i="1"/>
  <c r="C126" i="1" l="1"/>
  <c r="C125" i="1"/>
  <c r="C115" i="1"/>
  <c r="C114" i="1"/>
  <c r="C104" i="1"/>
  <c r="C103" i="1"/>
  <c r="C93" i="1"/>
  <c r="C92" i="1"/>
  <c r="C82" i="1"/>
  <c r="C81" i="1"/>
  <c r="A81" i="1"/>
  <c r="A78" i="1"/>
  <c r="A68" i="1"/>
  <c r="A65" i="1"/>
  <c r="F35" i="1"/>
  <c r="C54" i="1"/>
  <c r="C55" i="1"/>
  <c r="C56" i="1"/>
  <c r="C53" i="1"/>
  <c r="A44" i="1"/>
  <c r="A41" i="1"/>
  <c r="A42" i="1"/>
  <c r="A43" i="1"/>
  <c r="A40" i="1"/>
  <c r="C45" i="1"/>
  <c r="C46" i="1"/>
  <c r="C47" i="1"/>
  <c r="C44" i="1"/>
  <c r="C36" i="1"/>
  <c r="C37" i="1"/>
  <c r="C38" i="1"/>
  <c r="C35" i="1"/>
  <c r="F26" i="1"/>
  <c r="C27" i="1"/>
  <c r="C28" i="1"/>
  <c r="C29" i="1"/>
  <c r="C26" i="1"/>
  <c r="J16" i="1"/>
  <c r="F17" i="1"/>
  <c r="A17" i="1"/>
  <c r="A14" i="1"/>
  <c r="A15" i="1"/>
  <c r="A16" i="1"/>
  <c r="A13" i="1"/>
  <c r="F58" i="1" l="1"/>
  <c r="I15" i="1"/>
  <c r="I13" i="1"/>
  <c r="I14" i="1"/>
  <c r="J14" i="1" s="1"/>
  <c r="F37" i="1"/>
  <c r="C91" i="1" s="1"/>
  <c r="I32" i="1"/>
  <c r="J32" i="1" s="1"/>
  <c r="I33" i="1"/>
  <c r="J33" i="1" s="1"/>
  <c r="I31" i="1"/>
  <c r="F28" i="1"/>
  <c r="C101" i="1" s="1"/>
  <c r="I22" i="1"/>
  <c r="I23" i="1"/>
  <c r="J23" i="1" s="1"/>
  <c r="F19" i="1"/>
  <c r="C133" i="1" s="1"/>
  <c r="C90" i="1" l="1"/>
  <c r="C79" i="1"/>
  <c r="C124" i="1"/>
  <c r="C80" i="1"/>
  <c r="C123" i="1"/>
  <c r="K22" i="1"/>
  <c r="K23" i="1"/>
  <c r="J22" i="1"/>
  <c r="K31" i="1"/>
  <c r="K32" i="1"/>
  <c r="J31" i="1"/>
  <c r="C112" i="1"/>
  <c r="C134" i="1"/>
  <c r="C102" i="1"/>
  <c r="C135" i="1"/>
  <c r="C113" i="1"/>
  <c r="J13" i="1"/>
  <c r="K13" i="1"/>
  <c r="K14" i="1"/>
  <c r="C122" i="1"/>
  <c r="C89" i="1"/>
  <c r="C111" i="1"/>
  <c r="C100" i="1"/>
  <c r="J15" i="1"/>
  <c r="C78" i="1"/>
  <c r="L4" i="1"/>
  <c r="I6" i="1" l="1"/>
  <c r="F10" i="1"/>
  <c r="F60" i="1" s="1"/>
  <c r="D69" i="1" l="1"/>
  <c r="D68" i="1"/>
  <c r="D66" i="1"/>
  <c r="D67" i="1"/>
  <c r="D65" i="1"/>
  <c r="F65" i="1" s="1"/>
  <c r="I7" i="1"/>
  <c r="D89" i="1" l="1"/>
  <c r="D80" i="1"/>
  <c r="H80" i="1" s="1"/>
  <c r="D91" i="1"/>
  <c r="D79" i="1"/>
  <c r="H79" i="1" s="1"/>
  <c r="D90" i="1"/>
  <c r="D81" i="1"/>
  <c r="H81" i="1" s="1"/>
  <c r="D92" i="1"/>
  <c r="D82" i="1"/>
  <c r="H82" i="1" s="1"/>
  <c r="D93" i="1"/>
  <c r="D78" i="1"/>
  <c r="H78" i="1" s="1"/>
  <c r="I71" i="1"/>
  <c r="F91" i="1" l="1"/>
  <c r="H91" i="1" s="1"/>
  <c r="F92" i="1"/>
  <c r="H92" i="1" s="1"/>
  <c r="F93" i="1"/>
  <c r="F90" i="1"/>
  <c r="H84" i="1"/>
  <c r="F89" i="1"/>
  <c r="H93" i="1" l="1"/>
  <c r="D104" i="1" s="1"/>
  <c r="H104" i="1" s="1"/>
  <c r="H89" i="1"/>
  <c r="D111" i="1" s="1"/>
  <c r="H90" i="1"/>
  <c r="D112" i="1" s="1"/>
  <c r="D113" i="1"/>
  <c r="D102" i="1"/>
  <c r="H102" i="1" s="1"/>
  <c r="D103" i="1"/>
  <c r="H103" i="1" s="1"/>
  <c r="D114" i="1"/>
  <c r="D100" i="1"/>
  <c r="H100" i="1" s="1"/>
  <c r="D101" i="1" l="1"/>
  <c r="H101" i="1" s="1"/>
  <c r="F113" i="1" s="1"/>
  <c r="H113" i="1" s="1"/>
  <c r="D124" i="1" s="1"/>
  <c r="I95" i="1"/>
  <c r="D115" i="1"/>
  <c r="F112" i="1"/>
  <c r="F111" i="1" l="1"/>
  <c r="H111" i="1" s="1"/>
  <c r="F114" i="1"/>
  <c r="F115" i="1"/>
  <c r="H115" i="1" s="1"/>
  <c r="D126" i="1" s="1"/>
  <c r="H106" i="1"/>
  <c r="H112" i="1"/>
  <c r="D123" i="1" s="1"/>
  <c r="H114" i="1"/>
  <c r="D125" i="1" s="1"/>
  <c r="H124" i="1"/>
  <c r="D135" i="1"/>
  <c r="D122" i="1"/>
  <c r="H122" i="1" l="1"/>
  <c r="D133" i="1"/>
  <c r="H126" i="1"/>
  <c r="D137" i="1"/>
  <c r="I117" i="1"/>
  <c r="H125" i="1"/>
  <c r="D136" i="1"/>
  <c r="H123" i="1"/>
  <c r="D134" i="1"/>
  <c r="F134" i="1" l="1"/>
  <c r="F29" i="1" s="1"/>
  <c r="F136" i="1"/>
  <c r="F47" i="1" s="1"/>
  <c r="F137" i="1"/>
  <c r="F56" i="1" s="1"/>
  <c r="H136" i="1"/>
  <c r="F135" i="1"/>
  <c r="H128" i="1"/>
  <c r="F133" i="1"/>
  <c r="F20" i="1" s="1"/>
  <c r="H137" i="1" l="1"/>
  <c r="H134" i="1"/>
  <c r="F38" i="1"/>
  <c r="K33" i="1" s="1"/>
  <c r="H135" i="1"/>
  <c r="H133" i="1"/>
  <c r="I139" i="1" l="1"/>
  <c r="K15" i="1"/>
</calcChain>
</file>

<file path=xl/sharedStrings.xml><?xml version="1.0" encoding="utf-8"?>
<sst xmlns="http://schemas.openxmlformats.org/spreadsheetml/2006/main" count="100" uniqueCount="76">
  <si>
    <t xml:space="preserve">1er collège </t>
  </si>
  <si>
    <t xml:space="preserve">Composition précise du collège </t>
  </si>
  <si>
    <t xml:space="preserve">Dénomination du collège </t>
  </si>
  <si>
    <t xml:space="preserve">Nombre de sièges titulaires à pourvoir </t>
  </si>
  <si>
    <t xml:space="preserve">Nombre d'électeurs au scrutin </t>
  </si>
  <si>
    <t xml:space="preserve">Votes valablement exprimés </t>
  </si>
  <si>
    <t xml:space="preserve">Votants </t>
  </si>
  <si>
    <t>Votes nuls</t>
  </si>
  <si>
    <t xml:space="preserve">Contrôle de quorum </t>
  </si>
  <si>
    <t xml:space="preserve">Nom du syndicat </t>
  </si>
  <si>
    <t xml:space="preserve">Sexe </t>
  </si>
  <si>
    <t xml:space="preserve">Ratures </t>
  </si>
  <si>
    <t>Soit en %</t>
  </si>
  <si>
    <t xml:space="preserve">CFDT </t>
  </si>
  <si>
    <t xml:space="preserve">Syndicats en présence </t>
  </si>
  <si>
    <t xml:space="preserve">FO </t>
  </si>
  <si>
    <t>CFE-CGT</t>
  </si>
  <si>
    <t>(…)</t>
  </si>
  <si>
    <t xml:space="preserve">Ouvriers, Employés </t>
  </si>
  <si>
    <t>NOM/Prénom des candidats</t>
  </si>
  <si>
    <t>ROGER Jérémy</t>
  </si>
  <si>
    <t xml:space="preserve">GUERLET Sébastien </t>
  </si>
  <si>
    <t>VERSTRAETER Mathieu</t>
  </si>
  <si>
    <t xml:space="preserve">Nombre de voix obtenues </t>
  </si>
  <si>
    <t xml:space="preserve">Nombre de voix obtenues par candidat </t>
  </si>
  <si>
    <t xml:space="preserve">Nombre de candidats </t>
  </si>
  <si>
    <t xml:space="preserve">H </t>
  </si>
  <si>
    <t xml:space="preserve">Moyenne des voix de la liste </t>
  </si>
  <si>
    <t xml:space="preserve">Nombre de sièges attribués </t>
  </si>
  <si>
    <t>LONGO Antonio</t>
  </si>
  <si>
    <t>CHANARD Jean Christophe</t>
  </si>
  <si>
    <t xml:space="preserve">YEKHLEF Mohamed </t>
  </si>
  <si>
    <t xml:space="preserve">NILI Mohammed </t>
  </si>
  <si>
    <t xml:space="preserve">FOURNIER John </t>
  </si>
  <si>
    <t>H</t>
  </si>
  <si>
    <t xml:space="preserve">Total des suffrages exprimés </t>
  </si>
  <si>
    <t xml:space="preserve">Quotient électoral </t>
  </si>
  <si>
    <t xml:space="preserve">Attribution des sièges à la représentation proportionnelle </t>
  </si>
  <si>
    <t xml:space="preserve">Application du quotient électoral à la moyenne des voix obtenue par chaque syndicat </t>
  </si>
  <si>
    <t xml:space="preserve">Attribution des sièges </t>
  </si>
  <si>
    <t xml:space="preserve">Candidat à nommer </t>
  </si>
  <si>
    <t xml:space="preserve">Nombre de sièges restant à attribuer à la plus forte moyenne </t>
  </si>
  <si>
    <t xml:space="preserve">Attribution des sièges restant à la plus forte moyenne </t>
  </si>
  <si>
    <t xml:space="preserve">Candidats à nommer </t>
  </si>
  <si>
    <t xml:space="preserve">1er siège restant </t>
  </si>
  <si>
    <t xml:space="preserve">Sièges déjà attribués </t>
  </si>
  <si>
    <t xml:space="preserve">Sièges à attribuer </t>
  </si>
  <si>
    <t xml:space="preserve">Plus fort reste </t>
  </si>
  <si>
    <r>
      <rPr>
        <b/>
        <u/>
        <sz val="11"/>
        <color theme="0"/>
        <rFont val="Calibri"/>
        <family val="2"/>
        <scheme val="minor"/>
      </rPr>
      <t>Voix</t>
    </r>
    <r>
      <rPr>
        <b/>
        <sz val="11"/>
        <color theme="0"/>
        <rFont val="Calibri"/>
        <family val="2"/>
        <scheme val="minor"/>
      </rPr>
      <t xml:space="preserve"> </t>
    </r>
    <r>
      <rPr>
        <b/>
        <i/>
        <sz val="10"/>
        <color theme="0"/>
        <rFont val="Calibri"/>
        <family val="2"/>
        <scheme val="minor"/>
      </rPr>
      <t>(moyenne)</t>
    </r>
  </si>
  <si>
    <t xml:space="preserve">La liste qui obtient la plus forte moyenne est la liste </t>
  </si>
  <si>
    <r>
      <t>Voix</t>
    </r>
    <r>
      <rPr>
        <b/>
        <i/>
        <sz val="10"/>
        <color theme="0"/>
        <rFont val="Calibri"/>
        <family val="2"/>
        <scheme val="minor"/>
      </rPr>
      <t xml:space="preserve"> (moyenne)</t>
    </r>
  </si>
  <si>
    <t xml:space="preserve">proportionnelle </t>
  </si>
  <si>
    <t>1er sièges attribué</t>
  </si>
  <si>
    <t>proportionnelle + PFR1</t>
  </si>
  <si>
    <t>PFR1</t>
  </si>
  <si>
    <t xml:space="preserve">Nouvelle répartition des sièges après plus fort reste (PFR) 1 </t>
  </si>
  <si>
    <t>Sièges attribués</t>
  </si>
  <si>
    <t xml:space="preserve">Nombre de sièges restant à attribuer </t>
  </si>
  <si>
    <t xml:space="preserve">2nd siège restant </t>
  </si>
  <si>
    <r>
      <t>Voix</t>
    </r>
    <r>
      <rPr>
        <sz val="11"/>
        <color theme="0"/>
        <rFont val="Calibri"/>
        <family val="2"/>
        <scheme val="minor"/>
      </rPr>
      <t xml:space="preserve"> </t>
    </r>
    <r>
      <rPr>
        <i/>
        <sz val="10"/>
        <color theme="0"/>
        <rFont val="Calibri"/>
        <family val="2"/>
        <scheme val="minor"/>
      </rPr>
      <t>(moyenne)</t>
    </r>
  </si>
  <si>
    <t>Nouvelle répartition des sièges après plus fort reste (PFR) 2</t>
  </si>
  <si>
    <r>
      <t>Voix</t>
    </r>
    <r>
      <rPr>
        <i/>
        <sz val="10"/>
        <color theme="0"/>
        <rFont val="Calibri"/>
        <family val="2"/>
        <scheme val="minor"/>
      </rPr>
      <t xml:space="preserve"> (moyenne)</t>
    </r>
  </si>
  <si>
    <t xml:space="preserve">Sièges attribués </t>
  </si>
  <si>
    <t>PFR2</t>
  </si>
  <si>
    <t>proportionnelle + PFRs</t>
  </si>
  <si>
    <t xml:space="preserve">3ème siège restant </t>
  </si>
  <si>
    <t xml:space="preserve">Nouvelle répartition des sièges après plus fort reste (PFR) 3 </t>
  </si>
  <si>
    <r>
      <t>Voix</t>
    </r>
    <r>
      <rPr>
        <i/>
        <sz val="11"/>
        <color theme="0"/>
        <rFont val="Calibri"/>
        <family val="2"/>
        <scheme val="minor"/>
      </rPr>
      <t xml:space="preserve"> </t>
    </r>
    <r>
      <rPr>
        <i/>
        <sz val="10"/>
        <color theme="0"/>
        <rFont val="Calibri"/>
        <family val="2"/>
        <scheme val="minor"/>
      </rPr>
      <t>(moyenne)</t>
    </r>
  </si>
  <si>
    <t xml:space="preserve">2nd siège à attribuer </t>
  </si>
  <si>
    <t>3ème siège à attribuer</t>
  </si>
  <si>
    <t>proprotionnelle + PFR1 et PFR2</t>
  </si>
  <si>
    <t>PFR3</t>
  </si>
  <si>
    <t>Nombre de sièges restant à attribuer</t>
  </si>
  <si>
    <t xml:space="preserve">Eligibilité </t>
  </si>
  <si>
    <t xml:space="preserve">CGT </t>
  </si>
  <si>
    <t>CFTC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</si>
</sst>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0" fillId="4" borderId="29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16" xfId="0" applyFill="1" applyBorder="1" applyAlignment="1">
      <alignment vertical="center"/>
    </xf>
    <xf numFmtId="0" fontId="0" fillId="4" borderId="16" xfId="0" applyFill="1" applyBorder="1"/>
    <xf numFmtId="0" fontId="0" fillId="2" borderId="0" xfId="0" applyFill="1" applyAlignment="1">
      <alignment horizontal="right"/>
    </xf>
    <xf numFmtId="0" fontId="4" fillId="8" borderId="1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" fillId="6" borderId="45" xfId="0" applyFont="1" applyFill="1" applyBorder="1" applyAlignment="1">
      <alignment horizontal="center"/>
    </xf>
    <xf numFmtId="0" fontId="1" fillId="6" borderId="46" xfId="0" applyFont="1" applyFill="1" applyBorder="1" applyAlignment="1">
      <alignment horizontal="center"/>
    </xf>
    <xf numFmtId="0" fontId="12" fillId="2" borderId="0" xfId="0" applyFont="1" applyFill="1" applyBorder="1" applyAlignment="1">
      <alignment vertical="center"/>
    </xf>
    <xf numFmtId="0" fontId="0" fillId="4" borderId="16" xfId="0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8" fillId="2" borderId="0" xfId="0" applyFont="1" applyFill="1"/>
    <xf numFmtId="0" fontId="1" fillId="6" borderId="23" xfId="0" applyFont="1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0" fillId="4" borderId="34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4" borderId="44" xfId="0" applyFill="1" applyBorder="1"/>
    <xf numFmtId="0" fontId="0" fillId="4" borderId="54" xfId="0" applyFill="1" applyBorder="1" applyAlignment="1">
      <alignment horizontal="center" vertical="center"/>
    </xf>
    <xf numFmtId="0" fontId="0" fillId="4" borderId="31" xfId="0" applyFont="1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4" borderId="29" xfId="0" applyFont="1" applyFill="1" applyBorder="1" applyAlignment="1">
      <alignment horizontal="center" vertical="center"/>
    </xf>
    <xf numFmtId="0" fontId="0" fillId="4" borderId="31" xfId="0" applyFill="1" applyBorder="1" applyAlignment="1">
      <alignment vertical="center"/>
    </xf>
    <xf numFmtId="0" fontId="0" fillId="4" borderId="29" xfId="0" applyFill="1" applyBorder="1" applyAlignment="1">
      <alignment horizontal="center"/>
    </xf>
    <xf numFmtId="0" fontId="0" fillId="4" borderId="29" xfId="0" applyFill="1" applyBorder="1"/>
    <xf numFmtId="0" fontId="0" fillId="4" borderId="29" xfId="0" applyFont="1" applyFill="1" applyBorder="1" applyAlignment="1">
      <alignment horizontal="center"/>
    </xf>
    <xf numFmtId="0" fontId="0" fillId="4" borderId="31" xfId="0" applyFill="1" applyBorder="1"/>
    <xf numFmtId="0" fontId="0" fillId="4" borderId="31" xfId="0" applyFont="1" applyFill="1" applyBorder="1" applyAlignment="1">
      <alignment horizontal="center"/>
    </xf>
    <xf numFmtId="0" fontId="17" fillId="8" borderId="16" xfId="0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 vertical="center"/>
    </xf>
    <xf numFmtId="0" fontId="17" fillId="7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right" vertical="center"/>
    </xf>
    <xf numFmtId="0" fontId="1" fillId="6" borderId="34" xfId="0" applyFont="1" applyFill="1" applyBorder="1" applyAlignment="1">
      <alignment horizontal="right" vertical="center"/>
    </xf>
    <xf numFmtId="0" fontId="1" fillId="6" borderId="19" xfId="0" applyFont="1" applyFill="1" applyBorder="1" applyAlignment="1">
      <alignment horizontal="right" vertical="center"/>
    </xf>
    <xf numFmtId="0" fontId="1" fillId="6" borderId="16" xfId="0" applyFont="1" applyFill="1" applyBorder="1" applyAlignment="1">
      <alignment horizontal="right" vertical="center"/>
    </xf>
    <xf numFmtId="0" fontId="1" fillId="6" borderId="21" xfId="0" applyFont="1" applyFill="1" applyBorder="1" applyAlignment="1">
      <alignment horizontal="right" vertical="center"/>
    </xf>
    <xf numFmtId="0" fontId="1" fillId="6" borderId="31" xfId="0" applyFont="1" applyFill="1" applyBorder="1" applyAlignment="1">
      <alignment horizontal="right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/>
    </xf>
    <xf numFmtId="0" fontId="1" fillId="6" borderId="44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0" fillId="4" borderId="34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3" fillId="6" borderId="43" xfId="0" applyFont="1" applyFill="1" applyBorder="1" applyAlignment="1">
      <alignment horizontal="center" vertical="center"/>
    </xf>
    <xf numFmtId="0" fontId="3" fillId="6" borderId="44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0" fillId="4" borderId="39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right" vertical="center"/>
    </xf>
    <xf numFmtId="0" fontId="1" fillId="6" borderId="28" xfId="0" applyFont="1" applyFill="1" applyBorder="1" applyAlignment="1">
      <alignment horizontal="right" vertical="center"/>
    </xf>
    <xf numFmtId="0" fontId="1" fillId="6" borderId="5" xfId="0" applyFont="1" applyFill="1" applyBorder="1" applyAlignment="1">
      <alignment horizontal="right" vertical="center"/>
    </xf>
    <xf numFmtId="0" fontId="1" fillId="6" borderId="30" xfId="0" applyFont="1" applyFill="1" applyBorder="1" applyAlignment="1">
      <alignment horizontal="right" vertical="center"/>
    </xf>
    <xf numFmtId="0" fontId="1" fillId="6" borderId="44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0" fillId="4" borderId="29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40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 vertical="center"/>
    </xf>
    <xf numFmtId="0" fontId="1" fillId="6" borderId="38" xfId="0" applyFont="1" applyFill="1" applyBorder="1" applyAlignment="1">
      <alignment horizontal="center"/>
    </xf>
    <xf numFmtId="0" fontId="4" fillId="8" borderId="23" xfId="0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4" fillId="8" borderId="25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9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11" fillId="8" borderId="20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6" fillId="6" borderId="24" xfId="0" applyFont="1" applyFill="1" applyBorder="1" applyAlignment="1">
      <alignment horizontal="center" vertical="center"/>
    </xf>
    <xf numFmtId="0" fontId="16" fillId="6" borderId="25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/>
    </xf>
    <xf numFmtId="0" fontId="13" fillId="2" borderId="36" xfId="0" applyFont="1" applyFill="1" applyBorder="1" applyAlignment="1">
      <alignment horizontal="center"/>
    </xf>
    <xf numFmtId="0" fontId="13" fillId="2" borderId="37" xfId="0" applyFont="1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35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10" xfId="0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11" fillId="6" borderId="16" xfId="0" applyFont="1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11" fillId="6" borderId="34" xfId="0" applyFont="1" applyFill="1" applyBorder="1" applyAlignment="1">
      <alignment horizontal="center"/>
    </xf>
    <xf numFmtId="0" fontId="11" fillId="6" borderId="31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33" xfId="0" applyFont="1" applyFill="1" applyBorder="1" applyAlignment="1">
      <alignment horizontal="center"/>
    </xf>
    <xf numFmtId="0" fontId="16" fillId="6" borderId="52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16" fillId="7" borderId="51" xfId="0" applyFont="1" applyFill="1" applyBorder="1" applyAlignment="1">
      <alignment horizontal="center" vertical="center" wrapText="1"/>
    </xf>
    <xf numFmtId="0" fontId="16" fillId="7" borderId="49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/>
    </xf>
    <xf numFmtId="0" fontId="1" fillId="7" borderId="50" xfId="0" applyFont="1" applyFill="1" applyBorder="1" applyAlignment="1">
      <alignment horizontal="center"/>
    </xf>
    <xf numFmtId="0" fontId="1" fillId="7" borderId="41" xfId="0" applyFont="1" applyFill="1" applyBorder="1" applyAlignment="1">
      <alignment horizontal="center"/>
    </xf>
    <xf numFmtId="0" fontId="1" fillId="7" borderId="42" xfId="0" applyFont="1" applyFill="1" applyBorder="1" applyAlignment="1">
      <alignment horizontal="center"/>
    </xf>
    <xf numFmtId="0" fontId="16" fillId="6" borderId="26" xfId="0" applyFont="1" applyFill="1" applyBorder="1" applyAlignment="1">
      <alignment horizontal="center" vertical="center" wrapText="1"/>
    </xf>
    <xf numFmtId="0" fontId="16" fillId="6" borderId="53" xfId="0" applyFont="1" applyFill="1" applyBorder="1" applyAlignment="1">
      <alignment horizontal="center" vertical="center" wrapText="1"/>
    </xf>
    <xf numFmtId="0" fontId="17" fillId="6" borderId="35" xfId="0" applyFont="1" applyFill="1" applyBorder="1" applyAlignment="1">
      <alignment horizontal="center" vertical="center" wrapText="1"/>
    </xf>
    <xf numFmtId="0" fontId="17" fillId="6" borderId="37" xfId="0" applyFont="1" applyFill="1" applyBorder="1" applyAlignment="1">
      <alignment horizontal="center" vertical="center" wrapText="1"/>
    </xf>
    <xf numFmtId="0" fontId="17" fillId="8" borderId="35" xfId="0" applyFont="1" applyFill="1" applyBorder="1" applyAlignment="1">
      <alignment horizontal="center" vertical="center" wrapText="1"/>
    </xf>
    <xf numFmtId="0" fontId="17" fillId="8" borderId="37" xfId="0" applyFont="1" applyFill="1" applyBorder="1" applyAlignment="1">
      <alignment horizontal="center" vertical="center" wrapText="1"/>
    </xf>
    <xf numFmtId="0" fontId="17" fillId="7" borderId="35" xfId="0" applyFont="1" applyFill="1" applyBorder="1" applyAlignment="1">
      <alignment horizontal="center" vertical="center" wrapText="1"/>
    </xf>
    <xf numFmtId="0" fontId="17" fillId="7" borderId="50" xfId="0" applyFont="1" applyFill="1" applyBorder="1" applyAlignment="1">
      <alignment horizontal="center" vertical="center" wrapText="1"/>
    </xf>
    <xf numFmtId="0" fontId="16" fillId="8" borderId="51" xfId="0" applyFont="1" applyFill="1" applyBorder="1" applyAlignment="1">
      <alignment horizontal="center" vertical="center" wrapText="1"/>
    </xf>
    <xf numFmtId="0" fontId="16" fillId="8" borderId="39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horizontal="center"/>
    </xf>
    <xf numFmtId="0" fontId="1" fillId="8" borderId="37" xfId="0" applyFont="1" applyFill="1" applyBorder="1" applyAlignment="1">
      <alignment horizontal="center"/>
    </xf>
    <xf numFmtId="0" fontId="1" fillId="8" borderId="41" xfId="0" applyFont="1" applyFill="1" applyBorder="1" applyAlignment="1">
      <alignment horizontal="center"/>
    </xf>
    <xf numFmtId="0" fontId="1" fillId="8" borderId="40" xfId="0" applyFont="1" applyFill="1" applyBorder="1" applyAlignment="1">
      <alignment horizontal="center"/>
    </xf>
    <xf numFmtId="0" fontId="16" fillId="6" borderId="35" xfId="0" applyFont="1" applyFill="1" applyBorder="1" applyAlignment="1">
      <alignment horizontal="center" vertical="center"/>
    </xf>
    <xf numFmtId="0" fontId="16" fillId="6" borderId="37" xfId="0" applyFont="1" applyFill="1" applyBorder="1" applyAlignment="1">
      <alignment horizontal="center" vertical="center"/>
    </xf>
    <xf numFmtId="0" fontId="11" fillId="6" borderId="35" xfId="0" applyFont="1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/>
    </xf>
    <xf numFmtId="0" fontId="12" fillId="3" borderId="16" xfId="0" applyFont="1" applyFill="1" applyBorder="1" applyAlignment="1">
      <alignment horizontal="center"/>
    </xf>
    <xf numFmtId="0" fontId="0" fillId="4" borderId="35" xfId="0" applyFont="1" applyFill="1" applyBorder="1" applyAlignment="1">
      <alignment horizontal="center" vertical="center"/>
    </xf>
    <xf numFmtId="0" fontId="0" fillId="4" borderId="37" xfId="0" applyFont="1" applyFill="1" applyBorder="1" applyAlignment="1">
      <alignment horizontal="center" vertical="center"/>
    </xf>
    <xf numFmtId="0" fontId="16" fillId="7" borderId="16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/>
    </xf>
    <xf numFmtId="0" fontId="19" fillId="2" borderId="16" xfId="0" applyFont="1" applyFill="1" applyBorder="1" applyAlignment="1">
      <alignment horizontal="center"/>
    </xf>
    <xf numFmtId="0" fontId="16" fillId="6" borderId="16" xfId="0" applyFont="1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/>
    </xf>
    <xf numFmtId="0" fontId="16" fillId="6" borderId="16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0" fillId="4" borderId="8" xfId="0" quotePrefix="1" applyFill="1" applyBorder="1" applyAlignment="1"/>
    <xf numFmtId="0" fontId="0" fillId="4" borderId="10" xfId="0" applyFill="1" applyBorder="1" applyAlignment="1"/>
    <xf numFmtId="0" fontId="0" fillId="4" borderId="8" xfId="0" applyFill="1" applyBorder="1" applyAlignment="1"/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9"/>
  <sheetViews>
    <sheetView tabSelected="1" workbookViewId="0">
      <pane ySplit="4" topLeftCell="A10" activePane="bottomLeft" state="frozen"/>
      <selection pane="bottomLeft" activeCell="M128" sqref="M128"/>
    </sheetView>
  </sheetViews>
  <sheetFormatPr baseColWidth="10" defaultRowHeight="15" x14ac:dyDescent="0.25"/>
  <cols>
    <col min="1" max="3" width="11.42578125" style="1"/>
    <col min="4" max="4" width="14.28515625" style="1" customWidth="1"/>
    <col min="5" max="12" width="11.42578125" style="1"/>
    <col min="13" max="13" width="23" style="1" customWidth="1"/>
    <col min="14" max="14" width="22.7109375" style="1" customWidth="1"/>
    <col min="15" max="15" width="22.85546875" style="1" customWidth="1"/>
    <col min="16" max="16" width="23.7109375" style="1" customWidth="1"/>
    <col min="17" max="16384" width="11.42578125" style="1"/>
  </cols>
  <sheetData>
    <row r="1" spans="1:15" x14ac:dyDescent="0.25">
      <c r="A1" s="80" t="s">
        <v>2</v>
      </c>
      <c r="B1" s="81"/>
      <c r="C1" s="81"/>
      <c r="D1" s="82"/>
      <c r="F1" s="80" t="s">
        <v>0</v>
      </c>
      <c r="G1" s="81"/>
      <c r="H1" s="81"/>
      <c r="I1" s="82"/>
    </row>
    <row r="2" spans="1:15" ht="15.75" thickBot="1" x14ac:dyDescent="0.3">
      <c r="A2" s="83" t="s">
        <v>1</v>
      </c>
      <c r="B2" s="84"/>
      <c r="C2" s="84"/>
      <c r="D2" s="85"/>
      <c r="F2" s="83" t="s">
        <v>18</v>
      </c>
      <c r="G2" s="84"/>
      <c r="H2" s="84"/>
      <c r="I2" s="85"/>
    </row>
    <row r="3" spans="1:15" ht="15.75" thickBot="1" x14ac:dyDescent="0.3"/>
    <row r="4" spans="1:15" ht="15.75" thickBot="1" x14ac:dyDescent="0.3">
      <c r="A4" s="86" t="s">
        <v>3</v>
      </c>
      <c r="B4" s="87"/>
      <c r="C4" s="87"/>
      <c r="D4" s="88"/>
      <c r="F4" s="5">
        <v>3</v>
      </c>
      <c r="L4" s="1" t="str">
        <f ca="1">INDIRECT("K13")</f>
        <v>Eligible</v>
      </c>
    </row>
    <row r="5" spans="1:15" ht="15.75" thickBot="1" x14ac:dyDescent="0.3"/>
    <row r="6" spans="1:15" x14ac:dyDescent="0.25">
      <c r="A6" s="89" t="s">
        <v>4</v>
      </c>
      <c r="B6" s="90"/>
      <c r="C6" s="90"/>
      <c r="D6" s="91"/>
      <c r="F6" s="6">
        <v>123</v>
      </c>
      <c r="H6" s="75" t="s">
        <v>8</v>
      </c>
      <c r="I6" s="10">
        <f>F6/2</f>
        <v>61.5</v>
      </c>
      <c r="K6" s="92" t="s">
        <v>14</v>
      </c>
      <c r="L6" s="93"/>
      <c r="M6" s="13" t="s">
        <v>13</v>
      </c>
      <c r="N6" s="14" t="s">
        <v>74</v>
      </c>
      <c r="O6" s="14" t="s">
        <v>15</v>
      </c>
    </row>
    <row r="7" spans="1:15" ht="15.75" thickBot="1" x14ac:dyDescent="0.3">
      <c r="A7" s="124" t="s">
        <v>6</v>
      </c>
      <c r="B7" s="125"/>
      <c r="C7" s="125"/>
      <c r="D7" s="126"/>
      <c r="F7" s="7">
        <v>88</v>
      </c>
      <c r="H7" s="76"/>
      <c r="I7" s="78">
        <f>F10</f>
        <v>76</v>
      </c>
      <c r="K7" s="94"/>
      <c r="L7" s="95"/>
      <c r="M7" s="15" t="s">
        <v>16</v>
      </c>
      <c r="N7" s="16" t="s">
        <v>75</v>
      </c>
      <c r="O7" s="16" t="s">
        <v>17</v>
      </c>
    </row>
    <row r="8" spans="1:15" ht="15.75" thickBot="1" x14ac:dyDescent="0.3">
      <c r="A8" s="68" t="s">
        <v>7</v>
      </c>
      <c r="B8" s="69"/>
      <c r="C8" s="69"/>
      <c r="D8" s="70"/>
      <c r="F8" s="8">
        <v>12</v>
      </c>
      <c r="H8" s="77"/>
      <c r="I8" s="79"/>
    </row>
    <row r="9" spans="1:15" ht="15.75" thickBot="1" x14ac:dyDescent="0.3">
      <c r="A9" s="71"/>
      <c r="B9" s="71"/>
      <c r="C9" s="71"/>
      <c r="D9" s="71"/>
      <c r="F9" s="4"/>
    </row>
    <row r="10" spans="1:15" ht="15.75" thickBot="1" x14ac:dyDescent="0.3">
      <c r="A10" s="72" t="s">
        <v>5</v>
      </c>
      <c r="B10" s="73"/>
      <c r="C10" s="73"/>
      <c r="D10" s="74"/>
      <c r="F10" s="9">
        <f>F7-F8</f>
        <v>76</v>
      </c>
    </row>
    <row r="11" spans="1:15" ht="15.75" thickBot="1" x14ac:dyDescent="0.3">
      <c r="F11" s="3"/>
    </row>
    <row r="12" spans="1:15" ht="37.5" customHeight="1" thickBot="1" x14ac:dyDescent="0.3">
      <c r="A12" s="121" t="s">
        <v>9</v>
      </c>
      <c r="B12" s="122"/>
      <c r="C12" s="123" t="s">
        <v>19</v>
      </c>
      <c r="D12" s="123"/>
      <c r="E12" s="43" t="s">
        <v>10</v>
      </c>
      <c r="F12" s="123" t="s">
        <v>24</v>
      </c>
      <c r="G12" s="123"/>
      <c r="H12" s="43" t="s">
        <v>11</v>
      </c>
      <c r="I12" s="43" t="s">
        <v>12</v>
      </c>
      <c r="J12" s="43"/>
      <c r="K12" s="21" t="s">
        <v>73</v>
      </c>
    </row>
    <row r="13" spans="1:15" x14ac:dyDescent="0.25">
      <c r="A13" s="112" t="str">
        <f>$M$6</f>
        <v xml:space="preserve">CFDT </v>
      </c>
      <c r="B13" s="113"/>
      <c r="C13" s="118" t="s">
        <v>20</v>
      </c>
      <c r="D13" s="109"/>
      <c r="E13" s="42" t="s">
        <v>26</v>
      </c>
      <c r="F13" s="109">
        <v>34</v>
      </c>
      <c r="G13" s="109"/>
      <c r="H13" s="42">
        <v>21</v>
      </c>
      <c r="I13" s="42">
        <f>IF(ISNUMBER(H13),IFERROR(ROUND((H13/$F$17)*100,2),""),"")</f>
        <v>21.88</v>
      </c>
      <c r="J13" s="45">
        <f>I13</f>
        <v>21.88</v>
      </c>
      <c r="K13" s="53" t="str">
        <f ca="1">IF($F13&lt;&gt;"",IF(OR(COUNTIF(cfdtpc,"&lt;10")=COUNTA(OFFSET(cfdtpc,0,-6,4,1)),COUNTIF(cfdtpc,"&gt;10")=COUNTA(OFFSET(cfdtpc,0,-6,4,1)),AND($I13&lt;10,$I13&lt;&gt;"",COUNTIF(cfdtpc,"&gt;10")&lt;&gt;SUM(F18,F27,F36,F45,F54))),"Eligible","Non Eligible"),"")</f>
        <v>Eligible</v>
      </c>
      <c r="L13" s="11"/>
      <c r="M13" s="11"/>
      <c r="N13" s="11"/>
    </row>
    <row r="14" spans="1:15" x14ac:dyDescent="0.25">
      <c r="A14" s="114" t="str">
        <f t="shared" ref="A14:A16" si="0">$M$6</f>
        <v xml:space="preserve">CFDT </v>
      </c>
      <c r="B14" s="115"/>
      <c r="C14" s="119" t="s">
        <v>21</v>
      </c>
      <c r="D14" s="110"/>
      <c r="E14" s="38" t="s">
        <v>26</v>
      </c>
      <c r="F14" s="110">
        <v>31</v>
      </c>
      <c r="G14" s="110"/>
      <c r="H14" s="38">
        <v>21</v>
      </c>
      <c r="I14" s="42">
        <f t="shared" ref="I14:I16" si="1">IF(ISNUMBER(H14),IFERROR(ROUND((H14/$F$17)*100,2),""),"")</f>
        <v>21.88</v>
      </c>
      <c r="J14" s="46">
        <f t="shared" ref="J14:J16" si="2">I14</f>
        <v>21.88</v>
      </c>
      <c r="K14" s="53" t="str">
        <f ca="1">IF($F14&lt;&gt;"",IF(OR(COUNTIF(cfdtpc,"&lt;10")=COUNTA(OFFSET(cfdtpc,0,-6,4,1)),COUNTIF(cfdtpc,"&gt;10")=COUNTA(OFFSET(cfdtpc,0,-6,4,1)),AND($I14&lt;10,$I14&lt;&gt;"",COUNTIF(cfdtpc,"&gt;10")&lt;&gt;SUM(F19,F28,F37,F46,F55))),"Eligible","Non Eligible"),"")</f>
        <v>Eligible</v>
      </c>
      <c r="L14" s="11"/>
      <c r="M14" s="11"/>
      <c r="N14" s="11"/>
    </row>
    <row r="15" spans="1:15" x14ac:dyDescent="0.25">
      <c r="A15" s="114" t="str">
        <f t="shared" si="0"/>
        <v xml:space="preserve">CFDT </v>
      </c>
      <c r="B15" s="115"/>
      <c r="C15" s="119" t="s">
        <v>22</v>
      </c>
      <c r="D15" s="110"/>
      <c r="E15" s="38" t="s">
        <v>26</v>
      </c>
      <c r="F15" s="110">
        <v>31</v>
      </c>
      <c r="G15" s="110"/>
      <c r="H15" s="38">
        <v>21</v>
      </c>
      <c r="I15" s="42">
        <f t="shared" si="1"/>
        <v>21.88</v>
      </c>
      <c r="J15" s="46">
        <f t="shared" si="2"/>
        <v>21.88</v>
      </c>
      <c r="K15" s="53" t="str">
        <f ca="1">IF($F15&lt;&gt;"",IF(OR(COUNTIF(cfdtpc,"&lt;10")=COUNTA(OFFSET(cfdtpc,0,-6,4,1)),COUNTIF(cfdtpc,"&gt;10")=COUNTA(OFFSET(cfdtpc,0,-6,4,1)),AND($I15&lt;10,$I15&lt;&gt;"",COUNTIF(cfdtpc,"&gt;10")&lt;&gt;SUM(F20,F29,F38,F47,F56))),"Eligible","Non Eligible"),"")</f>
        <v>Eligible</v>
      </c>
      <c r="L15" s="11"/>
      <c r="M15" s="11"/>
      <c r="N15" s="11"/>
    </row>
    <row r="16" spans="1:15" ht="15.75" thickBot="1" x14ac:dyDescent="0.3">
      <c r="A16" s="116" t="str">
        <f t="shared" si="0"/>
        <v xml:space="preserve">CFDT </v>
      </c>
      <c r="B16" s="117"/>
      <c r="C16" s="120"/>
      <c r="D16" s="111"/>
      <c r="E16" s="15"/>
      <c r="F16" s="111"/>
      <c r="G16" s="111"/>
      <c r="H16" s="15"/>
      <c r="I16" s="54" t="str">
        <f t="shared" si="1"/>
        <v/>
      </c>
      <c r="J16" s="55" t="str">
        <f t="shared" si="2"/>
        <v/>
      </c>
      <c r="K16" s="53" t="str">
        <f ca="1">IF($H18&lt;&gt;"",IF(OR(COUNTIF(cfdtpc,"&lt;10")=COUNTA(OFFSET(cfdtpc,0,-10,4,1)),COUNTIF(cfdtpc,"&gt;10")=COUNTA(OFFSET(cfdtpc,0,-10,4,1)),AND($K18&lt;10,$K18&lt;&gt;"",COUNTIF(cfdtpc,"&gt;10")&lt;&gt;SUM($E$37:$E$41))),"Eligible","Non Eligible"),"")</f>
        <v/>
      </c>
      <c r="L16" s="11"/>
      <c r="M16" s="11"/>
      <c r="N16" s="11"/>
    </row>
    <row r="17" spans="1:14" x14ac:dyDescent="0.25">
      <c r="A17" s="96" t="str">
        <f>$M$6</f>
        <v xml:space="preserve">CFDT </v>
      </c>
      <c r="B17" s="97"/>
      <c r="C17" s="102" t="s">
        <v>23</v>
      </c>
      <c r="D17" s="102"/>
      <c r="E17" s="102"/>
      <c r="F17" s="105">
        <f>SUM(F13:G16)</f>
        <v>96</v>
      </c>
      <c r="G17" s="106"/>
      <c r="H17" s="11"/>
      <c r="I17" s="11"/>
      <c r="J17" s="49"/>
      <c r="K17" s="11"/>
      <c r="L17" s="11"/>
      <c r="M17" s="11"/>
      <c r="N17" s="11"/>
    </row>
    <row r="18" spans="1:14" x14ac:dyDescent="0.25">
      <c r="A18" s="98"/>
      <c r="B18" s="99"/>
      <c r="C18" s="103" t="s">
        <v>25</v>
      </c>
      <c r="D18" s="103"/>
      <c r="E18" s="103"/>
      <c r="F18" s="107">
        <v>3</v>
      </c>
      <c r="G18" s="108"/>
      <c r="H18" s="11"/>
      <c r="I18" s="11"/>
      <c r="J18" s="49"/>
      <c r="K18" s="11"/>
      <c r="L18" s="11"/>
      <c r="M18" s="11"/>
      <c r="N18" s="11"/>
    </row>
    <row r="19" spans="1:14" x14ac:dyDescent="0.25">
      <c r="A19" s="98"/>
      <c r="B19" s="99"/>
      <c r="C19" s="103" t="s">
        <v>27</v>
      </c>
      <c r="D19" s="103"/>
      <c r="E19" s="103"/>
      <c r="F19" s="107">
        <f>ROUND(F17/F18,2)</f>
        <v>32</v>
      </c>
      <c r="G19" s="108"/>
      <c r="H19" s="11"/>
      <c r="I19" s="11"/>
      <c r="J19" s="49"/>
      <c r="K19" s="11"/>
      <c r="L19" s="11"/>
      <c r="M19" s="11"/>
      <c r="N19" s="11"/>
    </row>
    <row r="20" spans="1:14" ht="15.75" thickBot="1" x14ac:dyDescent="0.3">
      <c r="A20" s="100"/>
      <c r="B20" s="101"/>
      <c r="C20" s="104" t="s">
        <v>28</v>
      </c>
      <c r="D20" s="104"/>
      <c r="E20" s="104"/>
      <c r="F20" s="129">
        <f>F65+F89+F111+F133</f>
        <v>2</v>
      </c>
      <c r="G20" s="130"/>
      <c r="H20" s="11"/>
      <c r="I20" s="11"/>
      <c r="J20" s="49"/>
      <c r="K20" s="11"/>
      <c r="L20" s="11"/>
      <c r="M20" s="11"/>
      <c r="N20" s="11"/>
    </row>
    <row r="21" spans="1:14" ht="15.75" thickBo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49"/>
      <c r="K21" s="11"/>
      <c r="L21" s="11"/>
      <c r="M21" s="11"/>
      <c r="N21" s="11"/>
    </row>
    <row r="22" spans="1:14" ht="15.75" thickBot="1" x14ac:dyDescent="0.3">
      <c r="A22" s="131" t="str">
        <f>$N$6</f>
        <v xml:space="preserve">CGT </v>
      </c>
      <c r="B22" s="132"/>
      <c r="C22" s="127" t="s">
        <v>29</v>
      </c>
      <c r="D22" s="128"/>
      <c r="E22" s="13" t="s">
        <v>26</v>
      </c>
      <c r="F22" s="128">
        <v>16</v>
      </c>
      <c r="G22" s="128"/>
      <c r="H22" s="13">
        <v>5</v>
      </c>
      <c r="I22" s="56">
        <f>IF(ISNUMBER($H22),IFERROR(ROUND(($H22/$F$26)*100,2),""),"")</f>
        <v>15.15</v>
      </c>
      <c r="J22" s="57">
        <f>I22</f>
        <v>15.15</v>
      </c>
      <c r="K22" s="53" t="str">
        <f ca="1">IF($F22&lt;&gt;"",IF(OR(COUNTIF(cgtpc,"&lt;10")=COUNTA(OFFSET(cgtpc,0,-6,4,1)),COUNTIF(cgtpc,"&gt;10")=COUNTA(OFFSET(cgtpc,0,-6,4,1)),AND($I22&lt;10,$I22&lt;&gt;"",COUNTIF(cgtpc,"&gt;10")&lt;&gt;SUM(F27,F36,F45,F54,F63))),"Eligible","Non Eligible"),"")</f>
        <v>Eligible</v>
      </c>
      <c r="L22" s="11"/>
      <c r="M22" s="11"/>
      <c r="N22" s="11"/>
    </row>
    <row r="23" spans="1:14" ht="15.75" thickBot="1" x14ac:dyDescent="0.3">
      <c r="A23" s="131" t="str">
        <f t="shared" ref="A23:A25" si="3">$N$6</f>
        <v xml:space="preserve">CGT </v>
      </c>
      <c r="B23" s="132"/>
      <c r="C23" s="119" t="s">
        <v>30</v>
      </c>
      <c r="D23" s="110"/>
      <c r="E23" s="38" t="s">
        <v>26</v>
      </c>
      <c r="F23" s="110">
        <v>17</v>
      </c>
      <c r="G23" s="110"/>
      <c r="H23" s="38">
        <v>4</v>
      </c>
      <c r="I23" s="17">
        <f t="shared" ref="I23:I25" si="4">IF(ISNUMBER($H23),IFERROR(ROUND(($H23/$F$26)*100,2),""),"")</f>
        <v>12.12</v>
      </c>
      <c r="J23" s="46">
        <f t="shared" ref="J23:J25" si="5">I23</f>
        <v>12.12</v>
      </c>
      <c r="K23" s="53" t="str">
        <f ca="1">IF($F23&lt;&gt;"",IF(OR(COUNTIF(cgtpc,"&lt;10")=COUNTA(OFFSET(cgtpc,0,-6,4,1)),COUNTIF(cgtpc,"&gt;10")=COUNTA(OFFSET(cgtpc,0,-6,4,1)),AND($I23&lt;10,$I23&lt;&gt;"",COUNTIF(cgtpc,"&gt;10")&lt;&gt;SUM(F28,F37,F46,F55,F64))),"Eligible","Non Eligible"),"")</f>
        <v>Eligible</v>
      </c>
      <c r="L23" s="11"/>
      <c r="M23" s="11"/>
      <c r="N23" s="11"/>
    </row>
    <row r="24" spans="1:14" ht="15.75" thickBot="1" x14ac:dyDescent="0.3">
      <c r="A24" s="131" t="str">
        <f t="shared" si="3"/>
        <v xml:space="preserve">CGT </v>
      </c>
      <c r="B24" s="132"/>
      <c r="C24" s="119"/>
      <c r="D24" s="110"/>
      <c r="E24" s="38"/>
      <c r="F24" s="110"/>
      <c r="G24" s="110"/>
      <c r="H24" s="38"/>
      <c r="I24" s="17" t="str">
        <f t="shared" si="4"/>
        <v/>
      </c>
      <c r="J24" s="46" t="str">
        <f t="shared" si="5"/>
        <v/>
      </c>
      <c r="K24" s="53" t="str">
        <f ca="1">IF($F24&lt;&gt;"",IF(OR(COUNTIF(cgtpc,"&lt;10")=COUNTA(OFFSET(cgtpc,0,-6,4,1)),COUNTIF(cgtpc,"&gt;10")=COUNTA(OFFSET(cgtpc,0,-6,4,1)),AND($I24&lt;10,$I24&lt;&gt;"",COUNTIF(cgtpc,"&gt;10")&lt;&gt;SUM(F29,F38,F47,F56,F65))),"Eligible","Non Eligible"),"")</f>
        <v/>
      </c>
      <c r="L24" s="11"/>
      <c r="M24" s="11"/>
      <c r="N24" s="11"/>
    </row>
    <row r="25" spans="1:14" ht="15.75" thickBot="1" x14ac:dyDescent="0.3">
      <c r="A25" s="131" t="str">
        <f t="shared" si="3"/>
        <v xml:space="preserve">CGT </v>
      </c>
      <c r="B25" s="132"/>
      <c r="C25" s="120"/>
      <c r="D25" s="111"/>
      <c r="E25" s="15"/>
      <c r="F25" s="111"/>
      <c r="G25" s="111"/>
      <c r="H25" s="15"/>
      <c r="I25" s="58" t="str">
        <f t="shared" si="4"/>
        <v/>
      </c>
      <c r="J25" s="55" t="str">
        <f t="shared" si="5"/>
        <v/>
      </c>
      <c r="K25" s="53" t="str">
        <f ca="1">IF($H27&lt;&gt;"",IF(OR(COUNTIF(cgtpc,"&lt;10")=COUNTA(OFFSET(cgtpc,0,-10,4,1)),COUNTIF(cgtpc,"&gt;10")=COUNTA(OFFSET(cgtpc,0,-10,4,1)),AND($K27&lt;10,$K27&lt;&gt;"",COUNTIF(cgtpc,"&gt;10")&lt;&gt;SUM($E$37:$E$41))),"Eligible","Non Eligible"),"")</f>
        <v/>
      </c>
      <c r="L25" s="11"/>
      <c r="M25" s="11"/>
      <c r="N25" s="11"/>
    </row>
    <row r="26" spans="1:14" x14ac:dyDescent="0.25">
      <c r="A26" s="133" t="str">
        <f>$N$6</f>
        <v xml:space="preserve">CGT </v>
      </c>
      <c r="B26" s="134"/>
      <c r="C26" s="102" t="str">
        <f>C17</f>
        <v xml:space="preserve">Nombre de voix obtenues </v>
      </c>
      <c r="D26" s="102"/>
      <c r="E26" s="102"/>
      <c r="F26" s="102">
        <f>SUM(F22:G25)</f>
        <v>33</v>
      </c>
      <c r="G26" s="137"/>
      <c r="H26" s="47"/>
      <c r="I26" s="12"/>
      <c r="J26" s="50"/>
      <c r="K26" s="11"/>
      <c r="L26" s="11"/>
      <c r="M26" s="11"/>
      <c r="N26" s="11"/>
    </row>
    <row r="27" spans="1:14" x14ac:dyDescent="0.25">
      <c r="A27" s="133"/>
      <c r="B27" s="134"/>
      <c r="C27" s="103" t="str">
        <f t="shared" ref="C27:C29" si="6">C18</f>
        <v xml:space="preserve">Nombre de candidats </v>
      </c>
      <c r="D27" s="103"/>
      <c r="E27" s="103"/>
      <c r="F27" s="103">
        <v>2</v>
      </c>
      <c r="G27" s="138"/>
      <c r="H27" s="47"/>
      <c r="I27" s="12"/>
      <c r="J27" s="50"/>
      <c r="K27" s="11"/>
      <c r="L27" s="11"/>
      <c r="M27" s="11"/>
      <c r="N27" s="11"/>
    </row>
    <row r="28" spans="1:14" x14ac:dyDescent="0.25">
      <c r="A28" s="133"/>
      <c r="B28" s="134"/>
      <c r="C28" s="103" t="str">
        <f t="shared" si="6"/>
        <v xml:space="preserve">Moyenne des voix de la liste </v>
      </c>
      <c r="D28" s="103"/>
      <c r="E28" s="103"/>
      <c r="F28" s="103">
        <f>ROUND(F26/F27,2)</f>
        <v>16.5</v>
      </c>
      <c r="G28" s="138"/>
      <c r="H28" s="47"/>
      <c r="I28" s="12"/>
      <c r="J28" s="50"/>
      <c r="K28" s="11"/>
      <c r="L28" s="11"/>
      <c r="M28" s="11"/>
      <c r="N28" s="11"/>
    </row>
    <row r="29" spans="1:14" ht="15.75" thickBot="1" x14ac:dyDescent="0.3">
      <c r="A29" s="135"/>
      <c r="B29" s="136"/>
      <c r="C29" s="104" t="str">
        <f t="shared" si="6"/>
        <v xml:space="preserve">Nombre de sièges attribués </v>
      </c>
      <c r="D29" s="104"/>
      <c r="E29" s="104"/>
      <c r="F29" s="139">
        <f>F66+F90+F112+F134</f>
        <v>1</v>
      </c>
      <c r="G29" s="140"/>
      <c r="H29" s="47"/>
      <c r="I29" s="12"/>
      <c r="J29" s="50"/>
      <c r="K29" s="11"/>
      <c r="L29" s="11"/>
      <c r="M29" s="11"/>
      <c r="N29" s="11"/>
    </row>
    <row r="30" spans="1:14" ht="15.75" thickBot="1" x14ac:dyDescent="0.3">
      <c r="A30" s="11"/>
      <c r="B30" s="11"/>
      <c r="C30" s="11"/>
      <c r="D30" s="11"/>
      <c r="E30" s="11"/>
      <c r="F30" s="11"/>
      <c r="G30" s="11"/>
      <c r="H30" s="48"/>
      <c r="I30" s="11"/>
      <c r="J30" s="49"/>
      <c r="K30" s="11"/>
      <c r="L30" s="11"/>
      <c r="M30" s="11"/>
      <c r="N30" s="11"/>
    </row>
    <row r="31" spans="1:14" ht="15.75" thickBot="1" x14ac:dyDescent="0.3">
      <c r="A31" s="147" t="str">
        <f>$O$6</f>
        <v xml:space="preserve">FO </v>
      </c>
      <c r="B31" s="148"/>
      <c r="C31" s="143" t="s">
        <v>31</v>
      </c>
      <c r="D31" s="141"/>
      <c r="E31" s="13" t="s">
        <v>34</v>
      </c>
      <c r="F31" s="141">
        <v>23</v>
      </c>
      <c r="G31" s="141"/>
      <c r="H31" s="59">
        <v>6</v>
      </c>
      <c r="I31" s="60">
        <f>IF(ISNUMBER($H31),IFERROR(ROUND(($H31/$F$35)*100,2),""),"")</f>
        <v>9.09</v>
      </c>
      <c r="J31" s="61">
        <f>I31</f>
        <v>9.09</v>
      </c>
      <c r="K31" s="53" t="str">
        <f ca="1">IF($F31&lt;&gt;"",IF(OR(COUNTIF(fopc,"&lt;10")=COUNTA(OFFSET(fopc,0,-6,4,1)),COUNTIF(fopc,"&gt;10")=COUNTA(OFFSET(fopc,0,-6,4,1)),AND($I31&lt;10,$I31&lt;&gt;"",COUNTIF(fopc,"&gt;10")&lt;&gt;SUM(F36,F45,F54,F63,F72))),"Eligible","Non Eligible"),"")</f>
        <v>Eligible</v>
      </c>
      <c r="L31" s="11"/>
      <c r="M31" s="11"/>
      <c r="N31" s="11"/>
    </row>
    <row r="32" spans="1:14" ht="15.75" thickBot="1" x14ac:dyDescent="0.3">
      <c r="A32" s="147" t="str">
        <f t="shared" ref="A32:A34" si="7">$O$6</f>
        <v xml:space="preserve">FO </v>
      </c>
      <c r="B32" s="148"/>
      <c r="C32" s="144" t="s">
        <v>32</v>
      </c>
      <c r="D32" s="142"/>
      <c r="E32" s="38" t="s">
        <v>34</v>
      </c>
      <c r="F32" s="142">
        <v>22</v>
      </c>
      <c r="G32" s="142"/>
      <c r="H32" s="39">
        <v>2</v>
      </c>
      <c r="I32" s="18">
        <f t="shared" ref="I32:I34" si="8">IF(ISNUMBER($H32),IFERROR(ROUND(($H32/$F$35)*100,2),""),"")</f>
        <v>3.03</v>
      </c>
      <c r="J32" s="51">
        <f t="shared" ref="J32:J34" si="9">I32</f>
        <v>3.03</v>
      </c>
      <c r="K32" s="53" t="str">
        <f ca="1">IF($F32&lt;&gt;"",IF(OR(COUNTIF(fopc,"&lt;10")=COUNTA(OFFSET(fopc,0,-6,4,1)),COUNTIF(fopc,"&gt;10")=COUNTA(OFFSET(fopc,0,-6,4,1)),AND($I32&lt;10,$I32&lt;&gt;"",COUNTIF(fopc,"&gt;10")&lt;&gt;SUM(F37,F46,F55,F64,F73))),"Eligible","Non Eligible"),"")</f>
        <v>Eligible</v>
      </c>
      <c r="L32" s="11"/>
      <c r="M32" s="11"/>
      <c r="N32" s="11"/>
    </row>
    <row r="33" spans="1:14" ht="15.75" thickBot="1" x14ac:dyDescent="0.3">
      <c r="A33" s="147" t="str">
        <f t="shared" si="7"/>
        <v xml:space="preserve">FO </v>
      </c>
      <c r="B33" s="148"/>
      <c r="C33" s="144" t="s">
        <v>33</v>
      </c>
      <c r="D33" s="142"/>
      <c r="E33" s="38" t="s">
        <v>34</v>
      </c>
      <c r="F33" s="142">
        <v>21</v>
      </c>
      <c r="G33" s="142"/>
      <c r="H33" s="39">
        <v>8</v>
      </c>
      <c r="I33" s="18">
        <f t="shared" si="8"/>
        <v>12.12</v>
      </c>
      <c r="J33" s="51">
        <f t="shared" si="9"/>
        <v>12.12</v>
      </c>
      <c r="K33" s="53" t="str">
        <f ca="1">IF($F33&lt;&gt;"",IF(OR(COUNTIF(fopc,"&lt;10")=COUNTA(OFFSET(fopc,0,-6,4,1)),COUNTIF(fopc,"&gt;10")=COUNTA(OFFSET(fopc,0,-6,4,1)),AND($I33&lt;10,$I33&lt;&gt;"",COUNTIF(fopc,"&gt;10")&lt;&gt;SUM(F38,F47,F56,F65,F74))),"Eligible","Non Eligible"),"")</f>
        <v>Non Eligible</v>
      </c>
      <c r="L33" s="11"/>
      <c r="M33" s="11"/>
      <c r="N33" s="11"/>
    </row>
    <row r="34" spans="1:14" ht="15.75" thickBot="1" x14ac:dyDescent="0.3">
      <c r="A34" s="147" t="str">
        <f t="shared" si="7"/>
        <v xml:space="preserve">FO </v>
      </c>
      <c r="B34" s="148"/>
      <c r="C34" s="145"/>
      <c r="D34" s="146"/>
      <c r="E34" s="62"/>
      <c r="F34" s="146"/>
      <c r="G34" s="146"/>
      <c r="H34" s="41"/>
      <c r="I34" s="62" t="str">
        <f t="shared" si="8"/>
        <v/>
      </c>
      <c r="J34" s="63" t="str">
        <f t="shared" si="9"/>
        <v/>
      </c>
      <c r="K34" s="53" t="str">
        <f ca="1">IF($H36&lt;&gt;"",IF(OR(COUNTIF(fopc,"&lt;10")=COUNTA(OFFSET(fopc,0,-10,4,1)),COUNTIF(fopc,"&gt;10")=COUNTA(OFFSET(fopc,0,-10,4,1)),AND($K36&lt;10,$K36&lt;&gt;"",COUNTIF(fopc,"&gt;10")&lt;&gt;SUM($E$37:$E$41))),"Eligible","Non Eligible"),"")</f>
        <v/>
      </c>
      <c r="L34" s="11"/>
      <c r="M34" s="11"/>
      <c r="N34" s="11"/>
    </row>
    <row r="35" spans="1:14" x14ac:dyDescent="0.25">
      <c r="A35" s="133" t="str">
        <f>$O$6</f>
        <v xml:space="preserve">FO </v>
      </c>
      <c r="B35" s="134"/>
      <c r="C35" s="152" t="str">
        <f>C17</f>
        <v xml:space="preserve">Nombre de voix obtenues </v>
      </c>
      <c r="D35" s="105"/>
      <c r="E35" s="105"/>
      <c r="F35" s="105">
        <f>SUM(F31:G34)</f>
        <v>66</v>
      </c>
      <c r="G35" s="106"/>
      <c r="H35" s="48"/>
      <c r="I35" s="11"/>
      <c r="J35" s="49"/>
      <c r="K35" s="11"/>
      <c r="L35" s="11"/>
      <c r="M35" s="11"/>
      <c r="N35" s="11"/>
    </row>
    <row r="36" spans="1:14" x14ac:dyDescent="0.25">
      <c r="A36" s="133"/>
      <c r="B36" s="134"/>
      <c r="C36" s="149" t="str">
        <f t="shared" ref="C36:C38" si="10">C18</f>
        <v xml:space="preserve">Nombre de candidats </v>
      </c>
      <c r="D36" s="107"/>
      <c r="E36" s="107"/>
      <c r="F36" s="107">
        <v>3</v>
      </c>
      <c r="G36" s="108"/>
      <c r="H36" s="40"/>
      <c r="J36" s="52"/>
    </row>
    <row r="37" spans="1:14" x14ac:dyDescent="0.25">
      <c r="A37" s="133"/>
      <c r="B37" s="134"/>
      <c r="C37" s="149" t="str">
        <f t="shared" si="10"/>
        <v xml:space="preserve">Moyenne des voix de la liste </v>
      </c>
      <c r="D37" s="107"/>
      <c r="E37" s="107"/>
      <c r="F37" s="107">
        <f>ROUND(F35/F36,2)</f>
        <v>22</v>
      </c>
      <c r="G37" s="108"/>
      <c r="H37" s="40"/>
      <c r="J37" s="52"/>
    </row>
    <row r="38" spans="1:14" ht="15.75" thickBot="1" x14ac:dyDescent="0.3">
      <c r="A38" s="135"/>
      <c r="B38" s="136"/>
      <c r="C38" s="150" t="str">
        <f t="shared" si="10"/>
        <v xml:space="preserve">Nombre de sièges attribués </v>
      </c>
      <c r="D38" s="129"/>
      <c r="E38" s="129"/>
      <c r="F38" s="129">
        <f>F67+F91+F113+F135</f>
        <v>1</v>
      </c>
      <c r="G38" s="130"/>
      <c r="H38" s="40"/>
      <c r="J38" s="52"/>
    </row>
    <row r="39" spans="1:14" ht="15.75" thickBot="1" x14ac:dyDescent="0.3">
      <c r="H39" s="40"/>
      <c r="J39" s="52"/>
    </row>
    <row r="40" spans="1:14" x14ac:dyDescent="0.25">
      <c r="A40" s="131" t="str">
        <f>$M$7</f>
        <v>CFE-CGT</v>
      </c>
      <c r="B40" s="132"/>
      <c r="C40" s="127"/>
      <c r="D40" s="128"/>
      <c r="E40" s="13"/>
      <c r="F40" s="128"/>
      <c r="G40" s="128"/>
      <c r="H40" s="13"/>
      <c r="I40" s="13" t="str">
        <f>IF(ISNUMBER($H40),IFERROR(ROUND(($H40/$F$44)*100,2),""),"")</f>
        <v/>
      </c>
      <c r="J40" s="57" t="str">
        <f>I40</f>
        <v/>
      </c>
      <c r="K40" s="53" t="str">
        <f ca="1">IF($F40&lt;&gt;"",IF(OR(COUNTIF(cfecgtpc,"&lt;10")=COUNTA(OFFSET(cfecgtpc,0,-6,4,1)),COUNTIF(cfecgtpc,"&gt;10")=COUNTA(OFFSET(cfecgtpc,0,-6,4,1)),AND($I40&lt;10,$I40&lt;&gt;"",COUNTIF(cfecgtpc,"&gt;10")&lt;&gt;SUM(F45,F54,F63,F72,F81))),"Eligible","Non Eligible"),"")</f>
        <v/>
      </c>
    </row>
    <row r="41" spans="1:14" x14ac:dyDescent="0.25">
      <c r="A41" s="114" t="str">
        <f t="shared" ref="A41:A43" si="11">$M$7</f>
        <v>CFE-CGT</v>
      </c>
      <c r="B41" s="115"/>
      <c r="C41" s="119"/>
      <c r="D41" s="110"/>
      <c r="E41" s="38"/>
      <c r="F41" s="110"/>
      <c r="G41" s="110"/>
      <c r="H41" s="38"/>
      <c r="I41" s="38" t="str">
        <f t="shared" ref="I41:I43" si="12">IF(ISNUMBER($H41),IFERROR(ROUND(($H41/$F$44)*100,2),""),"")</f>
        <v/>
      </c>
      <c r="J41" s="46" t="str">
        <f t="shared" ref="J41:J43" si="13">I41</f>
        <v/>
      </c>
      <c r="K41" s="53" t="str">
        <f ca="1">IF($F41&lt;&gt;"",IF(OR(COUNTIF(cfecgtpc,"&lt;10")=COUNTA(OFFSET(cfecgtpc,0,-6,4,1)),COUNTIF(cfecgtpc,"&gt;10")=COUNTA(OFFSET(cfecgtpc,0,-6,4,1)),AND($I41&lt;10,$I41&lt;&gt;"",COUNTIF(cfecgtpc,"&gt;10")&lt;&gt;SUM(F46,F55,F64,F73,F82))),"Eligible","Non Eligible"),"")</f>
        <v/>
      </c>
    </row>
    <row r="42" spans="1:14" x14ac:dyDescent="0.25">
      <c r="A42" s="114" t="str">
        <f t="shared" si="11"/>
        <v>CFE-CGT</v>
      </c>
      <c r="B42" s="115"/>
      <c r="C42" s="119"/>
      <c r="D42" s="110"/>
      <c r="E42" s="38"/>
      <c r="F42" s="110"/>
      <c r="G42" s="110"/>
      <c r="H42" s="38"/>
      <c r="I42" s="38" t="str">
        <f t="shared" si="12"/>
        <v/>
      </c>
      <c r="J42" s="46" t="str">
        <f t="shared" si="13"/>
        <v/>
      </c>
      <c r="K42" s="53" t="str">
        <f ca="1">IF($F42&lt;&gt;"",IF(OR(COUNTIF(cfecgtpc,"&lt;10")=COUNTA(OFFSET(cfecgtpc,0,-6,4,1)),COUNTIF(cfecgtpc,"&gt;10")=COUNTA(OFFSET(cfecgtpc,0,-6,4,1)),AND($I42&lt;10,$I42&lt;&gt;"",COUNTIF(cfecgtpc,"&gt;10")&lt;&gt;SUM(F47,F56,F65,F74,F83))),"Eligible","Non Eligible"),"")</f>
        <v/>
      </c>
    </row>
    <row r="43" spans="1:14" ht="15.75" thickBot="1" x14ac:dyDescent="0.3">
      <c r="A43" s="116" t="str">
        <f t="shared" si="11"/>
        <v>CFE-CGT</v>
      </c>
      <c r="B43" s="117"/>
      <c r="C43" s="120"/>
      <c r="D43" s="111"/>
      <c r="E43" s="15"/>
      <c r="F43" s="111"/>
      <c r="G43" s="111"/>
      <c r="H43" s="15"/>
      <c r="I43" s="15" t="str">
        <f t="shared" si="12"/>
        <v/>
      </c>
      <c r="J43" s="55" t="str">
        <f t="shared" si="13"/>
        <v/>
      </c>
      <c r="K43" s="53" t="str">
        <f ca="1">IF($H45&lt;&gt;"",IF(OR(COUNTIF(cfecgtpc,"&lt;10")=COUNTA(OFFSET(cfecgtpc,0,-10,4,1)),COUNTIF(cfecgtpc,"&gt;10")=COUNTA(OFFSET(cfecgtpc,0,-10,4,1)),AND($K45&lt;10,$K45&lt;&gt;"",COUNTIF(cfecgtpc,"&gt;10")&lt;&gt;SUM($E$37:$E$41))),"Eligible","Non Eligible"),"")</f>
        <v/>
      </c>
    </row>
    <row r="44" spans="1:14" x14ac:dyDescent="0.25">
      <c r="A44" s="96" t="str">
        <f>$M$7</f>
        <v>CFE-CGT</v>
      </c>
      <c r="B44" s="97"/>
      <c r="C44" s="102" t="str">
        <f>C17</f>
        <v xml:space="preserve">Nombre de voix obtenues </v>
      </c>
      <c r="D44" s="102"/>
      <c r="E44" s="102"/>
      <c r="F44" s="102"/>
      <c r="G44" s="137"/>
      <c r="H44" s="40"/>
      <c r="J44" s="52"/>
    </row>
    <row r="45" spans="1:14" x14ac:dyDescent="0.25">
      <c r="A45" s="98"/>
      <c r="B45" s="99"/>
      <c r="C45" s="103" t="str">
        <f t="shared" ref="C45:C47" si="14">C18</f>
        <v xml:space="preserve">Nombre de candidats </v>
      </c>
      <c r="D45" s="103"/>
      <c r="E45" s="103"/>
      <c r="F45" s="103"/>
      <c r="G45" s="138"/>
      <c r="H45" s="40"/>
      <c r="J45" s="52"/>
    </row>
    <row r="46" spans="1:14" x14ac:dyDescent="0.25">
      <c r="A46" s="98"/>
      <c r="B46" s="99"/>
      <c r="C46" s="103" t="str">
        <f t="shared" si="14"/>
        <v xml:space="preserve">Moyenne des voix de la liste </v>
      </c>
      <c r="D46" s="103"/>
      <c r="E46" s="103"/>
      <c r="F46" s="103"/>
      <c r="G46" s="138"/>
      <c r="H46" s="40"/>
      <c r="J46" s="52"/>
    </row>
    <row r="47" spans="1:14" ht="15.75" thickBot="1" x14ac:dyDescent="0.3">
      <c r="A47" s="100"/>
      <c r="B47" s="101"/>
      <c r="C47" s="104" t="str">
        <f t="shared" si="14"/>
        <v xml:space="preserve">Nombre de sièges attribués </v>
      </c>
      <c r="D47" s="104"/>
      <c r="E47" s="104"/>
      <c r="F47" s="104">
        <f>F68+F92+F114+F136</f>
        <v>0</v>
      </c>
      <c r="G47" s="151"/>
      <c r="H47" s="40"/>
      <c r="J47" s="52"/>
    </row>
    <row r="48" spans="1:14" ht="15.75" thickBot="1" x14ac:dyDescent="0.3">
      <c r="A48" s="19"/>
      <c r="H48" s="40"/>
      <c r="J48" s="52"/>
    </row>
    <row r="49" spans="1:11" ht="15.75" thickBot="1" x14ac:dyDescent="0.3">
      <c r="A49" s="131" t="str">
        <f>$N$7</f>
        <v>CFTC</v>
      </c>
      <c r="B49" s="132"/>
      <c r="C49" s="127"/>
      <c r="D49" s="128"/>
      <c r="E49" s="13"/>
      <c r="F49" s="128"/>
      <c r="G49" s="128"/>
      <c r="H49" s="13"/>
      <c r="I49" s="13" t="str">
        <f>IF(ISNUMBER($H49),IFERROR(ROUND(($H49/$F$53)*100,2),""),"")</f>
        <v/>
      </c>
      <c r="J49" s="57" t="str">
        <f>I49</f>
        <v/>
      </c>
      <c r="K49" s="53" t="str">
        <f ca="1">IF($F49&lt;&gt;"",IF(OR(COUNTIF(cftcpc,"&lt;10")=COUNTA(OFFSET(cftcpc,0,-6,4,1)),COUNTIF(cftcpc,"&gt;10")=COUNTA(OFFSET(cftcpc,0,-6,4,1)),AND($I49&lt;10,$I49&lt;&gt;"",COUNTIF(cftcpc,"&gt;10")&lt;&gt;SUM(F54,F63,F72,F81,F90))),"Eligible","Non Eligible"),"")</f>
        <v/>
      </c>
    </row>
    <row r="50" spans="1:11" ht="15.75" thickBot="1" x14ac:dyDescent="0.3">
      <c r="A50" s="131" t="str">
        <f t="shared" ref="A50:A52" si="15">$N$7</f>
        <v>CFTC</v>
      </c>
      <c r="B50" s="132"/>
      <c r="C50" s="119"/>
      <c r="D50" s="110"/>
      <c r="E50" s="38"/>
      <c r="F50" s="110"/>
      <c r="G50" s="110"/>
      <c r="H50" s="38"/>
      <c r="I50" s="38" t="str">
        <f t="shared" ref="I50:I52" si="16">IF(ISNUMBER($H50),IFERROR(ROUND(($H50/$F$53)*100,2),""),"")</f>
        <v/>
      </c>
      <c r="J50" s="46" t="str">
        <f t="shared" ref="J50:J52" si="17">I50</f>
        <v/>
      </c>
      <c r="K50" s="53" t="str">
        <f ca="1">IF($F50&lt;&gt;"",IF(OR(COUNTIF(cftcpc,"&lt;10")=COUNTA(OFFSET(cftcpc,0,-6,4,1)),COUNTIF(cftcpc,"&gt;10")=COUNTA(OFFSET(cftcpc,0,-6,4,1)),AND($I50&lt;10,$I50&lt;&gt;"",COUNTIF(cftcpc,"&gt;10")&lt;&gt;SUM(F55,F64,F73,F82,F91))),"Eligible","Non Eligible"),"")</f>
        <v/>
      </c>
    </row>
    <row r="51" spans="1:11" ht="15.75" thickBot="1" x14ac:dyDescent="0.3">
      <c r="A51" s="131" t="str">
        <f t="shared" si="15"/>
        <v>CFTC</v>
      </c>
      <c r="B51" s="132"/>
      <c r="C51" s="119"/>
      <c r="D51" s="110"/>
      <c r="E51" s="38"/>
      <c r="F51" s="110"/>
      <c r="G51" s="110"/>
      <c r="H51" s="38"/>
      <c r="I51" s="38" t="str">
        <f t="shared" si="16"/>
        <v/>
      </c>
      <c r="J51" s="46" t="str">
        <f t="shared" si="17"/>
        <v/>
      </c>
      <c r="K51" s="53" t="str">
        <f ca="1">IF($F51&lt;&gt;"",IF(OR(COUNTIF(cftcpc,"&lt;10")=COUNTA(OFFSET(cftcpc,0,-6,4,1)),COUNTIF(cftcpc,"&gt;10")=COUNTA(OFFSET(cftcpc,0,-6,4,1)),AND($I51&lt;10,$I51&lt;&gt;"",COUNTIF(cftcpc,"&gt;10")&lt;&gt;SUM(F56,F65,F74,F83,F92))),"Eligible","Non Eligible"),"")</f>
        <v/>
      </c>
    </row>
    <row r="52" spans="1:11" ht="15.75" thickBot="1" x14ac:dyDescent="0.3">
      <c r="A52" s="131" t="str">
        <f t="shared" si="15"/>
        <v>CFTC</v>
      </c>
      <c r="B52" s="132"/>
      <c r="C52" s="120"/>
      <c r="D52" s="111"/>
      <c r="E52" s="15"/>
      <c r="F52" s="111"/>
      <c r="G52" s="111"/>
      <c r="H52" s="15"/>
      <c r="I52" s="15" t="str">
        <f t="shared" si="16"/>
        <v/>
      </c>
      <c r="J52" s="55" t="str">
        <f t="shared" si="17"/>
        <v/>
      </c>
      <c r="K52" s="53" t="str">
        <f ca="1">IF($H54&lt;&gt;"",IF(OR(COUNTIF(cftcpc,"&lt;10")=COUNTA(OFFSET(cftcpc,0,-10,4,1)),COUNTIF(cftcpc,"&gt;10")=COUNTA(OFFSET(cftcpc,0,-10,4,1)),AND($K54&lt;10,$K54&lt;&gt;"",COUNTIF(cftcpc,"&gt;10")&lt;&gt;SUM($E$37:$E$41))),"Eligible","Non Eligible"),"")</f>
        <v/>
      </c>
    </row>
    <row r="53" spans="1:11" x14ac:dyDescent="0.25">
      <c r="A53" s="96" t="str">
        <f>$N$7</f>
        <v>CFTC</v>
      </c>
      <c r="B53" s="97"/>
      <c r="C53" s="102" t="str">
        <f>C17</f>
        <v xml:space="preserve">Nombre de voix obtenues </v>
      </c>
      <c r="D53" s="102"/>
      <c r="E53" s="102"/>
      <c r="F53" s="102"/>
      <c r="G53" s="137"/>
      <c r="H53" s="2"/>
      <c r="I53" s="2"/>
      <c r="J53" s="2"/>
    </row>
    <row r="54" spans="1:11" x14ac:dyDescent="0.25">
      <c r="A54" s="98"/>
      <c r="B54" s="99"/>
      <c r="C54" s="103" t="str">
        <f t="shared" ref="C54:C56" si="18">C18</f>
        <v xml:space="preserve">Nombre de candidats </v>
      </c>
      <c r="D54" s="103"/>
      <c r="E54" s="103"/>
      <c r="F54" s="103"/>
      <c r="G54" s="138"/>
      <c r="H54" s="2"/>
      <c r="I54" s="2"/>
      <c r="J54" s="2"/>
    </row>
    <row r="55" spans="1:11" x14ac:dyDescent="0.25">
      <c r="A55" s="98"/>
      <c r="B55" s="99"/>
      <c r="C55" s="103" t="str">
        <f t="shared" si="18"/>
        <v xml:space="preserve">Moyenne des voix de la liste </v>
      </c>
      <c r="D55" s="103"/>
      <c r="E55" s="103"/>
      <c r="F55" s="103"/>
      <c r="G55" s="138"/>
      <c r="H55" s="2"/>
      <c r="I55" s="2"/>
      <c r="J55" s="2"/>
    </row>
    <row r="56" spans="1:11" ht="15.75" thickBot="1" x14ac:dyDescent="0.3">
      <c r="A56" s="100"/>
      <c r="B56" s="101"/>
      <c r="C56" s="104" t="str">
        <f t="shared" si="18"/>
        <v xml:space="preserve">Nombre de sièges attribués </v>
      </c>
      <c r="D56" s="104"/>
      <c r="E56" s="104"/>
      <c r="F56" s="104">
        <f>F69+F93+F115+F137</f>
        <v>0</v>
      </c>
      <c r="G56" s="151"/>
      <c r="H56" s="2"/>
      <c r="I56" s="2"/>
      <c r="J56" s="2"/>
    </row>
    <row r="57" spans="1:11" ht="15.75" thickBot="1" x14ac:dyDescent="0.3"/>
    <row r="58" spans="1:11" ht="16.5" thickBot="1" x14ac:dyDescent="0.3">
      <c r="A58" s="153" t="s">
        <v>35</v>
      </c>
      <c r="B58" s="154"/>
      <c r="C58" s="154"/>
      <c r="D58" s="155"/>
      <c r="F58" s="20">
        <f>SUM(F17+F26+F35+F44+F53)</f>
        <v>195</v>
      </c>
    </row>
    <row r="59" spans="1:11" ht="15.75" thickBot="1" x14ac:dyDescent="0.3"/>
    <row r="60" spans="1:11" ht="16.5" thickBot="1" x14ac:dyDescent="0.3">
      <c r="A60" s="153" t="s">
        <v>36</v>
      </c>
      <c r="B60" s="154"/>
      <c r="C60" s="154"/>
      <c r="D60" s="155"/>
      <c r="F60" s="20">
        <f>ROUND(F10/F4,2)</f>
        <v>25.33</v>
      </c>
    </row>
    <row r="61" spans="1:11" ht="15.75" thickBot="1" x14ac:dyDescent="0.3">
      <c r="A61" s="71"/>
      <c r="B61" s="71"/>
      <c r="C61" s="71"/>
      <c r="D61" s="71"/>
    </row>
    <row r="62" spans="1:11" ht="19.5" thickBot="1" x14ac:dyDescent="0.35">
      <c r="A62" s="161" t="s">
        <v>37</v>
      </c>
      <c r="B62" s="162"/>
      <c r="C62" s="162"/>
      <c r="D62" s="162"/>
      <c r="E62" s="162"/>
      <c r="F62" s="162"/>
      <c r="G62" s="162"/>
      <c r="H62" s="162"/>
      <c r="I62" s="163"/>
    </row>
    <row r="63" spans="1:11" x14ac:dyDescent="0.25">
      <c r="A63" s="164" t="s">
        <v>38</v>
      </c>
      <c r="B63" s="164"/>
      <c r="C63" s="164"/>
      <c r="D63" s="164"/>
      <c r="F63" s="166" t="s">
        <v>39</v>
      </c>
      <c r="G63" s="166"/>
      <c r="H63" s="166"/>
      <c r="I63" s="166"/>
    </row>
    <row r="64" spans="1:11" ht="15.75" thickBot="1" x14ac:dyDescent="0.3">
      <c r="A64" s="165"/>
      <c r="B64" s="165"/>
      <c r="C64" s="165"/>
      <c r="D64" s="165"/>
      <c r="F64" s="167"/>
      <c r="G64" s="167"/>
      <c r="H64" s="167"/>
      <c r="I64" s="167"/>
    </row>
    <row r="65" spans="1:16" ht="15.75" thickBot="1" x14ac:dyDescent="0.3">
      <c r="A65" s="156" t="str">
        <f>$M$6</f>
        <v xml:space="preserve">CFDT </v>
      </c>
      <c r="B65" s="156"/>
      <c r="C65" s="157"/>
      <c r="D65" s="22">
        <f>ROUND($F$19/$F$60,2)</f>
        <v>1.26</v>
      </c>
      <c r="F65" s="158">
        <f>IF(D65&gt;=1,ROUNDDOWN(D65,),IF(D65&lt;1,"0"))</f>
        <v>1</v>
      </c>
      <c r="G65" s="159"/>
      <c r="H65" s="159"/>
      <c r="I65" s="160"/>
      <c r="K65" s="168" t="s">
        <v>43</v>
      </c>
      <c r="L65" s="169"/>
      <c r="M65" s="44" t="str">
        <f>IF($F65=1,INDEX($C$13:$C$16,1),"")</f>
        <v>ROGER Jérémy</v>
      </c>
      <c r="N65" s="44" t="str">
        <f>IF($F65&gt;=2,INDEX($C$13:$C$16,2),"")</f>
        <v/>
      </c>
      <c r="O65" s="44" t="str">
        <f>IF($F65&gt;=3,INDEX($C$13:$C$16,3),"")</f>
        <v/>
      </c>
      <c r="P65" s="44" t="str">
        <f>IF($F65&gt;=4,INDEX($C$13:$C$16,4),"")</f>
        <v/>
      </c>
    </row>
    <row r="66" spans="1:16" ht="15.75" thickBot="1" x14ac:dyDescent="0.3">
      <c r="A66" s="156" t="str">
        <f>$N$6</f>
        <v xml:space="preserve">CGT </v>
      </c>
      <c r="B66" s="156"/>
      <c r="C66" s="157"/>
      <c r="D66" s="22">
        <f>ROUND($F$28/$F$60,2)</f>
        <v>0.65</v>
      </c>
      <c r="F66" s="158">
        <f>IF(D66&gt;=1,ROUNDDOWN(D66,),IF(D66&lt;1,0))</f>
        <v>0</v>
      </c>
      <c r="G66" s="159"/>
      <c r="H66" s="159"/>
      <c r="I66" s="160"/>
      <c r="K66" s="170"/>
      <c r="L66" s="171"/>
      <c r="M66" s="44" t="str">
        <f t="shared" ref="M66:M69" si="19">IF($F66=1,INDEX($C$13:$C$16,1),"")</f>
        <v/>
      </c>
      <c r="N66" s="44" t="str">
        <f t="shared" ref="N66:N69" si="20">IF($F66&gt;=2,INDEX($C$13:$C$16,2),"")</f>
        <v/>
      </c>
      <c r="O66" s="44" t="str">
        <f t="shared" ref="O66:O69" si="21">IF($F66&gt;=3,INDEX($C$13:$C$16,3),"")</f>
        <v/>
      </c>
      <c r="P66" s="44" t="str">
        <f t="shared" ref="P66:P69" si="22">IF($F66&gt;=4,INDEX($C$13:$C$16,4),"")</f>
        <v/>
      </c>
    </row>
    <row r="67" spans="1:16" ht="15.75" thickBot="1" x14ac:dyDescent="0.3">
      <c r="A67" s="156" t="str">
        <f>$O$6</f>
        <v xml:space="preserve">FO </v>
      </c>
      <c r="B67" s="156"/>
      <c r="C67" s="157"/>
      <c r="D67" s="22">
        <f>ROUND($F$37/$F$60,2)</f>
        <v>0.87</v>
      </c>
      <c r="F67" s="158">
        <f>IF(D67&gt;=1,ROUNDDOWN(D67,),IF(D67&lt;1,0))</f>
        <v>0</v>
      </c>
      <c r="G67" s="159"/>
      <c r="H67" s="159"/>
      <c r="I67" s="160"/>
      <c r="K67" s="170"/>
      <c r="L67" s="171"/>
      <c r="M67" s="44" t="str">
        <f t="shared" si="19"/>
        <v/>
      </c>
      <c r="N67" s="44" t="str">
        <f t="shared" si="20"/>
        <v/>
      </c>
      <c r="O67" s="44" t="str">
        <f t="shared" si="21"/>
        <v/>
      </c>
      <c r="P67" s="44" t="str">
        <f t="shared" si="22"/>
        <v/>
      </c>
    </row>
    <row r="68" spans="1:16" ht="15.75" thickBot="1" x14ac:dyDescent="0.3">
      <c r="A68" s="156" t="str">
        <f>$M$7</f>
        <v>CFE-CGT</v>
      </c>
      <c r="B68" s="156"/>
      <c r="C68" s="157"/>
      <c r="D68" s="22">
        <f>ROUND($F$46/$F$60,2)</f>
        <v>0</v>
      </c>
      <c r="F68" s="158">
        <f t="shared" ref="F68:F69" si="23">IF(D68&gt;=1,ROUNDDOWN(D68,),IF(D68&lt;1,0))</f>
        <v>0</v>
      </c>
      <c r="G68" s="159"/>
      <c r="H68" s="159"/>
      <c r="I68" s="160"/>
      <c r="K68" s="170"/>
      <c r="L68" s="171"/>
      <c r="M68" s="44" t="str">
        <f t="shared" si="19"/>
        <v/>
      </c>
      <c r="N68" s="44" t="str">
        <f t="shared" si="20"/>
        <v/>
      </c>
      <c r="O68" s="44" t="str">
        <f t="shared" si="21"/>
        <v/>
      </c>
      <c r="P68" s="44" t="str">
        <f t="shared" si="22"/>
        <v/>
      </c>
    </row>
    <row r="69" spans="1:16" ht="15.75" thickBot="1" x14ac:dyDescent="0.3">
      <c r="A69" s="156" t="str">
        <f>$N$7</f>
        <v>CFTC</v>
      </c>
      <c r="B69" s="156"/>
      <c r="C69" s="157"/>
      <c r="D69" s="28">
        <f>ROUND($F$55/$F$60,2)</f>
        <v>0</v>
      </c>
      <c r="F69" s="158">
        <f t="shared" si="23"/>
        <v>0</v>
      </c>
      <c r="G69" s="159"/>
      <c r="H69" s="159"/>
      <c r="I69" s="160"/>
      <c r="K69" s="172"/>
      <c r="L69" s="173"/>
      <c r="M69" s="44" t="str">
        <f t="shared" si="19"/>
        <v/>
      </c>
      <c r="N69" s="44" t="str">
        <f t="shared" si="20"/>
        <v/>
      </c>
      <c r="O69" s="44" t="str">
        <f t="shared" si="21"/>
        <v/>
      </c>
      <c r="P69" s="44" t="str">
        <f t="shared" si="22"/>
        <v/>
      </c>
    </row>
    <row r="71" spans="1:16" ht="15.75" x14ac:dyDescent="0.25">
      <c r="A71" s="177" t="s">
        <v>41</v>
      </c>
      <c r="B71" s="178"/>
      <c r="C71" s="178"/>
      <c r="D71" s="178"/>
      <c r="E71" s="178"/>
      <c r="F71" s="178"/>
      <c r="G71" s="179"/>
      <c r="I71" s="23">
        <f>F4-SUM(F65:I69)</f>
        <v>2</v>
      </c>
    </row>
    <row r="72" spans="1:16" ht="15.75" thickBot="1" x14ac:dyDescent="0.3"/>
    <row r="73" spans="1:16" ht="19.5" thickBot="1" x14ac:dyDescent="0.35">
      <c r="A73" s="161" t="s">
        <v>42</v>
      </c>
      <c r="B73" s="162"/>
      <c r="C73" s="162"/>
      <c r="D73" s="162"/>
      <c r="E73" s="162"/>
      <c r="F73" s="162"/>
      <c r="G73" s="162"/>
      <c r="H73" s="162"/>
      <c r="I73" s="163"/>
    </row>
    <row r="75" spans="1:16" ht="15.75" x14ac:dyDescent="0.25">
      <c r="A75" s="174" t="s">
        <v>44</v>
      </c>
      <c r="B75" s="174"/>
      <c r="C75" s="174"/>
      <c r="D75" s="174"/>
      <c r="E75" s="174"/>
      <c r="F75" s="174"/>
      <c r="G75" s="174"/>
      <c r="H75" s="174"/>
      <c r="I75" s="174"/>
      <c r="J75" s="26"/>
      <c r="K75" s="26"/>
      <c r="L75" s="26"/>
    </row>
    <row r="76" spans="1:16" ht="15.75" thickBot="1" x14ac:dyDescent="0.3"/>
    <row r="77" spans="1:16" ht="30" customHeight="1" thickBot="1" x14ac:dyDescent="0.3">
      <c r="C77" s="30" t="s">
        <v>48</v>
      </c>
      <c r="D77" s="175" t="s">
        <v>45</v>
      </c>
      <c r="E77" s="175"/>
      <c r="F77" s="175" t="s">
        <v>46</v>
      </c>
      <c r="G77" s="175"/>
      <c r="H77" s="175" t="s">
        <v>47</v>
      </c>
      <c r="I77" s="176"/>
    </row>
    <row r="78" spans="1:16" ht="15.75" thickBot="1" x14ac:dyDescent="0.3">
      <c r="A78" s="24" t="str">
        <f>$M$6</f>
        <v xml:space="preserve">CFDT </v>
      </c>
      <c r="C78" s="31">
        <f>F19</f>
        <v>32</v>
      </c>
      <c r="D78" s="187">
        <f>F65</f>
        <v>1</v>
      </c>
      <c r="E78" s="187"/>
      <c r="F78" s="191">
        <v>1</v>
      </c>
      <c r="G78" s="191"/>
      <c r="H78" s="187">
        <f>ROUND(C78/(D78+F78),2)</f>
        <v>16</v>
      </c>
      <c r="I78" s="188"/>
    </row>
    <row r="79" spans="1:16" ht="15.75" thickBot="1" x14ac:dyDescent="0.3">
      <c r="A79" s="24" t="str">
        <f>$N$6</f>
        <v xml:space="preserve">CGT </v>
      </c>
      <c r="C79" s="32">
        <f>F28</f>
        <v>16.5</v>
      </c>
      <c r="D79" s="142">
        <f t="shared" ref="D79:D82" si="24">F66</f>
        <v>0</v>
      </c>
      <c r="E79" s="142"/>
      <c r="F79" s="189">
        <v>1</v>
      </c>
      <c r="G79" s="189"/>
      <c r="H79" s="142">
        <f t="shared" ref="H79:H82" si="25">ROUND(C79/(D79+F79),2)</f>
        <v>16.5</v>
      </c>
      <c r="I79" s="190"/>
    </row>
    <row r="80" spans="1:16" x14ac:dyDescent="0.25">
      <c r="A80" s="24" t="str">
        <f>$O$6</f>
        <v xml:space="preserve">FO </v>
      </c>
      <c r="C80" s="32">
        <f>F37</f>
        <v>22</v>
      </c>
      <c r="D80" s="142">
        <f t="shared" si="24"/>
        <v>0</v>
      </c>
      <c r="E80" s="142"/>
      <c r="F80" s="189">
        <v>1</v>
      </c>
      <c r="G80" s="189"/>
      <c r="H80" s="142">
        <f t="shared" si="25"/>
        <v>22</v>
      </c>
      <c r="I80" s="190"/>
    </row>
    <row r="81" spans="1:14" x14ac:dyDescent="0.25">
      <c r="A81" s="25" t="str">
        <f>$M$7</f>
        <v>CFE-CGT</v>
      </c>
      <c r="C81" s="32">
        <f>F46</f>
        <v>0</v>
      </c>
      <c r="D81" s="142">
        <f t="shared" si="24"/>
        <v>0</v>
      </c>
      <c r="E81" s="142"/>
      <c r="F81" s="189">
        <v>1</v>
      </c>
      <c r="G81" s="189"/>
      <c r="H81" s="142">
        <f t="shared" si="25"/>
        <v>0</v>
      </c>
      <c r="I81" s="190"/>
    </row>
    <row r="82" spans="1:14" ht="15.75" thickBot="1" x14ac:dyDescent="0.3">
      <c r="A82" s="25" t="str">
        <f>$N$7</f>
        <v>CFTC</v>
      </c>
      <c r="C82" s="33">
        <f>F55</f>
        <v>0</v>
      </c>
      <c r="D82" s="146">
        <f t="shared" si="24"/>
        <v>0</v>
      </c>
      <c r="E82" s="146"/>
      <c r="F82" s="192">
        <v>1</v>
      </c>
      <c r="G82" s="192"/>
      <c r="H82" s="146">
        <f t="shared" si="25"/>
        <v>0</v>
      </c>
      <c r="I82" s="180"/>
    </row>
    <row r="83" spans="1:14" ht="15.75" thickBot="1" x14ac:dyDescent="0.3"/>
    <row r="84" spans="1:14" ht="16.5" thickBot="1" x14ac:dyDescent="0.3">
      <c r="A84" s="181" t="s">
        <v>49</v>
      </c>
      <c r="B84" s="181"/>
      <c r="C84" s="181"/>
      <c r="D84" s="181"/>
      <c r="E84" s="181"/>
      <c r="F84" s="181"/>
      <c r="G84" s="182"/>
      <c r="H84" s="183" t="str">
        <f>IF(H78=MAXA(H78:I82),A78,IF(H79=MAXA(H78:H82),A79,IF(H80=MAXA(H78:H82),A80,IF(H81=MAXA(H78:H82),A81,IF(H82=MAXA(H78:H82),A82,0)))))</f>
        <v xml:space="preserve">FO </v>
      </c>
      <c r="I84" s="184"/>
      <c r="K84" s="185" t="s">
        <v>40</v>
      </c>
      <c r="L84" s="186"/>
      <c r="M84" s="236" t="str">
        <f t="array" ref="M84">INDEX($C$13:$C$56,SMALL(IF(($A$13:$A$56)=$H$84,ROW($1:$44)),1+VLOOKUP($H$84,$A$65:$I$69,6,0)))</f>
        <v xml:space="preserve">YEKHLEF Mohamed </v>
      </c>
      <c r="N84" s="237"/>
    </row>
    <row r="86" spans="1:14" ht="15.75" thickBot="1" x14ac:dyDescent="0.3">
      <c r="A86" s="193" t="s">
        <v>55</v>
      </c>
      <c r="B86" s="193"/>
      <c r="C86" s="194"/>
      <c r="D86" s="194"/>
      <c r="E86" s="194"/>
      <c r="F86" s="194"/>
      <c r="G86" s="194"/>
      <c r="H86" s="194"/>
      <c r="I86" s="194"/>
    </row>
    <row r="87" spans="1:14" ht="30" customHeight="1" x14ac:dyDescent="0.25">
      <c r="C87" s="203" t="s">
        <v>50</v>
      </c>
      <c r="D87" s="195" t="s">
        <v>45</v>
      </c>
      <c r="E87" s="196"/>
      <c r="F87" s="211" t="s">
        <v>52</v>
      </c>
      <c r="G87" s="212"/>
      <c r="H87" s="197" t="s">
        <v>56</v>
      </c>
      <c r="I87" s="198"/>
    </row>
    <row r="88" spans="1:14" ht="15" customHeight="1" thickBot="1" x14ac:dyDescent="0.3">
      <c r="C88" s="204"/>
      <c r="D88" s="205" t="s">
        <v>51</v>
      </c>
      <c r="E88" s="206"/>
      <c r="F88" s="207" t="s">
        <v>54</v>
      </c>
      <c r="G88" s="208"/>
      <c r="H88" s="209" t="s">
        <v>53</v>
      </c>
      <c r="I88" s="210"/>
    </row>
    <row r="89" spans="1:14" ht="15.75" thickBot="1" x14ac:dyDescent="0.3">
      <c r="A89" s="24" t="str">
        <f>$M$6</f>
        <v xml:space="preserve">CFDT </v>
      </c>
      <c r="C89" s="35">
        <f>F19</f>
        <v>32</v>
      </c>
      <c r="D89" s="142">
        <f>F65</f>
        <v>1</v>
      </c>
      <c r="E89" s="142"/>
      <c r="F89" s="213">
        <f>IF(H78=MAXA(H$78:I$82),1,0)</f>
        <v>0</v>
      </c>
      <c r="G89" s="214"/>
      <c r="H89" s="199">
        <f>D89+F89</f>
        <v>1</v>
      </c>
      <c r="I89" s="200"/>
    </row>
    <row r="90" spans="1:14" ht="15.75" thickBot="1" x14ac:dyDescent="0.3">
      <c r="A90" s="24" t="str">
        <f>$N$6</f>
        <v xml:space="preserve">CGT </v>
      </c>
      <c r="C90" s="36">
        <f>F28</f>
        <v>16.5</v>
      </c>
      <c r="D90" s="142">
        <f t="shared" ref="D90:D93" si="26">F66</f>
        <v>0</v>
      </c>
      <c r="E90" s="142"/>
      <c r="F90" s="213">
        <f t="shared" ref="F90:F93" si="27">IF(H79=MAXA(H$78:I$82),1,0)</f>
        <v>0</v>
      </c>
      <c r="G90" s="214"/>
      <c r="H90" s="199">
        <f t="shared" ref="H90:H93" si="28">D90+F90</f>
        <v>0</v>
      </c>
      <c r="I90" s="200"/>
    </row>
    <row r="91" spans="1:14" x14ac:dyDescent="0.25">
      <c r="A91" s="24" t="str">
        <f>$O$6</f>
        <v xml:space="preserve">FO </v>
      </c>
      <c r="C91" s="36">
        <f>F37</f>
        <v>22</v>
      </c>
      <c r="D91" s="142">
        <f t="shared" si="26"/>
        <v>0</v>
      </c>
      <c r="E91" s="142"/>
      <c r="F91" s="213">
        <f t="shared" si="27"/>
        <v>1</v>
      </c>
      <c r="G91" s="214"/>
      <c r="H91" s="199">
        <f t="shared" si="28"/>
        <v>1</v>
      </c>
      <c r="I91" s="200"/>
    </row>
    <row r="92" spans="1:14" x14ac:dyDescent="0.25">
      <c r="A92" s="25" t="str">
        <f>$M$7</f>
        <v>CFE-CGT</v>
      </c>
      <c r="C92" s="36">
        <f>F46</f>
        <v>0</v>
      </c>
      <c r="D92" s="142">
        <f t="shared" si="26"/>
        <v>0</v>
      </c>
      <c r="E92" s="142"/>
      <c r="F92" s="213">
        <f t="shared" si="27"/>
        <v>0</v>
      </c>
      <c r="G92" s="214"/>
      <c r="H92" s="199">
        <f t="shared" si="28"/>
        <v>0</v>
      </c>
      <c r="I92" s="200"/>
    </row>
    <row r="93" spans="1:14" ht="15.75" thickBot="1" x14ac:dyDescent="0.3">
      <c r="A93" s="25" t="str">
        <f>$N$7</f>
        <v>CFTC</v>
      </c>
      <c r="C93" s="37">
        <f>F55</f>
        <v>0</v>
      </c>
      <c r="D93" s="146">
        <f t="shared" si="26"/>
        <v>0</v>
      </c>
      <c r="E93" s="146"/>
      <c r="F93" s="215">
        <f t="shared" si="27"/>
        <v>0</v>
      </c>
      <c r="G93" s="216"/>
      <c r="H93" s="201">
        <f t="shared" si="28"/>
        <v>0</v>
      </c>
      <c r="I93" s="202"/>
    </row>
    <row r="95" spans="1:14" ht="15.75" x14ac:dyDescent="0.25">
      <c r="A95" s="221" t="s">
        <v>57</v>
      </c>
      <c r="B95" s="221"/>
      <c r="C95" s="221"/>
      <c r="D95" s="221"/>
      <c r="E95" s="221"/>
      <c r="F95" s="221"/>
      <c r="G95" s="221"/>
      <c r="I95" s="23">
        <f>F4-SUM(H89:I93)</f>
        <v>1</v>
      </c>
    </row>
    <row r="97" spans="1:14" ht="15.75" x14ac:dyDescent="0.25">
      <c r="A97" s="222" t="s">
        <v>58</v>
      </c>
      <c r="B97" s="222"/>
      <c r="C97" s="222"/>
      <c r="D97" s="222"/>
      <c r="E97" s="222"/>
      <c r="F97" s="222"/>
      <c r="G97" s="222"/>
      <c r="H97" s="222"/>
      <c r="I97" s="222"/>
    </row>
    <row r="99" spans="1:14" ht="30" customHeight="1" thickBot="1" x14ac:dyDescent="0.3">
      <c r="C99" s="34" t="s">
        <v>59</v>
      </c>
      <c r="D99" s="217" t="s">
        <v>45</v>
      </c>
      <c r="E99" s="218"/>
      <c r="F99" s="217" t="s">
        <v>46</v>
      </c>
      <c r="G99" s="218"/>
      <c r="H99" s="217" t="s">
        <v>47</v>
      </c>
      <c r="I99" s="218"/>
    </row>
    <row r="100" spans="1:14" ht="15.75" thickBot="1" x14ac:dyDescent="0.3">
      <c r="A100" s="24" t="str">
        <f>$M$6</f>
        <v xml:space="preserve">CFDT </v>
      </c>
      <c r="C100" s="27">
        <f>F19</f>
        <v>32</v>
      </c>
      <c r="D100" s="223">
        <f>H89</f>
        <v>1</v>
      </c>
      <c r="E100" s="224"/>
      <c r="F100" s="219">
        <v>1</v>
      </c>
      <c r="G100" s="220"/>
      <c r="H100" s="223">
        <f>ROUND(C100/(D100+F100),2)</f>
        <v>16</v>
      </c>
      <c r="I100" s="224"/>
    </row>
    <row r="101" spans="1:14" ht="15.75" thickBot="1" x14ac:dyDescent="0.3">
      <c r="A101" s="24" t="str">
        <f>$N$6</f>
        <v xml:space="preserve">CGT </v>
      </c>
      <c r="C101" s="27">
        <f>F28</f>
        <v>16.5</v>
      </c>
      <c r="D101" s="223">
        <f t="shared" ref="D101:D104" si="29">H90</f>
        <v>0</v>
      </c>
      <c r="E101" s="224"/>
      <c r="F101" s="219">
        <v>1</v>
      </c>
      <c r="G101" s="220"/>
      <c r="H101" s="223">
        <f t="shared" ref="H101:H104" si="30">ROUND(C101/(D101+F101),2)</f>
        <v>16.5</v>
      </c>
      <c r="I101" s="224"/>
    </row>
    <row r="102" spans="1:14" x14ac:dyDescent="0.25">
      <c r="A102" s="24" t="str">
        <f>$O$6</f>
        <v xml:space="preserve">FO </v>
      </c>
      <c r="C102" s="27">
        <f>F37</f>
        <v>22</v>
      </c>
      <c r="D102" s="223">
        <f t="shared" si="29"/>
        <v>1</v>
      </c>
      <c r="E102" s="224"/>
      <c r="F102" s="219">
        <v>1</v>
      </c>
      <c r="G102" s="220"/>
      <c r="H102" s="223">
        <f t="shared" si="30"/>
        <v>11</v>
      </c>
      <c r="I102" s="224"/>
    </row>
    <row r="103" spans="1:14" x14ac:dyDescent="0.25">
      <c r="A103" s="25" t="str">
        <f>$M$7</f>
        <v>CFE-CGT</v>
      </c>
      <c r="C103" s="27">
        <f>F46</f>
        <v>0</v>
      </c>
      <c r="D103" s="223">
        <f t="shared" si="29"/>
        <v>0</v>
      </c>
      <c r="E103" s="224"/>
      <c r="F103" s="219">
        <v>1</v>
      </c>
      <c r="G103" s="220"/>
      <c r="H103" s="223">
        <f t="shared" si="30"/>
        <v>0</v>
      </c>
      <c r="I103" s="224"/>
    </row>
    <row r="104" spans="1:14" x14ac:dyDescent="0.25">
      <c r="A104" s="25" t="str">
        <f>$N$7</f>
        <v>CFTC</v>
      </c>
      <c r="C104" s="27">
        <f>F55</f>
        <v>0</v>
      </c>
      <c r="D104" s="223">
        <f t="shared" si="29"/>
        <v>0</v>
      </c>
      <c r="E104" s="224"/>
      <c r="F104" s="219">
        <v>1</v>
      </c>
      <c r="G104" s="220"/>
      <c r="H104" s="223">
        <f t="shared" si="30"/>
        <v>0</v>
      </c>
      <c r="I104" s="224"/>
    </row>
    <row r="105" spans="1:14" ht="15.75" thickBot="1" x14ac:dyDescent="0.3"/>
    <row r="106" spans="1:14" ht="16.5" thickBot="1" x14ac:dyDescent="0.3">
      <c r="A106" s="181" t="s">
        <v>49</v>
      </c>
      <c r="B106" s="181"/>
      <c r="C106" s="181"/>
      <c r="D106" s="181"/>
      <c r="E106" s="181"/>
      <c r="F106" s="181"/>
      <c r="G106" s="182"/>
      <c r="H106" s="183" t="str">
        <f>IF(H100=MAXA(H100:I104),A100,IF(H101=MAXA(H100:I104),A101,IF(H102=MAXA(H100:I104),A102,IF(H103=MAXA(H100:I104),A103,IF(H104=MAXA(H100:I104),A104,"0")))))</f>
        <v xml:space="preserve">CGT </v>
      </c>
      <c r="I106" s="184"/>
      <c r="K106" s="226" t="s">
        <v>40</v>
      </c>
      <c r="L106" s="227"/>
      <c r="M106" s="238" t="str">
        <f t="array" ref="M106">INDEX($C$13:$C$56,SMALL(IF(($A$13:$A$56)=$H$106,ROW($1:$44)),1+VLOOKUP($H$106,$A$65:$I$69,6,0)))</f>
        <v>LONGO Antonio</v>
      </c>
      <c r="N106" s="237"/>
    </row>
    <row r="107" spans="1:14" x14ac:dyDescent="0.25">
      <c r="D107" s="29"/>
    </row>
    <row r="108" spans="1:14" ht="15.75" x14ac:dyDescent="0.25">
      <c r="A108" s="193" t="s">
        <v>60</v>
      </c>
      <c r="B108" s="230"/>
      <c r="C108" s="230"/>
      <c r="D108" s="230"/>
      <c r="E108" s="230"/>
      <c r="F108" s="230"/>
      <c r="G108" s="230"/>
      <c r="H108" s="230"/>
      <c r="I108" s="230"/>
    </row>
    <row r="109" spans="1:14" ht="30" customHeight="1" x14ac:dyDescent="0.25">
      <c r="B109" s="232"/>
      <c r="C109" s="231" t="s">
        <v>61</v>
      </c>
      <c r="D109" s="233" t="s">
        <v>45</v>
      </c>
      <c r="E109" s="233"/>
      <c r="F109" s="228" t="s">
        <v>68</v>
      </c>
      <c r="G109" s="228"/>
      <c r="H109" s="225" t="s">
        <v>62</v>
      </c>
      <c r="I109" s="225"/>
    </row>
    <row r="110" spans="1:14" ht="15.75" thickBot="1" x14ac:dyDescent="0.3">
      <c r="B110" s="71"/>
      <c r="C110" s="231"/>
      <c r="D110" s="234" t="s">
        <v>53</v>
      </c>
      <c r="E110" s="234"/>
      <c r="F110" s="64" t="s">
        <v>63</v>
      </c>
      <c r="G110" s="64"/>
      <c r="H110" s="66" t="s">
        <v>64</v>
      </c>
      <c r="I110" s="66"/>
    </row>
    <row r="111" spans="1:14" ht="15.75" thickBot="1" x14ac:dyDescent="0.3">
      <c r="A111" s="24" t="str">
        <f>$M$6</f>
        <v xml:space="preserve">CFDT </v>
      </c>
      <c r="C111" s="27">
        <f>F19</f>
        <v>32</v>
      </c>
      <c r="D111" s="142">
        <f>H89</f>
        <v>1</v>
      </c>
      <c r="E111" s="142"/>
      <c r="F111" s="229">
        <f>IF(H100=MAXA(H$100:I$104),1,0)</f>
        <v>0</v>
      </c>
      <c r="G111" s="229"/>
      <c r="H111" s="235">
        <f>D111+F111</f>
        <v>1</v>
      </c>
      <c r="I111" s="235"/>
    </row>
    <row r="112" spans="1:14" ht="15.75" thickBot="1" x14ac:dyDescent="0.3">
      <c r="A112" s="24" t="str">
        <f>$N$6</f>
        <v xml:space="preserve">CGT </v>
      </c>
      <c r="C112" s="27">
        <f>F28</f>
        <v>16.5</v>
      </c>
      <c r="D112" s="142">
        <f t="shared" ref="D112:D115" si="31">H90</f>
        <v>0</v>
      </c>
      <c r="E112" s="142"/>
      <c r="F112" s="229">
        <f t="shared" ref="F112:F115" si="32">IF(H101=MAXA(H$100:I$104),1,0)</f>
        <v>1</v>
      </c>
      <c r="G112" s="229"/>
      <c r="H112" s="235">
        <f t="shared" ref="H112:H115" si="33">D112+F112</f>
        <v>1</v>
      </c>
      <c r="I112" s="235"/>
    </row>
    <row r="113" spans="1:14" x14ac:dyDescent="0.25">
      <c r="A113" s="24" t="str">
        <f>$O$6</f>
        <v xml:space="preserve">FO </v>
      </c>
      <c r="C113" s="27">
        <f>F37</f>
        <v>22</v>
      </c>
      <c r="D113" s="142">
        <f t="shared" si="31"/>
        <v>1</v>
      </c>
      <c r="E113" s="142"/>
      <c r="F113" s="229">
        <f t="shared" si="32"/>
        <v>0</v>
      </c>
      <c r="G113" s="229"/>
      <c r="H113" s="235">
        <f t="shared" si="33"/>
        <v>1</v>
      </c>
      <c r="I113" s="235"/>
    </row>
    <row r="114" spans="1:14" x14ac:dyDescent="0.25">
      <c r="A114" s="25" t="str">
        <f>$M$7</f>
        <v>CFE-CGT</v>
      </c>
      <c r="C114" s="27">
        <f>F46</f>
        <v>0</v>
      </c>
      <c r="D114" s="142">
        <f t="shared" si="31"/>
        <v>0</v>
      </c>
      <c r="E114" s="142"/>
      <c r="F114" s="229">
        <f t="shared" si="32"/>
        <v>0</v>
      </c>
      <c r="G114" s="229"/>
      <c r="H114" s="235">
        <f t="shared" si="33"/>
        <v>0</v>
      </c>
      <c r="I114" s="235"/>
    </row>
    <row r="115" spans="1:14" x14ac:dyDescent="0.25">
      <c r="A115" s="25" t="str">
        <f>$N$7</f>
        <v>CFTC</v>
      </c>
      <c r="C115" s="27">
        <f>F55</f>
        <v>0</v>
      </c>
      <c r="D115" s="142">
        <f t="shared" si="31"/>
        <v>0</v>
      </c>
      <c r="E115" s="142"/>
      <c r="F115" s="229">
        <f t="shared" si="32"/>
        <v>0</v>
      </c>
      <c r="G115" s="229"/>
      <c r="H115" s="235">
        <f t="shared" si="33"/>
        <v>0</v>
      </c>
      <c r="I115" s="235"/>
    </row>
    <row r="117" spans="1:14" ht="15.75" x14ac:dyDescent="0.25">
      <c r="A117" s="221" t="s">
        <v>57</v>
      </c>
      <c r="B117" s="221"/>
      <c r="C117" s="221"/>
      <c r="D117" s="221"/>
      <c r="E117" s="221"/>
      <c r="F117" s="221"/>
      <c r="G117" s="221"/>
      <c r="I117" s="23">
        <f>F4-SUM(H111:I115)</f>
        <v>0</v>
      </c>
    </row>
    <row r="119" spans="1:14" ht="15.75" x14ac:dyDescent="0.25">
      <c r="A119" s="222" t="s">
        <v>65</v>
      </c>
      <c r="B119" s="222"/>
      <c r="C119" s="222"/>
      <c r="D119" s="222"/>
      <c r="E119" s="222"/>
      <c r="F119" s="222"/>
      <c r="G119" s="222"/>
      <c r="H119" s="222"/>
      <c r="I119" s="222"/>
    </row>
    <row r="121" spans="1:14" ht="30" customHeight="1" thickBot="1" x14ac:dyDescent="0.3">
      <c r="C121" s="34" t="s">
        <v>61</v>
      </c>
      <c r="D121" s="233" t="s">
        <v>45</v>
      </c>
      <c r="E121" s="233"/>
      <c r="F121" s="233" t="s">
        <v>46</v>
      </c>
      <c r="G121" s="233"/>
      <c r="H121" s="233" t="s">
        <v>47</v>
      </c>
      <c r="I121" s="233"/>
    </row>
    <row r="122" spans="1:14" ht="15.75" thickBot="1" x14ac:dyDescent="0.3">
      <c r="A122" s="24" t="str">
        <f>$M$6</f>
        <v xml:space="preserve">CFDT </v>
      </c>
      <c r="C122" s="27">
        <f>F19</f>
        <v>32</v>
      </c>
      <c r="D122" s="110">
        <f>H111</f>
        <v>1</v>
      </c>
      <c r="E122" s="110"/>
      <c r="F122" s="189">
        <v>1</v>
      </c>
      <c r="G122" s="189"/>
      <c r="H122" s="110">
        <f>ROUND(C122/(D122+F122),2)</f>
        <v>16</v>
      </c>
      <c r="I122" s="110"/>
    </row>
    <row r="123" spans="1:14" ht="15.75" thickBot="1" x14ac:dyDescent="0.3">
      <c r="A123" s="24" t="str">
        <f>$N$6</f>
        <v xml:space="preserve">CGT </v>
      </c>
      <c r="C123" s="27">
        <f>F28</f>
        <v>16.5</v>
      </c>
      <c r="D123" s="110">
        <f t="shared" ref="D123:D126" si="34">H112</f>
        <v>1</v>
      </c>
      <c r="E123" s="110"/>
      <c r="F123" s="189">
        <v>1</v>
      </c>
      <c r="G123" s="189"/>
      <c r="H123" s="110">
        <f t="shared" ref="H123:H126" si="35">ROUND(C123/(D123+F123),2)</f>
        <v>8.25</v>
      </c>
      <c r="I123" s="110"/>
    </row>
    <row r="124" spans="1:14" x14ac:dyDescent="0.25">
      <c r="A124" s="24" t="str">
        <f>$O$6</f>
        <v xml:space="preserve">FO </v>
      </c>
      <c r="C124" s="27">
        <f>F37</f>
        <v>22</v>
      </c>
      <c r="D124" s="110">
        <f t="shared" si="34"/>
        <v>1</v>
      </c>
      <c r="E124" s="110"/>
      <c r="F124" s="189">
        <v>1</v>
      </c>
      <c r="G124" s="189"/>
      <c r="H124" s="110">
        <f t="shared" si="35"/>
        <v>11</v>
      </c>
      <c r="I124" s="110"/>
    </row>
    <row r="125" spans="1:14" x14ac:dyDescent="0.25">
      <c r="A125" s="25" t="str">
        <f>$M$7</f>
        <v>CFE-CGT</v>
      </c>
      <c r="C125" s="27">
        <f>F46</f>
        <v>0</v>
      </c>
      <c r="D125" s="110">
        <f t="shared" si="34"/>
        <v>0</v>
      </c>
      <c r="E125" s="110"/>
      <c r="F125" s="189">
        <v>1</v>
      </c>
      <c r="G125" s="189"/>
      <c r="H125" s="110">
        <f t="shared" si="35"/>
        <v>0</v>
      </c>
      <c r="I125" s="110"/>
    </row>
    <row r="126" spans="1:14" x14ac:dyDescent="0.25">
      <c r="A126" s="25" t="str">
        <f>$N$7</f>
        <v>CFTC</v>
      </c>
      <c r="C126" s="27">
        <f>F55</f>
        <v>0</v>
      </c>
      <c r="D126" s="110">
        <f t="shared" si="34"/>
        <v>0</v>
      </c>
      <c r="E126" s="110"/>
      <c r="F126" s="189">
        <v>1</v>
      </c>
      <c r="G126" s="189"/>
      <c r="H126" s="110">
        <f t="shared" si="35"/>
        <v>0</v>
      </c>
      <c r="I126" s="110"/>
    </row>
    <row r="127" spans="1:14" ht="15.75" thickBot="1" x14ac:dyDescent="0.3"/>
    <row r="128" spans="1:14" ht="16.5" thickBot="1" x14ac:dyDescent="0.3">
      <c r="A128" s="181" t="s">
        <v>49</v>
      </c>
      <c r="B128" s="181"/>
      <c r="C128" s="181"/>
      <c r="D128" s="181"/>
      <c r="E128" s="181"/>
      <c r="F128" s="181"/>
      <c r="G128" s="182"/>
      <c r="H128" s="183" t="str">
        <f>IF(H122=MAXA(H122:I126),A122,IF(H123=MAXA(H122:I126),A123,IF(H124=MAXA(H122:I126),A124,IF(H125=MAXA(H122:I126),A125,IF(H126=MAXA(H122:I126),A126,"0")))))</f>
        <v xml:space="preserve">CFDT </v>
      </c>
      <c r="I128" s="184"/>
      <c r="K128" s="185" t="s">
        <v>40</v>
      </c>
      <c r="L128" s="186"/>
      <c r="M128" s="238" t="str">
        <f t="array" ref="M128">INDEX($C$13:$C$56,SMALL(IF(($A$13:$A$56)=$H$128,ROW($1:$44)),1+VLOOKUP($H$128,$A$65:$I$69,6,0)))</f>
        <v xml:space="preserve">GUERLET Sébastien </v>
      </c>
      <c r="N128" s="237"/>
    </row>
    <row r="130" spans="1:9" x14ac:dyDescent="0.25">
      <c r="A130" s="193" t="s">
        <v>66</v>
      </c>
      <c r="B130" s="193"/>
      <c r="C130" s="193"/>
      <c r="D130" s="193"/>
      <c r="E130" s="193"/>
      <c r="F130" s="193"/>
      <c r="G130" s="193"/>
      <c r="H130" s="193"/>
      <c r="I130" s="193"/>
    </row>
    <row r="131" spans="1:9" ht="30" customHeight="1" x14ac:dyDescent="0.25">
      <c r="C131" s="231" t="s">
        <v>67</v>
      </c>
      <c r="D131" s="233" t="s">
        <v>45</v>
      </c>
      <c r="E131" s="233"/>
      <c r="F131" s="228" t="s">
        <v>69</v>
      </c>
      <c r="G131" s="228"/>
      <c r="H131" s="225" t="s">
        <v>62</v>
      </c>
      <c r="I131" s="225"/>
    </row>
    <row r="132" spans="1:9" ht="15.75" thickBot="1" x14ac:dyDescent="0.3">
      <c r="C132" s="231"/>
      <c r="D132" s="234" t="s">
        <v>70</v>
      </c>
      <c r="E132" s="234"/>
      <c r="F132" s="64" t="s">
        <v>71</v>
      </c>
      <c r="G132" s="64"/>
      <c r="H132" s="66" t="s">
        <v>64</v>
      </c>
      <c r="I132" s="66"/>
    </row>
    <row r="133" spans="1:9" ht="15.75" thickBot="1" x14ac:dyDescent="0.3">
      <c r="A133" s="24" t="str">
        <f>$M$6</f>
        <v xml:space="preserve">CFDT </v>
      </c>
      <c r="C133" s="38">
        <f>F19</f>
        <v>32</v>
      </c>
      <c r="D133" s="110">
        <f>D122</f>
        <v>1</v>
      </c>
      <c r="E133" s="110"/>
      <c r="F133" s="65">
        <f>IF(H122=MAXA(H$122:I$126),1,0)</f>
        <v>1</v>
      </c>
      <c r="G133" s="65"/>
      <c r="H133" s="67">
        <f>D133+F133</f>
        <v>2</v>
      </c>
      <c r="I133" s="67"/>
    </row>
    <row r="134" spans="1:9" ht="15.75" thickBot="1" x14ac:dyDescent="0.3">
      <c r="A134" s="24" t="str">
        <f>$N$6</f>
        <v xml:space="preserve">CGT </v>
      </c>
      <c r="C134" s="38">
        <f>F28</f>
        <v>16.5</v>
      </c>
      <c r="D134" s="110">
        <f t="shared" ref="D134:D137" si="36">D123</f>
        <v>1</v>
      </c>
      <c r="E134" s="110"/>
      <c r="F134" s="65">
        <f t="shared" ref="F134:F137" si="37">IF(H123=MAXA(H$122:I$126),1,0)</f>
        <v>0</v>
      </c>
      <c r="G134" s="65"/>
      <c r="H134" s="67">
        <f t="shared" ref="H134:H137" si="38">D134+F134</f>
        <v>1</v>
      </c>
      <c r="I134" s="67"/>
    </row>
    <row r="135" spans="1:9" x14ac:dyDescent="0.25">
      <c r="A135" s="24" t="str">
        <f>$O$6</f>
        <v xml:space="preserve">FO </v>
      </c>
      <c r="C135" s="38">
        <f>F37</f>
        <v>22</v>
      </c>
      <c r="D135" s="110">
        <f t="shared" si="36"/>
        <v>1</v>
      </c>
      <c r="E135" s="110"/>
      <c r="F135" s="65">
        <f t="shared" si="37"/>
        <v>0</v>
      </c>
      <c r="G135" s="65"/>
      <c r="H135" s="67">
        <f t="shared" si="38"/>
        <v>1</v>
      </c>
      <c r="I135" s="67"/>
    </row>
    <row r="136" spans="1:9" x14ac:dyDescent="0.25">
      <c r="A136" s="25" t="str">
        <f>$M$7</f>
        <v>CFE-CGT</v>
      </c>
      <c r="C136" s="38">
        <f>F46</f>
        <v>0</v>
      </c>
      <c r="D136" s="110">
        <f t="shared" si="36"/>
        <v>0</v>
      </c>
      <c r="E136" s="110"/>
      <c r="F136" s="65">
        <f t="shared" si="37"/>
        <v>0</v>
      </c>
      <c r="G136" s="65"/>
      <c r="H136" s="67">
        <f t="shared" si="38"/>
        <v>0</v>
      </c>
      <c r="I136" s="67"/>
    </row>
    <row r="137" spans="1:9" x14ac:dyDescent="0.25">
      <c r="A137" s="25" t="str">
        <f>$N$7</f>
        <v>CFTC</v>
      </c>
      <c r="C137" s="38">
        <f>F55</f>
        <v>0</v>
      </c>
      <c r="D137" s="110">
        <f t="shared" si="36"/>
        <v>0</v>
      </c>
      <c r="E137" s="110"/>
      <c r="F137" s="65">
        <f t="shared" si="37"/>
        <v>0</v>
      </c>
      <c r="G137" s="65"/>
      <c r="H137" s="67">
        <f t="shared" si="38"/>
        <v>0</v>
      </c>
      <c r="I137" s="67"/>
    </row>
    <row r="139" spans="1:9" ht="15.75" x14ac:dyDescent="0.25">
      <c r="A139" s="221" t="s">
        <v>72</v>
      </c>
      <c r="B139" s="221"/>
      <c r="C139" s="221"/>
      <c r="D139" s="221"/>
      <c r="E139" s="221"/>
      <c r="F139" s="221"/>
      <c r="G139" s="221"/>
      <c r="I139" s="23">
        <f>F4-SUM(H133:I137)</f>
        <v>-1</v>
      </c>
    </row>
  </sheetData>
  <mergeCells count="279">
    <mergeCell ref="A139:G139"/>
    <mergeCell ref="A128:G128"/>
    <mergeCell ref="H128:I128"/>
    <mergeCell ref="K128:L128"/>
    <mergeCell ref="D125:E125"/>
    <mergeCell ref="F125:G125"/>
    <mergeCell ref="H125:I125"/>
    <mergeCell ref="D126:E126"/>
    <mergeCell ref="F126:G126"/>
    <mergeCell ref="H126:I126"/>
    <mergeCell ref="A130:I130"/>
    <mergeCell ref="D131:E131"/>
    <mergeCell ref="F131:G131"/>
    <mergeCell ref="H131:I131"/>
    <mergeCell ref="C131:C132"/>
    <mergeCell ref="D132:E132"/>
    <mergeCell ref="D133:E133"/>
    <mergeCell ref="D134:E134"/>
    <mergeCell ref="D135:E135"/>
    <mergeCell ref="H137:I137"/>
    <mergeCell ref="D137:E137"/>
    <mergeCell ref="F137:G137"/>
    <mergeCell ref="D136:E136"/>
    <mergeCell ref="D123:E123"/>
    <mergeCell ref="F123:G123"/>
    <mergeCell ref="H123:I123"/>
    <mergeCell ref="D124:E124"/>
    <mergeCell ref="F124:G124"/>
    <mergeCell ref="H124:I124"/>
    <mergeCell ref="A117:G117"/>
    <mergeCell ref="A119:I119"/>
    <mergeCell ref="D121:E121"/>
    <mergeCell ref="F121:G121"/>
    <mergeCell ref="H121:I121"/>
    <mergeCell ref="D122:E122"/>
    <mergeCell ref="F122:G122"/>
    <mergeCell ref="H122:I122"/>
    <mergeCell ref="F111:G111"/>
    <mergeCell ref="F112:G112"/>
    <mergeCell ref="F113:G113"/>
    <mergeCell ref="F114:G114"/>
    <mergeCell ref="F115:G115"/>
    <mergeCell ref="A108:I108"/>
    <mergeCell ref="C109:C110"/>
    <mergeCell ref="B109:B110"/>
    <mergeCell ref="D109:E109"/>
    <mergeCell ref="D110:E110"/>
    <mergeCell ref="H111:I111"/>
    <mergeCell ref="H112:I112"/>
    <mergeCell ref="H113:I113"/>
    <mergeCell ref="H114:I114"/>
    <mergeCell ref="H115:I115"/>
    <mergeCell ref="D111:E111"/>
    <mergeCell ref="D112:E112"/>
    <mergeCell ref="D113:E113"/>
    <mergeCell ref="D114:E114"/>
    <mergeCell ref="D115:E115"/>
    <mergeCell ref="A106:G106"/>
    <mergeCell ref="H106:I106"/>
    <mergeCell ref="H109:I109"/>
    <mergeCell ref="H110:I110"/>
    <mergeCell ref="K106:L106"/>
    <mergeCell ref="D103:E103"/>
    <mergeCell ref="D104:E104"/>
    <mergeCell ref="F109:G109"/>
    <mergeCell ref="F110:G110"/>
    <mergeCell ref="F99:G99"/>
    <mergeCell ref="F100:G100"/>
    <mergeCell ref="F101:G101"/>
    <mergeCell ref="F102:G102"/>
    <mergeCell ref="F103:G103"/>
    <mergeCell ref="F104:G104"/>
    <mergeCell ref="A95:G95"/>
    <mergeCell ref="A97:I97"/>
    <mergeCell ref="D99:E99"/>
    <mergeCell ref="D100:E100"/>
    <mergeCell ref="D101:E101"/>
    <mergeCell ref="D102:E102"/>
    <mergeCell ref="H99:I99"/>
    <mergeCell ref="H100:I100"/>
    <mergeCell ref="H101:I101"/>
    <mergeCell ref="H102:I102"/>
    <mergeCell ref="H103:I103"/>
    <mergeCell ref="H104:I104"/>
    <mergeCell ref="H93:I93"/>
    <mergeCell ref="C87:C88"/>
    <mergeCell ref="D88:E88"/>
    <mergeCell ref="F88:G88"/>
    <mergeCell ref="H88:I88"/>
    <mergeCell ref="D93:E93"/>
    <mergeCell ref="F87:G87"/>
    <mergeCell ref="F89:G89"/>
    <mergeCell ref="F90:G90"/>
    <mergeCell ref="F91:G91"/>
    <mergeCell ref="F92:G92"/>
    <mergeCell ref="F93:G93"/>
    <mergeCell ref="A86:I86"/>
    <mergeCell ref="D87:E87"/>
    <mergeCell ref="D89:E89"/>
    <mergeCell ref="D90:E90"/>
    <mergeCell ref="D91:E91"/>
    <mergeCell ref="D92:E92"/>
    <mergeCell ref="H87:I87"/>
    <mergeCell ref="H89:I89"/>
    <mergeCell ref="H90:I90"/>
    <mergeCell ref="H91:I91"/>
    <mergeCell ref="H92:I92"/>
    <mergeCell ref="H78:I78"/>
    <mergeCell ref="F79:G79"/>
    <mergeCell ref="H79:I79"/>
    <mergeCell ref="F80:G80"/>
    <mergeCell ref="H80:I80"/>
    <mergeCell ref="F81:G81"/>
    <mergeCell ref="H81:I81"/>
    <mergeCell ref="D78:E78"/>
    <mergeCell ref="D79:E79"/>
    <mergeCell ref="D80:E80"/>
    <mergeCell ref="D81:E81"/>
    <mergeCell ref="D82:E82"/>
    <mergeCell ref="F78:G78"/>
    <mergeCell ref="F82:G82"/>
    <mergeCell ref="K65:L69"/>
    <mergeCell ref="A75:I75"/>
    <mergeCell ref="D77:E77"/>
    <mergeCell ref="F77:G77"/>
    <mergeCell ref="H77:I77"/>
    <mergeCell ref="A71:G71"/>
    <mergeCell ref="A73:I73"/>
    <mergeCell ref="H82:I82"/>
    <mergeCell ref="A84:G84"/>
    <mergeCell ref="H84:I84"/>
    <mergeCell ref="K84:L84"/>
    <mergeCell ref="A68:C68"/>
    <mergeCell ref="A69:C69"/>
    <mergeCell ref="F65:I65"/>
    <mergeCell ref="F66:I66"/>
    <mergeCell ref="F67:I67"/>
    <mergeCell ref="F68:I68"/>
    <mergeCell ref="F69:I69"/>
    <mergeCell ref="A62:I62"/>
    <mergeCell ref="A63:D64"/>
    <mergeCell ref="F63:I64"/>
    <mergeCell ref="A65:C65"/>
    <mergeCell ref="A66:C66"/>
    <mergeCell ref="A67:C67"/>
    <mergeCell ref="F55:G55"/>
    <mergeCell ref="F56:G56"/>
    <mergeCell ref="A53:B56"/>
    <mergeCell ref="A58:D58"/>
    <mergeCell ref="A61:D61"/>
    <mergeCell ref="A60:D60"/>
    <mergeCell ref="F49:G49"/>
    <mergeCell ref="F50:G50"/>
    <mergeCell ref="F51:G51"/>
    <mergeCell ref="F52:G52"/>
    <mergeCell ref="C53:E53"/>
    <mergeCell ref="C54:E54"/>
    <mergeCell ref="F53:G53"/>
    <mergeCell ref="F54:G54"/>
    <mergeCell ref="C49:D49"/>
    <mergeCell ref="C50:D50"/>
    <mergeCell ref="C51:D51"/>
    <mergeCell ref="C52:D52"/>
    <mergeCell ref="C55:E55"/>
    <mergeCell ref="C56:E56"/>
    <mergeCell ref="A49:B49"/>
    <mergeCell ref="A50:B50"/>
    <mergeCell ref="A51:B51"/>
    <mergeCell ref="A52:B52"/>
    <mergeCell ref="A44:B47"/>
    <mergeCell ref="F37:G37"/>
    <mergeCell ref="F38:G38"/>
    <mergeCell ref="A35:B38"/>
    <mergeCell ref="A40:B40"/>
    <mergeCell ref="A41:B41"/>
    <mergeCell ref="A42:B42"/>
    <mergeCell ref="F40:G40"/>
    <mergeCell ref="F41:G41"/>
    <mergeCell ref="F42:G42"/>
    <mergeCell ref="C37:E37"/>
    <mergeCell ref="C38:E38"/>
    <mergeCell ref="F43:G43"/>
    <mergeCell ref="C44:E44"/>
    <mergeCell ref="C45:E45"/>
    <mergeCell ref="C46:E46"/>
    <mergeCell ref="C47:E47"/>
    <mergeCell ref="F44:G44"/>
    <mergeCell ref="F45:G45"/>
    <mergeCell ref="F46:G46"/>
    <mergeCell ref="F47:G47"/>
    <mergeCell ref="C35:E35"/>
    <mergeCell ref="C36:E36"/>
    <mergeCell ref="F35:G35"/>
    <mergeCell ref="F31:G31"/>
    <mergeCell ref="F32:G32"/>
    <mergeCell ref="F36:G36"/>
    <mergeCell ref="C31:D31"/>
    <mergeCell ref="C32:D32"/>
    <mergeCell ref="C33:D33"/>
    <mergeCell ref="C34:D34"/>
    <mergeCell ref="A43:B43"/>
    <mergeCell ref="C40:D40"/>
    <mergeCell ref="C41:D41"/>
    <mergeCell ref="C42:D42"/>
    <mergeCell ref="C43:D43"/>
    <mergeCell ref="A31:B31"/>
    <mergeCell ref="A32:B32"/>
    <mergeCell ref="A33:B33"/>
    <mergeCell ref="A34:B34"/>
    <mergeCell ref="F33:G33"/>
    <mergeCell ref="F34:G34"/>
    <mergeCell ref="C22:D22"/>
    <mergeCell ref="C23:D23"/>
    <mergeCell ref="C24:D24"/>
    <mergeCell ref="C25:D25"/>
    <mergeCell ref="C26:E26"/>
    <mergeCell ref="F19:G19"/>
    <mergeCell ref="F20:G20"/>
    <mergeCell ref="A22:B22"/>
    <mergeCell ref="A23:B23"/>
    <mergeCell ref="A24:B24"/>
    <mergeCell ref="A25:B25"/>
    <mergeCell ref="F22:G22"/>
    <mergeCell ref="F23:G23"/>
    <mergeCell ref="F24:G24"/>
    <mergeCell ref="F25:G25"/>
    <mergeCell ref="A26:B29"/>
    <mergeCell ref="C27:E27"/>
    <mergeCell ref="C28:E28"/>
    <mergeCell ref="F26:G26"/>
    <mergeCell ref="F27:G27"/>
    <mergeCell ref="F28:G28"/>
    <mergeCell ref="C29:E29"/>
    <mergeCell ref="F29:G29"/>
    <mergeCell ref="K6:L7"/>
    <mergeCell ref="A17:B20"/>
    <mergeCell ref="C17:E17"/>
    <mergeCell ref="C18:E18"/>
    <mergeCell ref="C19:E19"/>
    <mergeCell ref="C20:E20"/>
    <mergeCell ref="F17:G17"/>
    <mergeCell ref="F18:G18"/>
    <mergeCell ref="F13:G13"/>
    <mergeCell ref="F14:G14"/>
    <mergeCell ref="F15:G15"/>
    <mergeCell ref="F16:G16"/>
    <mergeCell ref="A13:B13"/>
    <mergeCell ref="A14:B14"/>
    <mergeCell ref="A15:B15"/>
    <mergeCell ref="A16:B16"/>
    <mergeCell ref="C13:D13"/>
    <mergeCell ref="C14:D14"/>
    <mergeCell ref="C15:D15"/>
    <mergeCell ref="C16:D16"/>
    <mergeCell ref="A12:B12"/>
    <mergeCell ref="C12:D12"/>
    <mergeCell ref="F12:G12"/>
    <mergeCell ref="A7:D7"/>
    <mergeCell ref="A8:D8"/>
    <mergeCell ref="A9:D9"/>
    <mergeCell ref="A10:D10"/>
    <mergeCell ref="H6:H8"/>
    <mergeCell ref="I7:I8"/>
    <mergeCell ref="A1:D1"/>
    <mergeCell ref="F1:I1"/>
    <mergeCell ref="A2:D2"/>
    <mergeCell ref="F2:I2"/>
    <mergeCell ref="A4:D4"/>
    <mergeCell ref="A6:D6"/>
    <mergeCell ref="F132:G132"/>
    <mergeCell ref="F133:G133"/>
    <mergeCell ref="F134:G134"/>
    <mergeCell ref="F135:G135"/>
    <mergeCell ref="F136:G136"/>
    <mergeCell ref="H132:I132"/>
    <mergeCell ref="H133:I133"/>
    <mergeCell ref="H134:I134"/>
    <mergeCell ref="H135:I135"/>
    <mergeCell ref="H136:I136"/>
  </mergeCells>
  <conditionalFormatting sqref="F13:G16">
    <cfRule type="cellIs" dxfId="2" priority="5" operator="equal">
      <formula>MAXA($F$13:$G$16)</formula>
    </cfRule>
  </conditionalFormatting>
  <conditionalFormatting sqref="F22:G25">
    <cfRule type="cellIs" dxfId="1" priority="4" operator="equal">
      <formula>MAXA($F$22:$G$25)</formula>
    </cfRule>
  </conditionalFormatting>
  <conditionalFormatting sqref="F31:G34">
    <cfRule type="cellIs" dxfId="0" priority="2" operator="equal">
      <formula>MAXA($F$31:$G$34)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BEE70DF9-7B55-4209-AA3D-1791497DF316}">
            <x14:iconSet iconSet="3Symbols" showValue="0" custom="1">
              <x14:cfvo type="percent">
                <xm:f>0</xm:f>
              </x14:cfvo>
              <x14:cfvo type="num">
                <xm:f>10</xm:f>
              </x14:cfvo>
              <x14:cfvo type="num" gte="0">
                <xm:f>10</xm:f>
              </x14:cfvo>
              <x14:cfIcon iconSet="3Symbols" iconId="2"/>
              <x14:cfIcon iconSet="3Symbols" iconId="2"/>
              <x14:cfIcon iconSet="3Symbols" iconId="0"/>
            </x14:iconSet>
          </x14:cfRule>
          <xm:sqref>J13:J52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cfdtpc</vt:lpstr>
      <vt:lpstr>cfecgtpc</vt:lpstr>
      <vt:lpstr>cgtcpc</vt:lpstr>
      <vt:lpstr>cgtpc</vt:lpstr>
      <vt:lpstr>fopc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BILLAUX Adrien</dc:creator>
  <cp:lastModifiedBy>J-Paul</cp:lastModifiedBy>
  <dcterms:created xsi:type="dcterms:W3CDTF">2016-07-11T11:53:35Z</dcterms:created>
  <dcterms:modified xsi:type="dcterms:W3CDTF">2016-07-12T22:48:17Z</dcterms:modified>
</cp:coreProperties>
</file>