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9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ED39C0D-6480-41FF-88BA-60ABB0DE9F86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Mouvements de stocks" sheetId="1" r:id="rId1"/>
    <sheet name="État de sorties" sheetId="2" r:id="rId2"/>
    <sheet name="Arrivages" sheetId="3" r:id="rId3"/>
    <sheet name="Récapitulatif Reporting" sheetId="4" r:id="rId4"/>
    <sheet name="Feuil1" sheetId="5" r:id="rId5"/>
  </sheets>
  <definedNames>
    <definedName name="_xlnm._FilterDatabase" localSheetId="0" hidden="1">'Mouvements de stocks'!$A$6:$A$16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4" l="1"/>
  <c r="G7" i="4"/>
  <c r="G8" i="4"/>
  <c r="G9" i="4"/>
  <c r="G10" i="4"/>
  <c r="F8" i="4" a="1"/>
  <c r="F8" i="4" s="1"/>
  <c r="F9" i="4" a="1"/>
  <c r="F9" i="4"/>
  <c r="F10" i="4" a="1"/>
  <c r="F10" i="4" s="1"/>
  <c r="F11" i="4" a="1"/>
  <c r="F11" i="4"/>
  <c r="G11" i="4" s="1"/>
  <c r="F12" i="4" a="1"/>
  <c r="F12" i="4" s="1"/>
  <c r="G12" i="4" s="1"/>
  <c r="F13" i="4" a="1"/>
  <c r="F13" i="4" s="1"/>
  <c r="G13" i="4" s="1"/>
  <c r="F14" i="4" a="1"/>
  <c r="F14" i="4" s="1"/>
  <c r="G14" i="4" s="1"/>
  <c r="F15" i="4" a="1"/>
  <c r="F15" i="4" s="1"/>
  <c r="G15" i="4" s="1"/>
  <c r="F16" i="4" a="1"/>
  <c r="F16" i="4" s="1"/>
  <c r="G16" i="4" s="1"/>
  <c r="F17" i="4" a="1"/>
  <c r="F17" i="4" s="1"/>
  <c r="G17" i="4" s="1"/>
  <c r="F18" i="4" a="1"/>
  <c r="F18" i="4" s="1"/>
  <c r="G18" i="4" s="1"/>
  <c r="F19" i="4" a="1"/>
  <c r="F19" i="4" s="1"/>
  <c r="G19" i="4" s="1"/>
  <c r="F20" i="4" a="1"/>
  <c r="F20" i="4" s="1"/>
  <c r="G20" i="4" s="1"/>
  <c r="F7" i="4" a="1"/>
  <c r="F7" i="4" s="1"/>
  <c r="C65" i="1"/>
  <c r="C61" i="1"/>
  <c r="C11" i="1"/>
  <c r="C7" i="1"/>
  <c r="C6" i="1"/>
  <c r="C62" i="2"/>
  <c r="B53" i="2"/>
  <c r="C57" i="1" s="1"/>
  <c r="B54" i="2"/>
  <c r="C58" i="1" s="1"/>
  <c r="B55" i="2"/>
  <c r="C59" i="1" s="1"/>
  <c r="B56" i="2"/>
  <c r="C60" i="1" s="1"/>
  <c r="B57" i="2"/>
  <c r="B58" i="2"/>
  <c r="C62" i="1" s="1"/>
  <c r="B59" i="2"/>
  <c r="C63" i="1" s="1"/>
  <c r="B60" i="2"/>
  <c r="C64" i="1" s="1"/>
  <c r="B61" i="2"/>
  <c r="U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V62" i="2"/>
  <c r="W62" i="2"/>
  <c r="X62" i="2"/>
  <c r="Y62" i="2"/>
  <c r="Z62" i="2"/>
  <c r="AA62" i="2"/>
  <c r="AB62" i="2"/>
  <c r="AC62" i="2"/>
  <c r="AD62" i="2"/>
  <c r="B66" i="1"/>
  <c r="B49" i="1"/>
  <c r="B62" i="2" l="1"/>
  <c r="C66" i="1"/>
  <c r="D16" i="2" l="1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C16" i="2"/>
  <c r="B21" i="2"/>
  <c r="C23" i="1" s="1"/>
  <c r="C34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C47" i="2"/>
  <c r="B26" i="2"/>
  <c r="C28" i="1" s="1"/>
  <c r="B40" i="2"/>
  <c r="C42" i="1" s="1"/>
  <c r="B41" i="2"/>
  <c r="C43" i="1" s="1"/>
  <c r="B42" i="2"/>
  <c r="C44" i="1" s="1"/>
  <c r="B43" i="2"/>
  <c r="C45" i="1" s="1"/>
  <c r="B44" i="2"/>
  <c r="C46" i="1" s="1"/>
  <c r="B45" i="2"/>
  <c r="C47" i="1" s="1"/>
  <c r="B46" i="2"/>
  <c r="C48" i="1" s="1"/>
  <c r="B33" i="2"/>
  <c r="C35" i="1" s="1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B22" i="2"/>
  <c r="B24" i="2"/>
  <c r="C26" i="1" s="1"/>
  <c r="B32" i="2"/>
  <c r="C34" i="1" s="1"/>
  <c r="B31" i="2"/>
  <c r="C33" i="1" s="1"/>
  <c r="B30" i="2"/>
  <c r="C32" i="1" s="1"/>
  <c r="B29" i="2"/>
  <c r="C31" i="1" s="1"/>
  <c r="B28" i="2"/>
  <c r="C30" i="1" s="1"/>
  <c r="B27" i="2"/>
  <c r="C29" i="1" s="1"/>
  <c r="B25" i="2"/>
  <c r="C27" i="1" s="1"/>
  <c r="B23" i="2"/>
  <c r="C25" i="1" s="1"/>
  <c r="B7" i="2"/>
  <c r="C8" i="1" s="1"/>
  <c r="B8" i="2"/>
  <c r="C9" i="1" s="1"/>
  <c r="B9" i="2"/>
  <c r="C10" i="1" s="1"/>
  <c r="B11" i="2"/>
  <c r="C12" i="1" s="1"/>
  <c r="B12" i="2"/>
  <c r="C13" i="1" s="1"/>
  <c r="B13" i="2"/>
  <c r="C14" i="1" s="1"/>
  <c r="B14" i="2"/>
  <c r="C15" i="1" s="1"/>
  <c r="B15" i="2"/>
  <c r="C16" i="1" s="1"/>
  <c r="B17" i="1"/>
  <c r="B36" i="1"/>
  <c r="C34" i="3"/>
  <c r="C16" i="3"/>
  <c r="B34" i="2" l="1"/>
  <c r="B47" i="2" s="1"/>
  <c r="C24" i="1"/>
  <c r="C36" i="1" s="1"/>
  <c r="B16" i="2"/>
  <c r="C17" i="1"/>
  <c r="C4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<sst xmlns="http://schemas.openxmlformats.org/spreadsheetml/2006/main" count="233" uniqueCount="73">
  <si>
    <t>Article</t>
  </si>
  <si>
    <t>Quantité consommée en KG</t>
  </si>
  <si>
    <t>Aramco F2122</t>
  </si>
  <si>
    <t>Dowlex 5056 01G</t>
  </si>
  <si>
    <t xml:space="preserve">Equate 7087 </t>
  </si>
  <si>
    <t>Lotrene Q1018H</t>
  </si>
  <si>
    <t>REPSOL 1810F</t>
  </si>
  <si>
    <t>Sabic 118WJ</t>
  </si>
  <si>
    <t>Total LDPE</t>
  </si>
  <si>
    <t>ALCUDIA 2212FG</t>
  </si>
  <si>
    <t>ALCUDIA 2308FG</t>
  </si>
  <si>
    <t>RepsoL 2203F</t>
  </si>
  <si>
    <t>Baselle 2426H</t>
  </si>
  <si>
    <t>LDPE 150</t>
  </si>
  <si>
    <t>LDPE 312</t>
  </si>
  <si>
    <t>LDPE 352</t>
  </si>
  <si>
    <t>2022jn 149</t>
  </si>
  <si>
    <t>LDPE HP 0723JN</t>
  </si>
  <si>
    <t>Sabic HP0823</t>
  </si>
  <si>
    <t xml:space="preserve">Tasnee 1925AS </t>
  </si>
  <si>
    <t>Quantité sortie en KG</t>
  </si>
  <si>
    <t>Quantité en stock physique en KG Février</t>
  </si>
  <si>
    <t>Quantité en stock physique en KG Actuel</t>
  </si>
  <si>
    <t>Total LDPE sorti</t>
  </si>
  <si>
    <t>Elite 5401G</t>
  </si>
  <si>
    <t>Date</t>
  </si>
  <si>
    <t>BOROUGE HD 601CF</t>
  </si>
  <si>
    <t>BOUROUGE RD 239CF</t>
  </si>
  <si>
    <t>LOTTE PP FC-150U</t>
  </si>
  <si>
    <t>LOTTE PP SFC-C550</t>
  </si>
  <si>
    <t>Repsol P064</t>
  </si>
  <si>
    <t>REPSOL P264</t>
  </si>
  <si>
    <t>SABIC 520L</t>
  </si>
  <si>
    <r>
      <rPr>
        <b/>
        <i/>
        <sz val="14"/>
        <color theme="1"/>
        <rFont val="Calibri (Corps)"/>
      </rPr>
      <t>3-</t>
    </r>
    <r>
      <rPr>
        <i/>
        <sz val="14"/>
        <color theme="1"/>
        <rFont val="Calibri"/>
        <family val="2"/>
        <scheme val="minor"/>
      </rPr>
      <t xml:space="preserve"> État de stock par produit PP</t>
    </r>
  </si>
  <si>
    <r>
      <rPr>
        <b/>
        <i/>
        <sz val="14"/>
        <color theme="1"/>
        <rFont val="Calibri (Corps)"/>
      </rPr>
      <t>2-</t>
    </r>
    <r>
      <rPr>
        <i/>
        <sz val="14"/>
        <color theme="1"/>
        <rFont val="Calibri"/>
        <family val="2"/>
        <scheme val="minor"/>
      </rPr>
      <t xml:space="preserve"> État de stock par produit    </t>
    </r>
    <r>
      <rPr>
        <b/>
        <i/>
        <sz val="14"/>
        <color theme="1"/>
        <rFont val="Calibri"/>
        <family val="2"/>
        <scheme val="minor"/>
      </rPr>
      <t>LDPE</t>
    </r>
    <r>
      <rPr>
        <i/>
        <sz val="14"/>
        <color theme="1"/>
        <rFont val="Calibri"/>
        <family val="2"/>
        <scheme val="minor"/>
      </rPr>
      <t xml:space="preserve">  </t>
    </r>
  </si>
  <si>
    <r>
      <rPr>
        <b/>
        <i/>
        <sz val="14"/>
        <color theme="1"/>
        <rFont val="Calibri (Corps)"/>
      </rPr>
      <t>1-</t>
    </r>
    <r>
      <rPr>
        <i/>
        <sz val="14"/>
        <color theme="1"/>
        <rFont val="Calibri"/>
        <family val="2"/>
        <scheme val="minor"/>
      </rPr>
      <t xml:space="preserve"> État de stock par produit  </t>
    </r>
    <r>
      <rPr>
        <b/>
        <i/>
        <sz val="14"/>
        <color theme="1"/>
        <rFont val="Calibri"/>
        <family val="2"/>
        <scheme val="minor"/>
      </rPr>
      <t>LLDPE</t>
    </r>
    <r>
      <rPr>
        <i/>
        <sz val="14"/>
        <color theme="1"/>
        <rFont val="Calibri"/>
        <family val="2"/>
        <scheme val="minor"/>
      </rPr>
      <t xml:space="preserve">  </t>
    </r>
  </si>
  <si>
    <t>Total sortie par MP</t>
  </si>
  <si>
    <t>Total PP</t>
  </si>
  <si>
    <t>Noir</t>
  </si>
  <si>
    <t>Vert</t>
  </si>
  <si>
    <t>Bleu</t>
  </si>
  <si>
    <t>Blanc Masterbatch</t>
  </si>
  <si>
    <r>
      <rPr>
        <b/>
        <i/>
        <sz val="14"/>
        <color theme="1"/>
        <rFont val="Calibri (Corps)"/>
      </rPr>
      <t>4-</t>
    </r>
    <r>
      <rPr>
        <i/>
        <sz val="14"/>
        <color theme="1"/>
        <rFont val="Calibri"/>
        <family val="2"/>
        <scheme val="minor"/>
      </rPr>
      <t xml:space="preserve"> État de stock Colorant &amp; Additifs</t>
    </r>
  </si>
  <si>
    <t>Total Colorants &amp; Additifs</t>
  </si>
  <si>
    <t>²</t>
  </si>
  <si>
    <t>MB PE SLIP 6100011 (Agent Glissant)</t>
  </si>
  <si>
    <t>AKULON XS 36-E2 (Colle)</t>
  </si>
  <si>
    <t>MB PE UV 5600006 (anti-UV)</t>
  </si>
  <si>
    <t>MB PE AB 5100001(anti-block)</t>
  </si>
  <si>
    <t>Quantité en stock physique début Février (Kg)</t>
  </si>
  <si>
    <t>Dowlex XZ 89499</t>
  </si>
  <si>
    <t>Dowlex XZ 89507</t>
  </si>
  <si>
    <t>Dowlex 2645G</t>
  </si>
  <si>
    <t>Equate EFDC-7080 Luban</t>
  </si>
  <si>
    <t>1- Arrivages</t>
  </si>
  <si>
    <t xml:space="preserve">2 - État de sortie par Matiere </t>
  </si>
  <si>
    <t>3- Stock physique</t>
  </si>
  <si>
    <t>Quantité (Kg)</t>
  </si>
  <si>
    <t>Réference</t>
  </si>
  <si>
    <t>JJ/MM/2023</t>
  </si>
  <si>
    <r>
      <rPr>
        <b/>
        <i/>
        <sz val="14"/>
        <color theme="1"/>
        <rFont val="Calibri (Corps)"/>
      </rPr>
      <t>2-</t>
    </r>
    <r>
      <rPr>
        <i/>
        <sz val="14"/>
        <color theme="1"/>
        <rFont val="Calibri"/>
        <family val="2"/>
        <scheme val="minor"/>
      </rPr>
      <t xml:space="preserve"> État de sortie de matiere</t>
    </r>
    <r>
      <rPr>
        <b/>
        <i/>
        <sz val="14"/>
        <color theme="1"/>
        <rFont val="Calibri"/>
        <family val="2"/>
        <scheme val="minor"/>
      </rPr>
      <t xml:space="preserve"> LDPE </t>
    </r>
    <r>
      <rPr>
        <i/>
        <sz val="14"/>
        <color theme="1"/>
        <rFont val="Calibri"/>
        <family val="2"/>
        <scheme val="minor"/>
      </rPr>
      <t>(Kg)</t>
    </r>
  </si>
  <si>
    <r>
      <rPr>
        <b/>
        <i/>
        <sz val="14"/>
        <color theme="1"/>
        <rFont val="Calibri (Corps)"/>
      </rPr>
      <t>1-</t>
    </r>
    <r>
      <rPr>
        <i/>
        <sz val="14"/>
        <color theme="1"/>
        <rFont val="Calibri"/>
        <family val="2"/>
        <scheme val="minor"/>
      </rPr>
      <t xml:space="preserve"> État de sortie de matiere</t>
    </r>
    <r>
      <rPr>
        <b/>
        <i/>
        <sz val="14"/>
        <color theme="1"/>
        <rFont val="Calibri"/>
        <family val="2"/>
        <scheme val="minor"/>
      </rPr>
      <t xml:space="preserve"> LLDPE</t>
    </r>
    <r>
      <rPr>
        <i/>
        <sz val="14"/>
        <color theme="1"/>
        <rFont val="Calibri"/>
        <family val="2"/>
        <scheme val="minor"/>
      </rPr>
      <t xml:space="preserve"> (Kg)</t>
    </r>
  </si>
  <si>
    <r>
      <rPr>
        <b/>
        <i/>
        <sz val="14"/>
        <color theme="1"/>
        <rFont val="Calibri (Corps)"/>
      </rPr>
      <t>3-</t>
    </r>
    <r>
      <rPr>
        <i/>
        <sz val="14"/>
        <color theme="1"/>
        <rFont val="Calibri"/>
        <family val="2"/>
        <scheme val="minor"/>
      </rPr>
      <t xml:space="preserve"> État de sortie de matiere </t>
    </r>
    <r>
      <rPr>
        <b/>
        <i/>
        <sz val="14"/>
        <color theme="1"/>
        <rFont val="Calibri"/>
        <family val="2"/>
        <scheme val="minor"/>
      </rPr>
      <t xml:space="preserve">PP </t>
    </r>
    <r>
      <rPr>
        <i/>
        <sz val="14"/>
        <color theme="1"/>
        <rFont val="Calibri"/>
        <family val="2"/>
        <scheme val="minor"/>
      </rPr>
      <t>(Kg)</t>
    </r>
  </si>
  <si>
    <r>
      <rPr>
        <b/>
        <i/>
        <sz val="14"/>
        <color theme="1"/>
        <rFont val="Calibri (Corps)"/>
      </rPr>
      <t>4-</t>
    </r>
    <r>
      <rPr>
        <i/>
        <sz val="14"/>
        <color theme="1"/>
        <rFont val="Calibri"/>
        <family val="2"/>
        <scheme val="minor"/>
      </rPr>
      <t xml:space="preserve"> État de sortie </t>
    </r>
    <r>
      <rPr>
        <b/>
        <i/>
        <sz val="14"/>
        <color theme="1"/>
        <rFont val="Calibri"/>
        <family val="2"/>
        <scheme val="minor"/>
      </rPr>
      <t>Colorants</t>
    </r>
    <r>
      <rPr>
        <i/>
        <sz val="14"/>
        <color theme="1"/>
        <rFont val="Calibri"/>
        <family val="2"/>
        <scheme val="minor"/>
      </rPr>
      <t xml:space="preserve"> &amp; </t>
    </r>
    <r>
      <rPr>
        <b/>
        <i/>
        <sz val="14"/>
        <color theme="1"/>
        <rFont val="Calibri"/>
        <family val="2"/>
        <scheme val="minor"/>
      </rPr>
      <t xml:space="preserve">Additifs </t>
    </r>
    <r>
      <rPr>
        <i/>
        <sz val="14"/>
        <color theme="1"/>
        <rFont val="Calibri"/>
        <family val="2"/>
        <scheme val="minor"/>
      </rPr>
      <t>(Kg)</t>
    </r>
  </si>
  <si>
    <t>Lotrene 0274</t>
  </si>
  <si>
    <t>ALCUDIA PE-046A</t>
  </si>
  <si>
    <t>MB PE AS 5300010 (antistatique)</t>
  </si>
  <si>
    <t>Réferences</t>
  </si>
  <si>
    <r>
      <rPr>
        <b/>
        <i/>
        <sz val="14"/>
        <color theme="1"/>
        <rFont val="Calibri (Corps)"/>
      </rPr>
      <t>2-</t>
    </r>
    <r>
      <rPr>
        <b/>
        <i/>
        <sz val="14"/>
        <color theme="1"/>
        <rFont val="Calibri"/>
        <family val="2"/>
        <scheme val="minor"/>
      </rPr>
      <t xml:space="preserve"> Arrivages LDPE  </t>
    </r>
  </si>
  <si>
    <t>1- Arrivages LLDPE</t>
  </si>
  <si>
    <r>
      <rPr>
        <b/>
        <i/>
        <sz val="14"/>
        <color theme="1"/>
        <rFont val="Calibri (Corps)"/>
      </rPr>
      <t>3-</t>
    </r>
    <r>
      <rPr>
        <b/>
        <i/>
        <sz val="14"/>
        <color theme="1"/>
        <rFont val="Calibri"/>
        <family val="2"/>
        <scheme val="minor"/>
      </rPr>
      <t xml:space="preserve"> Arrivages produit PP</t>
    </r>
  </si>
  <si>
    <r>
      <rPr>
        <b/>
        <i/>
        <sz val="14"/>
        <color theme="1"/>
        <rFont val="Calibri (Corps)"/>
      </rPr>
      <t>4-</t>
    </r>
    <r>
      <rPr>
        <b/>
        <i/>
        <sz val="14"/>
        <color theme="1"/>
        <rFont val="Calibri"/>
        <family val="2"/>
        <scheme val="minor"/>
      </rPr>
      <t xml:space="preserve"> Arrivages Colorants &amp; Additifs</t>
    </r>
  </si>
  <si>
    <t xml:space="preserve">1 - État de sortie par Matiere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</si>
</sst>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.000\ _€_-;\-* #,##0.000\ _€_-;_-* &quot;-&quot;??\ _€_-;_-@_-"/>
    <numFmt numFmtId="166" formatCode="_-* #,##0.0000\ _€_-;\-* #,##0.0000\ _€_-;_-* &quot;-&quot;??\ _€_-;_-@_-"/>
    <numFmt numFmtId="167" formatCode="_-* #,##0.000\ _€_-;\-* #,##0.000\ _€_-;_-* &quot;-&quot;???\ _€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 (Corps)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 Light"/>
      <family val="1"/>
      <scheme val="major"/>
    </font>
    <font>
      <sz val="14"/>
      <color theme="1"/>
      <name val="Calibri"/>
      <family val="2"/>
      <scheme val="minor"/>
    </font>
    <font>
      <sz val="12"/>
      <color theme="1"/>
      <name val="Calibri Light"/>
      <family val="1"/>
      <scheme val="major"/>
    </font>
    <font>
      <sz val="11"/>
      <name val="Calibri Light"/>
      <family val="1"/>
      <scheme val="major"/>
    </font>
    <font>
      <sz val="12"/>
      <name val="Calibri Light"/>
      <family val="1"/>
      <scheme val="major"/>
    </font>
    <font>
      <sz val="14"/>
      <name val="Calibri Light"/>
      <family val="1"/>
      <scheme val="major"/>
    </font>
    <font>
      <b/>
      <sz val="14"/>
      <color rgb="FF7030A0"/>
      <name val="Calibri"/>
      <family val="2"/>
      <scheme val="minor"/>
    </font>
    <font>
      <sz val="10"/>
      <name val="Arial"/>
      <family val="2"/>
    </font>
    <font>
      <sz val="14"/>
      <name val="Calibri"/>
      <family val="2"/>
      <scheme val="minor"/>
    </font>
    <font>
      <sz val="14"/>
      <name val="Sylfaen"/>
      <family val="1"/>
    </font>
    <font>
      <sz val="14"/>
      <color theme="1"/>
      <name val="Sylfaen"/>
      <family val="1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i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28">
    <xf numFmtId="0" fontId="0" fillId="0" borderId="0" xfId="0"/>
    <xf numFmtId="0" fontId="6" fillId="2" borderId="3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left"/>
    </xf>
    <xf numFmtId="165" fontId="6" fillId="2" borderId="5" xfId="1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165" fontId="13" fillId="0" borderId="0" xfId="1" applyNumberFormat="1" applyFont="1" applyFill="1" applyBorder="1" applyAlignment="1">
      <alignment horizontal="center"/>
    </xf>
    <xf numFmtId="167" fontId="0" fillId="0" borderId="3" xfId="0" applyNumberFormat="1" applyBorder="1"/>
    <xf numFmtId="0" fontId="0" fillId="0" borderId="3" xfId="0" applyBorder="1"/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left"/>
    </xf>
    <xf numFmtId="0" fontId="6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8" fillId="3" borderId="3" xfId="1" applyNumberFormat="1" applyFont="1" applyFill="1" applyBorder="1" applyAlignment="1">
      <alignment horizontal="center"/>
    </xf>
    <xf numFmtId="165" fontId="7" fillId="3" borderId="3" xfId="1" applyNumberFormat="1" applyFont="1" applyFill="1" applyBorder="1" applyAlignment="1">
      <alignment horizontal="center"/>
    </xf>
    <xf numFmtId="165" fontId="7" fillId="3" borderId="3" xfId="1" applyNumberFormat="1" applyFont="1" applyFill="1" applyBorder="1" applyAlignment="1">
      <alignment horizontal="center" vertical="top"/>
    </xf>
    <xf numFmtId="165" fontId="12" fillId="3" borderId="3" xfId="1" applyNumberFormat="1" applyFont="1" applyFill="1" applyBorder="1" applyAlignment="1">
      <alignment vertical="center" wrapText="1"/>
    </xf>
    <xf numFmtId="164" fontId="8" fillId="3" borderId="3" xfId="1" applyFont="1" applyFill="1" applyBorder="1" applyAlignment="1">
      <alignment horizontal="right"/>
    </xf>
    <xf numFmtId="165" fontId="8" fillId="3" borderId="3" xfId="1" applyNumberFormat="1" applyFont="1" applyFill="1" applyBorder="1" applyAlignment="1">
      <alignment horizontal="right"/>
    </xf>
    <xf numFmtId="166" fontId="8" fillId="3" borderId="3" xfId="1" applyNumberFormat="1" applyFont="1" applyFill="1" applyBorder="1" applyAlignment="1">
      <alignment horizontal="right"/>
    </xf>
    <xf numFmtId="165" fontId="7" fillId="3" borderId="3" xfId="1" applyNumberFormat="1" applyFont="1" applyFill="1" applyBorder="1" applyAlignment="1">
      <alignment horizontal="left" vertical="center"/>
    </xf>
    <xf numFmtId="165" fontId="15" fillId="3" borderId="3" xfId="1" applyNumberFormat="1" applyFont="1" applyFill="1" applyBorder="1" applyAlignment="1">
      <alignment horizontal="center"/>
    </xf>
    <xf numFmtId="165" fontId="17" fillId="3" borderId="3" xfId="1" applyNumberFormat="1" applyFont="1" applyFill="1" applyBorder="1" applyAlignment="1">
      <alignment horizontal="center" vertical="center"/>
    </xf>
    <xf numFmtId="0" fontId="0" fillId="3" borderId="3" xfId="0" applyFill="1" applyBorder="1"/>
    <xf numFmtId="0" fontId="3" fillId="0" borderId="1" xfId="0" applyFont="1" applyBorder="1" applyAlignment="1">
      <alignment horizontal="left" vertical="center"/>
    </xf>
    <xf numFmtId="0" fontId="3" fillId="0" borderId="3" xfId="0" applyFont="1" applyBorder="1"/>
    <xf numFmtId="0" fontId="21" fillId="0" borderId="1" xfId="0" applyFont="1" applyBorder="1"/>
    <xf numFmtId="0" fontId="3" fillId="0" borderId="1" xfId="0" applyFont="1" applyBorder="1"/>
    <xf numFmtId="0" fontId="22" fillId="0" borderId="1" xfId="0" applyFont="1" applyBorder="1" applyAlignment="1">
      <alignment horizontal="left" vertical="center" wrapText="1"/>
    </xf>
    <xf numFmtId="0" fontId="3" fillId="0" borderId="1" xfId="2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left" vertical="top"/>
    </xf>
    <xf numFmtId="0" fontId="6" fillId="2" borderId="4" xfId="0" applyFont="1" applyFill="1" applyBorder="1" applyAlignment="1">
      <alignment vertical="center"/>
    </xf>
    <xf numFmtId="14" fontId="2" fillId="2" borderId="4" xfId="0" applyNumberFormat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165" fontId="6" fillId="3" borderId="5" xfId="1" applyNumberFormat="1" applyFont="1" applyFill="1" applyBorder="1" applyAlignment="1">
      <alignment horizontal="center"/>
    </xf>
    <xf numFmtId="165" fontId="6" fillId="2" borderId="5" xfId="0" applyNumberFormat="1" applyFont="1" applyFill="1" applyBorder="1" applyAlignment="1">
      <alignment horizontal="left"/>
    </xf>
    <xf numFmtId="165" fontId="12" fillId="0" borderId="0" xfId="1" applyNumberFormat="1" applyFont="1" applyFill="1" applyBorder="1"/>
    <xf numFmtId="167" fontId="12" fillId="0" borderId="0" xfId="0" applyNumberFormat="1" applyFont="1"/>
    <xf numFmtId="165" fontId="15" fillId="0" borderId="0" xfId="1" applyNumberFormat="1" applyFont="1" applyFill="1" applyBorder="1" applyAlignment="1">
      <alignment horizontal="center"/>
    </xf>
    <xf numFmtId="165" fontId="15" fillId="0" borderId="0" xfId="1" applyNumberFormat="1" applyFont="1" applyFill="1" applyBorder="1" applyAlignment="1"/>
    <xf numFmtId="165" fontId="12" fillId="3" borderId="3" xfId="1" applyNumberFormat="1" applyFont="1" applyFill="1" applyBorder="1"/>
    <xf numFmtId="0" fontId="2" fillId="3" borderId="5" xfId="0" applyFont="1" applyFill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21" fillId="0" borderId="3" xfId="0" applyFont="1" applyBorder="1"/>
    <xf numFmtId="0" fontId="21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top"/>
    </xf>
    <xf numFmtId="0" fontId="21" fillId="0" borderId="1" xfId="0" applyFont="1" applyBorder="1" applyAlignment="1">
      <alignment horizontal="left" vertical="center"/>
    </xf>
    <xf numFmtId="0" fontId="21" fillId="0" borderId="3" xfId="0" applyFont="1" applyBorder="1" applyAlignment="1">
      <alignment horizontal="left"/>
    </xf>
    <xf numFmtId="0" fontId="22" fillId="0" borderId="6" xfId="0" applyFont="1" applyBorder="1" applyAlignment="1">
      <alignment horizontal="left" vertical="center"/>
    </xf>
    <xf numFmtId="0" fontId="21" fillId="0" borderId="3" xfId="0" applyFont="1" applyBorder="1" applyAlignment="1">
      <alignment vertical="top"/>
    </xf>
    <xf numFmtId="0" fontId="4" fillId="0" borderId="0" xfId="0" applyFont="1"/>
    <xf numFmtId="0" fontId="4" fillId="0" borderId="0" xfId="0" applyFont="1" applyAlignment="1">
      <alignment vertical="center"/>
    </xf>
    <xf numFmtId="0" fontId="21" fillId="3" borderId="1" xfId="0" applyFont="1" applyFill="1" applyBorder="1" applyAlignment="1">
      <alignment horizontal="left" vertical="top"/>
    </xf>
    <xf numFmtId="0" fontId="21" fillId="3" borderId="1" xfId="0" applyFont="1" applyFill="1" applyBorder="1" applyAlignment="1">
      <alignment horizontal="left" vertical="center"/>
    </xf>
    <xf numFmtId="0" fontId="7" fillId="3" borderId="3" xfId="0" applyFont="1" applyFill="1" applyBorder="1"/>
    <xf numFmtId="0" fontId="9" fillId="3" borderId="1" xfId="0" applyFont="1" applyFill="1" applyBorder="1"/>
    <xf numFmtId="0" fontId="10" fillId="3" borderId="6" xfId="0" applyFont="1" applyFill="1" applyBorder="1" applyAlignment="1">
      <alignment horizontal="left" vertical="center"/>
    </xf>
    <xf numFmtId="0" fontId="7" fillId="3" borderId="1" xfId="0" applyFont="1" applyFill="1" applyBorder="1"/>
    <xf numFmtId="0" fontId="11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vertical="top"/>
    </xf>
    <xf numFmtId="0" fontId="7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left" vertical="center"/>
    </xf>
    <xf numFmtId="0" fontId="21" fillId="0" borderId="3" xfId="0" applyFont="1" applyBorder="1" applyAlignment="1">
      <alignment horizontal="left" vertical="top"/>
    </xf>
    <xf numFmtId="0" fontId="21" fillId="0" borderId="3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 wrapText="1"/>
    </xf>
    <xf numFmtId="0" fontId="3" fillId="0" borderId="3" xfId="2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0" fillId="2" borderId="3" xfId="0" applyFill="1" applyBorder="1"/>
    <xf numFmtId="0" fontId="18" fillId="3" borderId="3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/>
    </xf>
    <xf numFmtId="0" fontId="4" fillId="0" borderId="3" xfId="0" applyFont="1" applyBorder="1"/>
    <xf numFmtId="0" fontId="20" fillId="0" borderId="0" xfId="0" applyFont="1" applyAlignment="1">
      <alignment vertical="center" wrapText="1"/>
    </xf>
    <xf numFmtId="0" fontId="21" fillId="4" borderId="3" xfId="0" applyFont="1" applyFill="1" applyBorder="1" applyAlignment="1">
      <alignment horizontal="left" vertical="top"/>
    </xf>
    <xf numFmtId="0" fontId="21" fillId="4" borderId="3" xfId="0" applyFont="1" applyFill="1" applyBorder="1" applyAlignment="1">
      <alignment horizontal="left" vertical="center"/>
    </xf>
    <xf numFmtId="0" fontId="21" fillId="4" borderId="3" xfId="0" applyFont="1" applyFill="1" applyBorder="1"/>
    <xf numFmtId="0" fontId="6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4" fillId="2" borderId="4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6" fillId="2" borderId="3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/>
    </xf>
    <xf numFmtId="0" fontId="0" fillId="0" borderId="9" xfId="0" applyFont="1" applyBorder="1"/>
    <xf numFmtId="0" fontId="0" fillId="0" borderId="4" xfId="0" applyFont="1" applyBorder="1"/>
    <xf numFmtId="0" fontId="0" fillId="5" borderId="9" xfId="0" applyFont="1" applyFill="1" applyBorder="1"/>
    <xf numFmtId="0" fontId="0" fillId="5" borderId="4" xfId="0" applyFont="1" applyFill="1" applyBorder="1"/>
    <xf numFmtId="0" fontId="4" fillId="0" borderId="4" xfId="0" applyFont="1" applyBorder="1"/>
    <xf numFmtId="0" fontId="0" fillId="5" borderId="1" xfId="0" applyFont="1" applyFill="1" applyBorder="1"/>
    <xf numFmtId="0" fontId="0" fillId="5" borderId="3" xfId="0" applyFont="1" applyFill="1" applyBorder="1"/>
  </cellXfs>
  <cellStyles count="3">
    <cellStyle name="Milliers" xfId="1" builtinId="3"/>
    <cellStyle name="Normal" xfId="0" builtinId="0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538369</xdr:colOff>
      <xdr:row>21</xdr:row>
      <xdr:rowOff>57978</xdr:rowOff>
    </xdr:from>
    <xdr:to>
      <xdr:col>10</xdr:col>
      <xdr:colOff>670063</xdr:colOff>
      <xdr:row>24</xdr:row>
      <xdr:rowOff>115128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98E21BF-2236-4E8F-9180-04BD0BEF3213}"/>
            </a:ext>
          </a:extLst>
        </xdr:cNvPr>
        <xdr:cNvSpPr txBox="1"/>
      </xdr:nvSpPr>
      <xdr:spPr>
        <a:xfrm>
          <a:off x="3843130" y="4215848"/>
          <a:ext cx="634365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J'essaye de mettre votre formule dans le tableau" 2- État de sortie par Matière " de l'onglet " Récap " qui sera liée au Premier tableau de l'onglet " État de sortie" contenant les valeurs en rouge.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D66"/>
  <sheetViews>
    <sheetView zoomScaleNormal="100" workbookViewId="0">
      <selection activeCell="C23" sqref="C23"/>
    </sheetView>
  </sheetViews>
  <sheetFormatPr baseColWidth="10" defaultRowHeight="15"/>
  <cols>
    <col min="1" max="1" width="37.5703125" customWidth="1"/>
    <col min="2" max="2" width="41.5703125" customWidth="1"/>
    <col min="3" max="3" width="35" customWidth="1"/>
    <col min="4" max="4" width="37.5703125" customWidth="1"/>
  </cols>
  <sheetData>
    <row r="2" spans="1:4" ht="18.75">
      <c r="A2" s="94" t="s">
        <v>35</v>
      </c>
      <c r="B2" s="95"/>
    </row>
    <row r="4" spans="1:4" ht="18" customHeight="1">
      <c r="A4" s="96" t="s">
        <v>0</v>
      </c>
      <c r="B4" s="98" t="s">
        <v>49</v>
      </c>
      <c r="C4" s="100" t="s">
        <v>22</v>
      </c>
      <c r="D4" s="93"/>
    </row>
    <row r="5" spans="1:4" ht="18" customHeight="1">
      <c r="A5" s="97"/>
      <c r="B5" s="99"/>
      <c r="C5" s="100"/>
      <c r="D5" s="93"/>
    </row>
    <row r="6" spans="1:4" ht="18.75">
      <c r="A6" s="54" t="s">
        <v>2</v>
      </c>
      <c r="B6" s="14"/>
      <c r="C6" s="6">
        <f>B6-'État de sorties'!B5+SUMIFS(Arrivages!$C$5:$C$15,Arrivages!$B$5:$B$15,"Aramco F2122")</f>
        <v>-1800</v>
      </c>
    </row>
    <row r="7" spans="1:4" ht="18.75">
      <c r="A7" s="55" t="s">
        <v>52</v>
      </c>
      <c r="B7" s="15"/>
      <c r="C7" s="6">
        <f>B7-'État de sorties'!B6+SUMIFS(Arrivages!$C$5:$C$15,Arrivages!$B$5:$B$15,"Dowlex 2645G")</f>
        <v>-2600</v>
      </c>
    </row>
    <row r="8" spans="1:4" ht="18.75">
      <c r="A8" s="56" t="s">
        <v>3</v>
      </c>
      <c r="B8" s="14"/>
      <c r="C8" s="6">
        <f>B8-'État de sorties'!B7+SUMIFS(Arrivages!$C$5:$C$15,Arrivages!$B$5:$B$15,"Dowlex 5056 01G")</f>
        <v>0</v>
      </c>
    </row>
    <row r="9" spans="1:4" ht="18.75">
      <c r="A9" s="51" t="s">
        <v>50</v>
      </c>
      <c r="B9" s="14"/>
      <c r="C9" s="6">
        <f>B9-'État de sorties'!B8+SUMIFS(Arrivages!$C$5:$C$15,Arrivages!$B$5:$B$15,"Dowlex XZ 89499")</f>
        <v>0</v>
      </c>
    </row>
    <row r="10" spans="1:4" ht="18.75">
      <c r="A10" s="51" t="s">
        <v>51</v>
      </c>
      <c r="B10" s="14"/>
      <c r="C10" s="6">
        <f>B10-'État de sorties'!B9+SUMIFS(Arrivages!$C$5:$C$15,Arrivages!$B$5:$B$15,"Dowlex XZ 89507")</f>
        <v>0</v>
      </c>
    </row>
    <row r="11" spans="1:4" ht="18.75">
      <c r="A11" s="51" t="s">
        <v>24</v>
      </c>
      <c r="B11" s="14"/>
      <c r="C11" s="6">
        <f>B11-'État de sorties'!B10+SUMIFS(Arrivages!$C$5:$C$15,Arrivages!$B$5:$B$15,"Elite 5401G")</f>
        <v>-6500</v>
      </c>
    </row>
    <row r="12" spans="1:4" ht="18.75">
      <c r="A12" s="27" t="s">
        <v>4</v>
      </c>
      <c r="B12" s="14"/>
      <c r="C12" s="6">
        <f>B12-'État de sorties'!B11+SUMIFS(Arrivages!$C$5:$C$15,Arrivages!$B$5:$B$15,"Equate 7087")</f>
        <v>0</v>
      </c>
    </row>
    <row r="13" spans="1:4" ht="18.75">
      <c r="A13" s="57" t="s">
        <v>53</v>
      </c>
      <c r="B13" s="14"/>
      <c r="C13" s="6">
        <f>B13-'État de sorties'!B12+SUMIFS(Arrivages!$C$5:$C$15,Arrivages!$B$5:$B$15,"Equate EFDC-7080 Luban")</f>
        <v>0</v>
      </c>
    </row>
    <row r="14" spans="1:4" ht="18.75">
      <c r="A14" s="27" t="s">
        <v>5</v>
      </c>
      <c r="B14" s="16"/>
      <c r="C14" s="6">
        <f>B14-'État de sorties'!B13+SUMIFS(Arrivages!$C$5:$C$15,Arrivages!$B$5:$B$15,"Lotrene Q1018H")</f>
        <v>0</v>
      </c>
    </row>
    <row r="15" spans="1:4" ht="18.75">
      <c r="A15" s="29" t="s">
        <v>6</v>
      </c>
      <c r="B15" s="17"/>
      <c r="C15" s="6">
        <f>B15-'État de sorties'!B14+SUMIFS(Arrivages!$C$5:$C$15,Arrivages!$B$5:$B$15,"REPSOL 1810F")</f>
        <v>0</v>
      </c>
    </row>
    <row r="16" spans="1:4" ht="18.75">
      <c r="A16" s="58" t="s">
        <v>7</v>
      </c>
      <c r="B16" s="18"/>
      <c r="C16" s="6">
        <f>B16-'État de sorties'!B15+SUMIFS(Arrivages!$C$5:$C$15,Arrivages!$B$5:$B$15,"Sabic 118WJ")</f>
        <v>0</v>
      </c>
    </row>
    <row r="17" spans="1:3" ht="18.75">
      <c r="A17" s="2" t="s">
        <v>8</v>
      </c>
      <c r="B17" s="3">
        <f>SUM(B6:B16)</f>
        <v>0</v>
      </c>
      <c r="C17" s="3">
        <f>SUM(C6:C16)</f>
        <v>-10900</v>
      </c>
    </row>
    <row r="18" spans="1:3" ht="18.75">
      <c r="A18" s="4"/>
      <c r="B18" s="5"/>
    </row>
    <row r="19" spans="1:3" ht="18.75">
      <c r="A19" s="94" t="s">
        <v>34</v>
      </c>
      <c r="B19" s="95"/>
    </row>
    <row r="21" spans="1:3" ht="18" customHeight="1">
      <c r="A21" s="96" t="s">
        <v>0</v>
      </c>
      <c r="B21" s="98" t="s">
        <v>49</v>
      </c>
      <c r="C21" s="100" t="s">
        <v>22</v>
      </c>
    </row>
    <row r="22" spans="1:3" ht="18" customHeight="1">
      <c r="A22" s="97"/>
      <c r="B22" s="99"/>
      <c r="C22" s="100"/>
    </row>
    <row r="23" spans="1:3" ht="18.75">
      <c r="A23" s="30" t="s">
        <v>9</v>
      </c>
      <c r="B23" s="48"/>
      <c r="C23" s="6">
        <f>B23-'État de sorties'!B21+SUMIFS(Arrivages!$C$21:$C$33,Arrivages!$B$21:$B$33,"ALCUDIA 2212FG")</f>
        <v>0</v>
      </c>
    </row>
    <row r="24" spans="1:3" ht="18.75">
      <c r="A24" s="25" t="s">
        <v>10</v>
      </c>
      <c r="B24" s="18"/>
      <c r="C24" s="6">
        <f>B24-'État de sorties'!B22+SUMIFS(Arrivages!$C$21:$C$33,Arrivages!$B$21:$B$33,"ALCUDIA 2308FG")</f>
        <v>0</v>
      </c>
    </row>
    <row r="25" spans="1:3" ht="18.75">
      <c r="A25" s="31" t="s">
        <v>65</v>
      </c>
      <c r="B25" s="19"/>
      <c r="C25" s="6">
        <f>B25-'État de sorties'!B23+SUMIFS(Arrivages!$C$21:$C$33,Arrivages!$B$21:$B$33,"ALCUDIA PE-046A")</f>
        <v>0</v>
      </c>
    </row>
    <row r="26" spans="1:3" ht="18.75">
      <c r="A26" s="32" t="s">
        <v>11</v>
      </c>
      <c r="B26" s="20"/>
      <c r="C26" s="6">
        <f>B26-'État de sorties'!B24+SUMIFS(Arrivages!$C$21:$C$33,Arrivages!$B$21:$B$33,"RepsoL 2203F")</f>
        <v>0</v>
      </c>
    </row>
    <row r="27" spans="1:3" ht="18.75">
      <c r="A27" s="33" t="s">
        <v>12</v>
      </c>
      <c r="B27" s="21"/>
      <c r="C27" s="6">
        <f>B27-'État de sorties'!B25+SUMIFS(Arrivages!$C$21:$C$33,Arrivages!$B$21:$B$33,"Baselle 2426H")</f>
        <v>0</v>
      </c>
    </row>
    <row r="28" spans="1:3" ht="18.75">
      <c r="A28" s="33" t="s">
        <v>13</v>
      </c>
      <c r="B28" s="19"/>
      <c r="C28" s="6">
        <f>B28-'État de sorties'!B26+SUMIFS(Arrivages!$C$21:$C$33,Arrivages!$B$21:$B$33,"LDPE 150")</f>
        <v>0</v>
      </c>
    </row>
    <row r="29" spans="1:3" ht="18.75">
      <c r="A29" s="28" t="s">
        <v>14</v>
      </c>
      <c r="B29" s="19"/>
      <c r="C29" s="6">
        <f>B29-'État de sorties'!B27+SUMIFS(Arrivages!$C$21:$C$33,Arrivages!$B$21:$B$33,"LDPE 312")</f>
        <v>0</v>
      </c>
    </row>
    <row r="30" spans="1:3" ht="18.75">
      <c r="A30" s="28" t="s">
        <v>15</v>
      </c>
      <c r="B30" s="22"/>
      <c r="C30" s="6">
        <f>B30-'État de sorties'!B28+SUMIFS(Arrivages!$C$21:$C$33,Arrivages!$B$21:$B$33,"LDPE 352")</f>
        <v>0</v>
      </c>
    </row>
    <row r="31" spans="1:3" ht="18.75">
      <c r="A31" s="34" t="s">
        <v>16</v>
      </c>
      <c r="B31" s="22"/>
      <c r="C31" s="6">
        <f>B31-'État de sorties'!B29+SUMIFS(Arrivages!$C$21:$C$33,Arrivages!$B$21:$B$33,"2022jn 149")</f>
        <v>0</v>
      </c>
    </row>
    <row r="32" spans="1:3" ht="18.75">
      <c r="A32" s="32" t="s">
        <v>17</v>
      </c>
      <c r="B32" s="22"/>
      <c r="C32" s="6">
        <f>B32-'État de sorties'!B30+SUMIFS(Arrivages!$C$21:$C$33,Arrivages!$B$21:$B$33,"LDPE HP 0723JN")</f>
        <v>0</v>
      </c>
    </row>
    <row r="33" spans="1:3" ht="18.75">
      <c r="A33" s="26" t="s">
        <v>64</v>
      </c>
      <c r="B33" s="22"/>
      <c r="C33" s="6">
        <f>B33-'État de sorties'!B31+SUMIFS(Arrivages!$C$21:$C$33,Arrivages!$B$21:$B$33,"Lotrene 0274")</f>
        <v>0</v>
      </c>
    </row>
    <row r="34" spans="1:3" ht="19.5">
      <c r="A34" s="33" t="s">
        <v>18</v>
      </c>
      <c r="B34" s="23"/>
      <c r="C34" s="6">
        <f>B34-'État de sorties'!B32+SUMIFS(Arrivages!$C$21:$C$33,Arrivages!$B$21:$B$33,"Sabic HP0823")</f>
        <v>0</v>
      </c>
    </row>
    <row r="35" spans="1:3" ht="18.75">
      <c r="A35" s="32" t="s">
        <v>19</v>
      </c>
      <c r="B35" s="22"/>
      <c r="C35" s="6">
        <f>B35-'État de sorties'!B33+SUMIFS(Arrivages!$C$21:$C$33,Arrivages!$B$21:$B$33,"Tasnee 1925AS")</f>
        <v>0</v>
      </c>
    </row>
    <row r="36" spans="1:3" ht="18.75">
      <c r="A36" s="2" t="s">
        <v>8</v>
      </c>
      <c r="B36" s="3">
        <f>SUM(B23:B35)</f>
        <v>0</v>
      </c>
      <c r="C36" s="3">
        <f>SUM(C23:C35)</f>
        <v>0</v>
      </c>
    </row>
    <row r="39" spans="1:3" ht="18.75">
      <c r="A39" s="94" t="s">
        <v>33</v>
      </c>
      <c r="B39" s="95"/>
    </row>
    <row r="40" spans="1:3" ht="18.75">
      <c r="A40" s="10"/>
      <c r="B40" s="9"/>
    </row>
    <row r="41" spans="1:3" ht="18" customHeight="1">
      <c r="A41" s="11" t="s">
        <v>0</v>
      </c>
      <c r="B41" s="8" t="s">
        <v>49</v>
      </c>
      <c r="C41" s="12" t="s">
        <v>22</v>
      </c>
    </row>
    <row r="42" spans="1:3" ht="18.75">
      <c r="A42" s="35" t="s">
        <v>26</v>
      </c>
      <c r="B42" s="24"/>
      <c r="C42" s="7">
        <f>B42-'État de sorties'!B40+SUMIFS(Arrivages!$C$40:$C$46,Arrivages!$B$40:$B$46,"BOROUGE HD 601CF")</f>
        <v>0</v>
      </c>
    </row>
    <row r="43" spans="1:3" ht="18.75">
      <c r="A43" s="35" t="s">
        <v>27</v>
      </c>
      <c r="B43" s="24"/>
      <c r="C43" s="7">
        <f>B43-'État de sorties'!B41+SUMIFS(Arrivages!$C$40:$C$46,Arrivages!$B$40:$B$46,"BOUROUGE RD 239CF")</f>
        <v>0</v>
      </c>
    </row>
    <row r="44" spans="1:3" ht="18.75">
      <c r="A44" s="36" t="s">
        <v>28</v>
      </c>
      <c r="B44" s="24"/>
      <c r="C44" s="7">
        <f>B44-'État de sorties'!B42+SUMIFS(Arrivages!$C$40:$C$46,Arrivages!$B$40:$B$46,"LOTTE PP FC-150U")</f>
        <v>0</v>
      </c>
    </row>
    <row r="45" spans="1:3" ht="18.75">
      <c r="A45" s="36" t="s">
        <v>29</v>
      </c>
      <c r="B45" s="24"/>
      <c r="C45" s="7">
        <f>B45-'État de sorties'!B43+SUMIFS(Arrivages!$C$40:$C$46,Arrivages!$B$40:$B$46,"LOTTE PP SFC-C550")</f>
        <v>0</v>
      </c>
    </row>
    <row r="46" spans="1:3" ht="18.75">
      <c r="A46" s="36" t="s">
        <v>30</v>
      </c>
      <c r="B46" s="24"/>
      <c r="C46" s="7">
        <f>B46-'État de sorties'!B44+SUMIFS(Arrivages!$C$40:$C$46,Arrivages!$B$40:$B$46,"Repsol P064")</f>
        <v>0</v>
      </c>
    </row>
    <row r="47" spans="1:3" ht="18.75">
      <c r="A47" s="36" t="s">
        <v>31</v>
      </c>
      <c r="B47" s="24"/>
      <c r="C47" s="7">
        <f>B47-'État de sorties'!B45+SUMIFS(Arrivages!$C$40:$C$46,Arrivages!$B$40:$B$46,"REPSOL P264")</f>
        <v>0</v>
      </c>
    </row>
    <row r="48" spans="1:3" ht="18.75">
      <c r="A48" s="35" t="s">
        <v>32</v>
      </c>
      <c r="B48" s="24"/>
      <c r="C48" s="7">
        <f>B48-'État de sorties'!B46+SUMIFS(Arrivages!$C$40:$C$46,Arrivages!$B$40:$B$46,"SABIC 520L")</f>
        <v>0</v>
      </c>
    </row>
    <row r="49" spans="1:3" ht="18.75">
      <c r="A49" s="2" t="s">
        <v>8</v>
      </c>
      <c r="B49" s="3">
        <f>SUM(B42:B48)</f>
        <v>0</v>
      </c>
      <c r="C49" s="3">
        <f>SUM(C42:C48)</f>
        <v>0</v>
      </c>
    </row>
    <row r="54" spans="1:3" ht="18.75">
      <c r="A54" s="94" t="s">
        <v>42</v>
      </c>
      <c r="B54" s="95"/>
    </row>
    <row r="56" spans="1:3" ht="18.75">
      <c r="A56" s="11" t="s">
        <v>0</v>
      </c>
      <c r="B56" s="8" t="s">
        <v>49</v>
      </c>
      <c r="C56" s="12" t="s">
        <v>22</v>
      </c>
    </row>
    <row r="57" spans="1:3" ht="15.75">
      <c r="A57" s="52" t="s">
        <v>41</v>
      </c>
      <c r="B57" s="24"/>
      <c r="C57" s="7">
        <f>B57-'État de sorties'!B53+SUMIFS(Arrivages!$C$53:$C$61,Arrivages!$B$53:$B$61,"Blanc Masterbatch")</f>
        <v>0</v>
      </c>
    </row>
    <row r="58" spans="1:3" ht="15.75">
      <c r="A58" s="52" t="s">
        <v>39</v>
      </c>
      <c r="B58" s="24"/>
      <c r="C58" s="7">
        <f>B58-'État de sorties'!B54+SUMIFS(Arrivages!$C$53:$C$61,Arrivages!$B$53:$B$61,"Vert")</f>
        <v>0</v>
      </c>
    </row>
    <row r="59" spans="1:3" ht="15.75">
      <c r="A59" s="52" t="s">
        <v>40</v>
      </c>
      <c r="B59" s="24"/>
      <c r="C59" s="7">
        <f>B59-'État de sorties'!B55+SUMIFS(Arrivages!$C$53:$C$61,Arrivages!$B$53:$B$61,"Bleu")</f>
        <v>0</v>
      </c>
    </row>
    <row r="60" spans="1:3" ht="15.75">
      <c r="A60" s="53" t="s">
        <v>38</v>
      </c>
      <c r="B60" s="24"/>
      <c r="C60" s="7">
        <f>B60-'État de sorties'!B56+SUMIFS(Arrivages!$C$53:$C$61,Arrivages!$B$53:$B$61,"Noir")</f>
        <v>0</v>
      </c>
    </row>
    <row r="61" spans="1:3" ht="15.75">
      <c r="A61" s="53" t="s">
        <v>48</v>
      </c>
      <c r="B61" s="24"/>
      <c r="C61" s="7">
        <f>B61-'État de sorties'!B57+SUMIFS(Arrivages!$C$53:$C$61,Arrivages!$B$53:$B$61,"MB PE AB 5100001(anti-block)")</f>
        <v>0</v>
      </c>
    </row>
    <row r="62" spans="1:3" ht="15.75">
      <c r="A62" s="53" t="s">
        <v>66</v>
      </c>
      <c r="B62" s="24"/>
      <c r="C62" s="7">
        <f>B62-'État de sorties'!B58+SUMIFS(Arrivages!$C$53:$C$61,Arrivages!$B$53:$B$61,"MB PE AS 5300010 (antistatique)")</f>
        <v>0</v>
      </c>
    </row>
    <row r="63" spans="1:3" ht="15.75">
      <c r="A63" s="53" t="s">
        <v>47</v>
      </c>
      <c r="B63" s="24"/>
      <c r="C63" s="7">
        <f>B63-'État de sorties'!B59+SUMIFS(Arrivages!$C$53:$C$61,Arrivages!$B$53:$B$61,"MB PE UV 5600006 (anti-UV)")</f>
        <v>0</v>
      </c>
    </row>
    <row r="64" spans="1:3" ht="18.75">
      <c r="A64" s="53" t="s">
        <v>45</v>
      </c>
      <c r="B64" s="47"/>
      <c r="C64" s="6">
        <f>B64-'État de sorties'!B60+SUMIFS(Arrivages!$C$53:$C$61,Arrivages!$B$53:$B$61,"MB PE SLIP 6100011 (Agent Glissant)")</f>
        <v>0</v>
      </c>
    </row>
    <row r="65" spans="1:3" ht="18.75">
      <c r="A65" s="53" t="s">
        <v>46</v>
      </c>
      <c r="B65" s="47"/>
      <c r="C65" s="6">
        <f>B65-'État de sorties'!B61+SUMIFS(Arrivages!$C$53:$C$61,Arrivages!$B$53:$B$61,"AKULON XS 36-E2 (Colle)")</f>
        <v>0</v>
      </c>
    </row>
    <row r="66" spans="1:3" ht="18.75">
      <c r="A66" s="2" t="s">
        <v>43</v>
      </c>
      <c r="B66" s="81">
        <f>SUM(B57:B65)</f>
        <v>0</v>
      </c>
      <c r="C66" s="81">
        <f>SUM(C57:C65)</f>
        <v>0</v>
      </c>
    </row>
  </sheetData>
  <autoFilter ref="A6:A17" xr:uid="{00000000-0009-0000-0000-000000000000}">
    <filterColumn colId="0">
      <iconFilter iconSet="3Arrows"/>
    </filterColumn>
  </autoFilter>
  <mergeCells count="11">
    <mergeCell ref="A54:B54"/>
    <mergeCell ref="A2:B2"/>
    <mergeCell ref="B4:B5"/>
    <mergeCell ref="A19:B19"/>
    <mergeCell ref="C4:C5"/>
    <mergeCell ref="D4:D5"/>
    <mergeCell ref="A39:B39"/>
    <mergeCell ref="A4:A5"/>
    <mergeCell ref="B21:B22"/>
    <mergeCell ref="A21:A22"/>
    <mergeCell ref="C21:C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62"/>
  <sheetViews>
    <sheetView zoomScale="55" zoomScaleNormal="55" workbookViewId="0">
      <selection activeCell="A5" sqref="A5:A15"/>
    </sheetView>
  </sheetViews>
  <sheetFormatPr baseColWidth="10" defaultRowHeight="15"/>
  <cols>
    <col min="1" max="1" width="38.7109375" customWidth="1"/>
    <col min="2" max="2" width="25.5703125" customWidth="1"/>
    <col min="3" max="3" width="12.28515625" customWidth="1"/>
  </cols>
  <sheetData>
    <row r="1" spans="1:30" ht="18.75">
      <c r="A1" s="94" t="s">
        <v>61</v>
      </c>
      <c r="B1" s="102"/>
      <c r="C1" s="95"/>
    </row>
    <row r="3" spans="1:30" ht="18" customHeight="1">
      <c r="A3" s="103" t="s">
        <v>0</v>
      </c>
      <c r="B3" s="96" t="s">
        <v>36</v>
      </c>
      <c r="C3" s="101">
        <v>44958</v>
      </c>
      <c r="D3" s="101">
        <v>44959</v>
      </c>
      <c r="E3" s="101">
        <v>44960</v>
      </c>
      <c r="F3" s="101">
        <v>44961</v>
      </c>
      <c r="G3" s="101">
        <v>44962</v>
      </c>
      <c r="H3" s="101">
        <v>44963</v>
      </c>
      <c r="I3" s="101">
        <v>44964</v>
      </c>
      <c r="J3" s="101">
        <v>44965</v>
      </c>
      <c r="K3" s="101">
        <v>44966</v>
      </c>
      <c r="L3" s="101">
        <v>44967</v>
      </c>
      <c r="M3" s="101">
        <v>44968</v>
      </c>
      <c r="N3" s="101">
        <v>44969</v>
      </c>
      <c r="O3" s="101">
        <v>44970</v>
      </c>
      <c r="P3" s="101">
        <v>44971</v>
      </c>
      <c r="Q3" s="101">
        <v>44972</v>
      </c>
      <c r="R3" s="101">
        <v>44973</v>
      </c>
      <c r="S3" s="101">
        <v>44974</v>
      </c>
      <c r="T3" s="101">
        <v>44975</v>
      </c>
      <c r="U3" s="101">
        <v>44976</v>
      </c>
      <c r="V3" s="101">
        <v>44977</v>
      </c>
      <c r="W3" s="101">
        <v>44978</v>
      </c>
      <c r="X3" s="101">
        <v>44979</v>
      </c>
      <c r="Y3" s="101">
        <v>44980</v>
      </c>
      <c r="Z3" s="101">
        <v>44981</v>
      </c>
      <c r="AA3" s="101">
        <v>44982</v>
      </c>
      <c r="AB3" s="101">
        <v>44983</v>
      </c>
      <c r="AC3" s="101">
        <v>44984</v>
      </c>
      <c r="AD3" s="101">
        <v>44985</v>
      </c>
    </row>
    <row r="4" spans="1:30" ht="18" customHeight="1">
      <c r="A4" s="104"/>
      <c r="B4" s="97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</row>
    <row r="5" spans="1:30" ht="18.75">
      <c r="A5" s="89" t="s">
        <v>2</v>
      </c>
      <c r="B5" s="37">
        <v>1800</v>
      </c>
      <c r="C5" s="1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</row>
    <row r="6" spans="1:30" ht="18.75">
      <c r="A6" s="90" t="s">
        <v>52</v>
      </c>
      <c r="B6" s="37">
        <v>2600</v>
      </c>
      <c r="C6" s="15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0" ht="18.75">
      <c r="A7" s="56" t="s">
        <v>3</v>
      </c>
      <c r="B7" s="37">
        <f t="shared" ref="B7:B15" si="0">SUM(C7:AD7)</f>
        <v>0</v>
      </c>
      <c r="C7" s="1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</row>
    <row r="8" spans="1:30" ht="18.75">
      <c r="A8" s="51" t="s">
        <v>50</v>
      </c>
      <c r="B8" s="37">
        <f t="shared" si="0"/>
        <v>0</v>
      </c>
      <c r="C8" s="1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1:30" ht="18.75">
      <c r="A9" s="51" t="s">
        <v>51</v>
      </c>
      <c r="B9" s="37">
        <f t="shared" si="0"/>
        <v>0</v>
      </c>
      <c r="C9" s="1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</row>
    <row r="10" spans="1:30" ht="18.75">
      <c r="A10" s="91" t="s">
        <v>24</v>
      </c>
      <c r="B10" s="37">
        <v>6500</v>
      </c>
      <c r="C10" s="1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1:30" ht="18.75">
      <c r="A11" s="51" t="s">
        <v>4</v>
      </c>
      <c r="B11" s="37">
        <f t="shared" si="0"/>
        <v>0</v>
      </c>
      <c r="C11" s="1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</row>
    <row r="12" spans="1:30" ht="18.75">
      <c r="A12" s="77" t="s">
        <v>53</v>
      </c>
      <c r="B12" s="37">
        <f t="shared" si="0"/>
        <v>0</v>
      </c>
      <c r="C12" s="1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</row>
    <row r="13" spans="1:30" ht="18.75">
      <c r="A13" s="51" t="s">
        <v>5</v>
      </c>
      <c r="B13" s="37">
        <f t="shared" si="0"/>
        <v>0</v>
      </c>
      <c r="C13" s="16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</row>
    <row r="14" spans="1:30" ht="18.75">
      <c r="A14" s="78" t="s">
        <v>6</v>
      </c>
      <c r="B14" s="37">
        <f t="shared" si="0"/>
        <v>0</v>
      </c>
      <c r="C14" s="17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</row>
    <row r="15" spans="1:30" ht="18.75">
      <c r="A15" s="58" t="s">
        <v>7</v>
      </c>
      <c r="B15" s="37">
        <f t="shared" si="0"/>
        <v>0</v>
      </c>
      <c r="C15" s="18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</row>
    <row r="16" spans="1:30" ht="18.75">
      <c r="A16" s="2" t="s">
        <v>23</v>
      </c>
      <c r="B16" s="42">
        <f>SUM(B5:B15)</f>
        <v>10900</v>
      </c>
      <c r="C16" s="3">
        <f>SUM(C5:C15)</f>
        <v>0</v>
      </c>
      <c r="D16" s="3">
        <f t="shared" ref="D16:AD16" si="1">SUM(D5:D15)</f>
        <v>0</v>
      </c>
      <c r="E16" s="3">
        <f t="shared" si="1"/>
        <v>0</v>
      </c>
      <c r="F16" s="3">
        <f t="shared" si="1"/>
        <v>0</v>
      </c>
      <c r="G16" s="3">
        <f t="shared" si="1"/>
        <v>0</v>
      </c>
      <c r="H16" s="3">
        <f t="shared" si="1"/>
        <v>0</v>
      </c>
      <c r="I16" s="3">
        <f t="shared" si="1"/>
        <v>0</v>
      </c>
      <c r="J16" s="3">
        <f t="shared" si="1"/>
        <v>0</v>
      </c>
      <c r="K16" s="3">
        <f t="shared" si="1"/>
        <v>0</v>
      </c>
      <c r="L16" s="3">
        <f t="shared" si="1"/>
        <v>0</v>
      </c>
      <c r="M16" s="3">
        <f t="shared" si="1"/>
        <v>0</v>
      </c>
      <c r="N16" s="3">
        <f t="shared" si="1"/>
        <v>0</v>
      </c>
      <c r="O16" s="3">
        <f t="shared" si="1"/>
        <v>0</v>
      </c>
      <c r="P16" s="3">
        <f t="shared" si="1"/>
        <v>0</v>
      </c>
      <c r="Q16" s="3">
        <f t="shared" si="1"/>
        <v>0</v>
      </c>
      <c r="R16" s="3">
        <f t="shared" si="1"/>
        <v>0</v>
      </c>
      <c r="S16" s="3">
        <f t="shared" si="1"/>
        <v>0</v>
      </c>
      <c r="T16" s="3">
        <f t="shared" si="1"/>
        <v>0</v>
      </c>
      <c r="U16" s="3">
        <f t="shared" si="1"/>
        <v>0</v>
      </c>
      <c r="V16" s="3">
        <f t="shared" si="1"/>
        <v>0</v>
      </c>
      <c r="W16" s="3">
        <f t="shared" si="1"/>
        <v>0</v>
      </c>
      <c r="X16" s="3">
        <f t="shared" si="1"/>
        <v>0</v>
      </c>
      <c r="Y16" s="3">
        <f t="shared" si="1"/>
        <v>0</v>
      </c>
      <c r="Z16" s="3">
        <f t="shared" si="1"/>
        <v>0</v>
      </c>
      <c r="AA16" s="3">
        <f t="shared" si="1"/>
        <v>0</v>
      </c>
      <c r="AB16" s="3">
        <f t="shared" si="1"/>
        <v>0</v>
      </c>
      <c r="AC16" s="3">
        <f t="shared" si="1"/>
        <v>0</v>
      </c>
      <c r="AD16" s="3">
        <f t="shared" si="1"/>
        <v>0</v>
      </c>
    </row>
    <row r="17" spans="1:30" ht="18.75">
      <c r="A17" s="4"/>
      <c r="B17" s="4"/>
      <c r="C17" s="5"/>
    </row>
    <row r="18" spans="1:30" ht="18.75">
      <c r="A18" s="94" t="s">
        <v>60</v>
      </c>
      <c r="B18" s="102"/>
      <c r="C18" s="95"/>
    </row>
    <row r="20" spans="1:30" ht="18.75">
      <c r="A20" s="1" t="s">
        <v>0</v>
      </c>
      <c r="B20" s="38" t="s">
        <v>36</v>
      </c>
      <c r="C20" s="39">
        <v>44958</v>
      </c>
      <c r="D20" s="39">
        <v>44959</v>
      </c>
      <c r="E20" s="39">
        <v>44960</v>
      </c>
      <c r="F20" s="39">
        <v>44961</v>
      </c>
      <c r="G20" s="39">
        <v>44962</v>
      </c>
      <c r="H20" s="39">
        <v>44963</v>
      </c>
      <c r="I20" s="39">
        <v>44964</v>
      </c>
      <c r="J20" s="39">
        <v>44965</v>
      </c>
      <c r="K20" s="39">
        <v>44966</v>
      </c>
      <c r="L20" s="39">
        <v>44967</v>
      </c>
      <c r="M20" s="39">
        <v>44968</v>
      </c>
      <c r="N20" s="39">
        <v>44969</v>
      </c>
      <c r="O20" s="39">
        <v>44970</v>
      </c>
      <c r="P20" s="39">
        <v>44971</v>
      </c>
      <c r="Q20" s="39">
        <v>44972</v>
      </c>
      <c r="R20" s="39">
        <v>44973</v>
      </c>
      <c r="S20" s="39">
        <v>44974</v>
      </c>
      <c r="T20" s="39">
        <v>44975</v>
      </c>
      <c r="U20" s="39">
        <v>44976</v>
      </c>
      <c r="V20" s="39">
        <v>44977</v>
      </c>
      <c r="W20" s="39">
        <v>44978</v>
      </c>
      <c r="X20" s="39">
        <v>44979</v>
      </c>
      <c r="Y20" s="39">
        <v>44980</v>
      </c>
      <c r="Z20" s="39">
        <v>44981</v>
      </c>
      <c r="AA20" s="39">
        <v>44982</v>
      </c>
      <c r="AB20" s="39">
        <v>44983</v>
      </c>
      <c r="AC20" s="39">
        <v>44984</v>
      </c>
      <c r="AD20" s="39">
        <v>44985</v>
      </c>
    </row>
    <row r="21" spans="1:30" ht="18.75">
      <c r="A21" s="79" t="s">
        <v>9</v>
      </c>
      <c r="B21" s="37">
        <f>SUM(C21:AD21)</f>
        <v>0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8.75">
      <c r="A22" s="33" t="s">
        <v>10</v>
      </c>
      <c r="B22" s="37">
        <f t="shared" ref="B22:B33" si="2">SUM(C22:AD22)</f>
        <v>0</v>
      </c>
      <c r="C22" s="1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</row>
    <row r="23" spans="1:30" ht="18.75">
      <c r="A23" s="32" t="s">
        <v>65</v>
      </c>
      <c r="B23" s="37">
        <f t="shared" si="2"/>
        <v>0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</row>
    <row r="24" spans="1:30" ht="18.75">
      <c r="A24" s="32" t="s">
        <v>11</v>
      </c>
      <c r="B24" s="37">
        <f>SUM(C24:AD24)</f>
        <v>0</v>
      </c>
      <c r="C24" s="1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</row>
    <row r="25" spans="1:30" ht="18.75">
      <c r="A25" s="33" t="s">
        <v>12</v>
      </c>
      <c r="B25" s="37">
        <f t="shared" si="2"/>
        <v>0</v>
      </c>
      <c r="C25" s="1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</row>
    <row r="26" spans="1:30" ht="18.75">
      <c r="A26" s="33" t="s">
        <v>13</v>
      </c>
      <c r="B26" s="37">
        <f>SUM(C26:AD26)</f>
        <v>0</v>
      </c>
      <c r="C26" s="1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</row>
    <row r="27" spans="1:30" ht="18.75">
      <c r="A27" s="26" t="s">
        <v>14</v>
      </c>
      <c r="B27" s="37">
        <f t="shared" si="2"/>
        <v>0</v>
      </c>
      <c r="C27" s="1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</row>
    <row r="28" spans="1:30" ht="18.75">
      <c r="A28" s="26" t="s">
        <v>15</v>
      </c>
      <c r="B28" s="37">
        <f t="shared" si="2"/>
        <v>0</v>
      </c>
      <c r="C28" s="1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</row>
    <row r="29" spans="1:30" ht="18.75">
      <c r="A29" s="80" t="s">
        <v>16</v>
      </c>
      <c r="B29" s="37">
        <f t="shared" si="2"/>
        <v>0</v>
      </c>
      <c r="C29" s="1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</row>
    <row r="30" spans="1:30" ht="18.75">
      <c r="A30" s="32" t="s">
        <v>17</v>
      </c>
      <c r="B30" s="37">
        <f t="shared" si="2"/>
        <v>0</v>
      </c>
      <c r="C30" s="16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</row>
    <row r="31" spans="1:30" ht="18.75">
      <c r="A31" s="26" t="s">
        <v>64</v>
      </c>
      <c r="B31" s="37">
        <f t="shared" si="2"/>
        <v>0</v>
      </c>
      <c r="C31" s="1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</row>
    <row r="32" spans="1:30" ht="18.75">
      <c r="A32" s="33" t="s">
        <v>18</v>
      </c>
      <c r="B32" s="37">
        <f t="shared" si="2"/>
        <v>0</v>
      </c>
      <c r="C32" s="18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</row>
    <row r="33" spans="1:30" ht="18.75">
      <c r="A33" s="32" t="s">
        <v>19</v>
      </c>
      <c r="B33" s="37">
        <f t="shared" si="2"/>
        <v>0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</row>
    <row r="34" spans="1:30" ht="18.75">
      <c r="A34" s="2" t="s">
        <v>8</v>
      </c>
      <c r="B34" s="42">
        <f>SUM(B21:B33)</f>
        <v>0</v>
      </c>
      <c r="C34" s="3">
        <f>SUM(C21:C33)</f>
        <v>0</v>
      </c>
      <c r="D34" s="3">
        <f t="shared" ref="D34:AD34" si="3">SUM(D21:D33)</f>
        <v>0</v>
      </c>
      <c r="E34" s="3">
        <f t="shared" si="3"/>
        <v>0</v>
      </c>
      <c r="F34" s="3">
        <f t="shared" si="3"/>
        <v>0</v>
      </c>
      <c r="G34" s="3">
        <f t="shared" si="3"/>
        <v>0</v>
      </c>
      <c r="H34" s="3">
        <f t="shared" si="3"/>
        <v>0</v>
      </c>
      <c r="I34" s="3">
        <f t="shared" si="3"/>
        <v>0</v>
      </c>
      <c r="J34" s="3">
        <f t="shared" si="3"/>
        <v>0</v>
      </c>
      <c r="K34" s="3">
        <f t="shared" si="3"/>
        <v>0</v>
      </c>
      <c r="L34" s="3">
        <f t="shared" si="3"/>
        <v>0</v>
      </c>
      <c r="M34" s="3">
        <f t="shared" si="3"/>
        <v>0</v>
      </c>
      <c r="N34" s="3">
        <f t="shared" si="3"/>
        <v>0</v>
      </c>
      <c r="O34" s="3">
        <f t="shared" si="3"/>
        <v>0</v>
      </c>
      <c r="P34" s="3">
        <f t="shared" si="3"/>
        <v>0</v>
      </c>
      <c r="Q34" s="3">
        <f t="shared" si="3"/>
        <v>0</v>
      </c>
      <c r="R34" s="3">
        <f t="shared" si="3"/>
        <v>0</v>
      </c>
      <c r="S34" s="3">
        <f t="shared" si="3"/>
        <v>0</v>
      </c>
      <c r="T34" s="3">
        <f t="shared" si="3"/>
        <v>0</v>
      </c>
      <c r="U34" s="3">
        <f t="shared" si="3"/>
        <v>0</v>
      </c>
      <c r="V34" s="3">
        <f t="shared" si="3"/>
        <v>0</v>
      </c>
      <c r="W34" s="3">
        <f t="shared" si="3"/>
        <v>0</v>
      </c>
      <c r="X34" s="3">
        <f t="shared" si="3"/>
        <v>0</v>
      </c>
      <c r="Y34" s="3">
        <f t="shared" si="3"/>
        <v>0</v>
      </c>
      <c r="Z34" s="3">
        <f t="shared" si="3"/>
        <v>0</v>
      </c>
      <c r="AA34" s="3">
        <f t="shared" si="3"/>
        <v>0</v>
      </c>
      <c r="AB34" s="3">
        <f t="shared" si="3"/>
        <v>0</v>
      </c>
      <c r="AC34" s="3">
        <f t="shared" si="3"/>
        <v>0</v>
      </c>
      <c r="AD34" s="3">
        <f t="shared" si="3"/>
        <v>0</v>
      </c>
    </row>
    <row r="37" spans="1:30" ht="18.75">
      <c r="A37" s="94" t="s">
        <v>62</v>
      </c>
      <c r="B37" s="102"/>
      <c r="C37" s="95"/>
    </row>
    <row r="38" spans="1:30" ht="18.75">
      <c r="A38" s="10"/>
      <c r="B38" s="9"/>
      <c r="C38" s="9"/>
    </row>
    <row r="39" spans="1:30" ht="18.75">
      <c r="A39" s="11" t="s">
        <v>0</v>
      </c>
      <c r="B39" s="38" t="s">
        <v>36</v>
      </c>
      <c r="C39" s="39">
        <v>44958</v>
      </c>
      <c r="D39" s="39">
        <v>44959</v>
      </c>
      <c r="E39" s="39">
        <v>44960</v>
      </c>
      <c r="F39" s="39">
        <v>44961</v>
      </c>
      <c r="G39" s="39">
        <v>44962</v>
      </c>
      <c r="H39" s="39">
        <v>44963</v>
      </c>
      <c r="I39" s="39">
        <v>44964</v>
      </c>
      <c r="J39" s="39">
        <v>44965</v>
      </c>
      <c r="K39" s="39">
        <v>44966</v>
      </c>
      <c r="L39" s="39">
        <v>44967</v>
      </c>
      <c r="M39" s="39">
        <v>44968</v>
      </c>
      <c r="N39" s="39">
        <v>44969</v>
      </c>
      <c r="O39" s="39">
        <v>44970</v>
      </c>
      <c r="P39" s="39">
        <v>44971</v>
      </c>
      <c r="Q39" s="39">
        <v>44972</v>
      </c>
      <c r="R39" s="39">
        <v>44973</v>
      </c>
      <c r="S39" s="39">
        <v>44974</v>
      </c>
      <c r="T39" s="39">
        <v>44975</v>
      </c>
      <c r="U39" s="39">
        <v>44976</v>
      </c>
      <c r="V39" s="39">
        <v>44977</v>
      </c>
      <c r="W39" s="39">
        <v>44978</v>
      </c>
      <c r="X39" s="39">
        <v>44979</v>
      </c>
      <c r="Y39" s="39">
        <v>44980</v>
      </c>
      <c r="Z39" s="39">
        <v>44981</v>
      </c>
      <c r="AA39" s="39">
        <v>44982</v>
      </c>
      <c r="AB39" s="39">
        <v>44983</v>
      </c>
      <c r="AC39" s="39">
        <v>44984</v>
      </c>
      <c r="AD39" s="39">
        <v>44985</v>
      </c>
    </row>
    <row r="40" spans="1:30" ht="18.75">
      <c r="A40" s="35" t="s">
        <v>26</v>
      </c>
      <c r="B40" s="35">
        <f>SUM(C40:AD40)</f>
        <v>0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1:30" ht="18.75">
      <c r="A41" s="35" t="s">
        <v>27</v>
      </c>
      <c r="B41" s="35">
        <f t="shared" ref="B41:B46" si="4">SUM(C41:AD41)</f>
        <v>0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18.75">
      <c r="A42" s="36" t="s">
        <v>28</v>
      </c>
      <c r="B42" s="35">
        <f t="shared" si="4"/>
        <v>0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8.75">
      <c r="A43" s="36" t="s">
        <v>29</v>
      </c>
      <c r="B43" s="35">
        <f t="shared" si="4"/>
        <v>0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8.75">
      <c r="A44" s="36" t="s">
        <v>30</v>
      </c>
      <c r="B44" s="35">
        <f t="shared" si="4"/>
        <v>0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</row>
    <row r="45" spans="1:30" ht="18.75">
      <c r="A45" s="36" t="s">
        <v>31</v>
      </c>
      <c r="B45" s="35">
        <f t="shared" si="4"/>
        <v>0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</row>
    <row r="46" spans="1:30" ht="18.75">
      <c r="A46" s="35" t="s">
        <v>32</v>
      </c>
      <c r="B46" s="35">
        <f t="shared" si="4"/>
        <v>0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</row>
    <row r="47" spans="1:30" ht="18.75">
      <c r="A47" s="2" t="s">
        <v>37</v>
      </c>
      <c r="B47" s="42">
        <f>SUM(B34:B46)</f>
        <v>0</v>
      </c>
      <c r="C47" s="3">
        <f>SUM(C40:C46)</f>
        <v>0</v>
      </c>
      <c r="D47" s="3">
        <f t="shared" ref="D47:AD47" si="5">SUM(D40:D46)</f>
        <v>0</v>
      </c>
      <c r="E47" s="3">
        <f t="shared" si="5"/>
        <v>0</v>
      </c>
      <c r="F47" s="3">
        <f t="shared" si="5"/>
        <v>0</v>
      </c>
      <c r="G47" s="3">
        <f t="shared" si="5"/>
        <v>0</v>
      </c>
      <c r="H47" s="3">
        <f t="shared" si="5"/>
        <v>0</v>
      </c>
      <c r="I47" s="3">
        <f t="shared" si="5"/>
        <v>0</v>
      </c>
      <c r="J47" s="3">
        <f t="shared" si="5"/>
        <v>0</v>
      </c>
      <c r="K47" s="3">
        <f t="shared" si="5"/>
        <v>0</v>
      </c>
      <c r="L47" s="3">
        <f t="shared" si="5"/>
        <v>0</v>
      </c>
      <c r="M47" s="3">
        <f t="shared" si="5"/>
        <v>0</v>
      </c>
      <c r="N47" s="3">
        <f t="shared" si="5"/>
        <v>0</v>
      </c>
      <c r="O47" s="3">
        <f t="shared" si="5"/>
        <v>0</v>
      </c>
      <c r="P47" s="3">
        <f t="shared" si="5"/>
        <v>0</v>
      </c>
      <c r="Q47" s="3">
        <f t="shared" si="5"/>
        <v>0</v>
      </c>
      <c r="R47" s="3">
        <f t="shared" si="5"/>
        <v>0</v>
      </c>
      <c r="S47" s="3">
        <f t="shared" si="5"/>
        <v>0</v>
      </c>
      <c r="T47" s="3">
        <f t="shared" si="5"/>
        <v>0</v>
      </c>
      <c r="U47" s="3">
        <f t="shared" si="5"/>
        <v>0</v>
      </c>
      <c r="V47" s="3">
        <f t="shared" si="5"/>
        <v>0</v>
      </c>
      <c r="W47" s="3">
        <f t="shared" si="5"/>
        <v>0</v>
      </c>
      <c r="X47" s="3">
        <f t="shared" si="5"/>
        <v>0</v>
      </c>
      <c r="Y47" s="3">
        <f t="shared" si="5"/>
        <v>0</v>
      </c>
      <c r="Z47" s="3">
        <f t="shared" si="5"/>
        <v>0</v>
      </c>
      <c r="AA47" s="3">
        <f t="shared" si="5"/>
        <v>0</v>
      </c>
      <c r="AB47" s="3">
        <f t="shared" si="5"/>
        <v>0</v>
      </c>
      <c r="AC47" s="3">
        <f t="shared" si="5"/>
        <v>0</v>
      </c>
      <c r="AD47" s="3">
        <f t="shared" si="5"/>
        <v>0</v>
      </c>
    </row>
    <row r="50" spans="1:30" ht="18.75">
      <c r="A50" s="94" t="s">
        <v>63</v>
      </c>
      <c r="B50" s="102"/>
      <c r="C50" s="95"/>
    </row>
    <row r="52" spans="1:30" ht="18.75">
      <c r="A52" s="11" t="s">
        <v>0</v>
      </c>
      <c r="B52" s="38" t="s">
        <v>36</v>
      </c>
      <c r="C52" s="39">
        <v>44958</v>
      </c>
      <c r="D52" s="39">
        <v>44959</v>
      </c>
      <c r="E52" s="39">
        <v>44960</v>
      </c>
      <c r="F52" s="39">
        <v>44961</v>
      </c>
      <c r="G52" s="39">
        <v>44962</v>
      </c>
      <c r="H52" s="39">
        <v>44963</v>
      </c>
      <c r="I52" s="39">
        <v>44964</v>
      </c>
      <c r="J52" s="39">
        <v>44965</v>
      </c>
      <c r="K52" s="39">
        <v>44966</v>
      </c>
      <c r="L52" s="39">
        <v>44967</v>
      </c>
      <c r="M52" s="39">
        <v>44968</v>
      </c>
      <c r="N52" s="39">
        <v>44969</v>
      </c>
      <c r="O52" s="39">
        <v>44970</v>
      </c>
      <c r="P52" s="39">
        <v>44971</v>
      </c>
      <c r="Q52" s="39">
        <v>44972</v>
      </c>
      <c r="R52" s="39">
        <v>44973</v>
      </c>
      <c r="S52" s="39">
        <v>44974</v>
      </c>
      <c r="T52" s="39">
        <v>44975</v>
      </c>
      <c r="U52" s="39">
        <v>44976</v>
      </c>
      <c r="V52" s="39">
        <v>44977</v>
      </c>
      <c r="W52" s="39">
        <v>44978</v>
      </c>
      <c r="X52" s="39">
        <v>44979</v>
      </c>
      <c r="Y52" s="39">
        <v>44980</v>
      </c>
      <c r="Z52" s="39">
        <v>44981</v>
      </c>
      <c r="AA52" s="39">
        <v>44982</v>
      </c>
      <c r="AB52" s="39">
        <v>44983</v>
      </c>
      <c r="AC52" s="39">
        <v>44984</v>
      </c>
      <c r="AD52" s="39">
        <v>44985</v>
      </c>
    </row>
    <row r="53" spans="1:30" ht="18.75">
      <c r="A53" s="52" t="s">
        <v>41</v>
      </c>
      <c r="B53" s="50">
        <f>SUM(C53:AD53)</f>
        <v>0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</row>
    <row r="54" spans="1:30" ht="18.75">
      <c r="A54" s="52" t="s">
        <v>39</v>
      </c>
      <c r="B54" s="50">
        <f t="shared" ref="B54:B61" si="6">SUM(C54:AD54)</f>
        <v>0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</row>
    <row r="55" spans="1:30" ht="18.75">
      <c r="A55" s="52" t="s">
        <v>40</v>
      </c>
      <c r="B55" s="50">
        <f t="shared" si="6"/>
        <v>0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</row>
    <row r="56" spans="1:30" ht="18.75">
      <c r="A56" s="53" t="s">
        <v>38</v>
      </c>
      <c r="B56" s="50">
        <f t="shared" si="6"/>
        <v>0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</row>
    <row r="57" spans="1:30" ht="18.75">
      <c r="A57" s="53" t="s">
        <v>48</v>
      </c>
      <c r="B57" s="50">
        <f t="shared" si="6"/>
        <v>0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</row>
    <row r="58" spans="1:30" ht="18.75">
      <c r="A58" s="53" t="s">
        <v>66</v>
      </c>
      <c r="B58" s="50">
        <f t="shared" si="6"/>
        <v>0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</row>
    <row r="59" spans="1:30" ht="18.75">
      <c r="A59" s="53" t="s">
        <v>47</v>
      </c>
      <c r="B59" s="50">
        <f t="shared" si="6"/>
        <v>0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</row>
    <row r="60" spans="1:30" ht="18.75">
      <c r="A60" s="53" t="s">
        <v>45</v>
      </c>
      <c r="B60" s="50">
        <f t="shared" si="6"/>
        <v>0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</row>
    <row r="61" spans="1:30" ht="18.75">
      <c r="A61" s="53" t="s">
        <v>46</v>
      </c>
      <c r="B61" s="50">
        <f t="shared" si="6"/>
        <v>0</v>
      </c>
      <c r="C61" s="24"/>
      <c r="D61" s="24"/>
      <c r="E61" s="24"/>
      <c r="F61" s="24" t="s">
        <v>44</v>
      </c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</row>
    <row r="62" spans="1:30" ht="18.75">
      <c r="A62" s="2" t="s">
        <v>37</v>
      </c>
      <c r="B62" s="42">
        <f>SUM(B53:B61)</f>
        <v>0</v>
      </c>
      <c r="C62" s="3">
        <f>SUM(C53:C61)</f>
        <v>0</v>
      </c>
      <c r="D62" s="3">
        <f t="shared" ref="D62:AD62" si="7">SUM(D53:D61)</f>
        <v>0</v>
      </c>
      <c r="E62" s="3">
        <f t="shared" si="7"/>
        <v>0</v>
      </c>
      <c r="F62" s="3">
        <f t="shared" si="7"/>
        <v>0</v>
      </c>
      <c r="G62" s="3">
        <f t="shared" si="7"/>
        <v>0</v>
      </c>
      <c r="H62" s="3">
        <f t="shared" si="7"/>
        <v>0</v>
      </c>
      <c r="I62" s="3">
        <f t="shared" si="7"/>
        <v>0</v>
      </c>
      <c r="J62" s="3">
        <f t="shared" si="7"/>
        <v>0</v>
      </c>
      <c r="K62" s="3">
        <f t="shared" si="7"/>
        <v>0</v>
      </c>
      <c r="L62" s="3">
        <f t="shared" si="7"/>
        <v>0</v>
      </c>
      <c r="M62" s="3">
        <f t="shared" si="7"/>
        <v>0</v>
      </c>
      <c r="N62" s="3">
        <f t="shared" si="7"/>
        <v>0</v>
      </c>
      <c r="O62" s="3">
        <f t="shared" si="7"/>
        <v>0</v>
      </c>
      <c r="P62" s="3">
        <f t="shared" si="7"/>
        <v>0</v>
      </c>
      <c r="Q62" s="3">
        <f t="shared" si="7"/>
        <v>0</v>
      </c>
      <c r="R62" s="3">
        <f t="shared" si="7"/>
        <v>0</v>
      </c>
      <c r="S62" s="3">
        <f t="shared" si="7"/>
        <v>0</v>
      </c>
      <c r="T62" s="3">
        <f t="shared" si="7"/>
        <v>0</v>
      </c>
      <c r="U62" s="3">
        <f>SUM(U53:U61)</f>
        <v>0</v>
      </c>
      <c r="V62" s="3">
        <f t="shared" si="7"/>
        <v>0</v>
      </c>
      <c r="W62" s="3">
        <f t="shared" si="7"/>
        <v>0</v>
      </c>
      <c r="X62" s="3">
        <f t="shared" si="7"/>
        <v>0</v>
      </c>
      <c r="Y62" s="3">
        <f t="shared" si="7"/>
        <v>0</v>
      </c>
      <c r="Z62" s="3">
        <f t="shared" si="7"/>
        <v>0</v>
      </c>
      <c r="AA62" s="3">
        <f t="shared" si="7"/>
        <v>0</v>
      </c>
      <c r="AB62" s="3">
        <f t="shared" si="7"/>
        <v>0</v>
      </c>
      <c r="AC62" s="3">
        <f t="shared" si="7"/>
        <v>0</v>
      </c>
      <c r="AD62" s="3">
        <f t="shared" si="7"/>
        <v>0</v>
      </c>
    </row>
  </sheetData>
  <mergeCells count="34">
    <mergeCell ref="A50:C50"/>
    <mergeCell ref="J3:J4"/>
    <mergeCell ref="A1:C1"/>
    <mergeCell ref="C3:C4"/>
    <mergeCell ref="A18:C18"/>
    <mergeCell ref="A37:C37"/>
    <mergeCell ref="A3:A4"/>
    <mergeCell ref="D3:D4"/>
    <mergeCell ref="E3:E4"/>
    <mergeCell ref="F3:F4"/>
    <mergeCell ref="G3:G4"/>
    <mergeCell ref="H3:H4"/>
    <mergeCell ref="I3:I4"/>
    <mergeCell ref="L3:L4"/>
    <mergeCell ref="M3:M4"/>
    <mergeCell ref="N3:N4"/>
    <mergeCell ref="O3:O4"/>
    <mergeCell ref="P3:P4"/>
    <mergeCell ref="AC3:AC4"/>
    <mergeCell ref="AD3:AD4"/>
    <mergeCell ref="B3:B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4"/>
  <sheetViews>
    <sheetView workbookViewId="0">
      <selection activeCell="B3" sqref="B3:C4"/>
    </sheetView>
  </sheetViews>
  <sheetFormatPr baseColWidth="10" defaultRowHeight="15"/>
  <cols>
    <col min="1" max="1" width="17.28515625" customWidth="1"/>
    <col min="2" max="2" width="37.42578125" customWidth="1"/>
    <col min="3" max="3" width="38.85546875" customWidth="1"/>
    <col min="8" max="8" width="36" customWidth="1"/>
  </cols>
  <sheetData>
    <row r="1" spans="1:8" ht="18.600000000000001" customHeight="1">
      <c r="A1" s="107" t="s">
        <v>69</v>
      </c>
      <c r="B1" s="108"/>
    </row>
    <row r="3" spans="1:8" ht="18" customHeight="1">
      <c r="A3" s="111" t="s">
        <v>25</v>
      </c>
      <c r="B3" s="96" t="s">
        <v>0</v>
      </c>
      <c r="C3" s="109" t="s">
        <v>20</v>
      </c>
    </row>
    <row r="4" spans="1:8" ht="18" customHeight="1">
      <c r="A4" s="111"/>
      <c r="B4" s="97"/>
      <c r="C4" s="110"/>
      <c r="H4" s="11" t="s">
        <v>67</v>
      </c>
    </row>
    <row r="5" spans="1:8" ht="18.75">
      <c r="A5" s="13" t="s">
        <v>59</v>
      </c>
      <c r="B5" s="61"/>
      <c r="C5" s="14"/>
      <c r="H5" s="75" t="s">
        <v>2</v>
      </c>
    </row>
    <row r="6" spans="1:8" ht="18.75">
      <c r="A6" s="13" t="s">
        <v>59</v>
      </c>
      <c r="B6" s="62"/>
      <c r="C6" s="15"/>
      <c r="H6" s="76" t="s">
        <v>52</v>
      </c>
    </row>
    <row r="7" spans="1:8" ht="18.75">
      <c r="A7" s="13" t="s">
        <v>59</v>
      </c>
      <c r="B7" s="61"/>
      <c r="C7" s="14"/>
      <c r="H7" s="56" t="s">
        <v>3</v>
      </c>
    </row>
    <row r="8" spans="1:8" ht="18.75">
      <c r="A8" s="13" t="s">
        <v>59</v>
      </c>
      <c r="B8" s="63"/>
      <c r="C8" s="14"/>
      <c r="H8" s="51" t="s">
        <v>50</v>
      </c>
    </row>
    <row r="9" spans="1:8" ht="18.75">
      <c r="A9" s="13" t="s">
        <v>59</v>
      </c>
      <c r="B9" s="63"/>
      <c r="C9" s="14"/>
      <c r="H9" s="51" t="s">
        <v>51</v>
      </c>
    </row>
    <row r="10" spans="1:8" ht="18.75">
      <c r="A10" s="13" t="s">
        <v>59</v>
      </c>
      <c r="B10" s="63"/>
      <c r="C10" s="14"/>
      <c r="H10" s="51" t="s">
        <v>24</v>
      </c>
    </row>
    <row r="11" spans="1:8" ht="18.75">
      <c r="A11" s="13" t="s">
        <v>59</v>
      </c>
      <c r="B11" s="64"/>
      <c r="C11" s="14"/>
      <c r="H11" s="51" t="s">
        <v>4</v>
      </c>
    </row>
    <row r="12" spans="1:8" ht="18.75">
      <c r="A12" s="13" t="s">
        <v>59</v>
      </c>
      <c r="B12" s="65"/>
      <c r="C12" s="14"/>
      <c r="H12" s="77" t="s">
        <v>53</v>
      </c>
    </row>
    <row r="13" spans="1:8" ht="18.75">
      <c r="A13" s="13" t="s">
        <v>59</v>
      </c>
      <c r="B13" s="66"/>
      <c r="C13" s="16"/>
      <c r="H13" s="51" t="s">
        <v>5</v>
      </c>
    </row>
    <row r="14" spans="1:8" ht="18.75">
      <c r="A14" s="13" t="s">
        <v>59</v>
      </c>
      <c r="B14" s="67"/>
      <c r="C14" s="17"/>
      <c r="H14" s="78" t="s">
        <v>6</v>
      </c>
    </row>
    <row r="15" spans="1:8" ht="18.75">
      <c r="A15" s="13" t="s">
        <v>59</v>
      </c>
      <c r="B15" s="68"/>
      <c r="C15" s="18"/>
      <c r="H15" s="58" t="s">
        <v>7</v>
      </c>
    </row>
    <row r="16" spans="1:8" ht="18.75">
      <c r="A16" s="7"/>
      <c r="B16" s="2" t="s">
        <v>23</v>
      </c>
      <c r="C16" s="3">
        <f>SUM(C4:C15)</f>
        <v>0</v>
      </c>
    </row>
    <row r="17" spans="1:8" ht="18.75">
      <c r="B17" s="4"/>
      <c r="C17" s="5"/>
    </row>
    <row r="18" spans="1:8" ht="18.75">
      <c r="A18" s="105" t="s">
        <v>68</v>
      </c>
      <c r="B18" s="106"/>
    </row>
    <row r="20" spans="1:8" ht="18" customHeight="1">
      <c r="A20" s="8" t="s">
        <v>25</v>
      </c>
      <c r="B20" s="1" t="s">
        <v>0</v>
      </c>
      <c r="C20" s="86" t="s">
        <v>1</v>
      </c>
      <c r="H20" s="11" t="s">
        <v>67</v>
      </c>
    </row>
    <row r="21" spans="1:8" ht="18" customHeight="1">
      <c r="A21" s="49" t="s">
        <v>59</v>
      </c>
      <c r="B21" s="61"/>
      <c r="C21" s="17"/>
      <c r="H21" s="79" t="s">
        <v>9</v>
      </c>
    </row>
    <row r="22" spans="1:8" ht="18.75">
      <c r="A22" s="49" t="s">
        <v>59</v>
      </c>
      <c r="B22" s="69"/>
      <c r="C22" s="18"/>
      <c r="H22" s="33" t="s">
        <v>10</v>
      </c>
    </row>
    <row r="23" spans="1:8" ht="18.75">
      <c r="A23" s="49" t="s">
        <v>59</v>
      </c>
      <c r="B23" s="70"/>
      <c r="C23" s="19"/>
      <c r="H23" s="32" t="s">
        <v>65</v>
      </c>
    </row>
    <row r="24" spans="1:8" ht="18.75">
      <c r="A24" s="49" t="s">
        <v>59</v>
      </c>
      <c r="B24" s="71"/>
      <c r="C24" s="20"/>
      <c r="H24" s="32" t="s">
        <v>11</v>
      </c>
    </row>
    <row r="25" spans="1:8" ht="18.75">
      <c r="A25" s="49" t="s">
        <v>59</v>
      </c>
      <c r="B25" s="72"/>
      <c r="C25" s="21"/>
      <c r="H25" s="33" t="s">
        <v>12</v>
      </c>
    </row>
    <row r="26" spans="1:8" ht="18.75">
      <c r="A26" s="49" t="s">
        <v>59</v>
      </c>
      <c r="B26" s="72"/>
      <c r="C26" s="19"/>
      <c r="H26" s="33" t="s">
        <v>13</v>
      </c>
    </row>
    <row r="27" spans="1:8" ht="18.75">
      <c r="A27" s="49" t="s">
        <v>59</v>
      </c>
      <c r="B27" s="66"/>
      <c r="C27" s="19"/>
      <c r="H27" s="26" t="s">
        <v>14</v>
      </c>
    </row>
    <row r="28" spans="1:8" ht="18.75">
      <c r="A28" s="49" t="s">
        <v>59</v>
      </c>
      <c r="B28" s="66"/>
      <c r="C28" s="22"/>
      <c r="H28" s="26" t="s">
        <v>15</v>
      </c>
    </row>
    <row r="29" spans="1:8" ht="18.75">
      <c r="A29" s="49" t="s">
        <v>59</v>
      </c>
      <c r="B29" s="73"/>
      <c r="C29" s="22"/>
      <c r="H29" s="80" t="s">
        <v>16</v>
      </c>
    </row>
    <row r="30" spans="1:8" ht="19.5">
      <c r="A30" s="49" t="s">
        <v>59</v>
      </c>
      <c r="B30" s="74"/>
      <c r="C30" s="22"/>
      <c r="H30" s="32" t="s">
        <v>17</v>
      </c>
    </row>
    <row r="31" spans="1:8" ht="18.75">
      <c r="A31" s="49" t="s">
        <v>59</v>
      </c>
      <c r="B31" s="63"/>
      <c r="C31" s="22"/>
      <c r="H31" s="26" t="s">
        <v>64</v>
      </c>
    </row>
    <row r="32" spans="1:8" ht="19.5">
      <c r="A32" s="49" t="s">
        <v>59</v>
      </c>
      <c r="B32" s="72"/>
      <c r="C32" s="23"/>
      <c r="H32" s="33" t="s">
        <v>18</v>
      </c>
    </row>
    <row r="33" spans="1:8" ht="18.75">
      <c r="A33" s="49" t="s">
        <v>59</v>
      </c>
      <c r="B33" s="71"/>
      <c r="C33" s="22"/>
      <c r="H33" s="32" t="s">
        <v>19</v>
      </c>
    </row>
    <row r="34" spans="1:8" ht="18.75">
      <c r="A34" s="7"/>
      <c r="B34" s="2" t="s">
        <v>8</v>
      </c>
      <c r="C34" s="3">
        <f>SUM(C21:C33)</f>
        <v>0</v>
      </c>
    </row>
    <row r="37" spans="1:8" ht="18.75">
      <c r="A37" s="105" t="s">
        <v>70</v>
      </c>
      <c r="B37" s="106"/>
    </row>
    <row r="38" spans="1:8" ht="18.75">
      <c r="A38" s="10"/>
      <c r="B38" s="9"/>
    </row>
    <row r="39" spans="1:8" ht="18.75">
      <c r="A39" s="8" t="s">
        <v>25</v>
      </c>
      <c r="B39" s="11" t="s">
        <v>0</v>
      </c>
      <c r="C39" s="8" t="s">
        <v>21</v>
      </c>
      <c r="H39" s="11" t="s">
        <v>67</v>
      </c>
    </row>
    <row r="40" spans="1:8" ht="18.75">
      <c r="A40" s="49" t="s">
        <v>59</v>
      </c>
      <c r="B40" s="82"/>
      <c r="C40" s="24"/>
      <c r="H40" s="35" t="s">
        <v>26</v>
      </c>
    </row>
    <row r="41" spans="1:8" ht="18.75">
      <c r="A41" s="49" t="s">
        <v>59</v>
      </c>
      <c r="B41" s="82"/>
      <c r="C41" s="24"/>
      <c r="H41" s="35" t="s">
        <v>27</v>
      </c>
    </row>
    <row r="42" spans="1:8" ht="18.75">
      <c r="A42" s="49" t="s">
        <v>59</v>
      </c>
      <c r="B42" s="83"/>
      <c r="C42" s="24"/>
      <c r="H42" s="36" t="s">
        <v>28</v>
      </c>
    </row>
    <row r="43" spans="1:8" ht="18.75">
      <c r="A43" s="49" t="s">
        <v>59</v>
      </c>
      <c r="B43" s="83"/>
      <c r="C43" s="24"/>
      <c r="H43" s="36" t="s">
        <v>29</v>
      </c>
    </row>
    <row r="44" spans="1:8" ht="18.75">
      <c r="A44" s="49" t="s">
        <v>59</v>
      </c>
      <c r="B44" s="83"/>
      <c r="C44" s="24"/>
      <c r="H44" s="36" t="s">
        <v>30</v>
      </c>
    </row>
    <row r="45" spans="1:8" ht="18.75">
      <c r="A45" s="49" t="s">
        <v>59</v>
      </c>
      <c r="B45" s="83"/>
      <c r="C45" s="24"/>
      <c r="H45" s="36" t="s">
        <v>31</v>
      </c>
    </row>
    <row r="46" spans="1:8" ht="18.75">
      <c r="A46" s="49" t="s">
        <v>59</v>
      </c>
      <c r="B46" s="82"/>
      <c r="C46" s="24"/>
      <c r="H46" s="35" t="s">
        <v>32</v>
      </c>
    </row>
    <row r="50" spans="1:8" ht="18.75">
      <c r="A50" s="105" t="s">
        <v>71</v>
      </c>
      <c r="B50" s="106"/>
    </row>
    <row r="51" spans="1:8" ht="18.75">
      <c r="A51" s="10"/>
      <c r="B51" s="9"/>
    </row>
    <row r="52" spans="1:8" ht="18.75">
      <c r="A52" s="8" t="s">
        <v>25</v>
      </c>
      <c r="B52" s="11" t="s">
        <v>0</v>
      </c>
      <c r="C52" s="8" t="s">
        <v>21</v>
      </c>
      <c r="H52" s="11" t="s">
        <v>67</v>
      </c>
    </row>
    <row r="53" spans="1:8" ht="15.75">
      <c r="A53" s="49" t="s">
        <v>59</v>
      </c>
      <c r="B53" s="84"/>
      <c r="C53" s="24"/>
      <c r="H53" s="52" t="s">
        <v>41</v>
      </c>
    </row>
    <row r="54" spans="1:8" ht="15.75">
      <c r="A54" s="49" t="s">
        <v>59</v>
      </c>
      <c r="B54" s="84"/>
      <c r="C54" s="24"/>
      <c r="H54" s="52" t="s">
        <v>39</v>
      </c>
    </row>
    <row r="55" spans="1:8" ht="15.75">
      <c r="A55" s="49" t="s">
        <v>59</v>
      </c>
      <c r="B55" s="84"/>
      <c r="C55" s="24"/>
      <c r="H55" s="52" t="s">
        <v>40</v>
      </c>
    </row>
    <row r="56" spans="1:8" ht="15.75">
      <c r="A56" s="49" t="s">
        <v>59</v>
      </c>
      <c r="B56" s="85"/>
      <c r="C56" s="24"/>
      <c r="H56" s="53" t="s">
        <v>38</v>
      </c>
    </row>
    <row r="57" spans="1:8" ht="15.75">
      <c r="A57" s="49" t="s">
        <v>59</v>
      </c>
      <c r="B57" s="85"/>
      <c r="C57" s="24"/>
      <c r="H57" s="53" t="s">
        <v>48</v>
      </c>
    </row>
    <row r="58" spans="1:8" ht="15.75">
      <c r="A58" s="49" t="s">
        <v>59</v>
      </c>
      <c r="B58" s="85"/>
      <c r="C58" s="24"/>
      <c r="H58" s="53" t="s">
        <v>66</v>
      </c>
    </row>
    <row r="59" spans="1:8" ht="15.75">
      <c r="A59" s="49" t="s">
        <v>59</v>
      </c>
      <c r="B59" s="85"/>
      <c r="C59" s="24"/>
      <c r="H59" s="53" t="s">
        <v>47</v>
      </c>
    </row>
    <row r="60" spans="1:8" ht="18.75">
      <c r="A60" s="49" t="s">
        <v>59</v>
      </c>
      <c r="B60" s="85"/>
      <c r="C60" s="47"/>
      <c r="D60" s="43"/>
      <c r="E60" s="44"/>
      <c r="H60" s="53" t="s">
        <v>45</v>
      </c>
    </row>
    <row r="61" spans="1:8" ht="18.75">
      <c r="A61" s="49" t="s">
        <v>59</v>
      </c>
      <c r="B61" s="85"/>
      <c r="C61" s="47"/>
      <c r="D61" s="43"/>
      <c r="E61" s="44"/>
      <c r="H61" s="53" t="s">
        <v>46</v>
      </c>
    </row>
    <row r="62" spans="1:8" ht="18.75">
      <c r="C62" s="45"/>
      <c r="D62" s="45"/>
      <c r="E62" s="44"/>
    </row>
    <row r="63" spans="1:8" ht="18.75">
      <c r="C63" s="45"/>
      <c r="D63" s="46"/>
      <c r="E63" s="45"/>
    </row>
    <row r="64" spans="1:8" ht="18.75">
      <c r="C64" s="45"/>
      <c r="D64" s="46"/>
      <c r="E64" s="45"/>
    </row>
  </sheetData>
  <mergeCells count="7">
    <mergeCell ref="A50:B50"/>
    <mergeCell ref="A1:B1"/>
    <mergeCell ref="A18:B18"/>
    <mergeCell ref="A37:B37"/>
    <mergeCell ref="C3:C4"/>
    <mergeCell ref="A3:A4"/>
    <mergeCell ref="B3:B4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M42"/>
  <sheetViews>
    <sheetView tabSelected="1" zoomScale="115" zoomScaleNormal="115" workbookViewId="0">
      <selection activeCell="I9" sqref="I9"/>
    </sheetView>
  </sheetViews>
  <sheetFormatPr baseColWidth="10" defaultRowHeight="15"/>
  <cols>
    <col min="2" max="2" width="18.140625" customWidth="1"/>
    <col min="3" max="3" width="20" customWidth="1"/>
    <col min="6" max="6" width="14.42578125" customWidth="1"/>
    <col min="7" max="7" width="30" customWidth="1"/>
    <col min="8" max="8" width="16.7109375" customWidth="1"/>
    <col min="9" max="9" width="14.42578125" customWidth="1"/>
    <col min="11" max="11" width="13.28515625" customWidth="1"/>
    <col min="12" max="12" width="17.28515625" customWidth="1"/>
    <col min="13" max="13" width="16.7109375" customWidth="1"/>
  </cols>
  <sheetData>
    <row r="2" spans="1:13" ht="17.45" customHeight="1">
      <c r="A2" s="112" t="s">
        <v>54</v>
      </c>
      <c r="B2" s="112"/>
      <c r="C2" s="112"/>
      <c r="D2" s="60"/>
      <c r="E2" s="60"/>
      <c r="F2" s="113" t="s">
        <v>55</v>
      </c>
      <c r="G2" s="113"/>
      <c r="H2" s="113"/>
      <c r="K2" s="112" t="s">
        <v>56</v>
      </c>
      <c r="L2" s="112"/>
      <c r="M2" s="112"/>
    </row>
    <row r="4" spans="1:13" ht="18.75">
      <c r="A4" s="59"/>
    </row>
    <row r="5" spans="1:13" ht="14.45" customHeight="1">
      <c r="A5" s="111" t="s">
        <v>25</v>
      </c>
      <c r="B5" s="96" t="s">
        <v>58</v>
      </c>
      <c r="C5" s="96" t="s">
        <v>57</v>
      </c>
      <c r="F5" s="117" t="s">
        <v>0</v>
      </c>
      <c r="G5" s="118" t="s">
        <v>20</v>
      </c>
      <c r="H5" s="92"/>
      <c r="K5" s="111" t="s">
        <v>25</v>
      </c>
      <c r="L5" s="96" t="s">
        <v>58</v>
      </c>
      <c r="M5" s="96" t="s">
        <v>57</v>
      </c>
    </row>
    <row r="6" spans="1:13" ht="14.45" customHeight="1">
      <c r="A6" s="111"/>
      <c r="B6" s="97"/>
      <c r="C6" s="97"/>
      <c r="F6" s="119"/>
      <c r="G6" s="120" t="str">
        <f>IFERROR(VLOOKUP('Récapitulatif Reporting'!$F6,'État de sorties'!$A$5:$B$15,2,0),"")</f>
        <v/>
      </c>
      <c r="H6" s="92"/>
      <c r="K6" s="111"/>
      <c r="L6" s="97"/>
      <c r="M6" s="97"/>
    </row>
    <row r="7" spans="1:13">
      <c r="A7" s="7"/>
      <c r="B7" s="7"/>
      <c r="C7" s="7"/>
      <c r="F7" s="121" t="str" cm="1">
        <f t="array" ref="F7">IFERROR(INDEX('État de sorties'!$A$5:$A$15,SMALL(IF('État de sorties'!$B$5:$B$15&gt;0,ROW('État de sorties'!$A$5:$A$15)-4),ROWS($1:1))),"")</f>
        <v>Aramco F2122</v>
      </c>
      <c r="G7" s="122">
        <f>IFERROR(VLOOKUP('Récapitulatif Reporting'!$F7,'État de sorties'!$A$5:$B$15,2,0),"")</f>
        <v>1800</v>
      </c>
      <c r="K7" s="7"/>
      <c r="L7" s="7"/>
      <c r="M7" s="7"/>
    </row>
    <row r="8" spans="1:13">
      <c r="A8" s="7"/>
      <c r="B8" s="7"/>
      <c r="C8" s="7"/>
      <c r="F8" s="123" t="str" cm="1">
        <f t="array" ref="F8">IFERROR(INDEX('État de sorties'!$A$5:$A$15,SMALL(IF('État de sorties'!$B$5:$B$15&gt;0,ROW('État de sorties'!$A$5:$A$15)-4),ROWS($1:2))),"")</f>
        <v>Dowlex 2645G</v>
      </c>
      <c r="G8" s="124">
        <f>IFERROR(VLOOKUP('Récapitulatif Reporting'!$F8,'État de sorties'!$A$5:$B$15,2,0),"")</f>
        <v>2600</v>
      </c>
      <c r="K8" s="7"/>
      <c r="L8" s="7"/>
      <c r="M8" s="7"/>
    </row>
    <row r="9" spans="1:13">
      <c r="A9" s="7"/>
      <c r="B9" s="7"/>
      <c r="C9" s="7"/>
      <c r="F9" s="121" t="str" cm="1">
        <f t="array" ref="F9">IFERROR(INDEX('État de sorties'!$A$5:$A$15,SMALL(IF('État de sorties'!$B$5:$B$15&gt;0,ROW('État de sorties'!$A$5:$A$15)-4),ROWS($1:3))),"")</f>
        <v>Elite 5401G</v>
      </c>
      <c r="G9" s="122">
        <f>IFERROR(VLOOKUP('Récapitulatif Reporting'!$F9,'État de sorties'!$A$5:$B$15,2,0),"")</f>
        <v>6500</v>
      </c>
      <c r="K9" s="7"/>
      <c r="L9" s="7"/>
      <c r="M9" s="7"/>
    </row>
    <row r="10" spans="1:13">
      <c r="A10" s="7"/>
      <c r="B10" s="7"/>
      <c r="C10" s="7"/>
      <c r="F10" s="123" t="str" cm="1">
        <f t="array" ref="F10">IFERROR(INDEX('État de sorties'!$A$5:$A$15,SMALL(IF('État de sorties'!$B$5:$B$15&gt;0,ROW('État de sorties'!$A$5:$A$15)-4),ROWS($1:4))),"")</f>
        <v/>
      </c>
      <c r="G10" s="124" t="str">
        <f>IFERROR(VLOOKUP('Récapitulatif Reporting'!$F10,'État de sorties'!$A$5:$B$15,2,0),"")</f>
        <v/>
      </c>
      <c r="K10" s="7"/>
      <c r="L10" s="7"/>
      <c r="M10" s="7"/>
    </row>
    <row r="11" spans="1:13">
      <c r="A11" s="7"/>
      <c r="B11" s="7"/>
      <c r="C11" s="7"/>
      <c r="F11" s="121" t="str" cm="1">
        <f t="array" ref="F11">IFERROR(INDEX('État de sorties'!$A$5:$A$15,SMALL(IF('État de sorties'!$B$5:$B$15&gt;0,ROW('État de sorties'!$A$5:$A$15)-4),ROWS($1:5))),"")</f>
        <v/>
      </c>
      <c r="G11" s="122" t="str">
        <f>IFERROR(VLOOKUP('Récapitulatif Reporting'!$F11,'État de sorties'!$A$5:$B$15,2,0),"")</f>
        <v/>
      </c>
      <c r="K11" s="7"/>
      <c r="L11" s="7"/>
      <c r="M11" s="7"/>
    </row>
    <row r="12" spans="1:13">
      <c r="A12" s="7"/>
      <c r="B12" s="7"/>
      <c r="C12" s="7"/>
      <c r="F12" s="123" t="str" cm="1">
        <f t="array" ref="F12">IFERROR(INDEX('État de sorties'!$A$5:$A$15,SMALL(IF('État de sorties'!$B$5:$B$15&gt;0,ROW('État de sorties'!$A$5:$A$15)-4),ROWS($1:6))),"")</f>
        <v/>
      </c>
      <c r="G12" s="124" t="str">
        <f>IFERROR(VLOOKUP('Récapitulatif Reporting'!$F12,'État de sorties'!$A$5:$B$15,2,0),"")</f>
        <v/>
      </c>
      <c r="K12" s="7"/>
      <c r="L12" s="7"/>
      <c r="M12" s="7"/>
    </row>
    <row r="13" spans="1:13">
      <c r="A13" s="7"/>
      <c r="B13" s="7"/>
      <c r="C13" s="7"/>
      <c r="F13" s="121" t="str" cm="1">
        <f t="array" ref="F13">IFERROR(INDEX('État de sorties'!$A$5:$A$15,SMALL(IF('État de sorties'!$B$5:$B$15&gt;0,ROW('État de sorties'!$A$5:$A$15)-4),ROWS($1:7))),"")</f>
        <v/>
      </c>
      <c r="G13" s="122" t="str">
        <f>IFERROR(VLOOKUP('Récapitulatif Reporting'!$F13,'État de sorties'!$A$5:$B$15,2,0),"")</f>
        <v/>
      </c>
      <c r="K13" s="7"/>
      <c r="L13" s="7"/>
      <c r="M13" s="7"/>
    </row>
    <row r="14" spans="1:13">
      <c r="A14" s="7"/>
      <c r="B14" s="7"/>
      <c r="C14" s="7"/>
      <c r="F14" s="123" t="str" cm="1">
        <f t="array" ref="F14">IFERROR(INDEX('État de sorties'!$A$5:$A$15,SMALL(IF('État de sorties'!$B$5:$B$15&gt;0,ROW('État de sorties'!$A$5:$A$15)-4),ROWS($1:8))),"")</f>
        <v/>
      </c>
      <c r="G14" s="124" t="str">
        <f>IFERROR(VLOOKUP('Récapitulatif Reporting'!$F14,'État de sorties'!$A$5:$B$15,2,0),"")</f>
        <v/>
      </c>
      <c r="K14" s="7"/>
      <c r="L14" s="7"/>
      <c r="M14" s="7"/>
    </row>
    <row r="15" spans="1:13" ht="18.75">
      <c r="A15" s="87"/>
      <c r="B15" s="87"/>
      <c r="C15" s="87"/>
      <c r="F15" s="121" t="str" cm="1">
        <f t="array" ref="F15">IFERROR(INDEX('État de sorties'!$A$5:$A$15,SMALL(IF('État de sorties'!$B$5:$B$15&gt;0,ROW('État de sorties'!$A$5:$A$15)-4),ROWS($1:9))),"")</f>
        <v/>
      </c>
      <c r="G15" s="125" t="str">
        <f>IFERROR(VLOOKUP('Récapitulatif Reporting'!$F15,'État de sorties'!$A$5:$B$15,2,0),"")</f>
        <v/>
      </c>
      <c r="K15" s="7"/>
      <c r="L15" s="7"/>
      <c r="M15" s="7"/>
    </row>
    <row r="16" spans="1:13">
      <c r="A16" s="7"/>
      <c r="B16" s="7"/>
      <c r="C16" s="7"/>
      <c r="F16" s="123" t="str" cm="1">
        <f t="array" ref="F16">IFERROR(INDEX('État de sorties'!$A$5:$A$15,SMALL(IF('État de sorties'!$B$5:$B$15&gt;0,ROW('État de sorties'!$A$5:$A$15)-4),ROWS($1:10))),"")</f>
        <v/>
      </c>
      <c r="G16" s="124" t="str">
        <f>IFERROR(VLOOKUP('Récapitulatif Reporting'!$F16,'État de sorties'!$A$5:$B$15,2,0),"")</f>
        <v/>
      </c>
      <c r="K16" s="7"/>
      <c r="L16" s="7"/>
      <c r="M16" s="7"/>
    </row>
    <row r="17" spans="1:13">
      <c r="A17" s="7"/>
      <c r="B17" s="7"/>
      <c r="C17" s="7"/>
      <c r="F17" s="121" t="str" cm="1">
        <f t="array" ref="F17">IFERROR(INDEX('État de sorties'!$A$5:$A$15,SMALL(IF('État de sorties'!$B$5:$B$15&gt;0,ROW('État de sorties'!$A$5:$A$15)-4),ROWS($1:11))),"")</f>
        <v/>
      </c>
      <c r="G17" s="122" t="str">
        <f>IFERROR(VLOOKUP('Récapitulatif Reporting'!$F17,'État de sorties'!$A$5:$B$15,2,0),"")</f>
        <v/>
      </c>
      <c r="K17" s="7"/>
      <c r="L17" s="7"/>
      <c r="M17" s="7"/>
    </row>
    <row r="18" spans="1:13">
      <c r="A18" s="7"/>
      <c r="B18" s="7"/>
      <c r="C18" s="7"/>
      <c r="F18" s="123" t="str" cm="1">
        <f t="array" ref="F18">IFERROR(INDEX('État de sorties'!$A$5:$A$15,SMALL(IF('État de sorties'!$B$5:$B$15&gt;0,ROW('État de sorties'!$A$5:$A$15)-4),ROWS($1:12))),"")</f>
        <v/>
      </c>
      <c r="G18" s="124" t="str">
        <f>IFERROR(VLOOKUP('Récapitulatif Reporting'!$F18,'État de sorties'!$A$5:$B$15,2,0),"")</f>
        <v/>
      </c>
      <c r="K18" s="7"/>
      <c r="L18" s="7"/>
      <c r="M18" s="7"/>
    </row>
    <row r="19" spans="1:13">
      <c r="A19" s="7"/>
      <c r="B19" s="7"/>
      <c r="C19" s="7"/>
      <c r="F19" s="121" t="str" cm="1">
        <f t="array" ref="F19">IFERROR(INDEX('État de sorties'!$A$5:$A$15,SMALL(IF('État de sorties'!$B$5:$B$15&gt;0,ROW('État de sorties'!$A$5:$A$15)-4),ROWS($1:13))),"")</f>
        <v/>
      </c>
      <c r="G19" s="122" t="str">
        <f>IFERROR(VLOOKUP('Récapitulatif Reporting'!$F19,'État de sorties'!$A$5:$B$15,2,0),"")</f>
        <v/>
      </c>
      <c r="K19" s="7"/>
      <c r="L19" s="7"/>
      <c r="M19" s="7"/>
    </row>
    <row r="20" spans="1:13" ht="18.75">
      <c r="A20" s="7"/>
      <c r="B20" s="7"/>
      <c r="C20" s="7"/>
      <c r="D20" s="59"/>
      <c r="F20" s="126" t="str" cm="1">
        <f t="array" ref="F20">IFERROR(INDEX('État de sorties'!$A$5:$A$15,SMALL(IF('État de sorties'!$B$5:$B$15&gt;0,ROW('État de sorties'!$A$5:$A$15)-4),ROWS($1:14))),"")</f>
        <v/>
      </c>
      <c r="G20" s="127" t="str">
        <f>IFERROR(VLOOKUP('Récapitulatif Reporting'!$F20,'État de sorties'!$A$5:$B$15,2,0),"")</f>
        <v/>
      </c>
      <c r="K20" s="7"/>
      <c r="L20" s="7"/>
      <c r="M20" s="7"/>
    </row>
    <row r="42" spans="4:4" ht="18.75">
      <c r="D42" s="59"/>
    </row>
  </sheetData>
  <mergeCells count="9">
    <mergeCell ref="K5:K6"/>
    <mergeCell ref="L5:L6"/>
    <mergeCell ref="M5:M6"/>
    <mergeCell ref="K2:M2"/>
    <mergeCell ref="A2:C2"/>
    <mergeCell ref="A5:A6"/>
    <mergeCell ref="F2:H2"/>
    <mergeCell ref="B5:B6"/>
    <mergeCell ref="C5:C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9"/>
  <sheetViews>
    <sheetView zoomScale="115" zoomScaleNormal="115" workbookViewId="0">
      <selection activeCell="I7" sqref="I7"/>
    </sheetView>
  </sheetViews>
  <sheetFormatPr baseColWidth="10" defaultRowHeight="15"/>
  <cols>
    <col min="1" max="1" width="8.28515625" customWidth="1"/>
    <col min="2" max="2" width="21.28515625" customWidth="1"/>
    <col min="3" max="3" width="23.28515625" customWidth="1"/>
  </cols>
  <sheetData>
    <row r="1" spans="1:3" ht="18.75">
      <c r="A1" s="114" t="s">
        <v>72</v>
      </c>
      <c r="B1" s="115"/>
      <c r="C1" s="115"/>
    </row>
    <row r="4" spans="1:3" ht="23.25">
      <c r="A4" s="88"/>
      <c r="B4" s="116" t="s">
        <v>58</v>
      </c>
      <c r="C4" s="96" t="s">
        <v>57</v>
      </c>
    </row>
    <row r="5" spans="1:3" ht="23.25">
      <c r="A5" s="88"/>
      <c r="B5" s="116"/>
      <c r="C5" s="97"/>
    </row>
    <row r="6" spans="1:3">
      <c r="B6" s="7"/>
      <c r="C6" s="7"/>
    </row>
    <row r="7" spans="1:3">
      <c r="B7" s="7"/>
      <c r="C7" s="7"/>
    </row>
    <row r="8" spans="1:3">
      <c r="B8" s="7"/>
      <c r="C8" s="7"/>
    </row>
    <row r="9" spans="1:3">
      <c r="B9" s="7"/>
      <c r="C9" s="7"/>
    </row>
    <row r="10" spans="1:3">
      <c r="B10" s="7"/>
      <c r="C10" s="7"/>
    </row>
    <row r="11" spans="1:3">
      <c r="B11" s="7"/>
      <c r="C11" s="7"/>
    </row>
    <row r="12" spans="1:3">
      <c r="B12" s="7"/>
      <c r="C12" s="7"/>
    </row>
    <row r="13" spans="1:3">
      <c r="B13" s="7"/>
      <c r="C13" s="7"/>
    </row>
    <row r="14" spans="1:3">
      <c r="B14" s="7"/>
      <c r="C14" s="7"/>
    </row>
    <row r="15" spans="1:3">
      <c r="B15" s="7"/>
      <c r="C15" s="7"/>
    </row>
    <row r="16" spans="1:3">
      <c r="B16" s="7"/>
      <c r="C16" s="7"/>
    </row>
    <row r="17" spans="2:3">
      <c r="B17" s="7"/>
      <c r="C17" s="7"/>
    </row>
    <row r="18" spans="2:3">
      <c r="B18" s="7"/>
      <c r="C18" s="7"/>
    </row>
    <row r="19" spans="2:3">
      <c r="B19" s="7"/>
      <c r="C19" s="7"/>
    </row>
  </sheetData>
  <mergeCells count="3">
    <mergeCell ref="A1:C1"/>
    <mergeCell ref="B4:B5"/>
    <mergeCell ref="C4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Mouvements de stocks</vt:lpstr>
      <vt:lpstr>État de sorties</vt:lpstr>
      <vt:lpstr>Arrivages</vt:lpstr>
      <vt:lpstr>Récapitulatif Reporting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DjiDji</cp:lastModifiedBy>
  <dcterms:created xsi:type="dcterms:W3CDTF">2023-01-09T14:57:22Z</dcterms:created>
  <dcterms:modified xsi:type="dcterms:W3CDTF">2023-01-11T15:45:40Z</dcterms:modified>
</cp:coreProperties>
</file>