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9FB8122-A6F3-4701-90E4-6F2EFC4179F5}" xr6:coauthVersionLast="47" xr6:coauthVersionMax="47" xr10:uidLastSave="{00000000-0000-0000-0000-000000000000}"/>
  <bookViews>
    <workbookView xWindow="-120" yWindow="-120" windowWidth="29040" windowHeight="15840" xr2:uid="{3C06EF3D-B66D-4E60-A0B4-9F7BA3F5806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D4" i="1"/>
  <c r="E4" i="1"/>
  <c r="F4" i="1"/>
  <c r="G4" i="1"/>
  <c r="H4" i="1"/>
  <c r="I4" i="1"/>
  <c r="J4" i="1"/>
  <c r="D5" i="1"/>
  <c r="E5" i="1"/>
  <c r="F5" i="1"/>
  <c r="G5" i="1"/>
  <c r="H5" i="1"/>
  <c r="I5" i="1"/>
  <c r="J5" i="1"/>
  <c r="D6" i="1"/>
  <c r="E6" i="1"/>
  <c r="F6" i="1"/>
  <c r="G6" i="1"/>
  <c r="H6" i="1"/>
  <c r="I6" i="1"/>
  <c r="J6" i="1"/>
  <c r="D7" i="1"/>
  <c r="E7" i="1"/>
  <c r="F7" i="1"/>
  <c r="G7" i="1"/>
  <c r="H7" i="1"/>
  <c r="I7" i="1"/>
  <c r="J7" i="1"/>
  <c r="D8" i="1"/>
  <c r="E8" i="1"/>
  <c r="F8" i="1"/>
  <c r="G8" i="1"/>
  <c r="H8" i="1"/>
  <c r="I8" i="1"/>
  <c r="J8" i="1"/>
  <c r="L8" i="1"/>
  <c r="N8" i="1"/>
  <c r="D9" i="1"/>
  <c r="E9" i="1"/>
  <c r="F9" i="1"/>
  <c r="G9" i="1"/>
  <c r="H9" i="1"/>
  <c r="I9" i="1"/>
  <c r="J9" i="1"/>
  <c r="D10" i="1"/>
  <c r="E10" i="1"/>
  <c r="F10" i="1"/>
  <c r="G10" i="1"/>
  <c r="H10" i="1"/>
  <c r="I10" i="1"/>
  <c r="J10" i="1"/>
  <c r="D11" i="1"/>
  <c r="E11" i="1"/>
  <c r="F11" i="1"/>
  <c r="G11" i="1"/>
  <c r="H11" i="1"/>
  <c r="I11" i="1"/>
  <c r="J11" i="1"/>
  <c r="D12" i="1"/>
  <c r="E12" i="1"/>
  <c r="F12" i="1"/>
  <c r="G12" i="1"/>
  <c r="H12" i="1"/>
  <c r="I12" i="1"/>
  <c r="J12" i="1"/>
  <c r="D13" i="1"/>
  <c r="E13" i="1"/>
  <c r="F13" i="1"/>
  <c r="G13" i="1"/>
  <c r="H13" i="1"/>
  <c r="I13" i="1"/>
  <c r="J13" i="1"/>
  <c r="D14" i="1"/>
  <c r="E14" i="1"/>
  <c r="F14" i="1"/>
  <c r="G14" i="1"/>
  <c r="H14" i="1"/>
  <c r="I14" i="1"/>
  <c r="J14" i="1"/>
  <c r="D15" i="1"/>
  <c r="E15" i="1"/>
  <c r="F15" i="1"/>
  <c r="G15" i="1"/>
  <c r="H15" i="1"/>
  <c r="I15" i="1"/>
  <c r="J15" i="1"/>
  <c r="D16" i="1"/>
  <c r="E16" i="1"/>
  <c r="F16" i="1"/>
  <c r="G16" i="1"/>
  <c r="H16" i="1"/>
  <c r="J16" i="1"/>
  <c r="D17" i="1"/>
  <c r="E17" i="1"/>
  <c r="F17" i="1"/>
  <c r="G17" i="1"/>
  <c r="H17" i="1"/>
  <c r="I17" i="1"/>
  <c r="J17" i="1"/>
  <c r="D18" i="1"/>
  <c r="E18" i="1"/>
  <c r="F18" i="1"/>
  <c r="G18" i="1"/>
  <c r="H18" i="1"/>
  <c r="I18" i="1"/>
  <c r="J18" i="1"/>
  <c r="D19" i="1"/>
  <c r="E19" i="1"/>
  <c r="F19" i="1"/>
  <c r="G19" i="1"/>
  <c r="H19" i="1"/>
  <c r="I19" i="1"/>
  <c r="J19" i="1"/>
  <c r="D20" i="1"/>
  <c r="E20" i="1"/>
  <c r="F20" i="1"/>
  <c r="G20" i="1"/>
  <c r="H20" i="1"/>
  <c r="I20" i="1"/>
  <c r="J20" i="1"/>
  <c r="D21" i="1"/>
  <c r="E21" i="1"/>
  <c r="F21" i="1"/>
  <c r="G21" i="1"/>
  <c r="H21" i="1"/>
  <c r="I21" i="1"/>
  <c r="J21" i="1"/>
  <c r="D22" i="1"/>
  <c r="E22" i="1"/>
  <c r="F22" i="1"/>
  <c r="G22" i="1"/>
  <c r="H22" i="1"/>
  <c r="I22" i="1"/>
  <c r="J22" i="1"/>
  <c r="D23" i="1"/>
  <c r="E23" i="1"/>
  <c r="F23" i="1"/>
  <c r="G23" i="1"/>
  <c r="H23" i="1"/>
  <c r="I23" i="1"/>
  <c r="J23" i="1"/>
  <c r="D24" i="1"/>
  <c r="L17" i="1" s="1" a="1"/>
  <c r="L17" i="1" s="1"/>
  <c r="E24" i="1"/>
  <c r="L16" i="1" s="1" a="1"/>
  <c r="L16" i="1" s="1"/>
  <c r="F24" i="1"/>
  <c r="G24" i="1"/>
  <c r="H24" i="1"/>
  <c r="I24" i="1"/>
  <c r="J24" i="1"/>
  <c r="D25" i="1"/>
  <c r="E25" i="1"/>
  <c r="F25" i="1"/>
  <c r="G25" i="1"/>
  <c r="H25" i="1"/>
  <c r="I25" i="1"/>
  <c r="J25" i="1"/>
  <c r="D26" i="1"/>
  <c r="E26" i="1"/>
  <c r="F26" i="1"/>
  <c r="G26" i="1"/>
  <c r="H26" i="1"/>
  <c r="I26" i="1"/>
  <c r="J26" i="1"/>
  <c r="D27" i="1"/>
  <c r="E27" i="1"/>
  <c r="F27" i="1"/>
  <c r="G27" i="1"/>
  <c r="H27" i="1"/>
  <c r="I27" i="1"/>
  <c r="J27" i="1"/>
  <c r="D28" i="1"/>
  <c r="E28" i="1"/>
  <c r="F28" i="1"/>
  <c r="G28" i="1"/>
  <c r="H28" i="1"/>
  <c r="I28" i="1"/>
  <c r="J28" i="1"/>
  <c r="D29" i="1"/>
  <c r="E29" i="1"/>
  <c r="F29" i="1"/>
  <c r="G29" i="1"/>
  <c r="H29" i="1"/>
  <c r="I29" i="1"/>
  <c r="J29" i="1"/>
  <c r="D30" i="1"/>
  <c r="E30" i="1"/>
  <c r="F30" i="1"/>
  <c r="G30" i="1"/>
  <c r="H30" i="1"/>
  <c r="I30" i="1"/>
  <c r="J30" i="1"/>
  <c r="D31" i="1"/>
  <c r="E31" i="1"/>
  <c r="F31" i="1"/>
  <c r="G31" i="1"/>
  <c r="H31" i="1"/>
  <c r="I31" i="1"/>
  <c r="J31" i="1"/>
  <c r="D32" i="1"/>
  <c r="E32" i="1"/>
  <c r="F32" i="1"/>
  <c r="G32" i="1"/>
  <c r="H32" i="1"/>
  <c r="I32" i="1"/>
  <c r="J32" i="1"/>
  <c r="D33" i="1"/>
  <c r="E33" i="1"/>
  <c r="F33" i="1"/>
  <c r="G33" i="1"/>
  <c r="H33" i="1"/>
  <c r="I33" i="1"/>
  <c r="J33" i="1"/>
  <c r="D34" i="1"/>
  <c r="E34" i="1"/>
  <c r="F34" i="1"/>
  <c r="G34" i="1"/>
  <c r="H34" i="1"/>
  <c r="I34" i="1"/>
  <c r="J34" i="1"/>
  <c r="D35" i="1"/>
  <c r="E35" i="1"/>
  <c r="F35" i="1"/>
  <c r="G35" i="1"/>
  <c r="H35" i="1"/>
  <c r="I35" i="1"/>
  <c r="J35" i="1"/>
  <c r="D36" i="1"/>
  <c r="E36" i="1"/>
  <c r="F36" i="1"/>
  <c r="G36" i="1"/>
  <c r="H36" i="1"/>
  <c r="I36" i="1"/>
  <c r="J36" i="1"/>
  <c r="D37" i="1"/>
  <c r="E37" i="1"/>
  <c r="F37" i="1"/>
  <c r="G37" i="1"/>
  <c r="H37" i="1"/>
  <c r="I37" i="1"/>
  <c r="J37" i="1"/>
  <c r="D38" i="1"/>
  <c r="E38" i="1"/>
  <c r="F38" i="1"/>
  <c r="G38" i="1"/>
  <c r="H38" i="1"/>
  <c r="I38" i="1"/>
  <c r="J38" i="1"/>
  <c r="D39" i="1"/>
  <c r="E39" i="1"/>
  <c r="F39" i="1"/>
  <c r="G39" i="1"/>
  <c r="H39" i="1"/>
  <c r="I39" i="1"/>
  <c r="J39" i="1"/>
  <c r="L19" i="1" l="1" a="1"/>
  <c r="L19" i="1" s="1"/>
  <c r="L18" i="1" a="1"/>
  <c r="L18" i="1" s="1"/>
  <c r="Q8" i="1"/>
  <c r="Q10" i="1" s="1"/>
  <c r="Q11" i="1" s="1"/>
  <c r="M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<sst xmlns="http://schemas.openxmlformats.org/spreadsheetml/2006/main" count="54" uniqueCount="18">
  <si>
    <t xml:space="preserve">NB : Utiliser les lames 640 et 850 qui vous restent pour démarrer ou finir une rangée  </t>
  </si>
  <si>
    <t>kit Lame 640</t>
  </si>
  <si>
    <t>kit Lame 850</t>
  </si>
  <si>
    <t>kit Dalle</t>
  </si>
  <si>
    <t>kit Dalle-XL</t>
  </si>
  <si>
    <t>AJOUTER LE NOMBRE DE KIT DALLE OU LAME
 INDIQUE DANS LE TABLEAU CI-CONTRE 
SELON LES DIMENSIONS TAPIS SELECTIONNEES</t>
  </si>
  <si>
    <t>Besoin en kit LAME 1280</t>
  </si>
  <si>
    <t>Soit m²</t>
  </si>
  <si>
    <t>.</t>
  </si>
  <si>
    <t>LARGEUR DF</t>
  </si>
  <si>
    <t>LONGUEUR DE</t>
  </si>
  <si>
    <t>LARGEUR AC</t>
  </si>
  <si>
    <t>LONGUEUR AB</t>
  </si>
  <si>
    <t>TAILLE DE VOTRE TAPIS
A sélectionner dans les menus déroulants</t>
  </si>
  <si>
    <t>DIMENSIONS DE VOTRE PIECE
A RENSEIGNER EN METRE</t>
  </si>
  <si>
    <t>HAUTEUR DE VOTRE TAPIS MUR EN METRE (DF)</t>
  </si>
  <si>
    <t>En Mètre</t>
  </si>
  <si>
    <t>LONGUEUR DE VOTRE TAPIS MUR (DE)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</si>
</sst>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5" borderId="0" xfId="0" applyNumberFormat="1" applyFill="1" applyAlignment="1">
      <alignment horizontal="center" vertical="center"/>
    </xf>
    <xf numFmtId="164" fontId="8" fillId="6" borderId="1" xfId="0" applyNumberFormat="1" applyFont="1" applyFill="1" applyBorder="1" applyAlignment="1" applyProtection="1">
      <alignment horizontal="center" vertical="center"/>
      <protection locked="0"/>
    </xf>
    <xf numFmtId="164" fontId="8" fillId="6" borderId="15" xfId="0" applyNumberFormat="1" applyFont="1" applyFill="1" applyBorder="1" applyAlignment="1" applyProtection="1">
      <alignment horizontal="center" vertical="center"/>
      <protection locked="0"/>
    </xf>
    <xf numFmtId="0" fontId="8" fillId="6" borderId="1" xfId="0" applyFont="1" applyFill="1" applyBorder="1" applyAlignment="1" applyProtection="1">
      <alignment horizontal="center" vertical="center"/>
      <protection locked="0"/>
    </xf>
    <xf numFmtId="0" fontId="8" fillId="6" borderId="2" xfId="0" applyFont="1" applyFill="1" applyBorder="1" applyAlignment="1" applyProtection="1">
      <alignment horizontal="center" vertical="center"/>
      <protection locked="0"/>
    </xf>
    <xf numFmtId="0" fontId="9" fillId="0" borderId="7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164" fontId="2" fillId="7" borderId="9" xfId="0" applyNumberFormat="1" applyFont="1" applyFill="1" applyBorder="1" applyAlignment="1">
      <alignment vertical="center" wrapText="1"/>
    </xf>
    <xf numFmtId="164" fontId="2" fillId="7" borderId="9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8" borderId="11" xfId="0" applyFill="1" applyBorder="1"/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247650</xdr:colOff>
      <xdr:row>8</xdr:row>
      <xdr:rowOff>173873</xdr:rowOff>
    </xdr:from>
    <xdr:ext cx="5400675" cy="2084124"/>
    <xdr:pic>
      <xdr:nvPicPr>
        <xdr:cNvPr id="2" name="Image 1">
          <a:extLst>
            <a:ext uri="{FF2B5EF4-FFF2-40B4-BE49-F238E27FC236}">
              <a16:creationId xmlns:a16="http://schemas.microsoft.com/office/drawing/2014/main" id="{26262E90-6BDF-4BF5-8ED6-6BA313FE8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53650" y="1697873"/>
          <a:ext cx="5400675" cy="2084124"/>
        </a:xfrm>
        <a:prstGeom prst="rect">
          <a:avLst/>
        </a:prstGeom>
      </xdr:spPr>
    </xdr:pic>
    <xdr:clientData/>
  </xdr:oneCellAnchor>
  <xdr:twoCellAnchor>
    <xdr:from>
      <xdr:col>14</xdr:col>
      <xdr:colOff>371475</xdr:colOff>
      <xdr:row>0</xdr:row>
      <xdr:rowOff>142875</xdr:rowOff>
    </xdr:from>
    <xdr:to>
      <xdr:col>33</xdr:col>
      <xdr:colOff>638175</xdr:colOff>
      <xdr:row>7</xdr:row>
      <xdr:rowOff>19050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BB3A76B-380A-4C74-8F08-5385BE6AD80F}"/>
            </a:ext>
          </a:extLst>
        </xdr:cNvPr>
        <xdr:cNvSpPr txBox="1"/>
      </xdr:nvSpPr>
      <xdr:spPr>
        <a:xfrm>
          <a:off x="9944100" y="142875"/>
          <a:ext cx="7153275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le fichier en PJ j'ai créé une calculette pour renseigner à mon client les besoins en nbre de kit de parquet.</a:t>
          </a:r>
        </a:p>
        <a:p>
          <a:r>
            <a:rPr lang="fr-FR"/>
            <a:t>En colonne "K" on renseigne la longueur et en colonne "L" la largeur puis j'ai 2 listes déroulantes en colonne "M" et "N"</a:t>
          </a:r>
        </a:p>
        <a:p>
          <a:r>
            <a:rPr lang="fr-FR"/>
            <a:t>Si je change les valeurs en M et N le résultat se modifie dans le tableau de gauche (abscisse-ordonnée) et les cellules se mettent en rouge.</a:t>
          </a:r>
        </a:p>
        <a:p>
          <a:r>
            <a:rPr lang="fr-FR"/>
            <a:t>Question :</a:t>
          </a:r>
        </a:p>
        <a:p>
          <a:r>
            <a:rPr lang="fr-FR"/>
            <a:t>J'aimerais afficher dans les cellules "bleu" le résultat de mon tableau de gauche quelle que soit ma valeur en "M" et "N"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1654C-61EB-4D59-A604-B9DE3155B709}">
  <sheetPr>
    <pageSetUpPr fitToPage="1"/>
  </sheetPr>
  <dimension ref="A1:Y51"/>
  <sheetViews>
    <sheetView showGridLines="0" tabSelected="1" zoomScaleNormal="100" workbookViewId="0">
      <selection activeCell="M7" sqref="M7"/>
    </sheetView>
  </sheetViews>
  <sheetFormatPr baseColWidth="10" defaultRowHeight="15" x14ac:dyDescent="0.25"/>
  <cols>
    <col min="1" max="1" width="5.28515625" customWidth="1"/>
    <col min="2" max="2" width="4.85546875" bestFit="1" customWidth="1"/>
    <col min="3" max="3" width="12.28515625" customWidth="1"/>
    <col min="4" max="10" width="7.140625" customWidth="1"/>
    <col min="11" max="12" width="15.42578125" customWidth="1"/>
    <col min="13" max="14" width="20.140625" customWidth="1"/>
    <col min="16" max="16" width="0.42578125" customWidth="1"/>
    <col min="17" max="17" width="0.42578125" hidden="1" customWidth="1"/>
    <col min="18" max="24" width="4.85546875" hidden="1" customWidth="1"/>
    <col min="25" max="25" width="0.140625" hidden="1" customWidth="1"/>
  </cols>
  <sheetData>
    <row r="1" spans="1:25" ht="22.5" customHeight="1" x14ac:dyDescent="0.25">
      <c r="A1" s="29"/>
      <c r="B1" s="29"/>
      <c r="C1" s="29"/>
      <c r="D1" s="44" t="s">
        <v>17</v>
      </c>
      <c r="E1" s="44"/>
      <c r="F1" s="44"/>
      <c r="G1" s="44"/>
      <c r="H1" s="44"/>
      <c r="I1" s="44"/>
      <c r="J1" s="44"/>
    </row>
    <row r="2" spans="1:25" ht="22.5" customHeight="1" thickBot="1" x14ac:dyDescent="0.3">
      <c r="A2" s="29"/>
      <c r="B2" s="29"/>
      <c r="C2" s="29"/>
      <c r="D2" s="43" t="s">
        <v>16</v>
      </c>
      <c r="E2" s="43"/>
      <c r="F2" s="43"/>
      <c r="G2" s="43"/>
      <c r="H2" s="43"/>
      <c r="I2" s="43"/>
      <c r="J2" s="43"/>
    </row>
    <row r="3" spans="1:25" ht="22.5" customHeight="1" thickBot="1" x14ac:dyDescent="0.3">
      <c r="A3" s="29"/>
      <c r="B3" s="29"/>
      <c r="C3" s="29"/>
      <c r="D3" s="28">
        <v>1.28</v>
      </c>
      <c r="E3" s="27">
        <v>1.92</v>
      </c>
      <c r="F3" s="27">
        <v>2.56</v>
      </c>
      <c r="G3" s="27">
        <v>3.2</v>
      </c>
      <c r="H3" s="27">
        <v>3.84</v>
      </c>
      <c r="I3" s="27">
        <v>4.4800000000000004</v>
      </c>
      <c r="J3" s="27">
        <v>5.12</v>
      </c>
      <c r="Q3" s="25">
        <v>0.38400000000000001</v>
      </c>
      <c r="R3" s="25">
        <v>0.76800000000000002</v>
      </c>
      <c r="S3" s="25">
        <v>1.1519999999999999</v>
      </c>
      <c r="T3" s="25">
        <v>1.536</v>
      </c>
      <c r="U3" s="25">
        <v>1.92</v>
      </c>
      <c r="V3" s="26">
        <v>2.3039999999999998</v>
      </c>
      <c r="W3" s="25">
        <v>2.6880000000000002</v>
      </c>
      <c r="X3" s="25">
        <v>3.0720000000000001</v>
      </c>
      <c r="Y3" s="25">
        <v>3.456</v>
      </c>
    </row>
    <row r="4" spans="1:25" ht="15" customHeight="1" x14ac:dyDescent="0.25">
      <c r="A4" s="46" t="s">
        <v>15</v>
      </c>
      <c r="B4" s="35">
        <v>0.38400000000000001</v>
      </c>
      <c r="C4" s="12" t="s">
        <v>4</v>
      </c>
      <c r="D4" s="11" t="str">
        <f>IF(AND(M7=1.28,N7=0.384),1,Q6)</f>
        <v>.</v>
      </c>
      <c r="E4" s="11" t="str">
        <f>IF(AND(M7=1.92,N7=0.384),1,Q6)</f>
        <v>.</v>
      </c>
      <c r="F4" s="11" t="str">
        <f>IF(AND(M7=2.56,N7=0.384),1,Q6)</f>
        <v>.</v>
      </c>
      <c r="G4" s="11" t="str">
        <f>IF(AND(M7=3.2,N7=0.384),1,Q6)</f>
        <v>.</v>
      </c>
      <c r="H4" s="11" t="str">
        <f>IF(AND(M7=3.84,N7=0.384),1,Q6)</f>
        <v>.</v>
      </c>
      <c r="I4" s="11" t="str">
        <f>IF(AND(M7=4.48,N7=0.384),1,Q6)</f>
        <v>.</v>
      </c>
      <c r="J4" s="10" t="str">
        <f>IF(AND(M7=5.12,N7=0.384),2,Q6)</f>
        <v>.</v>
      </c>
      <c r="K4" s="39" t="s">
        <v>14</v>
      </c>
      <c r="L4" s="39"/>
      <c r="M4" s="40" t="s">
        <v>13</v>
      </c>
      <c r="N4" s="40"/>
    </row>
    <row r="5" spans="1:25" ht="15.75" thickBot="1" x14ac:dyDescent="0.3">
      <c r="A5" s="46"/>
      <c r="B5" s="36"/>
      <c r="C5" s="9" t="s">
        <v>3</v>
      </c>
      <c r="D5" s="8" t="str">
        <f>IF(AND(M7=1.28,N7=0.384),0,Q6)</f>
        <v>.</v>
      </c>
      <c r="E5" s="8" t="str">
        <f>IF(AND(M7=1.92,N7=0.384),1,Q6)</f>
        <v>.</v>
      </c>
      <c r="F5" s="8" t="str">
        <f>IF(AND(M7=2.56,N7=0.384),0,Q6)</f>
        <v>.</v>
      </c>
      <c r="G5" s="8" t="str">
        <f>IF(AND(M7=3.2,N7=0.384),1,Q6)</f>
        <v>.</v>
      </c>
      <c r="H5" s="8" t="str">
        <f>IF(AND(M7=3.84,N7=0.384),0,Q6)</f>
        <v>.</v>
      </c>
      <c r="I5" s="8" t="str">
        <f>IF(AND(M7=4.48,N7=0.384),1,Q6)</f>
        <v>.</v>
      </c>
      <c r="J5" s="7" t="str">
        <f>IF(AND(M7=5.12,N7=0.384),0,Q6)</f>
        <v>.</v>
      </c>
      <c r="K5" s="39"/>
      <c r="L5" s="39"/>
      <c r="M5" s="40"/>
      <c r="N5" s="40"/>
    </row>
    <row r="6" spans="1:25" x14ac:dyDescent="0.25">
      <c r="A6" s="46"/>
      <c r="B6" s="36"/>
      <c r="C6" s="9" t="s">
        <v>2</v>
      </c>
      <c r="D6" s="8" t="str">
        <f>IF(AND(M7=1.28,N7=0.384),0,Q6)</f>
        <v>.</v>
      </c>
      <c r="E6" s="8" t="str">
        <f>IF(AND(M7=1.92,N7=0.384),0,Q6)</f>
        <v>.</v>
      </c>
      <c r="F6" s="8" t="str">
        <f>IF(AND(M7=2.56,N7=0.384),0,Q6)</f>
        <v>.</v>
      </c>
      <c r="G6" s="8" t="str">
        <f>IF(AND(M7=3.2,N7=0.384),0,Q6)</f>
        <v>.</v>
      </c>
      <c r="H6" s="8" t="str">
        <f>IF(AND(M7=3.84,N7=0.384),0,Q6)</f>
        <v>.</v>
      </c>
      <c r="I6" s="8" t="str">
        <f>IF(AND(M7=4.48,N7=0.384),0,Q6)</f>
        <v>.</v>
      </c>
      <c r="J6" s="7" t="str">
        <f>IF(AND(M7=5.12,N7=0.384),0,Q6)</f>
        <v>.</v>
      </c>
      <c r="K6" s="24" t="s">
        <v>12</v>
      </c>
      <c r="L6" s="22" t="s">
        <v>11</v>
      </c>
      <c r="M6" s="23" t="s">
        <v>10</v>
      </c>
      <c r="N6" s="22" t="s">
        <v>9</v>
      </c>
      <c r="Q6" s="9" t="s">
        <v>8</v>
      </c>
    </row>
    <row r="7" spans="1:25" ht="15.75" thickBot="1" x14ac:dyDescent="0.3">
      <c r="A7" s="46"/>
      <c r="B7" s="37"/>
      <c r="C7" s="6" t="s">
        <v>1</v>
      </c>
      <c r="D7" s="8" t="str">
        <f>IF(AND(M7=1.28,N7=0.384),1,Q6)</f>
        <v>.</v>
      </c>
      <c r="E7" s="8" t="str">
        <f>IF(AND(M7=1.92,N7=0.384),1,Q6)</f>
        <v>.</v>
      </c>
      <c r="F7" s="5" t="str">
        <f>IF(AND(M7=2.56,N7=0.384),1,Q6)</f>
        <v>.</v>
      </c>
      <c r="G7" s="8" t="str">
        <f>IF(AND(M7=3.2,N7=0.384),1,Q6)</f>
        <v>.</v>
      </c>
      <c r="H7" s="8" t="str">
        <f>IF(AND(M7=3.84,N7=0.384),1,Q6)</f>
        <v>.</v>
      </c>
      <c r="I7" s="8" t="str">
        <f>IF(AND(M7=4.48,N7=0.384),1,Q6)</f>
        <v>.</v>
      </c>
      <c r="J7" s="4" t="str">
        <f>IF(AND(M7=5.12,N7=0.384),1,Q6)</f>
        <v>.</v>
      </c>
      <c r="K7" s="21">
        <v>10</v>
      </c>
      <c r="L7" s="20">
        <v>8</v>
      </c>
      <c r="M7" s="19">
        <v>1.92</v>
      </c>
      <c r="N7" s="18">
        <v>2.3039999999999998</v>
      </c>
    </row>
    <row r="8" spans="1:25" x14ac:dyDescent="0.25">
      <c r="A8" s="46"/>
      <c r="B8" s="35">
        <v>0.76800000000000002</v>
      </c>
      <c r="C8" s="12" t="s">
        <v>4</v>
      </c>
      <c r="D8" s="11" t="str">
        <f>IF(AND(M7=1.28,N7=0.768),1,Q6)</f>
        <v>.</v>
      </c>
      <c r="E8" s="11" t="str">
        <f>IF(AND(M7=1.92,N7=0.768),1,Q6)</f>
        <v>.</v>
      </c>
      <c r="F8" s="11" t="str">
        <f>IF(AND(M7=2.56,N7=0.768),1,Q6)</f>
        <v>.</v>
      </c>
      <c r="G8" s="11" t="str">
        <f>IF(AND(M7=3.2,N7=0.768),2,Q6)</f>
        <v>.</v>
      </c>
      <c r="H8" s="11" t="str">
        <f>IF(AND(M7=3.84,N7=0.768),2,Q6)</f>
        <v>.</v>
      </c>
      <c r="I8" s="11" t="str">
        <f>IF(AND(M7=4.48,N7=0.768),2,Q6)</f>
        <v>.</v>
      </c>
      <c r="J8" s="10" t="str">
        <f>IF(AND(M7=5.12,N7=0.768),3,Q6)</f>
        <v>.</v>
      </c>
      <c r="K8" s="8" t="s">
        <v>7</v>
      </c>
      <c r="L8" s="17">
        <f>+K7*L7</f>
        <v>80</v>
      </c>
      <c r="N8" s="17">
        <f>+M7*N7</f>
        <v>4.4236799999999992</v>
      </c>
      <c r="Q8" s="16">
        <f>+L8-N8</f>
        <v>75.576319999999996</v>
      </c>
    </row>
    <row r="9" spans="1:25" ht="15.75" thickBot="1" x14ac:dyDescent="0.3">
      <c r="A9" s="46"/>
      <c r="B9" s="36"/>
      <c r="C9" s="9" t="s">
        <v>3</v>
      </c>
      <c r="D9" s="8" t="str">
        <f>IF(AND(M7=1.28,N7=0.768),1,Q6)</f>
        <v>.</v>
      </c>
      <c r="E9" s="8" t="str">
        <f>IF(AND(M7=1.92,N7=0.768),1,Q6)</f>
        <v>.</v>
      </c>
      <c r="F9" s="8" t="str">
        <f>IF(AND(M7=2.56,N7=0.768),1,Q6)</f>
        <v>.</v>
      </c>
      <c r="G9" s="8" t="str">
        <f>IF(AND(M7=3.2,N7=0.768),1,Q6)</f>
        <v>.</v>
      </c>
      <c r="H9" s="8" t="str">
        <f>IF(AND(M7=3.84,N7=0.768),1,Q6)</f>
        <v>.</v>
      </c>
      <c r="I9" s="8" t="str">
        <f>IF(AND(M7=4.48,N7=0.768),1,Q6)</f>
        <v>.</v>
      </c>
      <c r="J9" s="7" t="str">
        <f>IF(AND(M7=5.12,N7=0.768),1,Q6)</f>
        <v>.</v>
      </c>
    </row>
    <row r="10" spans="1:25" ht="15.75" thickBot="1" x14ac:dyDescent="0.3">
      <c r="A10" s="46"/>
      <c r="B10" s="36"/>
      <c r="C10" s="9" t="s">
        <v>2</v>
      </c>
      <c r="D10" s="8" t="str">
        <f>IF(AND(M7=1.28,N7=0.768),1,Q6)</f>
        <v>.</v>
      </c>
      <c r="E10" s="8" t="str">
        <f>IF(AND(M7=1.92,N7=0.768),1,Q6)</f>
        <v>.</v>
      </c>
      <c r="F10" s="8" t="str">
        <f>IF(AND(M7=2.56,N7=0.768),1,Q6)</f>
        <v>.</v>
      </c>
      <c r="G10" s="8" t="str">
        <f>IF(AND(M7=3.2,N7=0.768),1,Q6)</f>
        <v>.</v>
      </c>
      <c r="H10" s="8" t="str">
        <f>IF(AND(M7=3.84,N7=0.768),1,Q6)</f>
        <v>.</v>
      </c>
      <c r="I10" s="8" t="str">
        <f>IF(AND(M7=4.48,N7=0.768),1,Q6)</f>
        <v>.</v>
      </c>
      <c r="J10" s="7" t="str">
        <f>IF(AND(M7=5.12,N7=0.768),1,Q6)</f>
        <v>.</v>
      </c>
      <c r="K10" s="41" t="s">
        <v>6</v>
      </c>
      <c r="L10" s="42"/>
      <c r="M10" s="15">
        <f>ROUNDUP(Q11,0)</f>
        <v>57</v>
      </c>
      <c r="Q10" s="14">
        <f>+Q8*1.1</f>
        <v>83.133952000000008</v>
      </c>
    </row>
    <row r="11" spans="1:25" ht="15.75" thickBot="1" x14ac:dyDescent="0.3">
      <c r="A11" s="46"/>
      <c r="B11" s="37"/>
      <c r="C11" s="6" t="s">
        <v>1</v>
      </c>
      <c r="D11" s="8" t="str">
        <f>IF(AND(M7=1.28,N7=0.768),1,Q6)</f>
        <v>.</v>
      </c>
      <c r="E11" s="8" t="str">
        <f>IF(AND(M7=1.92,N7=0.768),1,Q6)</f>
        <v>.</v>
      </c>
      <c r="F11" s="8" t="str">
        <f>IF(AND(M7=2.56,N7=0.768),1,Q6)</f>
        <v>.</v>
      </c>
      <c r="G11" s="8" t="str">
        <f>IF(AND(M7=3.2,N7=0.768),1,Q6)</f>
        <v>.</v>
      </c>
      <c r="H11" s="8" t="str">
        <f>IF(AND(M7=3.84,N7=0.768),1,Q6)</f>
        <v>.</v>
      </c>
      <c r="I11" s="8" t="str">
        <f>IF(AND(M7=4.48,N7=0.768),1,Q6)</f>
        <v>.</v>
      </c>
      <c r="J11" s="4" t="str">
        <f>IF(AND(M7=5.12,N7=0.768),1,Q6)</f>
        <v>.</v>
      </c>
      <c r="Q11">
        <f>+Q10/1.474</f>
        <v>56.400238805970154</v>
      </c>
    </row>
    <row r="12" spans="1:25" ht="15" customHeight="1" x14ac:dyDescent="0.25">
      <c r="A12" s="46"/>
      <c r="B12" s="35">
        <v>1.1519999999999999</v>
      </c>
      <c r="C12" s="12" t="s">
        <v>4</v>
      </c>
      <c r="D12" s="11" t="str">
        <f>IF(AND(M7=1.28,N7=1.152),1,Q6)</f>
        <v>.</v>
      </c>
      <c r="E12" s="11" t="str">
        <f>IF(AND(M7=1.92,N7=1.152),1,Q6)</f>
        <v>.</v>
      </c>
      <c r="F12" s="11" t="str">
        <f>IF(AND(M7=2.56,N7=1.152),2,Q6)</f>
        <v>.</v>
      </c>
      <c r="G12" s="11" t="str">
        <f>IF(AND(M7=3.2,N7=1.152),2,Q6)</f>
        <v>.</v>
      </c>
      <c r="H12" s="11" t="str">
        <f>IF(AND(M7=3.84,N7=1.152),3,Q6)</f>
        <v>.</v>
      </c>
      <c r="I12" s="11" t="str">
        <f>IF(AND(M7=4.48,N7=1.152),3,Q6)</f>
        <v>.</v>
      </c>
      <c r="J12" s="10" t="str">
        <f>IF(AND(M7=5.12,N7=1.152),4,Q6)</f>
        <v>.</v>
      </c>
      <c r="K12" s="38" t="s">
        <v>5</v>
      </c>
      <c r="L12" s="38"/>
      <c r="M12" s="38"/>
      <c r="N12" s="38"/>
    </row>
    <row r="13" spans="1:25" x14ac:dyDescent="0.25">
      <c r="A13" s="46"/>
      <c r="B13" s="36"/>
      <c r="C13" s="9" t="s">
        <v>3</v>
      </c>
      <c r="D13" s="8" t="str">
        <f>IF(AND(M7=1.28,N7=1.152),1,Q6)</f>
        <v>.</v>
      </c>
      <c r="E13" s="8" t="str">
        <f>IF(AND(M7=1.92,N7=1.152),1,Q6)</f>
        <v>.</v>
      </c>
      <c r="F13" s="8" t="str">
        <f>IF(AND(M7=2.56,N7=1.152),1,Q6)</f>
        <v>.</v>
      </c>
      <c r="G13" s="8" t="str">
        <f>IF(AND(M7=3.2,N7=1.152),1,Q6)</f>
        <v>.</v>
      </c>
      <c r="H13" s="8" t="str">
        <f>IF(AND(M7=3.84,N7=1.152),1,Q6)</f>
        <v>.</v>
      </c>
      <c r="I13" s="8" t="str">
        <f>IF(AND(M7=4.48,N7=1.152),1,Q6)</f>
        <v>.</v>
      </c>
      <c r="J13" s="7" t="str">
        <f>IF(AND(M7=5.12,N7=1.152),1,Q6)</f>
        <v>.</v>
      </c>
      <c r="K13" s="38"/>
      <c r="L13" s="38"/>
      <c r="M13" s="38"/>
      <c r="N13" s="38"/>
    </row>
    <row r="14" spans="1:25" x14ac:dyDescent="0.25">
      <c r="A14" s="46"/>
      <c r="B14" s="36"/>
      <c r="C14" s="9" t="s">
        <v>2</v>
      </c>
      <c r="D14" s="8" t="str">
        <f>IF(AND(M7=1.28,N7=1.152),1,Q6)</f>
        <v>.</v>
      </c>
      <c r="E14" s="8" t="str">
        <f>IF(AND(M7=1.92,N7=1.152),1,Q6)</f>
        <v>.</v>
      </c>
      <c r="F14" s="8" t="str">
        <f>IF(AND(M7=2.56,N7=1.152),1,Q6)</f>
        <v>.</v>
      </c>
      <c r="G14" s="8" t="str">
        <f>IF(AND(M7=3.2,N7=1.152),1,Q6)</f>
        <v>.</v>
      </c>
      <c r="H14" s="8" t="str">
        <f>IF(AND(M7=3.84,N7=1.152),1,Q6)</f>
        <v>.</v>
      </c>
      <c r="I14" s="8" t="str">
        <f>IF(AND(M7=4.48,N7=1.152),1,Q6)</f>
        <v>.</v>
      </c>
      <c r="J14" s="7" t="str">
        <f>IF(AND(M7=5.12,N7=1.152),1,Q6)</f>
        <v>.</v>
      </c>
      <c r="K14" s="38"/>
      <c r="L14" s="38"/>
      <c r="M14" s="38"/>
      <c r="N14" s="38"/>
    </row>
    <row r="15" spans="1:25" ht="15.75" thickBot="1" x14ac:dyDescent="0.3">
      <c r="A15" s="46"/>
      <c r="B15" s="37"/>
      <c r="C15" s="6" t="s">
        <v>1</v>
      </c>
      <c r="D15" s="8" t="str">
        <f>IF(AND(M7=1.28,N7=1.152),1,Q6)</f>
        <v>.</v>
      </c>
      <c r="E15" s="8" t="str">
        <f>IF(AND(M7=1.92,N7=1.152),1,Q6)</f>
        <v>.</v>
      </c>
      <c r="F15" s="8" t="str">
        <f>IF(AND(M7=2.56,N7=1.152),1,Q6)</f>
        <v>.</v>
      </c>
      <c r="G15" s="8" t="str">
        <f>IF(AND(M7=3.2,N7=1.152),1,Q6)</f>
        <v>.</v>
      </c>
      <c r="H15" s="8" t="str">
        <f>IF(AND(M7=3.84,N7=1.152),1,Q6)</f>
        <v>.</v>
      </c>
      <c r="I15" s="8" t="str">
        <f>IF(AND(M7=4.48,N7=1.152),1,Q6)</f>
        <v>.</v>
      </c>
      <c r="J15" s="4" t="str">
        <f>IF(AND(M7=5.12,N7=1.152),1,Q6)</f>
        <v>.</v>
      </c>
      <c r="K15" s="38"/>
      <c r="L15" s="38"/>
      <c r="M15" s="38"/>
      <c r="N15" s="38"/>
    </row>
    <row r="16" spans="1:25" x14ac:dyDescent="0.25">
      <c r="A16" s="46"/>
      <c r="B16" s="35">
        <v>1.536</v>
      </c>
      <c r="C16" s="12" t="s">
        <v>4</v>
      </c>
      <c r="D16" s="11" t="str">
        <f>IF(AND(M7=1.28,N7=1.536),1,Q6)</f>
        <v>.</v>
      </c>
      <c r="E16" s="11" t="str">
        <f>IF(AND(M7=1.92,N7=1.536),2,Q6)</f>
        <v>.</v>
      </c>
      <c r="F16" s="11" t="str">
        <f>IF(AND(M7=2.56,N7=1.536),2,Q6)</f>
        <v>.</v>
      </c>
      <c r="G16" s="11" t="str">
        <f>IF(AND(M7=3.2,N7=1.536),3,Q6)</f>
        <v>.</v>
      </c>
      <c r="H16" s="11" t="str">
        <f>IF(AND(M7=3.84,N7=1.536),4,Q6)</f>
        <v>.</v>
      </c>
      <c r="I16" s="11" t="str">
        <f>IF(AND(M7=4.48,N7=1.536),4,Q6)</f>
        <v>.</v>
      </c>
      <c r="J16" s="10" t="str">
        <f>IF(AND(M7=5.12,N7=1.536),5,Q6)</f>
        <v>.</v>
      </c>
      <c r="K16" s="13" t="s">
        <v>4</v>
      </c>
      <c r="L16" s="34" cm="1">
        <f t="array" aca="1" ref="L16" ca="1">SUMPRODUCT(IFERROR((OFFSET($C$3,MATCH($N$7,$B$4:$B$39,0),0,4,1)=$K16)*($D$3:$J$3=$M$7)*(OFFSET($C$3,MATCH($N$7,$B$4:$B$39,0),1,4,7)),0))</f>
        <v>2</v>
      </c>
    </row>
    <row r="17" spans="1:15" x14ac:dyDescent="0.25">
      <c r="A17" s="46"/>
      <c r="B17" s="36"/>
      <c r="C17" s="9" t="s">
        <v>3</v>
      </c>
      <c r="D17" s="8" t="str">
        <f>IF(AND(M7=1.28,N7=1.536),1,Q6)</f>
        <v>.</v>
      </c>
      <c r="E17" s="8" t="str">
        <f>IF(AND(M7=1.92,N7=1.536),1,Q6)</f>
        <v>.</v>
      </c>
      <c r="F17" s="8" t="str">
        <f>IF(AND(M7=2.56,N7=1.536),1,Q6)</f>
        <v>.</v>
      </c>
      <c r="G17" s="8" t="str">
        <f>IF(AND(M7=3.2,N7=1.536),1,Q6)</f>
        <v>.</v>
      </c>
      <c r="H17" s="8" t="str">
        <f>IF(AND(M7=3.84,N7=1.536),1,Q6)</f>
        <v>.</v>
      </c>
      <c r="I17" s="8" t="str">
        <f>IF(AND(M7=4.48,N7=1.536),1,Q6)</f>
        <v>.</v>
      </c>
      <c r="J17" s="7" t="str">
        <f>IF(AND(M7=5.12,N7=1.536),1,Q6)</f>
        <v>.</v>
      </c>
      <c r="K17" s="13" t="s">
        <v>3</v>
      </c>
      <c r="L17" s="34" cm="1">
        <f t="array" aca="1" ref="L17" ca="1">SUMPRODUCT(IFERROR((OFFSET($C$3,MATCH($N$7,$B$4:$B$39,0),0,4,1)=$K17)*($D$3:$J$3=$M$7)*(OFFSET($C$3,MATCH($N$7,$B$4:$B$39,0),1,4,7)),0))</f>
        <v>1</v>
      </c>
    </row>
    <row r="18" spans="1:15" x14ac:dyDescent="0.25">
      <c r="A18" s="46"/>
      <c r="B18" s="36"/>
      <c r="C18" s="9" t="s">
        <v>2</v>
      </c>
      <c r="D18" s="8" t="str">
        <f>IF(AND(M7=1.28,N7=1.536),1,Q6)</f>
        <v>.</v>
      </c>
      <c r="E18" s="8" t="str">
        <f>IF(AND(M7=1.92,N7=1.536),1,Q6)</f>
        <v>.</v>
      </c>
      <c r="F18" s="8" t="str">
        <f>IF(AND(M7=2.56,N7=1.536),1,Q6)</f>
        <v>.</v>
      </c>
      <c r="G18" s="8" t="str">
        <f>IF(AND(M7=3.2,N7=1.536),1,Q6)</f>
        <v>.</v>
      </c>
      <c r="H18" s="8" t="str">
        <f>IF(AND(M7=3.84,N7=1.536),1,Q6)</f>
        <v>.</v>
      </c>
      <c r="I18" s="8" t="str">
        <f>IF(AND(M7=4.48,N7=1.536),1,Q6)</f>
        <v>.</v>
      </c>
      <c r="J18" s="7" t="str">
        <f>IF(AND(M7=5.12,N7=1.536),1,Q6)</f>
        <v>.</v>
      </c>
      <c r="K18" s="13" t="s">
        <v>2</v>
      </c>
      <c r="L18" s="34" cm="1">
        <f t="array" aca="1" ref="L18" ca="1">SUMPRODUCT(IFERROR((OFFSET($C$3,MATCH($N$7,$B$4:$B$39,0),0,4,1)=$K18)*($D$3:$J$3=$M$7)*(OFFSET($C$3,MATCH($N$7,$B$4:$B$39,0),1,4,7)),0))</f>
        <v>1</v>
      </c>
    </row>
    <row r="19" spans="1:15" ht="15.75" thickBot="1" x14ac:dyDescent="0.3">
      <c r="A19" s="46"/>
      <c r="B19" s="37"/>
      <c r="C19" s="6" t="s">
        <v>1</v>
      </c>
      <c r="D19" s="8" t="str">
        <f>IF(AND(M7=1.28,N7=1.536),1,Q6)</f>
        <v>.</v>
      </c>
      <c r="E19" s="8" t="str">
        <f>IF(AND(M7=1.92,N7=1.536),1,Q6)</f>
        <v>.</v>
      </c>
      <c r="F19" s="8" t="str">
        <f>IF(AND(M7=2.56,N7=1.536),1,Q6)</f>
        <v>.</v>
      </c>
      <c r="G19" s="8" t="str">
        <f>IF(AND(M7=3.2,N7=1.536),1,Q6)</f>
        <v>.</v>
      </c>
      <c r="H19" s="8" t="str">
        <f>IF(AND(M7=3.84,N7=1.536),1,Q6)</f>
        <v>.</v>
      </c>
      <c r="I19" s="8" t="str">
        <f>IF(AND(M7=4.48,N7=1.536),1,Q6)</f>
        <v>.</v>
      </c>
      <c r="J19" s="4" t="str">
        <f>IF(AND(M7=5.12,N7=1.536),1,Q6)</f>
        <v>.</v>
      </c>
      <c r="K19" s="13" t="s">
        <v>1</v>
      </c>
      <c r="L19" s="34" cm="1">
        <f t="array" aca="1" ref="L19" ca="1">SUMPRODUCT(IFERROR((OFFSET($C$3,MATCH($N$7,$B$4:$B$39,0),0,4,1)=$K19)*($D$3:$J$3=$M$7)*(OFFSET($C$3,MATCH($N$7,$B$4:$B$39,0),1,4,7)),0))</f>
        <v>1</v>
      </c>
    </row>
    <row r="20" spans="1:15" x14ac:dyDescent="0.25">
      <c r="A20" s="46"/>
      <c r="B20" s="35">
        <v>1.92</v>
      </c>
      <c r="C20" s="12" t="s">
        <v>4</v>
      </c>
      <c r="D20" s="11" t="str">
        <f>IF(AND(M7=1.28,N7=1.92),1,Q6)</f>
        <v>.</v>
      </c>
      <c r="E20" s="11" t="str">
        <f>IF(AND(M7=1.92,N7=1.92),2,Q6)</f>
        <v>.</v>
      </c>
      <c r="F20" s="11" t="str">
        <f>IF(AND(M7=2.56,N7=1.92),3,Q6)</f>
        <v>.</v>
      </c>
      <c r="G20" s="11" t="str">
        <f>IF(AND(M7=3.2,N7=1.92),4,Q6)</f>
        <v>.</v>
      </c>
      <c r="H20" s="11" t="str">
        <f>IF(AND(M7=3.84,N7=1.92),5,Q6)</f>
        <v>.</v>
      </c>
      <c r="I20" s="11" t="str">
        <f>IF(AND(M7=4.48,N7=1.92),5,Q6)</f>
        <v>.</v>
      </c>
      <c r="J20" s="10" t="str">
        <f>IF(AND(M7=5.12,N7=1.92),6,Q6)</f>
        <v>.</v>
      </c>
    </row>
    <row r="21" spans="1:15" x14ac:dyDescent="0.25">
      <c r="A21" s="46"/>
      <c r="B21" s="36"/>
      <c r="C21" s="9" t="s">
        <v>3</v>
      </c>
      <c r="D21" s="8" t="str">
        <f>IF(AND(M7=1.28,N7=1.92),1,Q6)</f>
        <v>.</v>
      </c>
      <c r="E21" s="8" t="str">
        <f>IF(AND(M7=1.92,N7=1.92),1,Q6)</f>
        <v>.</v>
      </c>
      <c r="F21" s="8" t="str">
        <f>IF(AND(M7=2.56,N7=1.92),1,Q6)</f>
        <v>.</v>
      </c>
      <c r="G21" s="8" t="str">
        <f>IF(AND(M7=3.2,N7=1.92),1,Q6)</f>
        <v>.</v>
      </c>
      <c r="H21" s="8" t="str">
        <f>IF(AND(M7=3.84,N7=1.92),1,Q6)</f>
        <v>.</v>
      </c>
      <c r="I21" s="8" t="str">
        <f>IF(AND(M7=4.48,N7=1.92),1,Q6)</f>
        <v>.</v>
      </c>
      <c r="J21" s="7" t="str">
        <f>IF(AND(M7=5.12,N7=1.92),1,Q6)</f>
        <v>.</v>
      </c>
      <c r="K21" s="2"/>
      <c r="L21" s="2"/>
      <c r="M21" s="2"/>
      <c r="N21" s="2"/>
    </row>
    <row r="22" spans="1:15" x14ac:dyDescent="0.25">
      <c r="A22" s="46"/>
      <c r="B22" s="36"/>
      <c r="C22" s="9" t="s">
        <v>2</v>
      </c>
      <c r="D22" s="8" t="str">
        <f>IF(AND(M7=1.28,N7=1.92),1,Q6)</f>
        <v>.</v>
      </c>
      <c r="E22" s="8" t="str">
        <f>IF(AND(M7=1.92,N7=1.92),1,Q6)</f>
        <v>.</v>
      </c>
      <c r="F22" s="8" t="str">
        <f>IF(AND(M7=2.56,N7=1.92),1,Q6)</f>
        <v>.</v>
      </c>
      <c r="G22" s="8" t="str">
        <f>IF(AND(M7=3.2,N7=1.92),1,Q6)</f>
        <v>.</v>
      </c>
      <c r="H22" s="8" t="str">
        <f>IF(AND(M7=3.84,N7=1.92),1,Q6)</f>
        <v>.</v>
      </c>
      <c r="I22" s="8" t="str">
        <f>IF(AND(M7=4.48,N7=1.92),1,Q6)</f>
        <v>.</v>
      </c>
      <c r="J22" s="7" t="str">
        <f>IF(AND(M7=5.12,N7=1.92),1,Q6)</f>
        <v>.</v>
      </c>
      <c r="K22" s="30"/>
      <c r="L22" s="30"/>
      <c r="M22" s="30"/>
      <c r="N22" s="30"/>
      <c r="O22" s="31"/>
    </row>
    <row r="23" spans="1:15" ht="15.75" thickBot="1" x14ac:dyDescent="0.3">
      <c r="A23" s="46"/>
      <c r="B23" s="37"/>
      <c r="C23" s="6" t="s">
        <v>1</v>
      </c>
      <c r="D23" s="8" t="str">
        <f>IF(AND(M7=1.28,N7=1.92),1,Q6)</f>
        <v>.</v>
      </c>
      <c r="E23" s="8" t="str">
        <f>IF(AND(M7=1.92,N7=1.92),1,Q6)</f>
        <v>.</v>
      </c>
      <c r="F23" s="8" t="str">
        <f>IF(AND(M7=2.56,N7=1.92),1,Q6)</f>
        <v>.</v>
      </c>
      <c r="G23" s="8" t="str">
        <f>IF(AND(M7=3.2,N7=1.92),1,Q6)</f>
        <v>.</v>
      </c>
      <c r="H23" s="8" t="str">
        <f>IF(AND(M7=3.84,N7=1.92),1,Q6)</f>
        <v>.</v>
      </c>
      <c r="I23" s="8" t="str">
        <f>IF(AND(M7=4.48,N7=1.92),1,Q6)</f>
        <v>.</v>
      </c>
      <c r="J23" s="4" t="str">
        <f>IF(AND(M7=5.12,N7=1.92),1,Q6)</f>
        <v>.</v>
      </c>
      <c r="K23" s="32"/>
      <c r="L23" s="32"/>
      <c r="M23" s="32"/>
      <c r="N23" s="32"/>
      <c r="O23" s="31"/>
    </row>
    <row r="24" spans="1:15" x14ac:dyDescent="0.25">
      <c r="A24" s="46"/>
      <c r="B24" s="35">
        <v>2.3039999999999998</v>
      </c>
      <c r="C24" s="12" t="s">
        <v>4</v>
      </c>
      <c r="D24" s="11" t="str">
        <f>IF(AND(M7=1.28,N7=2.304),1,Q6)</f>
        <v>.</v>
      </c>
      <c r="E24" s="11">
        <f>IF(AND(M7=1.92,N7=2.304),2,Q6)</f>
        <v>2</v>
      </c>
      <c r="F24" s="11" t="str">
        <f>IF(AND(M7=2.56,N7=2.304),3,Q6)</f>
        <v>.</v>
      </c>
      <c r="G24" s="11" t="str">
        <f>IF(AND(M7=3.2,N7=2.304),4,Q6)</f>
        <v>.</v>
      </c>
      <c r="H24" s="11" t="str">
        <f>IF(AND(M7=3.84,N7=2.304),5,Q6)</f>
        <v>.</v>
      </c>
      <c r="I24" s="11" t="str">
        <f>IF(AND(M7=4.48,N7=2.304),6,Q6)</f>
        <v>.</v>
      </c>
      <c r="J24" s="10" t="str">
        <f>IF(AND(M7=5.12,N7=2.304),7,Q6)</f>
        <v>.</v>
      </c>
      <c r="K24" s="30"/>
      <c r="L24" s="30"/>
      <c r="M24" s="30"/>
      <c r="N24" s="30"/>
      <c r="O24" s="31"/>
    </row>
    <row r="25" spans="1:15" x14ac:dyDescent="0.25">
      <c r="A25" s="46"/>
      <c r="B25" s="36"/>
      <c r="C25" s="9" t="s">
        <v>3</v>
      </c>
      <c r="D25" s="8" t="str">
        <f>IF(AND(M7=1.28,N7=2.304),1,Q6)</f>
        <v>.</v>
      </c>
      <c r="E25" s="8">
        <f>IF(AND(M7=1.92,N7=2.304),1,Q6)</f>
        <v>1</v>
      </c>
      <c r="F25" s="8" t="str">
        <f>IF(AND(M7=2.56,N7=2.304),1,Q6)</f>
        <v>.</v>
      </c>
      <c r="G25" s="8" t="str">
        <f>IF(AND(M7=3.2,N7=2.304),1,Q6)</f>
        <v>.</v>
      </c>
      <c r="H25" s="8" t="str">
        <f>IF(AND(M7=3.84,N7=2.304),1,Q6)</f>
        <v>.</v>
      </c>
      <c r="I25" s="8" t="str">
        <f>IF(AND(M7=4.48,N7=2.304),1,Q6)</f>
        <v>.</v>
      </c>
      <c r="J25" s="7" t="str">
        <f>IF(AND(M7=5.12,N7=2.304),1,Q6)</f>
        <v>.</v>
      </c>
      <c r="K25" s="30"/>
      <c r="L25" s="30"/>
      <c r="M25" s="30"/>
      <c r="N25" s="30"/>
      <c r="O25" s="31"/>
    </row>
    <row r="26" spans="1:15" x14ac:dyDescent="0.25">
      <c r="A26" s="46"/>
      <c r="B26" s="36"/>
      <c r="C26" s="9" t="s">
        <v>2</v>
      </c>
      <c r="D26" s="8" t="str">
        <f>IF(AND(M7=1.28,N7=2.304),1,Q6)</f>
        <v>.</v>
      </c>
      <c r="E26" s="8">
        <f>IF(AND(M7=1.92,N7=2.304),1,Q6)</f>
        <v>1</v>
      </c>
      <c r="F26" s="8" t="str">
        <f>IF(AND(M7=2.56,N7=2.304),1,Q6)</f>
        <v>.</v>
      </c>
      <c r="G26" s="8" t="str">
        <f>IF(AND(M7=3.2,N7=2.304),1,Q6)</f>
        <v>.</v>
      </c>
      <c r="H26" s="8" t="str">
        <f>IF(AND(M7=3.84,N7=2.304),1,Q6)</f>
        <v>.</v>
      </c>
      <c r="I26" s="8" t="str">
        <f>IF(AND(M7=4.48,N7=2.304),1,Q6)</f>
        <v>.</v>
      </c>
      <c r="J26" s="7" t="str">
        <f>IF(AND(M7=5.12,N7=2.304),1,Q6)</f>
        <v>.</v>
      </c>
      <c r="K26" s="30"/>
      <c r="L26" s="30"/>
      <c r="M26" s="30"/>
      <c r="N26" s="30"/>
      <c r="O26" s="31"/>
    </row>
    <row r="27" spans="1:15" ht="15.75" thickBot="1" x14ac:dyDescent="0.3">
      <c r="A27" s="46"/>
      <c r="B27" s="37"/>
      <c r="C27" s="6" t="s">
        <v>1</v>
      </c>
      <c r="D27" s="8" t="str">
        <f>IF(AND(M7=1.28,N7=2.304),1,Q6)</f>
        <v>.</v>
      </c>
      <c r="E27" s="8">
        <f>IF(AND(M7=1.92,N7=2.304),1,Q6)</f>
        <v>1</v>
      </c>
      <c r="F27" s="8" t="str">
        <f>IF(AND(M7=2.56,N7=2.304),1,Q6)</f>
        <v>.</v>
      </c>
      <c r="G27" s="8" t="str">
        <f>IF(AND(M7=3.2,N7=2.304),1,Q6)</f>
        <v>.</v>
      </c>
      <c r="H27" s="8" t="str">
        <f>IF(AND(M7=3.84,N7=2.304),1,Q6)</f>
        <v>.</v>
      </c>
      <c r="I27" s="8" t="str">
        <f>IF(AND(M7=4.48,N7=2.304),1,Q6)</f>
        <v>.</v>
      </c>
      <c r="J27" s="4" t="str">
        <f>IF(AND(M7=5.12,N7=2.304),1,Q6)</f>
        <v>.</v>
      </c>
      <c r="K27" s="30"/>
      <c r="L27" s="33"/>
      <c r="M27" s="33"/>
      <c r="N27" s="33"/>
      <c r="O27" s="31"/>
    </row>
    <row r="28" spans="1:15" x14ac:dyDescent="0.25">
      <c r="A28" s="46"/>
      <c r="B28" s="35">
        <v>2.6880000000000002</v>
      </c>
      <c r="C28" s="12" t="s">
        <v>4</v>
      </c>
      <c r="D28" s="11" t="str">
        <f>IF(AND(M7=1.28,N7=2.688),2,Q6)</f>
        <v>.</v>
      </c>
      <c r="E28" s="11" t="str">
        <f>IF(AND(M7=1.92,N7=2.688),3,Q6)</f>
        <v>.</v>
      </c>
      <c r="F28" s="11" t="str">
        <f>IF(AND(M7=2.56,N7=2.688),4,Q6)</f>
        <v>.</v>
      </c>
      <c r="G28" s="11" t="str">
        <f>IF(AND(M7=3.2,N7=2.688),5,Q6)</f>
        <v>.</v>
      </c>
      <c r="H28" s="11" t="str">
        <f>IF(AND(M7=3.84,N7=2.688),6,Q6)</f>
        <v>.</v>
      </c>
      <c r="I28" s="11" t="str">
        <f>IF(AND(M7=4.48,N7=2.688),7,Q6)</f>
        <v>.</v>
      </c>
      <c r="J28" s="10" t="str">
        <f>IF(AND(M7=5.12,N7=2.688),9,Q6)</f>
        <v>.</v>
      </c>
      <c r="K28" s="32"/>
      <c r="L28" s="32"/>
      <c r="M28" s="32"/>
      <c r="N28" s="32"/>
      <c r="O28" s="31"/>
    </row>
    <row r="29" spans="1:15" x14ac:dyDescent="0.25">
      <c r="A29" s="46"/>
      <c r="B29" s="36"/>
      <c r="C29" s="9" t="s">
        <v>3</v>
      </c>
      <c r="D29" s="8" t="str">
        <f>IF(AND(M7=1.28,N7=2.688),1,Q6)</f>
        <v>.</v>
      </c>
      <c r="E29" s="8" t="str">
        <f>IF(AND(M7=1.92,N7=2.688),2,Q6)</f>
        <v>.</v>
      </c>
      <c r="F29" s="8" t="str">
        <f>IF(AND(M7=2.56,N7=2.688),1,Q6)</f>
        <v>.</v>
      </c>
      <c r="G29" s="8" t="str">
        <f>IF(AND(M7=3.2,N7=2.688),2,Q6)</f>
        <v>.</v>
      </c>
      <c r="H29" s="8" t="str">
        <f>IF(AND(M7=3.84,N7=2.688),1,Q6)</f>
        <v>.</v>
      </c>
      <c r="I29" s="8" t="str">
        <f>IF(AND(M7=4.48,N7=2.688),2,Q6)</f>
        <v>.</v>
      </c>
      <c r="J29" s="7" t="str">
        <f>IF(AND(M7=5.12,N7=2.688),1,Q6)</f>
        <v>.</v>
      </c>
      <c r="K29" s="30"/>
      <c r="L29" s="32"/>
      <c r="M29" s="32"/>
      <c r="N29" s="30"/>
      <c r="O29" s="31"/>
    </row>
    <row r="30" spans="1:15" x14ac:dyDescent="0.25">
      <c r="A30" s="46"/>
      <c r="B30" s="36"/>
      <c r="C30" s="9" t="s">
        <v>2</v>
      </c>
      <c r="D30" s="8" t="str">
        <f>IF(AND(M7=1.28,N7=2.688),1,Q6)</f>
        <v>.</v>
      </c>
      <c r="E30" s="8" t="str">
        <f>IF(AND(M7=1.92,N7=2.688),1,Q6)</f>
        <v>.</v>
      </c>
      <c r="F30" s="8" t="str">
        <f>IF(AND(M7=2.56,N7=2.688),1,Q6)</f>
        <v>.</v>
      </c>
      <c r="G30" s="8" t="str">
        <f>IF(AND(M7=3.2,N7=2.688),1,Q6)</f>
        <v>.</v>
      </c>
      <c r="H30" s="8" t="str">
        <f>IF(AND(M7=3.84,N7=2.688),1,Q6)</f>
        <v>.</v>
      </c>
      <c r="I30" s="8" t="str">
        <f>IF(AND(M7=4.48,N7=2.688),1,Q6)</f>
        <v>.</v>
      </c>
      <c r="J30" s="7" t="str">
        <f>IF(AND(M7=5.12,N7=2.688),1,Q6)</f>
        <v>.</v>
      </c>
      <c r="K30" s="30"/>
      <c r="L30" s="30"/>
      <c r="M30" s="30"/>
      <c r="N30" s="30"/>
      <c r="O30" s="31"/>
    </row>
    <row r="31" spans="1:15" ht="15.75" thickBot="1" x14ac:dyDescent="0.3">
      <c r="A31" s="46"/>
      <c r="B31" s="37"/>
      <c r="C31" s="6" t="s">
        <v>1</v>
      </c>
      <c r="D31" s="8" t="str">
        <f>IF(AND(M7=1.28,N7=2.688),2,Q6)</f>
        <v>.</v>
      </c>
      <c r="E31" s="8" t="str">
        <f>IF(AND(M7=1.92,N7=2.688),2,Q6)</f>
        <v>.</v>
      </c>
      <c r="F31" s="8" t="str">
        <f>IF(AND(M7=2.56,N7=2.688),2,Q6)</f>
        <v>.</v>
      </c>
      <c r="G31" s="8" t="str">
        <f>IF(AND(M7=3.2,N7=2.688),2,Q6)</f>
        <v>.</v>
      </c>
      <c r="H31" s="8" t="str">
        <f>IF(AND(M7=3.84,N7=2.688),2,Q6)</f>
        <v>.</v>
      </c>
      <c r="I31" s="8" t="str">
        <f>IF(AND(M7=4.48,N7=2.688),2,Q6)</f>
        <v>.</v>
      </c>
      <c r="J31" s="4" t="str">
        <f>IF(AND(M7=5.12,N7=2.688),2,Q6)</f>
        <v>.</v>
      </c>
      <c r="K31" s="30"/>
      <c r="L31" s="30"/>
      <c r="M31" s="30"/>
      <c r="N31" s="30"/>
      <c r="O31" s="31"/>
    </row>
    <row r="32" spans="1:15" x14ac:dyDescent="0.25">
      <c r="A32" s="46"/>
      <c r="B32" s="35">
        <v>3.0720000000000001</v>
      </c>
      <c r="C32" s="12" t="s">
        <v>4</v>
      </c>
      <c r="D32" s="11" t="str">
        <f>IF(AND(M7=1.28,N7=3.072),2,Q6)</f>
        <v>.</v>
      </c>
      <c r="E32" s="11" t="str">
        <f>IF(AND(M7=1.92,N7=3.072),3,Q6)</f>
        <v>.</v>
      </c>
      <c r="F32" s="11" t="str">
        <f>IF(AND(M7=2.56,N7=3.072),4,Q6)</f>
        <v>.</v>
      </c>
      <c r="G32" s="11" t="str">
        <f>IF(AND(M7=3.2,N7=3.072),6,Q6)</f>
        <v>.</v>
      </c>
      <c r="H32" s="11" t="str">
        <f>IF(AND(M7=3.84,N7=3.072),7,Q6)</f>
        <v>.</v>
      </c>
      <c r="I32" s="11" t="str">
        <f>IF(AND(M7=4.48,N7=3.072),8,Q6)</f>
        <v>.</v>
      </c>
      <c r="J32" s="10" t="str">
        <f>IF(AND(M7=5.12,N7=3.072),10,Q6)</f>
        <v>.</v>
      </c>
      <c r="K32" s="30"/>
      <c r="L32" s="30"/>
      <c r="M32" s="30"/>
      <c r="N32" s="33"/>
      <c r="O32" s="31"/>
    </row>
    <row r="33" spans="1:15" x14ac:dyDescent="0.25">
      <c r="A33" s="46"/>
      <c r="B33" s="36"/>
      <c r="C33" s="9" t="s">
        <v>3</v>
      </c>
      <c r="D33" s="8" t="str">
        <f>IF(AND(M7=1.28,N7=3.072),2,Q6)</f>
        <v>.</v>
      </c>
      <c r="E33" s="8" t="str">
        <f>IF(AND(M7=1.92,N7=3.072),2,Q6)</f>
        <v>.</v>
      </c>
      <c r="F33" s="8" t="str">
        <f>IF(AND(M7=2.56,N7=3.072),2,Q6)</f>
        <v>.</v>
      </c>
      <c r="G33" s="8" t="str">
        <f>IF(AND(M7=3.2,N7=3.072),2,Q6)</f>
        <v>.</v>
      </c>
      <c r="H33" s="8" t="str">
        <f>IF(AND(M7=3.84,N7=3.072),2,Q6)</f>
        <v>.</v>
      </c>
      <c r="I33" s="8" t="str">
        <f>IF(AND(M7=4.48,N7=3.072),2,Q6)</f>
        <v>.</v>
      </c>
      <c r="J33" s="7" t="str">
        <f>IF(AND(M7=5.12,N7=3.072),2,Q6)</f>
        <v>.</v>
      </c>
      <c r="K33" s="30"/>
      <c r="L33" s="30"/>
      <c r="M33" s="30"/>
      <c r="N33" s="31"/>
      <c r="O33" s="31"/>
    </row>
    <row r="34" spans="1:15" x14ac:dyDescent="0.25">
      <c r="A34" s="46"/>
      <c r="B34" s="36"/>
      <c r="C34" s="9" t="s">
        <v>2</v>
      </c>
      <c r="D34" s="8" t="str">
        <f>IF(AND(M7=1.28,N7=3.072),2,Q6)</f>
        <v>.</v>
      </c>
      <c r="E34" s="8" t="str">
        <f>IF(AND(M7=1.92,N7=3.072),2,Q6)</f>
        <v>.</v>
      </c>
      <c r="F34" s="8" t="str">
        <f>IF(AND(M7=2.56,N7=3.072),2,Q6)</f>
        <v>.</v>
      </c>
      <c r="G34" s="8" t="str">
        <f>IF(AND(M7=3.2,N7=3.072),2,Q6)</f>
        <v>.</v>
      </c>
      <c r="H34" s="8" t="str">
        <f>IF(AND(M7=3.84,N7=3.072),2,Q6)</f>
        <v>.</v>
      </c>
      <c r="I34" s="8" t="str">
        <f>IF(AND(M7=4.48,N7=3.072),2,Q6)</f>
        <v>.</v>
      </c>
      <c r="J34" s="7" t="str">
        <f>IF(AND(M7=5.12,N7=3.072),2,Q6)</f>
        <v>.</v>
      </c>
      <c r="K34" s="30"/>
      <c r="L34" s="30"/>
      <c r="M34" s="30"/>
      <c r="N34" s="31"/>
      <c r="O34" s="31"/>
    </row>
    <row r="35" spans="1:15" ht="15.75" thickBot="1" x14ac:dyDescent="0.3">
      <c r="A35" s="46"/>
      <c r="B35" s="37"/>
      <c r="C35" s="6" t="s">
        <v>1</v>
      </c>
      <c r="D35" s="8" t="str">
        <f>IF(AND(M7=1.28,N7=3.072),2,Q6)</f>
        <v>.</v>
      </c>
      <c r="E35" s="8" t="str">
        <f>IF(AND(M7=1.92,N7=3.072),2,Q6)</f>
        <v>.</v>
      </c>
      <c r="F35" s="8" t="str">
        <f>IF(AND(M7=2.56,N7=3.072),2,Q6)</f>
        <v>.</v>
      </c>
      <c r="G35" s="8" t="str">
        <f>IF(AND(M7=3.2,N7=3.072),2,Q6)</f>
        <v>.</v>
      </c>
      <c r="H35" s="8" t="str">
        <f>IF(AND(M7=3.84,N7=3.072),2,Q6)</f>
        <v>.</v>
      </c>
      <c r="I35" s="8" t="str">
        <f>IF(AND(M7=4.48,N7=3.072),2,Q6)</f>
        <v>.</v>
      </c>
      <c r="J35" s="4" t="str">
        <f>IF(AND(M7=5.12,N7=3.072),2,Q6)</f>
        <v>.</v>
      </c>
      <c r="K35" s="30"/>
      <c r="L35" s="30"/>
      <c r="M35" s="30"/>
      <c r="N35" s="31"/>
      <c r="O35" s="31"/>
    </row>
    <row r="36" spans="1:15" x14ac:dyDescent="0.25">
      <c r="A36" s="46"/>
      <c r="B36" s="35">
        <v>3.456</v>
      </c>
      <c r="C36" s="12" t="s">
        <v>4</v>
      </c>
      <c r="D36" s="11" t="str">
        <f>IF(AND(M7=1.28,N7=3.456),2,Q6)</f>
        <v>.</v>
      </c>
      <c r="E36" s="11" t="str">
        <f>IF(AND(M7=1.92,N7=3.456),3,Q6)</f>
        <v>.</v>
      </c>
      <c r="F36" s="11" t="str">
        <f>IF(AND(M7=2.56,N7=3.456),5,Q6)</f>
        <v>.</v>
      </c>
      <c r="G36" s="11" t="str">
        <f>IF(AND(M7=3.2,N7=3.456),6,Q6)</f>
        <v>.</v>
      </c>
      <c r="H36" s="11" t="str">
        <f>IF(AND(M7=3.84,N7=3.456),8,Q6)</f>
        <v>.</v>
      </c>
      <c r="I36" s="11" t="str">
        <f>IF(AND(M7=4.48,N7=3.456),9,Q6)</f>
        <v>.</v>
      </c>
      <c r="J36" s="10" t="str">
        <f>IF(AND(M7=5.12,N7=3.456),11,Q6)</f>
        <v>.</v>
      </c>
      <c r="K36" s="31"/>
      <c r="L36" s="31"/>
      <c r="M36" s="31"/>
      <c r="N36" s="31"/>
      <c r="O36" s="31"/>
    </row>
    <row r="37" spans="1:15" x14ac:dyDescent="0.25">
      <c r="A37" s="46"/>
      <c r="B37" s="36"/>
      <c r="C37" s="9" t="s">
        <v>3</v>
      </c>
      <c r="D37" s="8" t="str">
        <f>IF(AND(M7=1.28,N7=3.456),2,Q6)</f>
        <v>.</v>
      </c>
      <c r="E37" s="8" t="str">
        <f>IF(AND(M7=1.92,N7=3.456),2,Q6)</f>
        <v>.</v>
      </c>
      <c r="F37" s="8" t="str">
        <f>IF(AND(M7=2.56,N7=3.456),2,Q6)</f>
        <v>.</v>
      </c>
      <c r="G37" s="8" t="str">
        <f>IF(AND(M7=3.2,N7=3.456),2,Q6)</f>
        <v>.</v>
      </c>
      <c r="H37" s="8" t="str">
        <f>IF(AND(M7=3.84,N7=3.456),2,Q6)</f>
        <v>.</v>
      </c>
      <c r="I37" s="8" t="str">
        <f>IF(AND(M7=4.48,N7=3.456),2,Q6)</f>
        <v>.</v>
      </c>
      <c r="J37" s="7" t="str">
        <f>IF(AND(M7=5.12,N7=3.456),2,Q6)</f>
        <v>.</v>
      </c>
      <c r="K37" s="31"/>
      <c r="L37" s="31"/>
      <c r="M37" s="31"/>
      <c r="N37" s="31"/>
      <c r="O37" s="31"/>
    </row>
    <row r="38" spans="1:15" x14ac:dyDescent="0.25">
      <c r="A38" s="46"/>
      <c r="B38" s="36"/>
      <c r="C38" s="9" t="s">
        <v>2</v>
      </c>
      <c r="D38" s="8" t="str">
        <f>IF(AND(M7=1.28,N7=3.456),2,Q6)</f>
        <v>.</v>
      </c>
      <c r="E38" s="8" t="str">
        <f>IF(AND(M7=1.92,N7=3.456),2,Q6)</f>
        <v>.</v>
      </c>
      <c r="F38" s="8" t="str">
        <f>IF(AND(M7=2.56,N7=3.456),2,Q6)</f>
        <v>.</v>
      </c>
      <c r="G38" s="8" t="str">
        <f>IF(AND(M7=3.2,N7=3.456),2,Q6)</f>
        <v>.</v>
      </c>
      <c r="H38" s="8" t="str">
        <f>IF(AND(M7=3.84,N7=3.456),2,Q6)</f>
        <v>.</v>
      </c>
      <c r="I38" s="8" t="str">
        <f>IF(AND(M7=4.48,N7=3.456),2,Q6)</f>
        <v>.</v>
      </c>
      <c r="J38" s="7" t="str">
        <f>IF(AND(M7=5.12,N7=3.456),2,Q6)</f>
        <v>.</v>
      </c>
    </row>
    <row r="39" spans="1:15" ht="15.75" thickBot="1" x14ac:dyDescent="0.3">
      <c r="A39" s="46"/>
      <c r="B39" s="45"/>
      <c r="C39" s="6" t="s">
        <v>1</v>
      </c>
      <c r="D39" s="5" t="str">
        <f>IF(AND(M7=1.28,N7=3.456),2,Q6)</f>
        <v>.</v>
      </c>
      <c r="E39" s="5" t="str">
        <f>IF(AND(M7=1.92,N7=3.456),2,Q6)</f>
        <v>.</v>
      </c>
      <c r="F39" s="5" t="str">
        <f>IF(AND(M7=2.56,N7=3.456),2,Q6)</f>
        <v>.</v>
      </c>
      <c r="G39" s="5" t="str">
        <f>IF(AND(M7=3.2,N7=3.456),2,Q6)</f>
        <v>.</v>
      </c>
      <c r="H39" s="5" t="str">
        <f>IF(AND(M7=3.84,N7=3.456),2,Q6)</f>
        <v>.</v>
      </c>
      <c r="I39" s="5" t="str">
        <f>IF(AND(M7=4.48,N7=3.456),2,Q6)</f>
        <v>.</v>
      </c>
      <c r="J39" s="4" t="str">
        <f>IF(AND(M7=5.12,N7=3.456),2,Q6)</f>
        <v>.</v>
      </c>
    </row>
    <row r="41" spans="1:15" x14ac:dyDescent="0.25">
      <c r="I41" s="3" t="s">
        <v>0</v>
      </c>
      <c r="J41" s="3"/>
      <c r="K41" s="3"/>
      <c r="L41" s="3"/>
      <c r="M41" s="3"/>
      <c r="N41" s="3"/>
    </row>
    <row r="45" spans="1:15" x14ac:dyDescent="0.25">
      <c r="K45" s="1"/>
      <c r="L45" s="2"/>
      <c r="M45" s="2"/>
    </row>
    <row r="46" spans="1:15" x14ac:dyDescent="0.25">
      <c r="K46" s="1"/>
      <c r="L46" s="1"/>
      <c r="M46" s="1"/>
    </row>
    <row r="47" spans="1:15" x14ac:dyDescent="0.25">
      <c r="K47" s="1"/>
      <c r="L47" s="1"/>
      <c r="M47" s="1"/>
    </row>
    <row r="48" spans="1:15" x14ac:dyDescent="0.25">
      <c r="K48" s="1"/>
      <c r="L48" s="1"/>
      <c r="M48" s="1"/>
    </row>
    <row r="49" spans="11:13" x14ac:dyDescent="0.25">
      <c r="K49" s="1"/>
      <c r="L49" s="1"/>
      <c r="M49" s="1"/>
    </row>
    <row r="50" spans="11:13" x14ac:dyDescent="0.25">
      <c r="K50" s="1"/>
      <c r="L50" s="1"/>
      <c r="M50" s="1"/>
    </row>
    <row r="51" spans="11:13" x14ac:dyDescent="0.25">
      <c r="K51" s="1"/>
      <c r="L51" s="1"/>
      <c r="M51" s="1"/>
    </row>
  </sheetData>
  <mergeCells count="16">
    <mergeCell ref="D2:J2"/>
    <mergeCell ref="D1:J1"/>
    <mergeCell ref="B36:B39"/>
    <mergeCell ref="A4:A39"/>
    <mergeCell ref="B4:B7"/>
    <mergeCell ref="B16:B19"/>
    <mergeCell ref="B20:B23"/>
    <mergeCell ref="B24:B27"/>
    <mergeCell ref="B28:B31"/>
    <mergeCell ref="B32:B35"/>
    <mergeCell ref="B12:B15"/>
    <mergeCell ref="B8:B11"/>
    <mergeCell ref="K12:N15"/>
    <mergeCell ref="K4:L5"/>
    <mergeCell ref="M4:N5"/>
    <mergeCell ref="K10:L10"/>
  </mergeCells>
  <conditionalFormatting sqref="D3:J3">
    <cfRule type="cellIs" dxfId="1" priority="2" operator="equal">
      <formula>$M$7</formula>
    </cfRule>
  </conditionalFormatting>
  <conditionalFormatting sqref="B4:B39">
    <cfRule type="cellIs" dxfId="0" priority="1" operator="equal">
      <formula>$N$7</formula>
    </cfRule>
  </conditionalFormatting>
  <dataValidations count="2">
    <dataValidation type="list" allowBlank="1" showInputMessage="1" showErrorMessage="1" sqref="M7" xr:uid="{00000000-0002-0000-0700-000001000000}">
      <formula1>$D$3:$J$3</formula1>
    </dataValidation>
    <dataValidation type="list" allowBlank="1" showInputMessage="1" showErrorMessage="1" sqref="N7" xr:uid="{00000000-0002-0000-0700-000000000000}">
      <formula1>$Q$3:$Y$3</formula1>
    </dataValidation>
  </dataValidations>
  <pageMargins left="0.7" right="0.7" top="0.75" bottom="0.75" header="0.3" footer="0.3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nicolas.pradines</dc:creator>
  <cp:lastModifiedBy>DjiDji</cp:lastModifiedBy>
  <dcterms:created xsi:type="dcterms:W3CDTF">2022-02-21T16:59:05Z</dcterms:created>
  <dcterms:modified xsi:type="dcterms:W3CDTF">2022-02-21T18:38:00Z</dcterms:modified>
</cp:coreProperties>
</file>