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1AEFB02-4280-4209-B287-6B2FBC981AC0}" xr6:coauthVersionLast="43" xr6:coauthVersionMax="43" xr10:uidLastSave="{00000000-0000-0000-0000-000000000000}"/>
  <bookViews>
    <workbookView xWindow="-120" yWindow="-120" windowWidth="19440" windowHeight="15000" firstSheet="7" activeTab="7" xr2:uid="{5945EE30-EA7E-41F9-B22C-C9B64F53EDAE}"/>
    <workbookView xWindow="-120" yWindow="-120" windowWidth="19440" windowHeight="15000" firstSheet="7" activeTab="7" xr2:uid="{AAE08864-C9D3-48F6-BB8C-24041D103C9F}"/>
  </bookViews>
  <sheets>
    <sheet name="Valo (2)" sheetId="48" state="hidden" r:id="rId1"/>
    <sheet name="AGENDA" sheetId="51" r:id="rId2"/>
    <sheet name="Valo" sheetId="7" r:id="rId3"/>
    <sheet name="Salaires" sheetId="2" r:id="rId4"/>
    <sheet name="ACHATS" sheetId="39" r:id="rId5"/>
    <sheet name="Dépenses" sheetId="1" state="hidden" r:id="rId6"/>
    <sheet name="Analytique" sheetId="5" state="hidden" r:id="rId7"/>
    <sheet name="BUDGET PAR ACTION" sheetId="56" r:id="rId8"/>
    <sheet name="Recap dep rec" sheetId="6" r:id="rId9"/>
    <sheet name="Budget Global" sheetId="31" state="hidden" r:id="rId10"/>
    <sheet name="budget 2019" sheetId="49" state="hidden" r:id="rId11"/>
    <sheet name="BUDGET GLOBAL 2019" sheetId="45" state="hidden" r:id="rId12"/>
    <sheet name="Gouvernance A" sheetId="22" state="hidden" r:id="rId13"/>
    <sheet name="Ecosysteme B" sheetId="23" state="hidden" r:id="rId14"/>
    <sheet name="MODELE 2" sheetId="40" state="hidden" r:id="rId15"/>
    <sheet name="modele" sheetId="38" state="hidden" r:id="rId16"/>
    <sheet name="Cellule Gds EV" sheetId="36" state="hidden" r:id="rId17"/>
    <sheet name="ACTIONS 2019" sheetId="47" state="hidden" r:id="rId18"/>
    <sheet name="Actions 1er Sem 2019" sheetId="43" state="hidden" r:id="rId19"/>
    <sheet name="Actions 2e Sem 2019" sheetId="44" state="hidden" r:id="rId20"/>
    <sheet name="Mice Place" sheetId="8" state="hidden" r:id="rId21"/>
    <sheet name="Workshop Berlin" sheetId="12" state="hidden" r:id="rId22"/>
    <sheet name="SBE LYON" sheetId="28" state="hidden" r:id="rId23"/>
    <sheet name="DEV. INTERNATIONNAL" sheetId="42" state="hidden" r:id="rId24"/>
    <sheet name="WS LYON" sheetId="46" state="hidden" r:id="rId25"/>
    <sheet name="Heavent" sheetId="9" state="hidden" r:id="rId26"/>
    <sheet name="Imex" sheetId="10" state="hidden" r:id="rId27"/>
    <sheet name="WS Europe" sheetId="41" state="hidden" r:id="rId28"/>
    <sheet name="Actions 1er semestre 2018" sheetId="29" state="hidden" r:id="rId29"/>
    <sheet name="Eductours 1et 2" sheetId="13" state="hidden" r:id="rId30"/>
    <sheet name="Operation Paris été" sheetId="32" state="hidden" r:id="rId31"/>
    <sheet name="Ev. Scandinavie" sheetId="18" state="hidden" r:id="rId32"/>
    <sheet name="Demarchage Europe" sheetId="33" state="hidden" r:id="rId33"/>
    <sheet name="MP2" sheetId="35" state="hidden" r:id="rId34"/>
    <sheet name="IBTM" sheetId="19" state="hidden" r:id="rId35"/>
    <sheet name="Opération Paris Hiver" sheetId="25" state="hidden" r:id="rId36"/>
    <sheet name="Action Second semestre " sheetId="30" state="hidden" r:id="rId37"/>
    <sheet name="Budget D" sheetId="24" state="hidden" r:id="rId38"/>
  </sheets>
  <definedNames>
    <definedName name="_xlnm._FilterDatabase" localSheetId="4" hidden="1">ACHATS!$J$1:$J$374</definedName>
    <definedName name="choix" localSheetId="18">#REF!</definedName>
    <definedName name="choix" localSheetId="19">#REF!</definedName>
    <definedName name="choix" localSheetId="11">#REF!</definedName>
    <definedName name="choix" localSheetId="7">#REF!</definedName>
    <definedName name="choix" localSheetId="0">#REF!</definedName>
    <definedName name="choix" localSheetId="24">#REF!</definedName>
    <definedName name="choix">#REF!</definedName>
    <definedName name="choix2">modele!$C$2</definedName>
    <definedName name="liste_ope">modele!$Q$2:$Q$17</definedName>
    <definedName name="salon">'MODELE 2'!$D$1</definedName>
    <definedName name="test" localSheetId="18">modele!#REF!</definedName>
    <definedName name="test" localSheetId="19">modele!#REF!</definedName>
    <definedName name="test" localSheetId="11">modele!#REF!</definedName>
    <definedName name="test" localSheetId="7">modele!#REF!</definedName>
    <definedName name="test" localSheetId="0">modele!#REF!</definedName>
    <definedName name="test" localSheetId="24">modele!#REF!</definedName>
    <definedName name="test">modele!#REF!</definedName>
    <definedName name="_xlnm.Print_Area" localSheetId="7">'BUDGET PAR ACTION'!$D$1:$K$37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56" l="1"/>
  <c r="E9" i="56"/>
  <c r="E10" i="56"/>
  <c r="E11" i="56"/>
  <c r="E12" i="56"/>
  <c r="E13" i="56"/>
  <c r="E14" i="56"/>
  <c r="E15" i="56"/>
  <c r="E16" i="56"/>
  <c r="E17" i="56"/>
  <c r="E18" i="56"/>
  <c r="E19" i="56"/>
  <c r="E20" i="56"/>
  <c r="E21" i="56"/>
  <c r="E22" i="56"/>
  <c r="E23" i="56"/>
  <c r="E24" i="56"/>
  <c r="E25" i="56"/>
  <c r="E26" i="56"/>
  <c r="E27" i="56"/>
  <c r="E28" i="56"/>
  <c r="E29" i="56"/>
  <c r="E30" i="56"/>
  <c r="E6" i="56"/>
  <c r="E7" i="56"/>
  <c r="E5" i="56"/>
  <c r="K27" i="56" l="1"/>
  <c r="K13" i="56"/>
  <c r="K6" i="56" l="1"/>
  <c r="K25" i="56"/>
  <c r="K2" i="56"/>
  <c r="K32" i="56" l="1"/>
  <c r="K37" i="56" l="1"/>
  <c r="AD42" i="6" l="1"/>
  <c r="L23" i="2" l="1"/>
  <c r="L24" i="2"/>
  <c r="AH33" i="2" l="1"/>
  <c r="AH34" i="2"/>
  <c r="AH35" i="2"/>
  <c r="Y13" i="2"/>
  <c r="Y15" i="2"/>
  <c r="Z8" i="2"/>
  <c r="Z9" i="2"/>
  <c r="Z12" i="2"/>
  <c r="Z13" i="2"/>
  <c r="Z15" i="2"/>
  <c r="H29" i="2"/>
  <c r="H30" i="2"/>
  <c r="H31" i="2"/>
  <c r="H32" i="2"/>
  <c r="H26" i="2"/>
  <c r="L6" i="2"/>
  <c r="L7" i="2"/>
  <c r="L8" i="2"/>
  <c r="L9" i="2"/>
  <c r="L10" i="2"/>
  <c r="L11" i="2"/>
  <c r="L12" i="2"/>
  <c r="L13" i="2"/>
  <c r="L14" i="2"/>
  <c r="L15" i="2"/>
  <c r="L16" i="2"/>
  <c r="L17" i="2"/>
  <c r="K24" i="2"/>
  <c r="M24" i="2"/>
  <c r="N24" i="2"/>
  <c r="O24" i="2"/>
  <c r="P24" i="2"/>
  <c r="Q24" i="2"/>
  <c r="R24" i="2"/>
  <c r="T24" i="2"/>
  <c r="U24" i="2"/>
  <c r="V24" i="2"/>
  <c r="W24" i="2"/>
  <c r="L18" i="2" l="1"/>
  <c r="J24" i="2"/>
  <c r="I24" i="2"/>
  <c r="H24" i="2"/>
  <c r="G24" i="2"/>
  <c r="W23" i="2"/>
  <c r="V23" i="2"/>
  <c r="U23" i="2"/>
  <c r="T23" i="2"/>
  <c r="R23" i="2"/>
  <c r="Q23" i="2"/>
  <c r="P23" i="2"/>
  <c r="O23" i="2"/>
  <c r="N23" i="2"/>
  <c r="M23" i="2"/>
  <c r="K23" i="2"/>
  <c r="J23" i="2"/>
  <c r="I23" i="2"/>
  <c r="H23" i="2"/>
  <c r="G23" i="2"/>
  <c r="F24" i="2"/>
  <c r="F23" i="2"/>
  <c r="L49" i="1"/>
  <c r="L58" i="1"/>
  <c r="L59" i="1"/>
  <c r="L60" i="1"/>
  <c r="L61" i="1"/>
  <c r="L62" i="1"/>
  <c r="L63" i="1"/>
  <c r="L64" i="1"/>
  <c r="L65" i="1"/>
  <c r="L66" i="1"/>
  <c r="L68" i="1" l="1"/>
  <c r="L69" i="1" s="1"/>
  <c r="L52" i="1"/>
  <c r="G19" i="7" l="1"/>
  <c r="H19" i="7"/>
  <c r="I19" i="7"/>
  <c r="J19" i="7"/>
  <c r="K19" i="7"/>
  <c r="L19" i="7"/>
  <c r="M19" i="7"/>
  <c r="F19" i="7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6" i="5"/>
  <c r="E67" i="5"/>
  <c r="E68" i="5"/>
  <c r="E69" i="5"/>
  <c r="E70" i="5"/>
  <c r="E71" i="5"/>
  <c r="E72" i="5"/>
  <c r="E73" i="5"/>
  <c r="E74" i="5"/>
  <c r="E75" i="5"/>
  <c r="E29" i="5" l="1"/>
  <c r="G29" i="5" s="1"/>
  <c r="E9" i="5"/>
  <c r="G9" i="5" s="1"/>
  <c r="E27" i="5"/>
  <c r="E15" i="5"/>
  <c r="E5" i="5"/>
  <c r="E6" i="5"/>
  <c r="E31" i="5"/>
  <c r="E26" i="5"/>
  <c r="E8" i="5"/>
  <c r="E30" i="5"/>
  <c r="E25" i="5"/>
  <c r="E20" i="5" l="1"/>
  <c r="E21" i="5"/>
  <c r="E22" i="5"/>
  <c r="E23" i="5"/>
  <c r="E24" i="5"/>
  <c r="E19" i="5" l="1"/>
  <c r="E17" i="5" l="1"/>
  <c r="E16" i="5"/>
  <c r="E18" i="5"/>
  <c r="E14" i="5" l="1"/>
  <c r="E12" i="5"/>
  <c r="E13" i="5"/>
  <c r="E28" i="5" l="1"/>
  <c r="E10" i="5"/>
  <c r="E7" i="5"/>
  <c r="G7" i="5" s="1"/>
  <c r="E11" i="5"/>
  <c r="AB15" i="2"/>
  <c r="AB14" i="2"/>
  <c r="AB13" i="2"/>
  <c r="E6" i="7" l="1"/>
  <c r="N6" i="7" s="1"/>
  <c r="E7" i="7"/>
  <c r="N7" i="7" s="1"/>
  <c r="E8" i="7"/>
  <c r="N8" i="7" s="1"/>
  <c r="E9" i="7"/>
  <c r="N9" i="7" s="1"/>
  <c r="E10" i="7"/>
  <c r="N10" i="7" s="1"/>
  <c r="E11" i="7"/>
  <c r="N11" i="7" s="1"/>
  <c r="E12" i="7"/>
  <c r="N12" i="7" s="1"/>
  <c r="E13" i="7"/>
  <c r="N13" i="7" s="1"/>
  <c r="E14" i="7"/>
  <c r="N14" i="7" s="1"/>
  <c r="E15" i="7"/>
  <c r="N15" i="7" s="1"/>
  <c r="E16" i="7"/>
  <c r="N16" i="7" s="1"/>
  <c r="E17" i="7"/>
  <c r="N17" i="7" s="1"/>
  <c r="E18" i="7"/>
  <c r="N18" i="7" s="1"/>
  <c r="E5" i="7"/>
  <c r="N5" i="7" s="1"/>
  <c r="N19" i="7" l="1"/>
  <c r="E78" i="5" s="1"/>
  <c r="Y3" i="5" l="1"/>
  <c r="X3" i="5"/>
  <c r="W3" i="5"/>
  <c r="V3" i="5"/>
  <c r="F1" i="49" l="1"/>
  <c r="E20" i="48" l="1"/>
  <c r="E19" i="48"/>
  <c r="E18" i="48"/>
  <c r="E17" i="48"/>
  <c r="E16" i="48"/>
  <c r="E15" i="48"/>
  <c r="E14" i="48"/>
  <c r="E13" i="48"/>
  <c r="E12" i="48"/>
  <c r="E11" i="48"/>
  <c r="E10" i="48"/>
  <c r="E9" i="48"/>
  <c r="E8" i="48"/>
  <c r="E7" i="48"/>
  <c r="E6" i="48"/>
  <c r="E5" i="48"/>
  <c r="W20" i="48" l="1"/>
  <c r="V20" i="48"/>
  <c r="V19" i="48"/>
  <c r="W18" i="48"/>
  <c r="X18" i="48" s="1"/>
  <c r="V18" i="48"/>
  <c r="W17" i="48"/>
  <c r="V17" i="48"/>
  <c r="W16" i="48"/>
  <c r="W15" i="48"/>
  <c r="V15" i="48"/>
  <c r="W14" i="48"/>
  <c r="V14" i="48"/>
  <c r="V13" i="48"/>
  <c r="V12" i="48"/>
  <c r="W11" i="48"/>
  <c r="V11" i="48"/>
  <c r="W10" i="48"/>
  <c r="W9" i="48"/>
  <c r="V8" i="48"/>
  <c r="W8" i="48"/>
  <c r="W7" i="48"/>
  <c r="W6" i="48"/>
  <c r="W5" i="48"/>
  <c r="X11" i="48" l="1"/>
  <c r="X14" i="48"/>
  <c r="X20" i="48"/>
  <c r="V7" i="48"/>
  <c r="X7" i="48" s="1"/>
  <c r="W19" i="48"/>
  <c r="X19" i="48" s="1"/>
  <c r="X8" i="48"/>
  <c r="X15" i="48"/>
  <c r="V6" i="48"/>
  <c r="X6" i="48" s="1"/>
  <c r="W12" i="48"/>
  <c r="X12" i="48" s="1"/>
  <c r="X17" i="48"/>
  <c r="V9" i="48"/>
  <c r="X9" i="48" s="1"/>
  <c r="W13" i="48"/>
  <c r="X13" i="48" s="1"/>
  <c r="V5" i="48"/>
  <c r="X5" i="48" s="1"/>
  <c r="V10" i="48"/>
  <c r="X10" i="48" s="1"/>
  <c r="V16" i="48"/>
  <c r="X16" i="48" s="1"/>
  <c r="V21" i="48" l="1"/>
  <c r="W21" i="48"/>
  <c r="X21" i="48"/>
  <c r="G57" i="47"/>
  <c r="G50" i="47"/>
  <c r="G29" i="47"/>
  <c r="G23" i="47"/>
  <c r="G10" i="47"/>
  <c r="G6" i="47"/>
  <c r="C55" i="47"/>
  <c r="C52" i="47"/>
  <c r="C50" i="47"/>
  <c r="A51" i="47"/>
  <c r="A49" i="47"/>
  <c r="A47" i="47"/>
  <c r="A45" i="47"/>
  <c r="A44" i="47"/>
  <c r="A43" i="47"/>
  <c r="A41" i="47"/>
  <c r="A40" i="47"/>
  <c r="A37" i="47"/>
  <c r="A36" i="47"/>
  <c r="A35" i="47"/>
  <c r="A32" i="47"/>
  <c r="A31" i="47"/>
  <c r="A29" i="47"/>
  <c r="A28" i="47"/>
  <c r="A27" i="47"/>
  <c r="A26" i="47"/>
  <c r="A25" i="47"/>
  <c r="A24" i="47"/>
  <c r="A23" i="47"/>
  <c r="A22" i="47"/>
  <c r="A20" i="47"/>
  <c r="A19" i="47"/>
  <c r="A18" i="47"/>
  <c r="A17" i="47"/>
  <c r="A16" i="47"/>
  <c r="A15" i="47"/>
  <c r="A13" i="47"/>
  <c r="A12" i="47"/>
  <c r="A10" i="47"/>
  <c r="A9" i="47"/>
  <c r="A8" i="47"/>
  <c r="A7" i="47"/>
  <c r="A6" i="47"/>
  <c r="A5" i="47"/>
  <c r="F1" i="47"/>
  <c r="G20" i="43"/>
  <c r="C67" i="5" l="1"/>
  <c r="C68" i="5"/>
  <c r="C69" i="5"/>
  <c r="C70" i="5"/>
  <c r="C71" i="5"/>
  <c r="C72" i="5"/>
  <c r="C73" i="5"/>
  <c r="C74" i="5"/>
  <c r="C75" i="5"/>
  <c r="B67" i="5"/>
  <c r="B68" i="5"/>
  <c r="B69" i="5"/>
  <c r="B70" i="5"/>
  <c r="B71" i="5"/>
  <c r="B72" i="5"/>
  <c r="B73" i="5"/>
  <c r="B74" i="5"/>
  <c r="B75" i="5"/>
  <c r="B66" i="5"/>
  <c r="G64" i="36"/>
  <c r="C66" i="5" l="1"/>
  <c r="I63" i="5" l="1"/>
  <c r="G55" i="36" l="1"/>
  <c r="X27" i="2"/>
  <c r="H27" i="2" s="1"/>
  <c r="X28" i="2"/>
  <c r="H28" i="2" s="1"/>
  <c r="L65" i="5" l="1"/>
  <c r="G63" i="5" l="1"/>
  <c r="A5" i="36"/>
  <c r="A6" i="36"/>
  <c r="A7" i="36"/>
  <c r="A8" i="36"/>
  <c r="G57" i="36" l="1"/>
  <c r="G58" i="45" s="1"/>
  <c r="G49" i="49" s="1"/>
  <c r="F63" i="1" l="1"/>
  <c r="I8" i="2" l="1"/>
  <c r="J8" i="2"/>
  <c r="K8" i="2"/>
  <c r="M8" i="2"/>
  <c r="N8" i="2"/>
  <c r="O8" i="2"/>
  <c r="P8" i="2"/>
  <c r="Q8" i="2"/>
  <c r="R8" i="2"/>
  <c r="S8" i="2"/>
  <c r="T8" i="2"/>
  <c r="U8" i="2"/>
  <c r="V8" i="2"/>
  <c r="W8" i="2"/>
  <c r="X8" i="2"/>
  <c r="I9" i="2"/>
  <c r="J9" i="2"/>
  <c r="K9" i="2"/>
  <c r="M9" i="2"/>
  <c r="N9" i="2"/>
  <c r="O9" i="2"/>
  <c r="P9" i="2"/>
  <c r="Q9" i="2"/>
  <c r="R9" i="2"/>
  <c r="S9" i="2"/>
  <c r="T9" i="2"/>
  <c r="U9" i="2"/>
  <c r="V9" i="2"/>
  <c r="W9" i="2"/>
  <c r="X9" i="2"/>
  <c r="I10" i="2"/>
  <c r="J10" i="2"/>
  <c r="K10" i="2"/>
  <c r="M10" i="2"/>
  <c r="N10" i="2"/>
  <c r="O10" i="2"/>
  <c r="P10" i="2"/>
  <c r="Q10" i="2"/>
  <c r="R10" i="2"/>
  <c r="S10" i="2"/>
  <c r="T10" i="2"/>
  <c r="U10" i="2"/>
  <c r="V10" i="2"/>
  <c r="W10" i="2"/>
  <c r="X10" i="2"/>
  <c r="I11" i="2"/>
  <c r="J11" i="2"/>
  <c r="K11" i="2"/>
  <c r="M11" i="2"/>
  <c r="N11" i="2"/>
  <c r="O11" i="2"/>
  <c r="P11" i="2"/>
  <c r="Q11" i="2"/>
  <c r="R11" i="2"/>
  <c r="S11" i="2"/>
  <c r="T11" i="2"/>
  <c r="U11" i="2"/>
  <c r="V11" i="2"/>
  <c r="W11" i="2"/>
  <c r="X11" i="2"/>
  <c r="I12" i="2"/>
  <c r="J12" i="2"/>
  <c r="K12" i="2"/>
  <c r="M12" i="2"/>
  <c r="N12" i="2"/>
  <c r="O12" i="2"/>
  <c r="P12" i="2"/>
  <c r="Q12" i="2"/>
  <c r="R12" i="2"/>
  <c r="S12" i="2"/>
  <c r="T12" i="2"/>
  <c r="U12" i="2"/>
  <c r="V12" i="2"/>
  <c r="W12" i="2"/>
  <c r="X12" i="2"/>
  <c r="I13" i="2"/>
  <c r="J13" i="2"/>
  <c r="K13" i="2"/>
  <c r="M13" i="2"/>
  <c r="N13" i="2"/>
  <c r="O13" i="2"/>
  <c r="P13" i="2"/>
  <c r="Q13" i="2"/>
  <c r="R13" i="2"/>
  <c r="S13" i="2"/>
  <c r="T13" i="2"/>
  <c r="U13" i="2"/>
  <c r="V13" i="2"/>
  <c r="W13" i="2"/>
  <c r="X13" i="2"/>
  <c r="I14" i="2"/>
  <c r="J14" i="2"/>
  <c r="K14" i="2"/>
  <c r="M14" i="2"/>
  <c r="N14" i="2"/>
  <c r="O14" i="2"/>
  <c r="P14" i="2"/>
  <c r="Q14" i="2"/>
  <c r="R14" i="2"/>
  <c r="S14" i="2"/>
  <c r="T14" i="2"/>
  <c r="U14" i="2"/>
  <c r="V14" i="2"/>
  <c r="W14" i="2"/>
  <c r="X14" i="2"/>
  <c r="I15" i="2"/>
  <c r="J15" i="2"/>
  <c r="K15" i="2"/>
  <c r="M15" i="2"/>
  <c r="N15" i="2"/>
  <c r="O15" i="2"/>
  <c r="P15" i="2"/>
  <c r="Q15" i="2"/>
  <c r="R15" i="2"/>
  <c r="S15" i="2"/>
  <c r="T15" i="2"/>
  <c r="U15" i="2"/>
  <c r="V15" i="2"/>
  <c r="W15" i="2"/>
  <c r="X15" i="2"/>
  <c r="I16" i="2"/>
  <c r="J16" i="2"/>
  <c r="K16" i="2"/>
  <c r="M16" i="2"/>
  <c r="N16" i="2"/>
  <c r="O16" i="2"/>
  <c r="P16" i="2"/>
  <c r="Q16" i="2"/>
  <c r="R16" i="2"/>
  <c r="S16" i="2"/>
  <c r="T16" i="2"/>
  <c r="U16" i="2"/>
  <c r="V16" i="2"/>
  <c r="W16" i="2"/>
  <c r="X16" i="2"/>
  <c r="J7" i="2"/>
  <c r="K7" i="2"/>
  <c r="M7" i="2"/>
  <c r="N7" i="2"/>
  <c r="O7" i="2"/>
  <c r="P7" i="2"/>
  <c r="Q7" i="2"/>
  <c r="R7" i="2"/>
  <c r="S7" i="2"/>
  <c r="T7" i="2"/>
  <c r="U7" i="2"/>
  <c r="V7" i="2"/>
  <c r="W7" i="2"/>
  <c r="X7" i="2"/>
  <c r="I7" i="2"/>
  <c r="G71" i="5" l="1"/>
  <c r="Z71" i="5" s="1"/>
  <c r="Z79" i="5"/>
  <c r="G68" i="5" l="1"/>
  <c r="G72" i="5"/>
  <c r="G75" i="5"/>
  <c r="G70" i="5"/>
  <c r="G74" i="5"/>
  <c r="G69" i="5"/>
  <c r="AD35" i="6" l="1"/>
  <c r="AD33" i="6"/>
  <c r="AD34" i="6"/>
  <c r="AD36" i="6"/>
  <c r="AD38" i="6"/>
  <c r="AD39" i="6"/>
  <c r="AD37" i="6"/>
  <c r="AD40" i="6"/>
  <c r="Z70" i="5"/>
  <c r="Z75" i="5"/>
  <c r="Z69" i="5"/>
  <c r="C25" i="36" s="1"/>
  <c r="C25" i="45" s="1"/>
  <c r="Z72" i="5"/>
  <c r="C32" i="36" s="1"/>
  <c r="C33" i="45" s="1"/>
  <c r="Z74" i="5"/>
  <c r="Z68" i="5"/>
  <c r="C21" i="36" s="1"/>
  <c r="C21" i="45" s="1"/>
  <c r="AD32" i="6" l="1"/>
  <c r="C65" i="36"/>
  <c r="C27" i="36"/>
  <c r="C27" i="45" s="1"/>
  <c r="C30" i="36"/>
  <c r="C30" i="45" s="1"/>
  <c r="C63" i="36" l="1"/>
  <c r="G62" i="36"/>
  <c r="G56" i="36"/>
  <c r="G20" i="44"/>
  <c r="G20" i="47" s="1"/>
  <c r="G49" i="25"/>
  <c r="G49" i="19"/>
  <c r="G49" i="35"/>
  <c r="G49" i="33"/>
  <c r="G49" i="18"/>
  <c r="G49" i="32"/>
  <c r="G49" i="13"/>
  <c r="G49" i="41"/>
  <c r="G20" i="41"/>
  <c r="F1" i="41"/>
  <c r="G49" i="10"/>
  <c r="G20" i="10"/>
  <c r="G49" i="9"/>
  <c r="G20" i="9"/>
  <c r="G49" i="46"/>
  <c r="G20" i="46"/>
  <c r="F1" i="46"/>
  <c r="G49" i="42"/>
  <c r="G20" i="42"/>
  <c r="F1" i="42"/>
  <c r="G49" i="28"/>
  <c r="G20" i="28"/>
  <c r="G49" i="12"/>
  <c r="G20" i="12"/>
  <c r="G49" i="8"/>
  <c r="G44" i="23"/>
  <c r="G20" i="23"/>
  <c r="G16" i="23"/>
  <c r="G44" i="22"/>
  <c r="G44" i="12"/>
  <c r="G44" i="28"/>
  <c r="G44" i="42"/>
  <c r="G44" i="9"/>
  <c r="G44" i="10"/>
  <c r="G44" i="41"/>
  <c r="G44" i="13"/>
  <c r="G44" i="32"/>
  <c r="G44" i="18"/>
  <c r="G44" i="33"/>
  <c r="G44" i="35"/>
  <c r="G44" i="19"/>
  <c r="G44" i="25"/>
  <c r="G44" i="8" l="1"/>
  <c r="G49" i="23"/>
  <c r="G51" i="36"/>
  <c r="G49" i="22"/>
  <c r="G44" i="46"/>
  <c r="G49" i="44"/>
  <c r="G44" i="44"/>
  <c r="G49" i="43"/>
  <c r="G41" i="41"/>
  <c r="G41" i="42"/>
  <c r="G41" i="12"/>
  <c r="G49" i="47" l="1"/>
  <c r="G44" i="43"/>
  <c r="G41" i="46"/>
  <c r="G41" i="43" l="1"/>
  <c r="G44" i="47"/>
  <c r="G52" i="45"/>
  <c r="G43" i="49" s="1"/>
  <c r="A55" i="45"/>
  <c r="A47" i="22"/>
  <c r="A47" i="23"/>
  <c r="A47" i="8"/>
  <c r="A47" i="12"/>
  <c r="A47" i="28"/>
  <c r="A47" i="42"/>
  <c r="A47" i="46"/>
  <c r="A47" i="9"/>
  <c r="A47" i="10"/>
  <c r="A47" i="41"/>
  <c r="A47" i="43"/>
  <c r="A47" i="13"/>
  <c r="A47" i="32"/>
  <c r="A47" i="18"/>
  <c r="A47" i="33"/>
  <c r="A47" i="35"/>
  <c r="A47" i="19"/>
  <c r="A47" i="25"/>
  <c r="A47" i="44"/>
  <c r="A54" i="36"/>
  <c r="I44" i="5" l="1"/>
  <c r="Z44" i="5"/>
  <c r="K44" i="5"/>
  <c r="G48" i="5"/>
  <c r="G49" i="5"/>
  <c r="G50" i="5"/>
  <c r="O44" i="5"/>
  <c r="P44" i="5"/>
  <c r="Q44" i="5"/>
  <c r="G54" i="5"/>
  <c r="S44" i="5"/>
  <c r="T44" i="5"/>
  <c r="U44" i="5"/>
  <c r="G58" i="5"/>
  <c r="W44" i="5"/>
  <c r="X44" i="5"/>
  <c r="Y44" i="5"/>
  <c r="H44" i="5"/>
  <c r="G57" i="5" l="1"/>
  <c r="G51" i="5"/>
  <c r="M44" i="5"/>
  <c r="G55" i="5"/>
  <c r="G56" i="5"/>
  <c r="L44" i="5"/>
  <c r="G53" i="5"/>
  <c r="G52" i="5"/>
  <c r="N44" i="5"/>
  <c r="R44" i="5"/>
  <c r="V44" i="5"/>
  <c r="J44" i="5" l="1"/>
  <c r="AB84" i="5"/>
  <c r="M37" i="2" l="1"/>
  <c r="A51" i="46"/>
  <c r="A49" i="46"/>
  <c r="A45" i="46"/>
  <c r="A44" i="46"/>
  <c r="A43" i="46"/>
  <c r="A41" i="46"/>
  <c r="A40" i="46"/>
  <c r="A37" i="46"/>
  <c r="A36" i="46"/>
  <c r="A35" i="46"/>
  <c r="A32" i="46"/>
  <c r="A31" i="46"/>
  <c r="A29" i="46"/>
  <c r="A28" i="46"/>
  <c r="A27" i="46"/>
  <c r="A26" i="46"/>
  <c r="A25" i="46"/>
  <c r="A24" i="46"/>
  <c r="A23" i="46"/>
  <c r="A22" i="46"/>
  <c r="A20" i="46"/>
  <c r="A19" i="46"/>
  <c r="A18" i="46"/>
  <c r="A17" i="46"/>
  <c r="A16" i="46"/>
  <c r="A15" i="46"/>
  <c r="A14" i="46"/>
  <c r="A13" i="46"/>
  <c r="A12" i="46"/>
  <c r="A10" i="46"/>
  <c r="A9" i="46"/>
  <c r="A8" i="46"/>
  <c r="A7" i="46"/>
  <c r="A6" i="46"/>
  <c r="A5" i="46"/>
  <c r="M6" i="2"/>
  <c r="M17" i="2"/>
  <c r="M18" i="2" l="1"/>
  <c r="A59" i="45"/>
  <c r="C59" i="45" s="1"/>
  <c r="A57" i="45"/>
  <c r="A53" i="45"/>
  <c r="A52" i="45"/>
  <c r="A51" i="45"/>
  <c r="A49" i="45"/>
  <c r="A48" i="45"/>
  <c r="A44" i="45"/>
  <c r="A43" i="45"/>
  <c r="A41" i="45"/>
  <c r="A38" i="45"/>
  <c r="A37" i="45"/>
  <c r="A35" i="45"/>
  <c r="A34" i="45"/>
  <c r="A32" i="45"/>
  <c r="A31" i="45"/>
  <c r="A29" i="45"/>
  <c r="A28" i="45"/>
  <c r="A26" i="45"/>
  <c r="A24" i="45"/>
  <c r="A22" i="45"/>
  <c r="A20" i="45"/>
  <c r="A18" i="45"/>
  <c r="A17" i="45"/>
  <c r="A16" i="45"/>
  <c r="A15" i="45"/>
  <c r="A14" i="45"/>
  <c r="A12" i="45"/>
  <c r="A10" i="45"/>
  <c r="A9" i="45"/>
  <c r="A8" i="45"/>
  <c r="A7" i="45"/>
  <c r="A6" i="45"/>
  <c r="A5" i="45"/>
  <c r="F1" i="45"/>
  <c r="A51" i="44"/>
  <c r="A49" i="44"/>
  <c r="A45" i="44"/>
  <c r="A44" i="44"/>
  <c r="A43" i="44"/>
  <c r="A41" i="44"/>
  <c r="A40" i="44"/>
  <c r="A37" i="44"/>
  <c r="A36" i="44"/>
  <c r="A35" i="44"/>
  <c r="A32" i="44"/>
  <c r="A31" i="44"/>
  <c r="A29" i="44"/>
  <c r="A28" i="44"/>
  <c r="A27" i="44"/>
  <c r="A26" i="44"/>
  <c r="A25" i="44"/>
  <c r="A24" i="44"/>
  <c r="A23" i="44"/>
  <c r="A22" i="44"/>
  <c r="A20" i="44"/>
  <c r="A19" i="44"/>
  <c r="A18" i="44"/>
  <c r="A17" i="44"/>
  <c r="A16" i="44"/>
  <c r="A15" i="44"/>
  <c r="A13" i="44"/>
  <c r="A12" i="44"/>
  <c r="A10" i="44"/>
  <c r="A9" i="44"/>
  <c r="A8" i="44"/>
  <c r="A7" i="44"/>
  <c r="A6" i="44"/>
  <c r="A5" i="44"/>
  <c r="F1" i="44"/>
  <c r="A51" i="43"/>
  <c r="A49" i="43"/>
  <c r="A45" i="43"/>
  <c r="A44" i="43"/>
  <c r="A43" i="43"/>
  <c r="A41" i="43"/>
  <c r="A40" i="43"/>
  <c r="A37" i="43"/>
  <c r="A36" i="43"/>
  <c r="A35" i="43"/>
  <c r="A32" i="43"/>
  <c r="A31" i="43"/>
  <c r="A29" i="43"/>
  <c r="A28" i="43"/>
  <c r="A27" i="43"/>
  <c r="A26" i="43"/>
  <c r="A25" i="43"/>
  <c r="A24" i="43"/>
  <c r="A23" i="43"/>
  <c r="A22" i="43"/>
  <c r="A20" i="43"/>
  <c r="A19" i="43"/>
  <c r="A18" i="43"/>
  <c r="A17" i="43"/>
  <c r="A16" i="43"/>
  <c r="A15" i="43"/>
  <c r="A13" i="43"/>
  <c r="A12" i="43"/>
  <c r="A10" i="43"/>
  <c r="A9" i="43"/>
  <c r="A8" i="43"/>
  <c r="A7" i="43"/>
  <c r="A6" i="43"/>
  <c r="A5" i="43"/>
  <c r="F1" i="43"/>
  <c r="A51" i="41"/>
  <c r="A49" i="41"/>
  <c r="A45" i="41"/>
  <c r="A44" i="41"/>
  <c r="A43" i="41"/>
  <c r="A41" i="41"/>
  <c r="A40" i="41"/>
  <c r="A37" i="41"/>
  <c r="A36" i="41"/>
  <c r="A35" i="41"/>
  <c r="A32" i="41"/>
  <c r="A31" i="41"/>
  <c r="A29" i="41"/>
  <c r="A28" i="41"/>
  <c r="A27" i="41"/>
  <c r="A26" i="41"/>
  <c r="A25" i="41"/>
  <c r="A24" i="41"/>
  <c r="A23" i="41"/>
  <c r="A22" i="41"/>
  <c r="A20" i="41"/>
  <c r="A19" i="41"/>
  <c r="A18" i="41"/>
  <c r="A17" i="41"/>
  <c r="A16" i="41"/>
  <c r="A15" i="41"/>
  <c r="A14" i="41"/>
  <c r="A13" i="41"/>
  <c r="A12" i="41"/>
  <c r="A10" i="41"/>
  <c r="A9" i="41"/>
  <c r="A8" i="41"/>
  <c r="A7" i="41"/>
  <c r="A6" i="41"/>
  <c r="A5" i="41"/>
  <c r="O80" i="5" l="1"/>
  <c r="A51" i="42"/>
  <c r="A49" i="42"/>
  <c r="A45" i="42"/>
  <c r="A44" i="42"/>
  <c r="A43" i="42"/>
  <c r="A41" i="42"/>
  <c r="A40" i="42"/>
  <c r="A37" i="42"/>
  <c r="A36" i="42"/>
  <c r="A35" i="42"/>
  <c r="A32" i="42"/>
  <c r="A31" i="42"/>
  <c r="A29" i="42"/>
  <c r="A28" i="42"/>
  <c r="A27" i="42"/>
  <c r="A26" i="42"/>
  <c r="A25" i="42"/>
  <c r="A24" i="42"/>
  <c r="A23" i="42"/>
  <c r="A22" i="42"/>
  <c r="A20" i="42"/>
  <c r="A19" i="42"/>
  <c r="A18" i="42"/>
  <c r="A17" i="42"/>
  <c r="A16" i="42"/>
  <c r="A15" i="42"/>
  <c r="A14" i="42"/>
  <c r="A13" i="42"/>
  <c r="A12" i="42"/>
  <c r="A10" i="42"/>
  <c r="A9" i="42"/>
  <c r="A8" i="42"/>
  <c r="A7" i="42"/>
  <c r="A6" i="42"/>
  <c r="A5" i="42"/>
  <c r="A14" i="10"/>
  <c r="A14" i="8"/>
  <c r="F1" i="8"/>
  <c r="F1" i="28"/>
  <c r="F1" i="9"/>
  <c r="F1" i="10"/>
  <c r="F1" i="12"/>
  <c r="F1" i="29"/>
  <c r="F1" i="13"/>
  <c r="F1" i="18"/>
  <c r="F1" i="32"/>
  <c r="F1" i="33"/>
  <c r="F1" i="19"/>
  <c r="F1" i="35"/>
  <c r="F1" i="25"/>
  <c r="F1" i="30"/>
  <c r="F1" i="36"/>
  <c r="F1" i="23"/>
  <c r="F1" i="22"/>
  <c r="A14" i="23"/>
  <c r="C46" i="30"/>
  <c r="C42" i="30"/>
  <c r="C38" i="30"/>
  <c r="A24" i="23"/>
  <c r="A24" i="8"/>
  <c r="A24" i="28"/>
  <c r="A24" i="9"/>
  <c r="A24" i="10"/>
  <c r="A24" i="12"/>
  <c r="A24" i="13"/>
  <c r="A24" i="18"/>
  <c r="A24" i="32"/>
  <c r="A24" i="33"/>
  <c r="A24" i="19"/>
  <c r="A24" i="35"/>
  <c r="A24" i="25"/>
  <c r="A28" i="36"/>
  <c r="A24" i="22"/>
  <c r="A27" i="23"/>
  <c r="A27" i="8"/>
  <c r="A27" i="28"/>
  <c r="A27" i="9"/>
  <c r="A27" i="10"/>
  <c r="A27" i="12"/>
  <c r="A27" i="13"/>
  <c r="A27" i="18"/>
  <c r="A27" i="32"/>
  <c r="A27" i="33"/>
  <c r="A27" i="19"/>
  <c r="A27" i="35"/>
  <c r="A27" i="25"/>
  <c r="A33" i="36"/>
  <c r="A27" i="22"/>
  <c r="A14" i="22" l="1"/>
  <c r="G44" i="5" l="1"/>
  <c r="G43" i="5" l="1"/>
  <c r="G61" i="5"/>
  <c r="G64" i="5"/>
  <c r="I64" i="5" s="1"/>
  <c r="G59" i="5"/>
  <c r="G46" i="5"/>
  <c r="G67" i="5"/>
  <c r="G62" i="5"/>
  <c r="I62" i="5" s="1"/>
  <c r="AD44" i="5" s="1"/>
  <c r="G45" i="5"/>
  <c r="G66" i="5"/>
  <c r="G60" i="5"/>
  <c r="G47" i="5"/>
  <c r="G76" i="5"/>
  <c r="Z76" i="5" s="1"/>
  <c r="G77" i="5"/>
  <c r="G24" i="5" l="1"/>
  <c r="G31" i="5"/>
  <c r="G20" i="5"/>
  <c r="G22" i="5"/>
  <c r="Z67" i="5"/>
  <c r="C19" i="36" s="1"/>
  <c r="C19" i="45" s="1"/>
  <c r="Z77" i="5"/>
  <c r="Z66" i="5"/>
  <c r="C13" i="36" s="1"/>
  <c r="C13" i="45" s="1"/>
  <c r="G25" i="5" l="1"/>
  <c r="G21" i="5"/>
  <c r="AA38" i="5"/>
  <c r="G27" i="5"/>
  <c r="I27" i="5" s="1"/>
  <c r="G30" i="5"/>
  <c r="G26" i="5"/>
  <c r="G23" i="5"/>
  <c r="G28" i="5"/>
  <c r="AA35" i="5"/>
  <c r="AA84" i="5" l="1"/>
  <c r="AC8" i="2"/>
  <c r="AC7" i="2"/>
  <c r="H7" i="2" s="1"/>
  <c r="G37" i="2"/>
  <c r="F37" i="2"/>
  <c r="V6" i="2"/>
  <c r="W6" i="2"/>
  <c r="X6" i="2"/>
  <c r="V17" i="2"/>
  <c r="W17" i="2"/>
  <c r="X17" i="2"/>
  <c r="X18" i="2" l="1"/>
  <c r="W18" i="2"/>
  <c r="V18" i="2"/>
  <c r="AA8" i="2"/>
  <c r="AB8" i="2"/>
  <c r="AA9" i="2"/>
  <c r="AB9" i="2"/>
  <c r="AA10" i="2"/>
  <c r="AB10" i="2"/>
  <c r="AA11" i="2"/>
  <c r="AB11" i="2"/>
  <c r="AA12" i="2"/>
  <c r="AB12" i="2"/>
  <c r="AA7" i="2"/>
  <c r="F7" i="2" s="1"/>
  <c r="AB7" i="2"/>
  <c r="AA13" i="2"/>
  <c r="AC13" i="2"/>
  <c r="H13" i="2" s="1"/>
  <c r="AC12" i="2"/>
  <c r="F15" i="2"/>
  <c r="G15" i="2"/>
  <c r="H15" i="2"/>
  <c r="F16" i="2"/>
  <c r="G16" i="2"/>
  <c r="H16" i="2"/>
  <c r="Y80" i="5" l="1"/>
  <c r="X80" i="5"/>
  <c r="H37" i="2"/>
  <c r="AH32" i="2"/>
  <c r="G73" i="5" l="1"/>
  <c r="Z73" i="5" s="1"/>
  <c r="E37" i="2"/>
  <c r="C42" i="36" l="1"/>
  <c r="C42" i="45" s="1"/>
  <c r="C47" i="36"/>
  <c r="C46" i="45" s="1"/>
  <c r="C38" i="49" s="1"/>
  <c r="C37" i="49" s="1"/>
  <c r="J55" i="40"/>
  <c r="J54" i="40"/>
  <c r="J53" i="40"/>
  <c r="J52" i="40"/>
  <c r="J51" i="40"/>
  <c r="B51" i="40"/>
  <c r="B30" i="40"/>
  <c r="B31" i="40"/>
  <c r="B32" i="40"/>
  <c r="B33" i="40"/>
  <c r="B34" i="40"/>
  <c r="B35" i="40"/>
  <c r="B36" i="40"/>
  <c r="B37" i="40"/>
  <c r="B38" i="40"/>
  <c r="B39" i="40"/>
  <c r="B40" i="40"/>
  <c r="B41" i="40"/>
  <c r="B42" i="40"/>
  <c r="B43" i="40"/>
  <c r="B44" i="40"/>
  <c r="B45" i="40"/>
  <c r="B46" i="40"/>
  <c r="B29" i="40"/>
  <c r="H48" i="40"/>
  <c r="G48" i="40"/>
  <c r="I47" i="40"/>
  <c r="J47" i="40" s="1"/>
  <c r="B47" i="40"/>
  <c r="J28" i="40"/>
  <c r="B28" i="40"/>
  <c r="I27" i="40"/>
  <c r="J27" i="40" s="1"/>
  <c r="B27" i="40"/>
  <c r="I26" i="40"/>
  <c r="J26" i="40" s="1"/>
  <c r="B26" i="40"/>
  <c r="J25" i="40"/>
  <c r="B25" i="40"/>
  <c r="I24" i="40"/>
  <c r="J24" i="40" s="1"/>
  <c r="B24" i="40"/>
  <c r="I22" i="40"/>
  <c r="J22" i="40" s="1"/>
  <c r="B22" i="40"/>
  <c r="I21" i="40"/>
  <c r="J21" i="40" s="1"/>
  <c r="B21" i="40"/>
  <c r="I20" i="40"/>
  <c r="J20" i="40" s="1"/>
  <c r="B20" i="40"/>
  <c r="I19" i="40"/>
  <c r="J19" i="40" s="1"/>
  <c r="I18" i="40"/>
  <c r="J18" i="40" s="1"/>
  <c r="I17" i="40"/>
  <c r="J17" i="40" s="1"/>
  <c r="I16" i="40"/>
  <c r="J16" i="40" s="1"/>
  <c r="I15" i="40"/>
  <c r="J15" i="40" s="1"/>
  <c r="I14" i="40"/>
  <c r="J14" i="40" s="1"/>
  <c r="J13" i="40"/>
  <c r="B13" i="40"/>
  <c r="E35" i="38" l="1"/>
  <c r="E36" i="38"/>
  <c r="E37" i="38"/>
  <c r="E38" i="38"/>
  <c r="E39" i="38"/>
  <c r="E40" i="38"/>
  <c r="E41" i="38"/>
  <c r="E42" i="38"/>
  <c r="E43" i="38"/>
  <c r="E44" i="38"/>
  <c r="E45" i="38"/>
  <c r="E46" i="38"/>
  <c r="E47" i="38"/>
  <c r="E48" i="38"/>
  <c r="E49" i="38"/>
  <c r="E50" i="38"/>
  <c r="E51" i="38"/>
  <c r="E52" i="38"/>
  <c r="E34" i="38"/>
  <c r="A21" i="38"/>
  <c r="A20" i="38"/>
  <c r="A19" i="38"/>
  <c r="A18" i="38"/>
  <c r="A17" i="38"/>
  <c r="A16" i="38"/>
  <c r="A15" i="38"/>
  <c r="A14" i="38"/>
  <c r="A27" i="38"/>
  <c r="A13" i="38"/>
  <c r="A12" i="38"/>
  <c r="A11" i="38"/>
  <c r="A10" i="38"/>
  <c r="A9" i="38"/>
  <c r="A8" i="38"/>
  <c r="A26" i="38"/>
  <c r="A7" i="38"/>
  <c r="A6" i="38"/>
  <c r="A5" i="38"/>
  <c r="A4" i="38"/>
  <c r="E32" i="38" l="1"/>
  <c r="F31" i="31"/>
  <c r="G14" i="2"/>
  <c r="B49" i="30"/>
  <c r="A58" i="36"/>
  <c r="C58" i="36" s="1"/>
  <c r="A52" i="36"/>
  <c r="A51" i="36"/>
  <c r="A50" i="36"/>
  <c r="A48" i="36"/>
  <c r="A44" i="36"/>
  <c r="A43" i="36"/>
  <c r="A41" i="36"/>
  <c r="A38" i="36"/>
  <c r="A37" i="36"/>
  <c r="A35" i="36"/>
  <c r="A34" i="36"/>
  <c r="A31" i="36"/>
  <c r="A29" i="36"/>
  <c r="A26" i="36"/>
  <c r="A24" i="36"/>
  <c r="A22" i="36"/>
  <c r="A20" i="36"/>
  <c r="A18" i="36"/>
  <c r="A17" i="36"/>
  <c r="A16" i="36"/>
  <c r="A14" i="36"/>
  <c r="A12" i="36"/>
  <c r="A10" i="36"/>
  <c r="A9" i="36"/>
  <c r="AH31" i="2"/>
  <c r="AC11" i="2"/>
  <c r="AH30" i="2" s="1"/>
  <c r="AC10" i="2"/>
  <c r="AH29" i="2" s="1"/>
  <c r="AC9" i="2"/>
  <c r="AH27" i="2"/>
  <c r="AH26" i="2"/>
  <c r="Y7" i="2" s="1"/>
  <c r="Z7" i="2" s="1"/>
  <c r="Z37" i="2"/>
  <c r="F48" i="31"/>
  <c r="J37" i="2"/>
  <c r="G41" i="33"/>
  <c r="G41" i="32"/>
  <c r="G41" i="28"/>
  <c r="A47" i="24"/>
  <c r="A46" i="24"/>
  <c r="A45" i="24"/>
  <c r="A44" i="24"/>
  <c r="A43" i="24"/>
  <c r="A42" i="24"/>
  <c r="A40" i="24"/>
  <c r="A39" i="24"/>
  <c r="A38" i="24"/>
  <c r="A37" i="24"/>
  <c r="A36" i="24"/>
  <c r="A35" i="24"/>
  <c r="A34" i="24"/>
  <c r="A32" i="24"/>
  <c r="A31" i="24"/>
  <c r="A29" i="24"/>
  <c r="A28" i="24"/>
  <c r="A26" i="24"/>
  <c r="A25" i="24"/>
  <c r="A24" i="24"/>
  <c r="A23" i="24"/>
  <c r="A22" i="24"/>
  <c r="A21" i="24"/>
  <c r="A19" i="24"/>
  <c r="A18" i="24"/>
  <c r="A17" i="24"/>
  <c r="A16" i="24"/>
  <c r="A15" i="24"/>
  <c r="A14" i="24"/>
  <c r="A13" i="24"/>
  <c r="A12" i="24"/>
  <c r="A10" i="24"/>
  <c r="A9" i="24"/>
  <c r="A8" i="24"/>
  <c r="A7" i="24"/>
  <c r="A6" i="24"/>
  <c r="A5" i="24"/>
  <c r="A51" i="25"/>
  <c r="A49" i="25"/>
  <c r="A45" i="25"/>
  <c r="A44" i="25"/>
  <c r="A43" i="25"/>
  <c r="A41" i="25"/>
  <c r="A40" i="25"/>
  <c r="A37" i="25"/>
  <c r="A36" i="25"/>
  <c r="A35" i="25"/>
  <c r="A32" i="25"/>
  <c r="A31" i="25"/>
  <c r="A29" i="25"/>
  <c r="A28" i="25"/>
  <c r="A26" i="25"/>
  <c r="A25" i="25"/>
  <c r="A23" i="25"/>
  <c r="A22" i="25"/>
  <c r="A20" i="25"/>
  <c r="A19" i="25"/>
  <c r="A18" i="25"/>
  <c r="A17" i="25"/>
  <c r="A16" i="25"/>
  <c r="A15" i="25"/>
  <c r="A13" i="25"/>
  <c r="A12" i="25"/>
  <c r="A10" i="25"/>
  <c r="A9" i="25"/>
  <c r="A8" i="25"/>
  <c r="A7" i="25"/>
  <c r="A6" i="25"/>
  <c r="A5" i="25"/>
  <c r="A51" i="35"/>
  <c r="A49" i="35"/>
  <c r="A45" i="35"/>
  <c r="A44" i="35"/>
  <c r="A43" i="35"/>
  <c r="A41" i="35"/>
  <c r="A40" i="35"/>
  <c r="A37" i="35"/>
  <c r="A36" i="35"/>
  <c r="A35" i="35"/>
  <c r="A32" i="35"/>
  <c r="A31" i="35"/>
  <c r="A29" i="35"/>
  <c r="A28" i="35"/>
  <c r="A26" i="35"/>
  <c r="A25" i="35"/>
  <c r="A23" i="35"/>
  <c r="A22" i="35"/>
  <c r="A20" i="35"/>
  <c r="A19" i="35"/>
  <c r="A18" i="35"/>
  <c r="A17" i="35"/>
  <c r="A16" i="35"/>
  <c r="A15" i="35"/>
  <c r="A13" i="35"/>
  <c r="A12" i="35"/>
  <c r="A10" i="35"/>
  <c r="A9" i="35"/>
  <c r="A8" i="35"/>
  <c r="A7" i="35"/>
  <c r="A6" i="35"/>
  <c r="A5" i="35"/>
  <c r="A51" i="19"/>
  <c r="A49" i="19"/>
  <c r="A45" i="19"/>
  <c r="A44" i="19"/>
  <c r="A43" i="19"/>
  <c r="A41" i="19"/>
  <c r="A40" i="19"/>
  <c r="A37" i="19"/>
  <c r="A36" i="19"/>
  <c r="A35" i="19"/>
  <c r="A32" i="19"/>
  <c r="A31" i="19"/>
  <c r="A29" i="19"/>
  <c r="A28" i="19"/>
  <c r="A26" i="19"/>
  <c r="A25" i="19"/>
  <c r="A23" i="19"/>
  <c r="A22" i="19"/>
  <c r="A20" i="19"/>
  <c r="A19" i="19"/>
  <c r="A18" i="19"/>
  <c r="A17" i="19"/>
  <c r="A16" i="19"/>
  <c r="A15" i="19"/>
  <c r="A13" i="19"/>
  <c r="A12" i="19"/>
  <c r="A10" i="19"/>
  <c r="A9" i="19"/>
  <c r="A8" i="19"/>
  <c r="A7" i="19"/>
  <c r="A6" i="19"/>
  <c r="A5" i="19"/>
  <c r="A51" i="33"/>
  <c r="A49" i="33"/>
  <c r="A45" i="33"/>
  <c r="A44" i="33"/>
  <c r="A43" i="33"/>
  <c r="A41" i="33"/>
  <c r="A40" i="33"/>
  <c r="A37" i="33"/>
  <c r="A36" i="33"/>
  <c r="A35" i="33"/>
  <c r="A32" i="33"/>
  <c r="A31" i="33"/>
  <c r="A29" i="33"/>
  <c r="A28" i="33"/>
  <c r="A26" i="33"/>
  <c r="A25" i="33"/>
  <c r="A23" i="33"/>
  <c r="A22" i="33"/>
  <c r="A20" i="33"/>
  <c r="A19" i="33"/>
  <c r="A18" i="33"/>
  <c r="A17" i="33"/>
  <c r="A16" i="33"/>
  <c r="A15" i="33"/>
  <c r="A13" i="33"/>
  <c r="A12" i="33"/>
  <c r="A10" i="33"/>
  <c r="A9" i="33"/>
  <c r="A8" i="33"/>
  <c r="A7" i="33"/>
  <c r="A6" i="33"/>
  <c r="A5" i="33"/>
  <c r="A51" i="32"/>
  <c r="A49" i="32"/>
  <c r="A45" i="32"/>
  <c r="A44" i="32"/>
  <c r="A43" i="32"/>
  <c r="A41" i="32"/>
  <c r="A40" i="32"/>
  <c r="A37" i="32"/>
  <c r="A36" i="32"/>
  <c r="A35" i="32"/>
  <c r="A32" i="32"/>
  <c r="A31" i="32"/>
  <c r="A29" i="32"/>
  <c r="A28" i="32"/>
  <c r="A26" i="32"/>
  <c r="A25" i="32"/>
  <c r="A23" i="32"/>
  <c r="A22" i="32"/>
  <c r="A20" i="32"/>
  <c r="A19" i="32"/>
  <c r="A18" i="32"/>
  <c r="A17" i="32"/>
  <c r="A16" i="32"/>
  <c r="A15" i="32"/>
  <c r="A13" i="32"/>
  <c r="A12" i="32"/>
  <c r="A10" i="32"/>
  <c r="A9" i="32"/>
  <c r="A8" i="32"/>
  <c r="A7" i="32"/>
  <c r="A6" i="32"/>
  <c r="A5" i="32"/>
  <c r="A51" i="18"/>
  <c r="A49" i="18"/>
  <c r="A45" i="18"/>
  <c r="A44" i="18"/>
  <c r="A43" i="18"/>
  <c r="A41" i="18"/>
  <c r="A40" i="18"/>
  <c r="A37" i="18"/>
  <c r="A36" i="18"/>
  <c r="A35" i="18"/>
  <c r="A32" i="18"/>
  <c r="A31" i="18"/>
  <c r="A29" i="18"/>
  <c r="A28" i="18"/>
  <c r="A26" i="18"/>
  <c r="A25" i="18"/>
  <c r="A23" i="18"/>
  <c r="A22" i="18"/>
  <c r="A20" i="18"/>
  <c r="A19" i="18"/>
  <c r="A18" i="18"/>
  <c r="A17" i="18"/>
  <c r="A16" i="18"/>
  <c r="A15" i="18"/>
  <c r="A13" i="18"/>
  <c r="A12" i="18"/>
  <c r="A10" i="18"/>
  <c r="A9" i="18"/>
  <c r="A8" i="18"/>
  <c r="A7" i="18"/>
  <c r="A6" i="18"/>
  <c r="A5" i="18"/>
  <c r="A51" i="13"/>
  <c r="A49" i="13"/>
  <c r="A45" i="13"/>
  <c r="A44" i="13"/>
  <c r="A43" i="13"/>
  <c r="A41" i="13"/>
  <c r="A40" i="13"/>
  <c r="A37" i="13"/>
  <c r="A36" i="13"/>
  <c r="A35" i="13"/>
  <c r="A32" i="13"/>
  <c r="A31" i="13"/>
  <c r="A29" i="13"/>
  <c r="A28" i="13"/>
  <c r="A26" i="13"/>
  <c r="A25" i="13"/>
  <c r="A23" i="13"/>
  <c r="A22" i="13"/>
  <c r="A20" i="13"/>
  <c r="A19" i="13"/>
  <c r="A18" i="13"/>
  <c r="A17" i="13"/>
  <c r="A16" i="13"/>
  <c r="A15" i="13"/>
  <c r="A13" i="13"/>
  <c r="A12" i="13"/>
  <c r="A10" i="13"/>
  <c r="A9" i="13"/>
  <c r="A8" i="13"/>
  <c r="A7" i="13"/>
  <c r="A6" i="13"/>
  <c r="A5" i="13"/>
  <c r="A51" i="12"/>
  <c r="A49" i="12"/>
  <c r="A45" i="12"/>
  <c r="A44" i="12"/>
  <c r="A43" i="12"/>
  <c r="A41" i="12"/>
  <c r="A40" i="12"/>
  <c r="A37" i="12"/>
  <c r="A36" i="12"/>
  <c r="A35" i="12"/>
  <c r="A32" i="12"/>
  <c r="A31" i="12"/>
  <c r="A29" i="12"/>
  <c r="A28" i="12"/>
  <c r="A26" i="12"/>
  <c r="A25" i="12"/>
  <c r="A23" i="12"/>
  <c r="A22" i="12"/>
  <c r="A20" i="12"/>
  <c r="A19" i="12"/>
  <c r="A18" i="12"/>
  <c r="A17" i="12"/>
  <c r="A16" i="12"/>
  <c r="A15" i="12"/>
  <c r="A13" i="12"/>
  <c r="A12" i="12"/>
  <c r="A10" i="12"/>
  <c r="A9" i="12"/>
  <c r="A8" i="12"/>
  <c r="A7" i="12"/>
  <c r="A6" i="12"/>
  <c r="A5" i="12"/>
  <c r="A51" i="10"/>
  <c r="A49" i="10"/>
  <c r="A45" i="10"/>
  <c r="A44" i="10"/>
  <c r="A43" i="10"/>
  <c r="A41" i="10"/>
  <c r="A40" i="10"/>
  <c r="A37" i="10"/>
  <c r="A36" i="10"/>
  <c r="A35" i="10"/>
  <c r="A32" i="10"/>
  <c r="A31" i="10"/>
  <c r="A29" i="10"/>
  <c r="A28" i="10"/>
  <c r="A26" i="10"/>
  <c r="A25" i="10"/>
  <c r="A23" i="10"/>
  <c r="A22" i="10"/>
  <c r="A20" i="10"/>
  <c r="A19" i="10"/>
  <c r="A18" i="10"/>
  <c r="A17" i="10"/>
  <c r="A16" i="10"/>
  <c r="A15" i="10"/>
  <c r="A13" i="10"/>
  <c r="A12" i="10"/>
  <c r="A10" i="10"/>
  <c r="A9" i="10"/>
  <c r="A8" i="10"/>
  <c r="A7" i="10"/>
  <c r="A6" i="10"/>
  <c r="A5" i="10"/>
  <c r="A51" i="9"/>
  <c r="A49" i="9"/>
  <c r="A45" i="9"/>
  <c r="A44" i="9"/>
  <c r="A43" i="9"/>
  <c r="A41" i="9"/>
  <c r="A40" i="9"/>
  <c r="A37" i="9"/>
  <c r="A36" i="9"/>
  <c r="A35" i="9"/>
  <c r="A32" i="9"/>
  <c r="A31" i="9"/>
  <c r="A29" i="9"/>
  <c r="A28" i="9"/>
  <c r="A26" i="9"/>
  <c r="A25" i="9"/>
  <c r="A23" i="9"/>
  <c r="A22" i="9"/>
  <c r="A20" i="9"/>
  <c r="A19" i="9"/>
  <c r="A18" i="9"/>
  <c r="A17" i="9"/>
  <c r="A16" i="9"/>
  <c r="A15" i="9"/>
  <c r="A13" i="9"/>
  <c r="A12" i="9"/>
  <c r="A10" i="9"/>
  <c r="A9" i="9"/>
  <c r="A8" i="9"/>
  <c r="A7" i="9"/>
  <c r="A6" i="9"/>
  <c r="A5" i="9"/>
  <c r="A51" i="28"/>
  <c r="A49" i="28"/>
  <c r="A45" i="28"/>
  <c r="A44" i="28"/>
  <c r="A43" i="28"/>
  <c r="A41" i="28"/>
  <c r="A40" i="28"/>
  <c r="A37" i="28"/>
  <c r="A36" i="28"/>
  <c r="A35" i="28"/>
  <c r="A32" i="28"/>
  <c r="A31" i="28"/>
  <c r="A29" i="28"/>
  <c r="A28" i="28"/>
  <c r="A26" i="28"/>
  <c r="A25" i="28"/>
  <c r="A23" i="28"/>
  <c r="A22" i="28"/>
  <c r="A20" i="28"/>
  <c r="A19" i="28"/>
  <c r="A18" i="28"/>
  <c r="A17" i="28"/>
  <c r="A16" i="28"/>
  <c r="A15" i="28"/>
  <c r="A13" i="28"/>
  <c r="A12" i="28"/>
  <c r="A10" i="28"/>
  <c r="A9" i="28"/>
  <c r="A8" i="28"/>
  <c r="A7" i="28"/>
  <c r="A6" i="28"/>
  <c r="A5" i="28"/>
  <c r="A51" i="8"/>
  <c r="A49" i="8"/>
  <c r="A45" i="8"/>
  <c r="A44" i="8"/>
  <c r="A43" i="8"/>
  <c r="A41" i="8"/>
  <c r="A40" i="8"/>
  <c r="A37" i="8"/>
  <c r="A36" i="8"/>
  <c r="A35" i="8"/>
  <c r="A32" i="8"/>
  <c r="A31" i="8"/>
  <c r="A29" i="8"/>
  <c r="A28" i="8"/>
  <c r="A26" i="8"/>
  <c r="A25" i="8"/>
  <c r="A23" i="8"/>
  <c r="A22" i="8"/>
  <c r="A20" i="8"/>
  <c r="A19" i="8"/>
  <c r="A18" i="8"/>
  <c r="A17" i="8"/>
  <c r="A16" i="8"/>
  <c r="A15" i="8"/>
  <c r="A13" i="8"/>
  <c r="A12" i="8"/>
  <c r="A10" i="8"/>
  <c r="A9" i="8"/>
  <c r="A8" i="8"/>
  <c r="A7" i="8"/>
  <c r="A6" i="8"/>
  <c r="A5" i="8"/>
  <c r="A51" i="23"/>
  <c r="A49" i="23"/>
  <c r="A45" i="23"/>
  <c r="A44" i="23"/>
  <c r="A43" i="23"/>
  <c r="A41" i="23"/>
  <c r="A40" i="23"/>
  <c r="A37" i="23"/>
  <c r="A36" i="23"/>
  <c r="A35" i="23"/>
  <c r="A32" i="23"/>
  <c r="A31" i="23"/>
  <c r="A29" i="23"/>
  <c r="A28" i="23"/>
  <c r="A26" i="23"/>
  <c r="A25" i="23"/>
  <c r="A23" i="23"/>
  <c r="A22" i="23"/>
  <c r="A20" i="23"/>
  <c r="A19" i="23"/>
  <c r="A18" i="23"/>
  <c r="A17" i="23"/>
  <c r="A16" i="23"/>
  <c r="A15" i="23"/>
  <c r="A13" i="23"/>
  <c r="A12" i="23"/>
  <c r="A10" i="23"/>
  <c r="A9" i="23"/>
  <c r="A8" i="23"/>
  <c r="A7" i="23"/>
  <c r="A6" i="23"/>
  <c r="A5" i="23"/>
  <c r="A6" i="22"/>
  <c r="A7" i="22"/>
  <c r="A8" i="22"/>
  <c r="A9" i="22"/>
  <c r="A10" i="22"/>
  <c r="A12" i="22"/>
  <c r="A13" i="22"/>
  <c r="A15" i="22"/>
  <c r="A16" i="22"/>
  <c r="A17" i="22"/>
  <c r="A18" i="22"/>
  <c r="A19" i="22"/>
  <c r="A20" i="22"/>
  <c r="A22" i="22"/>
  <c r="A23" i="22"/>
  <c r="A25" i="22"/>
  <c r="A26" i="22"/>
  <c r="A28" i="22"/>
  <c r="A29" i="22"/>
  <c r="A31" i="22"/>
  <c r="A32" i="22"/>
  <c r="A35" i="22"/>
  <c r="A36" i="22"/>
  <c r="A37" i="22"/>
  <c r="A40" i="22"/>
  <c r="A41" i="22"/>
  <c r="A43" i="22"/>
  <c r="A44" i="22"/>
  <c r="A45" i="22"/>
  <c r="A49" i="22"/>
  <c r="A51" i="22"/>
  <c r="A5" i="22"/>
  <c r="R37" i="2"/>
  <c r="J6" i="2"/>
  <c r="X37" i="2"/>
  <c r="F52" i="30"/>
  <c r="G45" i="24"/>
  <c r="G56" i="24" s="1"/>
  <c r="AC60" i="6"/>
  <c r="AB60" i="6"/>
  <c r="AG37" i="2"/>
  <c r="AF37" i="2"/>
  <c r="AA60" i="6"/>
  <c r="G40" i="24"/>
  <c r="H17" i="2"/>
  <c r="Y6" i="2"/>
  <c r="Y16" i="2"/>
  <c r="Z16" i="2" s="1"/>
  <c r="K37" i="2"/>
  <c r="I37" i="2"/>
  <c r="L37" i="2"/>
  <c r="N37" i="2"/>
  <c r="O37" i="2"/>
  <c r="Q37" i="2"/>
  <c r="S37" i="2"/>
  <c r="T37" i="2"/>
  <c r="V37" i="2"/>
  <c r="W37" i="2"/>
  <c r="Y37" i="2"/>
  <c r="AB18" i="2"/>
  <c r="AA18" i="2"/>
  <c r="P37" i="2"/>
  <c r="U37" i="2"/>
  <c r="H6" i="2"/>
  <c r="H14" i="2"/>
  <c r="I6" i="2"/>
  <c r="I17" i="2"/>
  <c r="K6" i="2"/>
  <c r="K17" i="2"/>
  <c r="N6" i="2"/>
  <c r="N17" i="2"/>
  <c r="O6" i="2"/>
  <c r="O17" i="2"/>
  <c r="P6" i="2"/>
  <c r="P17" i="2"/>
  <c r="Q6" i="2"/>
  <c r="Q17" i="2"/>
  <c r="S6" i="2"/>
  <c r="S17" i="2"/>
  <c r="T6" i="2"/>
  <c r="T17" i="2"/>
  <c r="U6" i="2"/>
  <c r="U17" i="2"/>
  <c r="F6" i="2"/>
  <c r="F17" i="2"/>
  <c r="AD1" i="6"/>
  <c r="D84" i="5"/>
  <c r="AE37" i="2"/>
  <c r="AD37" i="2"/>
  <c r="AC37" i="2"/>
  <c r="AB37" i="2"/>
  <c r="C18" i="2"/>
  <c r="B18" i="2"/>
  <c r="G17" i="2"/>
  <c r="G6" i="2"/>
  <c r="G9" i="2"/>
  <c r="F9" i="2"/>
  <c r="E36" i="40"/>
  <c r="E45" i="40"/>
  <c r="E29" i="40"/>
  <c r="E32" i="40"/>
  <c r="E54" i="40"/>
  <c r="E53" i="40"/>
  <c r="E52" i="40"/>
  <c r="E55" i="40"/>
  <c r="AH28" i="2" l="1"/>
  <c r="AC18" i="2"/>
  <c r="M19" i="2" s="1"/>
  <c r="G22" i="49"/>
  <c r="G16" i="22"/>
  <c r="G41" i="44"/>
  <c r="G41" i="47" s="1"/>
  <c r="G4" i="23"/>
  <c r="G41" i="10"/>
  <c r="F46" i="29"/>
  <c r="G14" i="5"/>
  <c r="G19" i="5"/>
  <c r="G41" i="35"/>
  <c r="G41" i="8"/>
  <c r="G41" i="25"/>
  <c r="F12" i="2"/>
  <c r="Y8" i="2"/>
  <c r="F10" i="2"/>
  <c r="H12" i="2"/>
  <c r="G12" i="2"/>
  <c r="Y12" i="2"/>
  <c r="G8" i="2"/>
  <c r="AA37" i="2"/>
  <c r="AA19" i="2" s="1"/>
  <c r="G13" i="2"/>
  <c r="G10" i="2"/>
  <c r="F13" i="2"/>
  <c r="G7" i="2"/>
  <c r="H10" i="2"/>
  <c r="F14" i="2"/>
  <c r="Y9" i="2"/>
  <c r="R17" i="2"/>
  <c r="H8" i="2"/>
  <c r="F8" i="2"/>
  <c r="Y10" i="2"/>
  <c r="Z10" i="2" s="1"/>
  <c r="I29" i="40"/>
  <c r="J29" i="40" s="1"/>
  <c r="I32" i="40"/>
  <c r="J32" i="40" s="1"/>
  <c r="I45" i="40"/>
  <c r="J45" i="40" s="1"/>
  <c r="I36" i="40"/>
  <c r="J36" i="40" s="1"/>
  <c r="Z60" i="6"/>
  <c r="G41" i="13"/>
  <c r="G41" i="19"/>
  <c r="F20" i="31"/>
  <c r="F46" i="30"/>
  <c r="Y11" i="2"/>
  <c r="Z11" i="2" s="1"/>
  <c r="G11" i="2"/>
  <c r="F11" i="2"/>
  <c r="H11" i="2"/>
  <c r="E18" i="2"/>
  <c r="H9" i="2"/>
  <c r="I19" i="2" l="1"/>
  <c r="O4" i="5"/>
  <c r="G80" i="5"/>
  <c r="E80" i="5" s="1"/>
  <c r="E84" i="5" s="1"/>
  <c r="E85" i="5" s="1"/>
  <c r="I18" i="2"/>
  <c r="J18" i="2"/>
  <c r="N18" i="2"/>
  <c r="K18" i="2"/>
  <c r="Q18" i="2"/>
  <c r="N80" i="5"/>
  <c r="T18" i="2"/>
  <c r="P18" i="2"/>
  <c r="O18" i="2"/>
  <c r="G4" i="22"/>
  <c r="H18" i="2"/>
  <c r="P19" i="2"/>
  <c r="R18" i="2"/>
  <c r="F18" i="2"/>
  <c r="U18" i="2"/>
  <c r="S18" i="2"/>
  <c r="U80" i="5" s="1"/>
  <c r="G18" i="2"/>
  <c r="F47" i="31"/>
  <c r="G16" i="5"/>
  <c r="G10" i="5"/>
  <c r="G12" i="5"/>
  <c r="G15" i="5"/>
  <c r="G17" i="5"/>
  <c r="C27" i="24"/>
  <c r="G18" i="5"/>
  <c r="G8" i="5"/>
  <c r="G11" i="5"/>
  <c r="G13" i="5"/>
  <c r="G5" i="5"/>
  <c r="G6" i="5"/>
  <c r="Q19" i="2"/>
  <c r="J19" i="2"/>
  <c r="S19" i="2"/>
  <c r="L19" i="2"/>
  <c r="U19" i="2"/>
  <c r="K19" i="2"/>
  <c r="R19" i="2"/>
  <c r="O19" i="2"/>
  <c r="K4" i="5"/>
  <c r="N19" i="2"/>
  <c r="W19" i="2"/>
  <c r="X19" i="2"/>
  <c r="AB19" i="2"/>
  <c r="T19" i="2"/>
  <c r="V19" i="2"/>
  <c r="F44" i="29"/>
  <c r="F43" i="29" s="1"/>
  <c r="G41" i="9"/>
  <c r="Y60" i="6"/>
  <c r="Y14" i="2"/>
  <c r="Z14" i="2" s="1"/>
  <c r="AH37" i="2"/>
  <c r="E20" i="2" s="1"/>
  <c r="H19" i="2" s="1"/>
  <c r="I78" i="5"/>
  <c r="G41" i="18"/>
  <c r="F44" i="30"/>
  <c r="F43" i="30" s="1"/>
  <c r="H78" i="5"/>
  <c r="P80" i="5" l="1"/>
  <c r="H80" i="5"/>
  <c r="L80" i="5"/>
  <c r="W80" i="5"/>
  <c r="V80" i="5"/>
  <c r="I80" i="5"/>
  <c r="T80" i="5"/>
  <c r="Q80" i="5"/>
  <c r="J80" i="5" s="1"/>
  <c r="S80" i="5"/>
  <c r="K80" i="5"/>
  <c r="R80" i="5"/>
  <c r="M80" i="5"/>
  <c r="V4" i="5"/>
  <c r="P4" i="5"/>
  <c r="M4" i="5"/>
  <c r="W4" i="5"/>
  <c r="Z4" i="5"/>
  <c r="Q4" i="5"/>
  <c r="N4" i="5"/>
  <c r="L4" i="5"/>
  <c r="X4" i="5"/>
  <c r="Y4" i="5"/>
  <c r="U4" i="5"/>
  <c r="S4" i="5"/>
  <c r="T4" i="5"/>
  <c r="R4" i="5"/>
  <c r="E82" i="1"/>
  <c r="F84" i="5"/>
  <c r="G78" i="5"/>
  <c r="Z18" i="2"/>
  <c r="Y18" i="2"/>
  <c r="F45" i="31"/>
  <c r="F44" i="31" s="1"/>
  <c r="G19" i="2"/>
  <c r="AC4" i="5"/>
  <c r="J4" i="5"/>
  <c r="F19" i="2"/>
  <c r="AD29" i="6" l="1"/>
  <c r="I4" i="5"/>
  <c r="I29" i="5" s="1"/>
  <c r="J9" i="5"/>
  <c r="O9" i="5" s="1"/>
  <c r="J29" i="5"/>
  <c r="AC63" i="5"/>
  <c r="AD63" i="5" s="1"/>
  <c r="AC42" i="5"/>
  <c r="E80" i="1"/>
  <c r="AC76" i="5"/>
  <c r="AD76" i="5" s="1"/>
  <c r="AC71" i="5"/>
  <c r="AD71" i="5" s="1"/>
  <c r="AC75" i="5"/>
  <c r="AD75" i="5" s="1"/>
  <c r="AC72" i="5"/>
  <c r="AD72" i="5" s="1"/>
  <c r="AC68" i="5"/>
  <c r="AD68" i="5" s="1"/>
  <c r="AC70" i="5"/>
  <c r="AD70" i="5" s="1"/>
  <c r="AC73" i="5"/>
  <c r="AD73" i="5" s="1"/>
  <c r="AC74" i="5"/>
  <c r="AD74" i="5" s="1"/>
  <c r="AC69" i="5"/>
  <c r="AD69" i="5" s="1"/>
  <c r="AC67" i="5"/>
  <c r="AD67" i="5" s="1"/>
  <c r="AC77" i="5"/>
  <c r="AD77" i="5" s="1"/>
  <c r="AC66" i="5"/>
  <c r="AD66" i="5" s="1"/>
  <c r="AC57" i="5"/>
  <c r="AC54" i="5"/>
  <c r="AC48" i="5"/>
  <c r="AC49" i="5"/>
  <c r="AC56" i="5"/>
  <c r="AC55" i="5"/>
  <c r="AC50" i="5"/>
  <c r="AC53" i="5"/>
  <c r="AC51" i="5"/>
  <c r="AC52" i="5"/>
  <c r="AC58" i="5"/>
  <c r="AC16" i="5"/>
  <c r="AC43" i="5"/>
  <c r="AC44" i="5"/>
  <c r="AC45" i="5"/>
  <c r="AC62" i="5"/>
  <c r="AC46" i="5"/>
  <c r="AC64" i="5"/>
  <c r="AC61" i="5"/>
  <c r="AC60" i="5"/>
  <c r="AC59" i="5"/>
  <c r="AC47" i="5"/>
  <c r="J43" i="5"/>
  <c r="O43" i="5" s="1"/>
  <c r="I43" i="5"/>
  <c r="J22" i="5"/>
  <c r="O22" i="5" s="1"/>
  <c r="J31" i="5"/>
  <c r="J26" i="5"/>
  <c r="J24" i="5"/>
  <c r="O24" i="5" s="1"/>
  <c r="J30" i="5"/>
  <c r="J28" i="5"/>
  <c r="J20" i="5"/>
  <c r="O20" i="5" s="1"/>
  <c r="J21" i="5"/>
  <c r="O21" i="5" s="1"/>
  <c r="J23" i="5"/>
  <c r="J25" i="5"/>
  <c r="I24" i="5"/>
  <c r="AC15" i="5"/>
  <c r="AC18" i="5"/>
  <c r="AC79" i="5"/>
  <c r="AC81" i="5"/>
  <c r="AC31" i="5"/>
  <c r="AC26" i="5"/>
  <c r="AC24" i="5"/>
  <c r="AC78" i="5"/>
  <c r="AD78" i="5" s="1"/>
  <c r="AC22" i="5"/>
  <c r="AC20" i="5"/>
  <c r="AC25" i="5"/>
  <c r="AC21" i="5"/>
  <c r="AC30" i="5"/>
  <c r="AC33" i="5"/>
  <c r="AC28" i="5"/>
  <c r="AC34" i="5"/>
  <c r="AC32" i="5"/>
  <c r="AC23" i="5"/>
  <c r="AC27" i="5"/>
  <c r="AD27" i="5" s="1"/>
  <c r="AC41" i="5"/>
  <c r="AC37" i="5"/>
  <c r="AC40" i="5"/>
  <c r="AC36" i="5"/>
  <c r="AC38" i="5"/>
  <c r="AD38" i="5" s="1"/>
  <c r="AC39" i="5"/>
  <c r="AC35" i="5"/>
  <c r="AD35" i="5" s="1"/>
  <c r="AC19" i="5"/>
  <c r="AC17" i="5"/>
  <c r="J81" i="5"/>
  <c r="J79" i="5"/>
  <c r="N79" i="5" s="1"/>
  <c r="J14" i="5"/>
  <c r="O14" i="5" s="1"/>
  <c r="J7" i="5"/>
  <c r="J19" i="5"/>
  <c r="O19" i="5" s="1"/>
  <c r="J12" i="5"/>
  <c r="O12" i="5" s="1"/>
  <c r="J8" i="5"/>
  <c r="J10" i="5"/>
  <c r="I7" i="5"/>
  <c r="J16" i="5"/>
  <c r="O16" i="5" s="1"/>
  <c r="J6" i="5"/>
  <c r="J5" i="5"/>
  <c r="J18" i="5"/>
  <c r="O18" i="5" s="1"/>
  <c r="J15" i="5"/>
  <c r="J17" i="5"/>
  <c r="J11" i="5"/>
  <c r="O11" i="5" s="1"/>
  <c r="I8" i="5"/>
  <c r="J13" i="5"/>
  <c r="O13" i="5" s="1"/>
  <c r="H4" i="5"/>
  <c r="E21" i="2"/>
  <c r="AC10" i="5"/>
  <c r="AC12" i="5"/>
  <c r="AC14" i="5"/>
  <c r="AC7" i="5"/>
  <c r="AC5" i="5"/>
  <c r="I31" i="5" l="1"/>
  <c r="I81" i="5"/>
  <c r="I5" i="5"/>
  <c r="I11" i="5"/>
  <c r="I23" i="5"/>
  <c r="I21" i="5"/>
  <c r="I10" i="5"/>
  <c r="I12" i="5"/>
  <c r="I18" i="5"/>
  <c r="I14" i="5"/>
  <c r="I16" i="5"/>
  <c r="I25" i="5"/>
  <c r="I22" i="5"/>
  <c r="I19" i="5"/>
  <c r="I6" i="5"/>
  <c r="I28" i="5"/>
  <c r="I15" i="5"/>
  <c r="I17" i="5"/>
  <c r="I79" i="5"/>
  <c r="I30" i="5"/>
  <c r="I20" i="5"/>
  <c r="I26" i="5"/>
  <c r="I13" i="5"/>
  <c r="I9" i="5"/>
  <c r="Q9" i="5"/>
  <c r="AD25" i="6"/>
  <c r="M9" i="5"/>
  <c r="Y9" i="5"/>
  <c r="X9" i="5"/>
  <c r="L9" i="5"/>
  <c r="K9" i="5"/>
  <c r="W9" i="5"/>
  <c r="N9" i="5"/>
  <c r="Z9" i="5"/>
  <c r="U9" i="5"/>
  <c r="V9" i="5"/>
  <c r="P9" i="5"/>
  <c r="R9" i="5"/>
  <c r="T9" i="5"/>
  <c r="S9" i="5"/>
  <c r="H9" i="5"/>
  <c r="H29" i="5"/>
  <c r="K29" i="5"/>
  <c r="L29" i="5"/>
  <c r="M29" i="5"/>
  <c r="N29" i="5"/>
  <c r="P29" i="5"/>
  <c r="R29" i="5"/>
  <c r="V29" i="5"/>
  <c r="Y29" i="5"/>
  <c r="O29" i="5"/>
  <c r="Q29" i="5"/>
  <c r="X29" i="5"/>
  <c r="S29" i="5"/>
  <c r="T29" i="5"/>
  <c r="U29" i="5"/>
  <c r="W29" i="5"/>
  <c r="Z29" i="5"/>
  <c r="O25" i="5"/>
  <c r="O17" i="5"/>
  <c r="O23" i="5"/>
  <c r="O15" i="5"/>
  <c r="J84" i="5"/>
  <c r="AD79" i="5"/>
  <c r="N28" i="5"/>
  <c r="O28" i="5"/>
  <c r="N31" i="5"/>
  <c r="O31" i="5"/>
  <c r="N30" i="5"/>
  <c r="O30" i="5"/>
  <c r="N26" i="5"/>
  <c r="O26" i="5"/>
  <c r="K5" i="5"/>
  <c r="O5" i="5"/>
  <c r="N8" i="5"/>
  <c r="O8" i="5"/>
  <c r="N6" i="5"/>
  <c r="O6" i="5"/>
  <c r="N10" i="5"/>
  <c r="O10" i="5"/>
  <c r="N7" i="5"/>
  <c r="O7" i="5"/>
  <c r="N43" i="5"/>
  <c r="L5" i="5"/>
  <c r="N17" i="5"/>
  <c r="N16" i="5"/>
  <c r="K13" i="5"/>
  <c r="N13" i="5"/>
  <c r="N15" i="5"/>
  <c r="N19" i="5"/>
  <c r="N21" i="5"/>
  <c r="N14" i="5"/>
  <c r="N12" i="5"/>
  <c r="N22" i="5"/>
  <c r="N11" i="5"/>
  <c r="N18" i="5"/>
  <c r="N25" i="5"/>
  <c r="N20" i="5"/>
  <c r="N23" i="5"/>
  <c r="N24" i="5"/>
  <c r="K43" i="5"/>
  <c r="L43" i="5"/>
  <c r="M43" i="5"/>
  <c r="P43" i="5"/>
  <c r="Q43" i="5"/>
  <c r="R43" i="5"/>
  <c r="S43" i="5"/>
  <c r="T43" i="5"/>
  <c r="U43" i="5"/>
  <c r="V43" i="5"/>
  <c r="W43" i="5"/>
  <c r="X43" i="5"/>
  <c r="Y43" i="5"/>
  <c r="Z43" i="5"/>
  <c r="H43" i="5"/>
  <c r="AD43" i="5" s="1"/>
  <c r="L21" i="5"/>
  <c r="M21" i="5"/>
  <c r="P21" i="5"/>
  <c r="Q21" i="5"/>
  <c r="R21" i="5"/>
  <c r="S21" i="5"/>
  <c r="V21" i="5"/>
  <c r="T21" i="5"/>
  <c r="U21" i="5"/>
  <c r="W21" i="5"/>
  <c r="X21" i="5"/>
  <c r="Z21" i="5"/>
  <c r="K21" i="5"/>
  <c r="Y21" i="5"/>
  <c r="Q30" i="5"/>
  <c r="R30" i="5"/>
  <c r="S30" i="5"/>
  <c r="T30" i="5"/>
  <c r="U30" i="5"/>
  <c r="V30" i="5"/>
  <c r="W30" i="5"/>
  <c r="X30" i="5"/>
  <c r="Y30" i="5"/>
  <c r="Z30" i="5"/>
  <c r="K30" i="5"/>
  <c r="L30" i="5"/>
  <c r="M30" i="5"/>
  <c r="P30" i="5"/>
  <c r="X24" i="5"/>
  <c r="Y24" i="5"/>
  <c r="Z24" i="5"/>
  <c r="K24" i="5"/>
  <c r="L24" i="5"/>
  <c r="M24" i="5"/>
  <c r="P24" i="5"/>
  <c r="Q24" i="5"/>
  <c r="R24" i="5"/>
  <c r="S24" i="5"/>
  <c r="T24" i="5"/>
  <c r="W24" i="5"/>
  <c r="U24" i="5"/>
  <c r="V24" i="5"/>
  <c r="V31" i="5"/>
  <c r="W31" i="5"/>
  <c r="X31" i="5"/>
  <c r="Y31" i="5"/>
  <c r="Z31" i="5"/>
  <c r="K31" i="5"/>
  <c r="L31" i="5"/>
  <c r="M31" i="5"/>
  <c r="P31" i="5"/>
  <c r="S31" i="5"/>
  <c r="R31" i="5"/>
  <c r="T31" i="5"/>
  <c r="U31" i="5"/>
  <c r="Q31" i="5"/>
  <c r="M25" i="5"/>
  <c r="L25" i="5"/>
  <c r="U25" i="5"/>
  <c r="W25" i="5"/>
  <c r="Q25" i="5"/>
  <c r="Y25" i="5"/>
  <c r="S25" i="5"/>
  <c r="X25" i="5"/>
  <c r="P25" i="5"/>
  <c r="V25" i="5"/>
  <c r="K25" i="5"/>
  <c r="Z25" i="5"/>
  <c r="R25" i="5"/>
  <c r="T25" i="5"/>
  <c r="P20" i="5"/>
  <c r="Q20" i="5"/>
  <c r="R20" i="5"/>
  <c r="S20" i="5"/>
  <c r="T20" i="5"/>
  <c r="U20" i="5"/>
  <c r="V20" i="5"/>
  <c r="W20" i="5"/>
  <c r="X20" i="5"/>
  <c r="Y20" i="5"/>
  <c r="Z20" i="5"/>
  <c r="L20" i="5"/>
  <c r="K20" i="5"/>
  <c r="M20" i="5"/>
  <c r="M22" i="5"/>
  <c r="P22" i="5"/>
  <c r="Q22" i="5"/>
  <c r="R22" i="5"/>
  <c r="S22" i="5"/>
  <c r="T22" i="5"/>
  <c r="U22" i="5"/>
  <c r="W22" i="5"/>
  <c r="Y22" i="5"/>
  <c r="Z22" i="5"/>
  <c r="K22" i="5"/>
  <c r="L22" i="5"/>
  <c r="V22" i="5"/>
  <c r="X22" i="5"/>
  <c r="H24" i="5"/>
  <c r="AD24" i="5" s="1"/>
  <c r="H31" i="5"/>
  <c r="H20" i="5"/>
  <c r="H22" i="5"/>
  <c r="H26" i="5"/>
  <c r="AD32" i="5"/>
  <c r="AD33" i="5"/>
  <c r="H28" i="5"/>
  <c r="H30" i="5"/>
  <c r="H25" i="5"/>
  <c r="H21" i="5"/>
  <c r="AD34" i="5"/>
  <c r="H23" i="5"/>
  <c r="AD39" i="5"/>
  <c r="AD41" i="5"/>
  <c r="AD40" i="5"/>
  <c r="AD36" i="5"/>
  <c r="AD37" i="5"/>
  <c r="AD42" i="5"/>
  <c r="K23" i="5"/>
  <c r="S23" i="5"/>
  <c r="W23" i="5"/>
  <c r="M23" i="5"/>
  <c r="Q23" i="5"/>
  <c r="X23" i="5"/>
  <c r="R23" i="5"/>
  <c r="U23" i="5"/>
  <c r="T23" i="5"/>
  <c r="Y23" i="5"/>
  <c r="L23" i="5"/>
  <c r="P23" i="5"/>
  <c r="V23" i="5"/>
  <c r="Z23" i="5"/>
  <c r="T28" i="5"/>
  <c r="U28" i="5"/>
  <c r="V28" i="5"/>
  <c r="W28" i="5"/>
  <c r="X28" i="5"/>
  <c r="Y28" i="5"/>
  <c r="Z28" i="5"/>
  <c r="K28" i="5"/>
  <c r="L28" i="5"/>
  <c r="M28" i="5"/>
  <c r="Q28" i="5"/>
  <c r="S28" i="5"/>
  <c r="P28" i="5"/>
  <c r="R28" i="5"/>
  <c r="R26" i="5"/>
  <c r="S26" i="5"/>
  <c r="T26" i="5"/>
  <c r="U26" i="5"/>
  <c r="V26" i="5"/>
  <c r="W26" i="5"/>
  <c r="X26" i="5"/>
  <c r="Y26" i="5"/>
  <c r="Z26" i="5"/>
  <c r="L26" i="5"/>
  <c r="M26" i="5"/>
  <c r="Q26" i="5"/>
  <c r="P26" i="5"/>
  <c r="K26" i="5"/>
  <c r="Z5" i="5"/>
  <c r="V5" i="5"/>
  <c r="R5" i="5"/>
  <c r="M5" i="5"/>
  <c r="Y5" i="5"/>
  <c r="U5" i="5"/>
  <c r="Q5" i="5"/>
  <c r="X5" i="5"/>
  <c r="T5" i="5"/>
  <c r="P5" i="5"/>
  <c r="W5" i="5"/>
  <c r="S5" i="5"/>
  <c r="N5" i="5"/>
  <c r="K10" i="5"/>
  <c r="S10" i="5"/>
  <c r="W10" i="5"/>
  <c r="R10" i="5"/>
  <c r="Q10" i="5"/>
  <c r="P10" i="5"/>
  <c r="Y10" i="5"/>
  <c r="M10" i="5"/>
  <c r="L10" i="5"/>
  <c r="X10" i="5"/>
  <c r="Z10" i="5"/>
  <c r="T10" i="5"/>
  <c r="V10" i="5"/>
  <c r="U10" i="5"/>
  <c r="M81" i="5"/>
  <c r="Q81" i="5"/>
  <c r="V81" i="5"/>
  <c r="R81" i="5"/>
  <c r="X81" i="5"/>
  <c r="T81" i="5"/>
  <c r="Y81" i="5"/>
  <c r="P81" i="5"/>
  <c r="U81" i="5"/>
  <c r="Z81" i="5"/>
  <c r="W81" i="5"/>
  <c r="S81" i="5"/>
  <c r="K81" i="5"/>
  <c r="N81" i="5"/>
  <c r="L81" i="5"/>
  <c r="K17" i="5"/>
  <c r="S17" i="5"/>
  <c r="W17" i="5"/>
  <c r="R17" i="5"/>
  <c r="Q17" i="5"/>
  <c r="M17" i="5"/>
  <c r="L17" i="5"/>
  <c r="X17" i="5"/>
  <c r="Z17" i="5"/>
  <c r="Y17" i="5"/>
  <c r="T17" i="5"/>
  <c r="V17" i="5"/>
  <c r="U17" i="5"/>
  <c r="P17" i="5"/>
  <c r="K8" i="5"/>
  <c r="S8" i="5"/>
  <c r="W8" i="5"/>
  <c r="R8" i="5"/>
  <c r="Q8" i="5"/>
  <c r="T8" i="5"/>
  <c r="M8" i="5"/>
  <c r="L8" i="5"/>
  <c r="X8" i="5"/>
  <c r="Y8" i="5"/>
  <c r="Z8" i="5"/>
  <c r="V8" i="5"/>
  <c r="U8" i="5"/>
  <c r="P8" i="5"/>
  <c r="K14" i="5"/>
  <c r="S14" i="5"/>
  <c r="W14" i="5"/>
  <c r="R14" i="5"/>
  <c r="Q14" i="5"/>
  <c r="P14" i="5"/>
  <c r="X14" i="5"/>
  <c r="M14" i="5"/>
  <c r="L14" i="5"/>
  <c r="Z14" i="5"/>
  <c r="Y14" i="5"/>
  <c r="T14" i="5"/>
  <c r="V14" i="5"/>
  <c r="U14" i="5"/>
  <c r="K11" i="5"/>
  <c r="S11" i="5"/>
  <c r="W11" i="5"/>
  <c r="R11" i="5"/>
  <c r="Q11" i="5"/>
  <c r="T11" i="5"/>
  <c r="M11" i="5"/>
  <c r="L11" i="5"/>
  <c r="P11" i="5"/>
  <c r="Z11" i="5"/>
  <c r="Y11" i="5"/>
  <c r="X11" i="5"/>
  <c r="V11" i="5"/>
  <c r="U11" i="5"/>
  <c r="K18" i="5"/>
  <c r="S18" i="5"/>
  <c r="W18" i="5"/>
  <c r="R18" i="5"/>
  <c r="Q18" i="5"/>
  <c r="P18" i="5"/>
  <c r="M18" i="5"/>
  <c r="L18" i="5"/>
  <c r="Z18" i="5"/>
  <c r="Y18" i="5"/>
  <c r="X18" i="5"/>
  <c r="V18" i="5"/>
  <c r="U18" i="5"/>
  <c r="T18" i="5"/>
  <c r="K16" i="5"/>
  <c r="S16" i="5"/>
  <c r="W16" i="5"/>
  <c r="R16" i="5"/>
  <c r="Q16" i="5"/>
  <c r="X16" i="5"/>
  <c r="M16" i="5"/>
  <c r="L16" i="5"/>
  <c r="T16" i="5"/>
  <c r="P16" i="5"/>
  <c r="Z16" i="5"/>
  <c r="Y16" i="5"/>
  <c r="V16" i="5"/>
  <c r="U16" i="5"/>
  <c r="S19" i="5"/>
  <c r="T19" i="5"/>
  <c r="U19" i="5"/>
  <c r="V19" i="5"/>
  <c r="P19" i="5"/>
  <c r="Q19" i="5"/>
  <c r="X19" i="5"/>
  <c r="Y19" i="5"/>
  <c r="Z19" i="5"/>
  <c r="R19" i="5"/>
  <c r="K19" i="5"/>
  <c r="L19" i="5"/>
  <c r="M19" i="5"/>
  <c r="W19" i="5"/>
  <c r="K6" i="5"/>
  <c r="S6" i="5"/>
  <c r="W6" i="5"/>
  <c r="R6" i="5"/>
  <c r="Q6" i="5"/>
  <c r="T6" i="5"/>
  <c r="M6" i="5"/>
  <c r="L6" i="5"/>
  <c r="P6" i="5"/>
  <c r="Z6" i="5"/>
  <c r="Y6" i="5"/>
  <c r="V6" i="5"/>
  <c r="U6" i="5"/>
  <c r="X6" i="5"/>
  <c r="K7" i="5"/>
  <c r="S7" i="5"/>
  <c r="W7" i="5"/>
  <c r="R7" i="5"/>
  <c r="Q7" i="5"/>
  <c r="X7" i="5"/>
  <c r="M7" i="5"/>
  <c r="L7" i="5"/>
  <c r="T7" i="5"/>
  <c r="P7" i="5"/>
  <c r="Z7" i="5"/>
  <c r="Y7" i="5"/>
  <c r="V7" i="5"/>
  <c r="U7" i="5"/>
  <c r="AD81" i="5"/>
  <c r="H19" i="5"/>
  <c r="AD19" i="5" s="1"/>
  <c r="H14" i="5"/>
  <c r="AD14" i="5" s="1"/>
  <c r="H7" i="5"/>
  <c r="AD7" i="5" s="1"/>
  <c r="H17" i="5"/>
  <c r="H18" i="5"/>
  <c r="H5" i="5"/>
  <c r="H10" i="5"/>
  <c r="H8" i="5"/>
  <c r="H6" i="5"/>
  <c r="H12" i="5"/>
  <c r="H13" i="5"/>
  <c r="H15" i="5"/>
  <c r="H11" i="5"/>
  <c r="H16" i="5"/>
  <c r="S13" i="5"/>
  <c r="W13" i="5"/>
  <c r="R13" i="5"/>
  <c r="Q13" i="5"/>
  <c r="M13" i="5"/>
  <c r="L13" i="5"/>
  <c r="X13" i="5"/>
  <c r="Z13" i="5"/>
  <c r="Y13" i="5"/>
  <c r="T13" i="5"/>
  <c r="V13" i="5"/>
  <c r="U13" i="5"/>
  <c r="P13" i="5"/>
  <c r="K15" i="5"/>
  <c r="S15" i="5"/>
  <c r="W15" i="5"/>
  <c r="R15" i="5"/>
  <c r="Q15" i="5"/>
  <c r="T15" i="5"/>
  <c r="M15" i="5"/>
  <c r="L15" i="5"/>
  <c r="P15" i="5"/>
  <c r="Z15" i="5"/>
  <c r="Y15" i="5"/>
  <c r="X15" i="5"/>
  <c r="V15" i="5"/>
  <c r="U15" i="5"/>
  <c r="K12" i="5"/>
  <c r="S12" i="5"/>
  <c r="W12" i="5"/>
  <c r="R12" i="5"/>
  <c r="Q12" i="5"/>
  <c r="X12" i="5"/>
  <c r="P12" i="5"/>
  <c r="M12" i="5"/>
  <c r="L12" i="5"/>
  <c r="T12" i="5"/>
  <c r="Z12" i="5"/>
  <c r="Y12" i="5"/>
  <c r="V12" i="5"/>
  <c r="U12" i="5"/>
  <c r="W79" i="5"/>
  <c r="T79" i="5"/>
  <c r="U79" i="5"/>
  <c r="V79" i="5"/>
  <c r="Q79" i="5"/>
  <c r="S79" i="5"/>
  <c r="X79" i="5"/>
  <c r="Y79" i="5"/>
  <c r="P79" i="5"/>
  <c r="R79" i="5"/>
  <c r="K79" i="5"/>
  <c r="O79" i="5" s="1"/>
  <c r="L79" i="5"/>
  <c r="M79" i="5"/>
  <c r="E44" i="40"/>
  <c r="E46" i="40"/>
  <c r="E43" i="40"/>
  <c r="E40" i="40"/>
  <c r="AD12" i="5" l="1"/>
  <c r="AD22" i="5"/>
  <c r="AD11" i="5"/>
  <c r="AD18" i="5"/>
  <c r="AD20" i="5"/>
  <c r="E2" i="56"/>
  <c r="E32" i="56" s="1"/>
  <c r="E37" i="56" s="1"/>
  <c r="I84" i="5"/>
  <c r="AD24" i="6"/>
  <c r="AD10" i="6"/>
  <c r="AD11" i="6"/>
  <c r="AD16" i="6"/>
  <c r="AD5" i="6"/>
  <c r="AD14" i="6"/>
  <c r="AD8" i="6"/>
  <c r="AD21" i="6"/>
  <c r="AD22" i="6"/>
  <c r="AD23" i="6"/>
  <c r="AD28" i="6"/>
  <c r="AD15" i="6"/>
  <c r="AD20" i="6"/>
  <c r="AD6" i="6"/>
  <c r="AD7" i="6"/>
  <c r="AD19" i="6"/>
  <c r="AD9" i="6"/>
  <c r="AD26" i="6"/>
  <c r="AD27" i="6"/>
  <c r="AD17" i="6"/>
  <c r="AD18" i="6"/>
  <c r="AD4" i="6"/>
  <c r="AD13" i="6"/>
  <c r="AD13" i="5"/>
  <c r="AD16" i="5"/>
  <c r="AD10" i="5"/>
  <c r="AD28" i="5"/>
  <c r="AD23" i="5"/>
  <c r="AD30" i="5"/>
  <c r="AD26" i="5"/>
  <c r="AD5" i="5"/>
  <c r="AD6" i="5"/>
  <c r="AD15" i="5"/>
  <c r="AD8" i="5"/>
  <c r="AD17" i="5"/>
  <c r="AD25" i="5"/>
  <c r="AD31" i="5"/>
  <c r="AD21" i="5"/>
  <c r="AD30" i="6"/>
  <c r="Z84" i="5"/>
  <c r="H84" i="5"/>
  <c r="AE23" i="5"/>
  <c r="AE12" i="5"/>
  <c r="AE15" i="5"/>
  <c r="AE11" i="5"/>
  <c r="AE5" i="5"/>
  <c r="AE18" i="5"/>
  <c r="AE22" i="5"/>
  <c r="AE14" i="5"/>
  <c r="AE13" i="5"/>
  <c r="AE16" i="5"/>
  <c r="AE24" i="5"/>
  <c r="AE20" i="5"/>
  <c r="AE19" i="5"/>
  <c r="AE17" i="5"/>
  <c r="AE25" i="5"/>
  <c r="AD12" i="6"/>
  <c r="I46" i="40"/>
  <c r="J46" i="40" s="1"/>
  <c r="I44" i="40"/>
  <c r="J44" i="40" s="1"/>
  <c r="I43" i="40"/>
  <c r="J43" i="40" s="1"/>
  <c r="I40" i="40"/>
  <c r="J40" i="40" s="1"/>
  <c r="AE10" i="5"/>
  <c r="U84" i="5"/>
  <c r="P84" i="5"/>
  <c r="R84" i="5"/>
  <c r="S84" i="5"/>
  <c r="W84" i="5"/>
  <c r="T84" i="5"/>
  <c r="N84" i="5"/>
  <c r="V84" i="5"/>
  <c r="Q84" i="5"/>
  <c r="Y84" i="5"/>
  <c r="X84" i="5"/>
  <c r="M84" i="5"/>
  <c r="L84" i="5"/>
  <c r="K84" i="5"/>
  <c r="E38" i="40"/>
  <c r="E41" i="40"/>
  <c r="E39" i="40"/>
  <c r="E37" i="40"/>
  <c r="E33" i="40"/>
  <c r="E23" i="40"/>
  <c r="E30" i="40"/>
  <c r="E31" i="40"/>
  <c r="E35" i="40"/>
  <c r="E34" i="40"/>
  <c r="E42" i="40"/>
  <c r="S85" i="5" l="1"/>
  <c r="AE21" i="5"/>
  <c r="O84" i="5"/>
  <c r="K85" i="5" s="1"/>
  <c r="AE8" i="5"/>
  <c r="AE7" i="5"/>
  <c r="AE6" i="5"/>
  <c r="I39" i="40"/>
  <c r="J39" i="40" s="1"/>
  <c r="I30" i="40"/>
  <c r="J30" i="40" s="1"/>
  <c r="I34" i="40"/>
  <c r="J34" i="40" s="1"/>
  <c r="I42" i="40"/>
  <c r="J42" i="40" s="1"/>
  <c r="I33" i="40"/>
  <c r="J33" i="40" s="1"/>
  <c r="I41" i="40"/>
  <c r="J41" i="40" s="1"/>
  <c r="I37" i="40"/>
  <c r="J37" i="40" s="1"/>
  <c r="E48" i="40"/>
  <c r="I23" i="40"/>
  <c r="I35" i="40"/>
  <c r="J35" i="40" s="1"/>
  <c r="I38" i="40"/>
  <c r="J38" i="40" s="1"/>
  <c r="I31" i="40"/>
  <c r="J31" i="40" s="1"/>
  <c r="AD41" i="6" l="1"/>
  <c r="G17" i="36"/>
  <c r="J23" i="40"/>
  <c r="I48" i="40"/>
  <c r="J48" i="40" s="1"/>
  <c r="G84" i="5" l="1"/>
  <c r="AC80" i="5"/>
  <c r="AC84" i="5" s="1"/>
  <c r="AD80" i="5" l="1"/>
  <c r="AD84" i="5" s="1"/>
  <c r="C44" i="23" l="1"/>
  <c r="C44" i="28"/>
  <c r="C47" i="12"/>
  <c r="C46" i="12" s="1"/>
  <c r="C44" i="12"/>
  <c r="C39" i="35"/>
  <c r="C38" i="35" s="1"/>
  <c r="AB43" i="6"/>
  <c r="AB61" i="6" s="1"/>
  <c r="C47" i="23"/>
  <c r="C46" i="23" s="1"/>
  <c r="C47" i="28"/>
  <c r="C46" i="28" s="1"/>
  <c r="C39" i="23"/>
  <c r="C38" i="23" s="1"/>
  <c r="C51" i="23"/>
  <c r="C49" i="23" s="1"/>
  <c r="Y43" i="6"/>
  <c r="AC43" i="6"/>
  <c r="AC61" i="6" s="1"/>
  <c r="C51" i="46"/>
  <c r="C49" i="46" s="1"/>
  <c r="C31" i="46"/>
  <c r="C12" i="46"/>
  <c r="C35" i="46"/>
  <c r="C43" i="12"/>
  <c r="C51" i="10"/>
  <c r="C49" i="10" s="1"/>
  <c r="C22" i="46"/>
  <c r="C5" i="46"/>
  <c r="C51" i="18"/>
  <c r="C49" i="18" s="1"/>
  <c r="C43" i="46"/>
  <c r="C43" i="23"/>
  <c r="C39" i="10"/>
  <c r="C38" i="10" l="1"/>
  <c r="C42" i="23"/>
  <c r="C42" i="12"/>
  <c r="C43" i="28"/>
  <c r="C42" i="28" s="1"/>
  <c r="C51" i="33"/>
  <c r="C20" i="38"/>
  <c r="C49" i="33" l="1"/>
  <c r="C17" i="28"/>
  <c r="C39" i="46"/>
  <c r="C11" i="38"/>
  <c r="C38" i="46" l="1"/>
  <c r="C8" i="28"/>
  <c r="C39" i="12"/>
  <c r="AA43" i="6"/>
  <c r="AA61" i="6" s="1"/>
  <c r="C7" i="38"/>
  <c r="C38" i="12" l="1"/>
  <c r="C36" i="28"/>
  <c r="C19" i="38"/>
  <c r="C26" i="28" l="1"/>
  <c r="C14" i="38"/>
  <c r="C35" i="28" l="1"/>
  <c r="C18" i="38"/>
  <c r="C34" i="28" l="1"/>
  <c r="C16" i="28"/>
  <c r="C10" i="38"/>
  <c r="C23" i="28" l="1"/>
  <c r="C28" i="38"/>
  <c r="C51" i="28" l="1"/>
  <c r="C21" i="38"/>
  <c r="C49" i="28" l="1"/>
  <c r="C13" i="28"/>
  <c r="C8" i="38"/>
  <c r="C25" i="28" l="1"/>
  <c r="C27" i="38"/>
  <c r="C22" i="28" l="1"/>
  <c r="C13" i="38"/>
  <c r="C18" i="28" l="1"/>
  <c r="C12" i="38"/>
  <c r="C6" i="28" l="1"/>
  <c r="C5" i="38"/>
  <c r="C7" i="28" l="1"/>
  <c r="C6" i="38"/>
  <c r="C31" i="28" l="1"/>
  <c r="C16" i="38"/>
  <c r="C32" i="28" l="1"/>
  <c r="C17" i="38"/>
  <c r="C30" i="28" l="1"/>
  <c r="C28" i="28"/>
  <c r="C35" i="25"/>
  <c r="C51" i="19"/>
  <c r="C49" i="19" s="1"/>
  <c r="Z43" i="6"/>
  <c r="Z61" i="6" s="1"/>
  <c r="C15" i="38"/>
  <c r="C15" i="28" l="1"/>
  <c r="C9" i="38"/>
  <c r="C12" i="28" l="1"/>
  <c r="C26" i="38"/>
  <c r="C29" i="38" l="1"/>
  <c r="C5" i="28"/>
  <c r="C4" i="38"/>
  <c r="C4" i="28" l="1"/>
  <c r="E29" i="38"/>
  <c r="F29" i="38" s="1"/>
  <c r="C22" i="38"/>
  <c r="C31" i="10"/>
  <c r="C35" i="42"/>
  <c r="C5" i="10"/>
  <c r="C12" i="42"/>
  <c r="C57" i="46"/>
  <c r="C24" i="46"/>
  <c r="C12" i="32"/>
  <c r="C22" i="42"/>
  <c r="C18" i="25"/>
  <c r="C31" i="41"/>
  <c r="C5" i="35"/>
  <c r="C35" i="10"/>
  <c r="C16" i="46"/>
  <c r="C43" i="19"/>
  <c r="C5" i="9"/>
  <c r="C5" i="12"/>
  <c r="C5" i="36"/>
  <c r="C22" i="19"/>
  <c r="C5" i="33"/>
  <c r="C22" i="9"/>
  <c r="C22" i="25"/>
  <c r="C12" i="35"/>
  <c r="C56" i="46"/>
  <c r="C23" i="25"/>
  <c r="C52" i="46"/>
  <c r="C12" i="19"/>
  <c r="C39" i="28"/>
  <c r="C38" i="28" s="1"/>
  <c r="C22" i="12"/>
  <c r="C22" i="18"/>
  <c r="C5" i="41"/>
  <c r="C8" i="46"/>
  <c r="C8" i="25"/>
  <c r="C12" i="10"/>
  <c r="C6" i="23"/>
  <c r="C22" i="8"/>
  <c r="C42" i="24"/>
  <c r="C36" i="23"/>
  <c r="C15" i="23"/>
  <c r="C57" i="28"/>
  <c r="C47" i="18"/>
  <c r="C56" i="33"/>
  <c r="C47" i="10"/>
  <c r="C46" i="10" s="1"/>
  <c r="C24" i="28"/>
  <c r="C39" i="42"/>
  <c r="C38" i="42" s="1"/>
  <c r="C13" i="32"/>
  <c r="C14" i="32"/>
  <c r="C43" i="32"/>
  <c r="C27" i="42"/>
  <c r="C44" i="41"/>
  <c r="C7" i="41"/>
  <c r="C36" i="35"/>
  <c r="C26" i="35"/>
  <c r="C32" i="12"/>
  <c r="C51" i="41"/>
  <c r="C49" i="41" s="1"/>
  <c r="C44" i="10"/>
  <c r="C26" i="10"/>
  <c r="C58" i="10"/>
  <c r="G48" i="36"/>
  <c r="C35" i="33"/>
  <c r="C54" i="36"/>
  <c r="C53" i="36" s="1"/>
  <c r="C47" i="9"/>
  <c r="C46" i="9" s="1"/>
  <c r="C47" i="35"/>
  <c r="C46" i="35" s="1"/>
  <c r="C39" i="41"/>
  <c r="C38" i="41" s="1"/>
  <c r="C26" i="32"/>
  <c r="C58" i="32"/>
  <c r="C57" i="32"/>
  <c r="C18" i="42"/>
  <c r="C17" i="42"/>
  <c r="C57" i="41"/>
  <c r="C15" i="41"/>
  <c r="C17" i="35"/>
  <c r="C18" i="35"/>
  <c r="C25" i="9"/>
  <c r="C8" i="35"/>
  <c r="C44" i="9"/>
  <c r="C58" i="9"/>
  <c r="C58" i="12"/>
  <c r="C56" i="36"/>
  <c r="C20" i="36"/>
  <c r="C38" i="36"/>
  <c r="C31" i="19"/>
  <c r="C24" i="19"/>
  <c r="C27" i="19"/>
  <c r="C6" i="33"/>
  <c r="C28" i="33"/>
  <c r="C47" i="25"/>
  <c r="C46" i="25" s="1"/>
  <c r="C47" i="32"/>
  <c r="C44" i="42"/>
  <c r="C13" i="41"/>
  <c r="C43" i="42"/>
  <c r="C13" i="42"/>
  <c r="C32" i="35"/>
  <c r="C52" i="41"/>
  <c r="C18" i="41"/>
  <c r="C35" i="35"/>
  <c r="C43" i="25"/>
  <c r="C51" i="12"/>
  <c r="C15" i="12"/>
  <c r="C28" i="12"/>
  <c r="C16" i="12"/>
  <c r="C39" i="18"/>
  <c r="C38" i="18" s="1"/>
  <c r="C8" i="18"/>
  <c r="C58" i="18"/>
  <c r="C50" i="36"/>
  <c r="C16" i="36"/>
  <c r="C15" i="36"/>
  <c r="C47" i="19"/>
  <c r="C46" i="19" s="1"/>
  <c r="C6" i="32"/>
  <c r="C27" i="28"/>
  <c r="C8" i="32"/>
  <c r="C58" i="42"/>
  <c r="C32" i="32"/>
  <c r="C51" i="35"/>
  <c r="C49" i="35" s="1"/>
  <c r="C18" i="9"/>
  <c r="C15" i="35"/>
  <c r="C25" i="12"/>
  <c r="C24" i="12"/>
  <c r="C29" i="36"/>
  <c r="C7" i="36"/>
  <c r="C14" i="36"/>
  <c r="C43" i="36"/>
  <c r="C39" i="19"/>
  <c r="C38" i="19" s="1"/>
  <c r="C26" i="19"/>
  <c r="C17" i="33"/>
  <c r="C7" i="33"/>
  <c r="C15" i="19"/>
  <c r="C56" i="43"/>
  <c r="C47" i="13"/>
  <c r="C47" i="8"/>
  <c r="C27" i="8"/>
  <c r="C51" i="13"/>
  <c r="C47" i="22"/>
  <c r="C31" i="12"/>
  <c r="C28" i="36"/>
  <c r="C56" i="25"/>
  <c r="C14" i="9"/>
  <c r="C23" i="41"/>
  <c r="C13" i="10"/>
  <c r="C6" i="10"/>
  <c r="C16" i="18"/>
  <c r="C35" i="9"/>
  <c r="C13" i="9"/>
  <c r="C31" i="42"/>
  <c r="C47" i="33"/>
  <c r="C58" i="41"/>
  <c r="C15" i="10"/>
  <c r="C24" i="10"/>
  <c r="C27" i="18"/>
  <c r="C6" i="8"/>
  <c r="C44" i="19"/>
  <c r="C16" i="33"/>
  <c r="C7" i="13"/>
  <c r="C13" i="13"/>
  <c r="C25" i="22"/>
  <c r="C37" i="36"/>
  <c r="C5" i="42"/>
  <c r="C32" i="13"/>
  <c r="C12" i="18"/>
  <c r="C12" i="13"/>
  <c r="C22" i="32"/>
  <c r="C5" i="19"/>
  <c r="C43" i="9"/>
  <c r="C39" i="25"/>
  <c r="C38" i="25" s="1"/>
  <c r="C43" i="33"/>
  <c r="C8" i="8"/>
  <c r="C12" i="33"/>
  <c r="C22" i="10"/>
  <c r="C24" i="36"/>
  <c r="C22" i="41"/>
  <c r="C27" i="46"/>
  <c r="C25" i="46"/>
  <c r="C58" i="46"/>
  <c r="C22" i="35"/>
  <c r="C12" i="9"/>
  <c r="C5" i="18"/>
  <c r="C43" i="18"/>
  <c r="C47" i="46"/>
  <c r="C46" i="46" s="1"/>
  <c r="C5" i="32"/>
  <c r="C25" i="13"/>
  <c r="C51" i="9"/>
  <c r="C49" i="9" s="1"/>
  <c r="C23" i="46"/>
  <c r="C7" i="46"/>
  <c r="C22" i="33"/>
  <c r="C39" i="32"/>
  <c r="C38" i="32" s="1"/>
  <c r="C43" i="10"/>
  <c r="C31" i="18"/>
  <c r="C12" i="25"/>
  <c r="C12" i="12"/>
  <c r="C12" i="41"/>
  <c r="C44" i="46"/>
  <c r="C42" i="46" s="1"/>
  <c r="C31" i="35"/>
  <c r="C30" i="35" s="1"/>
  <c r="C12" i="36"/>
  <c r="C57" i="33"/>
  <c r="C25" i="25"/>
  <c r="C47" i="24"/>
  <c r="C8" i="22"/>
  <c r="C28" i="23"/>
  <c r="C26" i="23"/>
  <c r="C56" i="9"/>
  <c r="C14" i="22"/>
  <c r="C22" i="23"/>
  <c r="C24" i="23"/>
  <c r="C17" i="23"/>
  <c r="C5" i="25"/>
  <c r="C5" i="23"/>
  <c r="C35" i="8"/>
  <c r="C18" i="23"/>
  <c r="C16" i="23"/>
  <c r="C31" i="23"/>
  <c r="C23" i="23"/>
  <c r="C47" i="42"/>
  <c r="C46" i="42" s="1"/>
  <c r="C56" i="28"/>
  <c r="C56" i="41"/>
  <c r="C56" i="32"/>
  <c r="C51" i="25"/>
  <c r="C51" i="22"/>
  <c r="C49" i="22" s="1"/>
  <c r="C15" i="32"/>
  <c r="C35" i="32"/>
  <c r="C16" i="41"/>
  <c r="C43" i="35"/>
  <c r="C28" i="35"/>
  <c r="C7" i="9"/>
  <c r="C32" i="9"/>
  <c r="C57" i="12"/>
  <c r="C26" i="9"/>
  <c r="C52" i="9"/>
  <c r="C56" i="13"/>
  <c r="C58" i="13"/>
  <c r="C39" i="22"/>
  <c r="C36" i="18"/>
  <c r="C32" i="18"/>
  <c r="C6" i="18"/>
  <c r="C6" i="36"/>
  <c r="C34" i="36"/>
  <c r="C35" i="19"/>
  <c r="C39" i="33"/>
  <c r="C38" i="33" s="1"/>
  <c r="C24" i="33"/>
  <c r="C56" i="42"/>
  <c r="C56" i="18"/>
  <c r="C7" i="32"/>
  <c r="C26" i="42"/>
  <c r="C51" i="42"/>
  <c r="C49" i="42" s="1"/>
  <c r="C25" i="41"/>
  <c r="C26" i="12"/>
  <c r="C35" i="12"/>
  <c r="C27" i="9"/>
  <c r="C57" i="9"/>
  <c r="C32" i="10"/>
  <c r="C17" i="10"/>
  <c r="C14" i="10"/>
  <c r="C57" i="18"/>
  <c r="C13" i="18"/>
  <c r="C14" i="18"/>
  <c r="C31" i="33"/>
  <c r="C23" i="19"/>
  <c r="C58" i="33"/>
  <c r="C14" i="33"/>
  <c r="C47" i="41"/>
  <c r="C18" i="32"/>
  <c r="C17" i="25"/>
  <c r="C25" i="35"/>
  <c r="C36" i="9"/>
  <c r="C39" i="9"/>
  <c r="C38" i="9" s="1"/>
  <c r="C17" i="12"/>
  <c r="C43" i="22"/>
  <c r="C16" i="10"/>
  <c r="C8" i="10"/>
  <c r="C46" i="36"/>
  <c r="C15" i="8"/>
  <c r="C25" i="8"/>
  <c r="C13" i="19"/>
  <c r="C8" i="33"/>
  <c r="C32" i="42"/>
  <c r="C51" i="32"/>
  <c r="C25" i="42"/>
  <c r="C23" i="42"/>
  <c r="C35" i="41"/>
  <c r="C8" i="41"/>
  <c r="C14" i="41"/>
  <c r="C7" i="35"/>
  <c r="C23" i="10"/>
  <c r="C36" i="10"/>
  <c r="C7" i="10"/>
  <c r="C24" i="18"/>
  <c r="C25" i="18"/>
  <c r="C26" i="18"/>
  <c r="C22" i="22"/>
  <c r="C18" i="19"/>
  <c r="C8" i="19"/>
  <c r="C27" i="33"/>
  <c r="C13" i="33"/>
  <c r="C14" i="8"/>
  <c r="C16" i="13"/>
  <c r="C23" i="13"/>
  <c r="C44" i="8"/>
  <c r="C8" i="13"/>
  <c r="C24" i="8"/>
  <c r="C28" i="13"/>
  <c r="C23" i="8"/>
  <c r="C6" i="13"/>
  <c r="C28" i="22"/>
  <c r="C44" i="22"/>
  <c r="C17" i="22"/>
  <c r="C13" i="22"/>
  <c r="C17" i="13"/>
  <c r="C18" i="22"/>
  <c r="C36" i="22"/>
  <c r="C5" i="13"/>
  <c r="C6" i="46"/>
  <c r="C14" i="46"/>
  <c r="C27" i="13"/>
  <c r="C28" i="46"/>
  <c r="C26" i="46"/>
  <c r="C26" i="13"/>
  <c r="C17" i="46"/>
  <c r="C15" i="46"/>
  <c r="C13" i="23"/>
  <c r="C43" i="13"/>
  <c r="C35" i="13"/>
  <c r="C22" i="13"/>
  <c r="C12" i="23"/>
  <c r="C8" i="23"/>
  <c r="C56" i="19"/>
  <c r="C6" i="42"/>
  <c r="C31" i="9"/>
  <c r="C7" i="12"/>
  <c r="C7" i="18"/>
  <c r="C18" i="18"/>
  <c r="C43" i="8"/>
  <c r="C58" i="8"/>
  <c r="C56" i="10"/>
  <c r="C58" i="28"/>
  <c r="C26" i="8"/>
  <c r="C27" i="10"/>
  <c r="C25" i="10"/>
  <c r="C31" i="22"/>
  <c r="C23" i="12"/>
  <c r="C18" i="10"/>
  <c r="C35" i="18"/>
  <c r="C35" i="22"/>
  <c r="C25" i="19"/>
  <c r="C17" i="8"/>
  <c r="C32" i="8"/>
  <c r="C15" i="22"/>
  <c r="C5" i="8"/>
  <c r="C31" i="13"/>
  <c r="C36" i="25"/>
  <c r="C34" i="25" s="1"/>
  <c r="C18" i="46"/>
  <c r="C36" i="46"/>
  <c r="C34" i="46" s="1"/>
  <c r="C13" i="46"/>
  <c r="C39" i="13"/>
  <c r="C56" i="23"/>
  <c r="G55" i="23" s="1"/>
  <c r="C56" i="35"/>
  <c r="C31" i="25"/>
  <c r="C16" i="25"/>
  <c r="C14" i="23"/>
  <c r="C7" i="25"/>
  <c r="C28" i="25"/>
  <c r="C6" i="25"/>
  <c r="C15" i="25"/>
  <c r="C52" i="24"/>
  <c r="C35" i="23"/>
  <c r="C7" i="23"/>
  <c r="C27" i="23"/>
  <c r="C32" i="25"/>
  <c r="C56" i="12"/>
  <c r="C23" i="32"/>
  <c r="C24" i="42"/>
  <c r="C44" i="32"/>
  <c r="C8" i="42"/>
  <c r="C43" i="41"/>
  <c r="C28" i="41"/>
  <c r="C24" i="9"/>
  <c r="C13" i="35"/>
  <c r="C13" i="12"/>
  <c r="C52" i="10"/>
  <c r="C57" i="10"/>
  <c r="C28" i="18"/>
  <c r="C26" i="22"/>
  <c r="C51" i="8"/>
  <c r="C36" i="42"/>
  <c r="C6" i="41"/>
  <c r="C25" i="32"/>
  <c r="C27" i="41"/>
  <c r="C15" i="42"/>
  <c r="C14" i="25"/>
  <c r="C16" i="35"/>
  <c r="C17" i="9"/>
  <c r="C27" i="25"/>
  <c r="C23" i="35"/>
  <c r="C14" i="12"/>
  <c r="C26" i="36"/>
  <c r="C17" i="36"/>
  <c r="C7" i="22"/>
  <c r="C17" i="19"/>
  <c r="C28" i="19"/>
  <c r="C14" i="19"/>
  <c r="C23" i="33"/>
  <c r="C36" i="33"/>
  <c r="C24" i="32"/>
  <c r="C52" i="42"/>
  <c r="C57" i="42"/>
  <c r="C16" i="42"/>
  <c r="C24" i="41"/>
  <c r="C32" i="41"/>
  <c r="C27" i="35"/>
  <c r="C16" i="9"/>
  <c r="C6" i="35"/>
  <c r="C6" i="12"/>
  <c r="C13" i="8"/>
  <c r="C23" i="9"/>
  <c r="C17" i="18"/>
  <c r="C33" i="36"/>
  <c r="C51" i="36"/>
  <c r="C7" i="42"/>
  <c r="C26" i="41"/>
  <c r="C28" i="32"/>
  <c r="C17" i="32"/>
  <c r="C31" i="32"/>
  <c r="C28" i="9"/>
  <c r="C24" i="25"/>
  <c r="C6" i="9"/>
  <c r="C18" i="12"/>
  <c r="C27" i="12"/>
  <c r="C15" i="9"/>
  <c r="C41" i="36"/>
  <c r="C18" i="36"/>
  <c r="C8" i="36"/>
  <c r="C39" i="8"/>
  <c r="C16" i="22"/>
  <c r="C26" i="33"/>
  <c r="C6" i="19"/>
  <c r="C32" i="19"/>
  <c r="C56" i="44"/>
  <c r="C28" i="8"/>
  <c r="C7" i="8"/>
  <c r="C15" i="13"/>
  <c r="C18" i="8"/>
  <c r="C57" i="8"/>
  <c r="C36" i="13"/>
  <c r="C14" i="13"/>
  <c r="C31" i="8"/>
  <c r="C16" i="8"/>
  <c r="C24" i="22"/>
  <c r="C23" i="22"/>
  <c r="C32" i="46"/>
  <c r="C30" i="46" s="1"/>
  <c r="C14" i="35"/>
  <c r="C13" i="25"/>
  <c r="C25" i="23"/>
  <c r="C26" i="25"/>
  <c r="C32" i="23"/>
  <c r="C56" i="22"/>
  <c r="C16" i="32"/>
  <c r="C44" i="35"/>
  <c r="C24" i="35"/>
  <c r="C57" i="13"/>
  <c r="C44" i="18"/>
  <c r="C32" i="22"/>
  <c r="C31" i="36"/>
  <c r="C12" i="22"/>
  <c r="C5" i="22"/>
  <c r="C36" i="19"/>
  <c r="C25" i="33"/>
  <c r="C44" i="25"/>
  <c r="C36" i="12"/>
  <c r="C8" i="9"/>
  <c r="C28" i="10"/>
  <c r="C15" i="18"/>
  <c r="C32" i="33"/>
  <c r="C7" i="19"/>
  <c r="C16" i="19"/>
  <c r="C44" i="33"/>
  <c r="C15" i="33"/>
  <c r="C36" i="32"/>
  <c r="C27" i="32"/>
  <c r="C6" i="22"/>
  <c r="C18" i="33"/>
  <c r="C14" i="28"/>
  <c r="C11" i="28" s="1"/>
  <c r="C14" i="42"/>
  <c r="C28" i="42"/>
  <c r="C36" i="41"/>
  <c r="C17" i="41"/>
  <c r="C23" i="18"/>
  <c r="C18" i="13"/>
  <c r="C12" i="8"/>
  <c r="C36" i="8"/>
  <c r="C24" i="13"/>
  <c r="C44" i="13"/>
  <c r="C27" i="22"/>
  <c r="C30" i="38"/>
  <c r="C30" i="32" l="1"/>
  <c r="C30" i="19"/>
  <c r="C40" i="36"/>
  <c r="C42" i="41"/>
  <c r="C56" i="47"/>
  <c r="C42" i="25"/>
  <c r="C34" i="23"/>
  <c r="C11" i="36"/>
  <c r="C39" i="44"/>
  <c r="C38" i="44" s="1"/>
  <c r="C42" i="35"/>
  <c r="G55" i="22"/>
  <c r="C64" i="45"/>
  <c r="C43" i="44"/>
  <c r="B7" i="30"/>
  <c r="C57" i="43"/>
  <c r="C57" i="47" s="1"/>
  <c r="B53" i="30"/>
  <c r="B54" i="31" s="1"/>
  <c r="B25" i="29"/>
  <c r="C4" i="46"/>
  <c r="C42" i="9"/>
  <c r="C22" i="44"/>
  <c r="C5" i="44"/>
  <c r="B55" i="30"/>
  <c r="C30" i="18"/>
  <c r="C24" i="44"/>
  <c r="C23" i="44"/>
  <c r="C4" i="12"/>
  <c r="B13" i="30"/>
  <c r="C16" i="43"/>
  <c r="B5" i="29"/>
  <c r="C44" i="43"/>
  <c r="B43" i="29"/>
  <c r="C11" i="46"/>
  <c r="B12" i="29"/>
  <c r="B32" i="29"/>
  <c r="C42" i="42"/>
  <c r="C14" i="44"/>
  <c r="C34" i="18"/>
  <c r="C7" i="43"/>
  <c r="B15" i="30"/>
  <c r="B31" i="29"/>
  <c r="B39" i="29"/>
  <c r="C36" i="43"/>
  <c r="C18" i="43"/>
  <c r="C23" i="43"/>
  <c r="C12" i="44"/>
  <c r="C27" i="44"/>
  <c r="B26" i="30"/>
  <c r="C28" i="43"/>
  <c r="B5" i="30"/>
  <c r="B57" i="30" s="1"/>
  <c r="G41" i="22"/>
  <c r="G60" i="22" s="1"/>
  <c r="H4" i="22" s="1"/>
  <c r="C4" i="22"/>
  <c r="C13" i="43"/>
  <c r="B6" i="30"/>
  <c r="C21" i="41"/>
  <c r="B28" i="30"/>
  <c r="C51" i="43"/>
  <c r="B48" i="29"/>
  <c r="B49" i="31" s="1"/>
  <c r="C49" i="8"/>
  <c r="C42" i="32"/>
  <c r="C31" i="44"/>
  <c r="C26" i="44"/>
  <c r="C11" i="8"/>
  <c r="C12" i="43"/>
  <c r="B36" i="30"/>
  <c r="C4" i="19"/>
  <c r="C11" i="9"/>
  <c r="B15" i="29"/>
  <c r="C17" i="43"/>
  <c r="C11" i="12"/>
  <c r="C28" i="44"/>
  <c r="B16" i="29"/>
  <c r="C30" i="8"/>
  <c r="C31" i="43"/>
  <c r="B18" i="29"/>
  <c r="B28" i="29"/>
  <c r="C38" i="8"/>
  <c r="C39" i="43"/>
  <c r="C30" i="41"/>
  <c r="C32" i="43"/>
  <c r="C21" i="35"/>
  <c r="C4" i="41"/>
  <c r="C21" i="32"/>
  <c r="C24" i="43"/>
  <c r="C16" i="44"/>
  <c r="C34" i="41"/>
  <c r="B36" i="29"/>
  <c r="C44" i="44"/>
  <c r="C18" i="44"/>
  <c r="C11" i="22"/>
  <c r="C36" i="44"/>
  <c r="B54" i="29"/>
  <c r="C15" i="44"/>
  <c r="B7" i="29"/>
  <c r="B13" i="29"/>
  <c r="B16" i="30"/>
  <c r="B32" i="30"/>
  <c r="B31" i="30"/>
  <c r="C30" i="22"/>
  <c r="C26" i="43"/>
  <c r="C58" i="43"/>
  <c r="C11" i="23"/>
  <c r="C17" i="44"/>
  <c r="C21" i="22"/>
  <c r="C34" i="12"/>
  <c r="C34" i="32"/>
  <c r="C35" i="43"/>
  <c r="C30" i="25"/>
  <c r="C38" i="13"/>
  <c r="C4" i="8"/>
  <c r="C5" i="43"/>
  <c r="C42" i="8"/>
  <c r="C43" i="43"/>
  <c r="C30" i="9"/>
  <c r="B17" i="31"/>
  <c r="C45" i="36"/>
  <c r="C42" i="22"/>
  <c r="B39" i="30"/>
  <c r="C21" i="23"/>
  <c r="B25" i="30"/>
  <c r="C11" i="25"/>
  <c r="C30" i="13"/>
  <c r="C35" i="44"/>
  <c r="B23" i="29"/>
  <c r="C34" i="22"/>
  <c r="C49" i="32"/>
  <c r="C46" i="41"/>
  <c r="C21" i="19"/>
  <c r="B54" i="30"/>
  <c r="C56" i="24"/>
  <c r="C25" i="44"/>
  <c r="C4" i="18"/>
  <c r="C21" i="33"/>
  <c r="G41" i="23"/>
  <c r="B26" i="29"/>
  <c r="B55" i="29"/>
  <c r="C21" i="13"/>
  <c r="C34" i="13"/>
  <c r="C42" i="13"/>
  <c r="C4" i="13"/>
  <c r="C6" i="44"/>
  <c r="C8" i="44"/>
  <c r="C14" i="43"/>
  <c r="B23" i="31"/>
  <c r="C15" i="43"/>
  <c r="C30" i="33"/>
  <c r="C4" i="36"/>
  <c r="B12" i="30"/>
  <c r="C42" i="10"/>
  <c r="C4" i="32"/>
  <c r="C42" i="18"/>
  <c r="C21" i="10"/>
  <c r="C32" i="44"/>
  <c r="C6" i="43"/>
  <c r="C11" i="19"/>
  <c r="C13" i="44"/>
  <c r="C34" i="19"/>
  <c r="C49" i="25"/>
  <c r="C30" i="23"/>
  <c r="C34" i="8"/>
  <c r="B35" i="29"/>
  <c r="C4" i="23"/>
  <c r="C11" i="41"/>
  <c r="C11" i="33"/>
  <c r="C11" i="13"/>
  <c r="C4" i="42"/>
  <c r="C7" i="44"/>
  <c r="C25" i="43"/>
  <c r="C21" i="46"/>
  <c r="C8" i="43"/>
  <c r="B8" i="29"/>
  <c r="C30" i="42"/>
  <c r="C38" i="22"/>
  <c r="C4" i="25"/>
  <c r="C23" i="36"/>
  <c r="C42" i="33"/>
  <c r="C11" i="18"/>
  <c r="C27" i="43"/>
  <c r="C46" i="22"/>
  <c r="C49" i="13"/>
  <c r="C46" i="8"/>
  <c r="C46" i="13"/>
  <c r="B35" i="30"/>
  <c r="C46" i="32"/>
  <c r="B18" i="30"/>
  <c r="C21" i="18"/>
  <c r="C36" i="36"/>
  <c r="C46" i="33"/>
  <c r="C34" i="9"/>
  <c r="C4" i="10"/>
  <c r="C30" i="12"/>
  <c r="C49" i="36"/>
  <c r="C21" i="12"/>
  <c r="B23" i="30"/>
  <c r="C34" i="10"/>
  <c r="C21" i="42"/>
  <c r="B6" i="29"/>
  <c r="C22" i="43"/>
  <c r="C11" i="32"/>
  <c r="C11" i="10"/>
  <c r="C51" i="44"/>
  <c r="C47" i="43"/>
  <c r="C47" i="44"/>
  <c r="C49" i="12"/>
  <c r="C34" i="35"/>
  <c r="C34" i="33"/>
  <c r="C11" i="35"/>
  <c r="C34" i="42"/>
  <c r="C21" i="28"/>
  <c r="C60" i="28" s="1"/>
  <c r="C46" i="18"/>
  <c r="B44" i="31"/>
  <c r="B8" i="30"/>
  <c r="C21" i="25"/>
  <c r="C21" i="9"/>
  <c r="C4" i="33"/>
  <c r="C4" i="35"/>
  <c r="C11" i="42"/>
  <c r="C30" i="10"/>
  <c r="C21" i="8"/>
  <c r="C4" i="9"/>
  <c r="C42" i="19"/>
  <c r="C22" i="47" l="1"/>
  <c r="C8" i="47"/>
  <c r="G63" i="45"/>
  <c r="G49" i="45" s="1"/>
  <c r="C55" i="49"/>
  <c r="G54" i="49" s="1"/>
  <c r="G40" i="49" s="1"/>
  <c r="C14" i="47"/>
  <c r="C25" i="47"/>
  <c r="C24" i="47"/>
  <c r="C12" i="47"/>
  <c r="C6" i="47"/>
  <c r="C31" i="47"/>
  <c r="C27" i="47"/>
  <c r="C5" i="47"/>
  <c r="C32" i="47"/>
  <c r="C28" i="47"/>
  <c r="C16" i="47"/>
  <c r="C47" i="47"/>
  <c r="C15" i="47"/>
  <c r="C23" i="47"/>
  <c r="C43" i="47"/>
  <c r="C39" i="47"/>
  <c r="C51" i="47"/>
  <c r="C18" i="47"/>
  <c r="C26" i="47"/>
  <c r="C17" i="47"/>
  <c r="C36" i="47"/>
  <c r="C7" i="47"/>
  <c r="C35" i="47"/>
  <c r="C13" i="47"/>
  <c r="C44" i="47"/>
  <c r="C26" i="49"/>
  <c r="G60" i="23"/>
  <c r="H41" i="23" s="1"/>
  <c r="G16" i="8"/>
  <c r="C15" i="45"/>
  <c r="C14" i="49" s="1"/>
  <c r="C42" i="44"/>
  <c r="D42" i="24"/>
  <c r="C51" i="45"/>
  <c r="C36" i="30"/>
  <c r="C34" i="30" s="1"/>
  <c r="C17" i="45"/>
  <c r="C16" i="49" s="1"/>
  <c r="G16" i="9"/>
  <c r="G4" i="9" s="1"/>
  <c r="G16" i="25"/>
  <c r="G4" i="25" s="1"/>
  <c r="C13" i="30"/>
  <c r="C11" i="30" s="1"/>
  <c r="C5" i="45"/>
  <c r="C43" i="45"/>
  <c r="C26" i="45"/>
  <c r="C22" i="49" s="1"/>
  <c r="B12" i="31"/>
  <c r="C52" i="45"/>
  <c r="C16" i="45"/>
  <c r="C15" i="49" s="1"/>
  <c r="C25" i="30"/>
  <c r="B13" i="31"/>
  <c r="G16" i="42"/>
  <c r="G4" i="42" s="1"/>
  <c r="B27" i="31"/>
  <c r="G43" i="30"/>
  <c r="C31" i="45"/>
  <c r="C25" i="49" s="1"/>
  <c r="C32" i="30"/>
  <c r="C29" i="45"/>
  <c r="C24" i="49" s="1"/>
  <c r="C60" i="46"/>
  <c r="D5" i="46" s="1"/>
  <c r="C60" i="41"/>
  <c r="D57" i="41" s="1"/>
  <c r="C22" i="30"/>
  <c r="C21" i="30" s="1"/>
  <c r="C16" i="30"/>
  <c r="C6" i="30"/>
  <c r="C4" i="30" s="1"/>
  <c r="G16" i="32"/>
  <c r="C57" i="45"/>
  <c r="C31" i="30"/>
  <c r="C30" i="30" s="1"/>
  <c r="B37" i="31"/>
  <c r="C28" i="30"/>
  <c r="C34" i="45"/>
  <c r="C27" i="49" s="1"/>
  <c r="B4" i="29"/>
  <c r="C60" i="19"/>
  <c r="D22" i="19" s="1"/>
  <c r="C60" i="25"/>
  <c r="D23" i="25" s="1"/>
  <c r="C37" i="45"/>
  <c r="C67" i="36"/>
  <c r="B16" i="31"/>
  <c r="C15" i="30"/>
  <c r="C60" i="18"/>
  <c r="D22" i="18" s="1"/>
  <c r="C60" i="35"/>
  <c r="D26" i="35" s="1"/>
  <c r="C60" i="9"/>
  <c r="H44" i="9" s="1"/>
  <c r="B8" i="31"/>
  <c r="B33" i="31"/>
  <c r="C53" i="30"/>
  <c r="C7" i="30"/>
  <c r="C60" i="12"/>
  <c r="D22" i="12" s="1"/>
  <c r="C60" i="10"/>
  <c r="D39" i="10" s="1"/>
  <c r="B30" i="31"/>
  <c r="B15" i="31"/>
  <c r="C20" i="45"/>
  <c r="C18" i="49" s="1"/>
  <c r="C18" i="45"/>
  <c r="C17" i="49" s="1"/>
  <c r="C26" i="30"/>
  <c r="C60" i="32"/>
  <c r="D12" i="32" s="1"/>
  <c r="C60" i="42"/>
  <c r="D35" i="42" s="1"/>
  <c r="C60" i="33"/>
  <c r="H49" i="33" s="1"/>
  <c r="C60" i="23"/>
  <c r="C61" i="23" s="1"/>
  <c r="B25" i="31"/>
  <c r="C60" i="22"/>
  <c r="C41" i="45"/>
  <c r="C34" i="49" s="1"/>
  <c r="C33" i="49" s="1"/>
  <c r="G16" i="28"/>
  <c r="B5" i="31"/>
  <c r="B58" i="31" s="1"/>
  <c r="C54" i="31" s="1"/>
  <c r="D43" i="28"/>
  <c r="D17" i="28"/>
  <c r="D8" i="28"/>
  <c r="D36" i="28"/>
  <c r="D26" i="28"/>
  <c r="D35" i="28"/>
  <c r="D16" i="28"/>
  <c r="D23" i="28"/>
  <c r="D51" i="28"/>
  <c r="D13" i="28"/>
  <c r="D25" i="28"/>
  <c r="D22" i="28"/>
  <c r="D18" i="28"/>
  <c r="D6" i="28"/>
  <c r="D7" i="28"/>
  <c r="D31" i="28"/>
  <c r="D32" i="28"/>
  <c r="D28" i="28"/>
  <c r="D15" i="28"/>
  <c r="D12" i="28"/>
  <c r="D5" i="28"/>
  <c r="D24" i="28"/>
  <c r="D27" i="28"/>
  <c r="H44" i="28"/>
  <c r="C61" i="28"/>
  <c r="H49" i="28"/>
  <c r="D58" i="28"/>
  <c r="D39" i="28"/>
  <c r="D56" i="28"/>
  <c r="D14" i="28"/>
  <c r="D57" i="28"/>
  <c r="C4" i="44"/>
  <c r="C8" i="45"/>
  <c r="C8" i="49" s="1"/>
  <c r="C28" i="45"/>
  <c r="C23" i="49" s="1"/>
  <c r="C30" i="43"/>
  <c r="C14" i="45"/>
  <c r="C13" i="49" s="1"/>
  <c r="G16" i="33"/>
  <c r="C11" i="43"/>
  <c r="G16" i="12"/>
  <c r="G16" i="41"/>
  <c r="B28" i="31"/>
  <c r="C46" i="44"/>
  <c r="B57" i="29"/>
  <c r="C26" i="29" s="1"/>
  <c r="C11" i="44"/>
  <c r="D47" i="24"/>
  <c r="G16" i="18"/>
  <c r="G16" i="10"/>
  <c r="B18" i="31"/>
  <c r="F53" i="31"/>
  <c r="C60" i="8"/>
  <c r="B42" i="30"/>
  <c r="B34" i="31"/>
  <c r="C12" i="45"/>
  <c r="C46" i="43"/>
  <c r="C55" i="45"/>
  <c r="C21" i="43"/>
  <c r="G16" i="46"/>
  <c r="C42" i="43"/>
  <c r="C4" i="43"/>
  <c r="G16" i="35"/>
  <c r="C38" i="43"/>
  <c r="C38" i="47" s="1"/>
  <c r="C47" i="45"/>
  <c r="C45" i="45" s="1"/>
  <c r="G16" i="19"/>
  <c r="C6" i="45"/>
  <c r="C6" i="49" s="1"/>
  <c r="B36" i="31"/>
  <c r="C7" i="45"/>
  <c r="C7" i="49" s="1"/>
  <c r="C49" i="44"/>
  <c r="B6" i="31"/>
  <c r="C60" i="13"/>
  <c r="C57" i="24"/>
  <c r="C34" i="44"/>
  <c r="C34" i="43"/>
  <c r="C24" i="45"/>
  <c r="C21" i="49" s="1"/>
  <c r="D52" i="24"/>
  <c r="G16" i="13"/>
  <c r="C38" i="45"/>
  <c r="C21" i="44"/>
  <c r="C30" i="44"/>
  <c r="C49" i="43"/>
  <c r="B7" i="31"/>
  <c r="C46" i="47" l="1"/>
  <c r="C11" i="45"/>
  <c r="C20" i="49"/>
  <c r="C12" i="49"/>
  <c r="C11" i="49" s="1"/>
  <c r="C5" i="49"/>
  <c r="C4" i="49" s="1"/>
  <c r="C4" i="47"/>
  <c r="C42" i="47"/>
  <c r="C21" i="47"/>
  <c r="C30" i="47"/>
  <c r="C11" i="47"/>
  <c r="C49" i="47"/>
  <c r="C34" i="47"/>
  <c r="G4" i="8"/>
  <c r="G60" i="8" s="1"/>
  <c r="I60" i="8" s="1"/>
  <c r="C68" i="36"/>
  <c r="H57" i="36"/>
  <c r="H55" i="36"/>
  <c r="G60" i="25"/>
  <c r="I60" i="25" s="1"/>
  <c r="G60" i="9"/>
  <c r="H16" i="9" s="1"/>
  <c r="G60" i="42"/>
  <c r="I60" i="42" s="1"/>
  <c r="C50" i="45"/>
  <c r="H16" i="8"/>
  <c r="D42" i="36"/>
  <c r="D47" i="36"/>
  <c r="D30" i="36"/>
  <c r="D32" i="36"/>
  <c r="D25" i="36"/>
  <c r="D27" i="36"/>
  <c r="D19" i="36"/>
  <c r="D21" i="36"/>
  <c r="D51" i="36"/>
  <c r="D13" i="36"/>
  <c r="D36" i="41"/>
  <c r="C61" i="22"/>
  <c r="H16" i="22"/>
  <c r="D58" i="18"/>
  <c r="D18" i="25"/>
  <c r="D24" i="41"/>
  <c r="D12" i="41"/>
  <c r="H49" i="41"/>
  <c r="D31" i="41"/>
  <c r="D17" i="18"/>
  <c r="C34" i="31"/>
  <c r="D27" i="46"/>
  <c r="C61" i="46"/>
  <c r="D7" i="18"/>
  <c r="D25" i="46"/>
  <c r="D43" i="46"/>
  <c r="D57" i="46"/>
  <c r="D17" i="46"/>
  <c r="D35" i="46"/>
  <c r="D7" i="46"/>
  <c r="D18" i="46"/>
  <c r="D47" i="32"/>
  <c r="H49" i="18"/>
  <c r="D47" i="18"/>
  <c r="H44" i="41"/>
  <c r="D57" i="18"/>
  <c r="D16" i="18"/>
  <c r="D28" i="18"/>
  <c r="D36" i="18"/>
  <c r="D39" i="18"/>
  <c r="D23" i="41"/>
  <c r="D28" i="41"/>
  <c r="D22" i="41"/>
  <c r="D56" i="18"/>
  <c r="D26" i="18"/>
  <c r="D5" i="18"/>
  <c r="D18" i="18"/>
  <c r="D31" i="18"/>
  <c r="D51" i="18"/>
  <c r="D8" i="41"/>
  <c r="D52" i="41"/>
  <c r="D35" i="41"/>
  <c r="D24" i="18"/>
  <c r="D43" i="18"/>
  <c r="D14" i="18"/>
  <c r="D13" i="18"/>
  <c r="D12" i="18"/>
  <c r="D12" i="36"/>
  <c r="H35" i="36"/>
  <c r="D24" i="36"/>
  <c r="D8" i="36"/>
  <c r="D17" i="36"/>
  <c r="D28" i="36"/>
  <c r="D27" i="33"/>
  <c r="D34" i="36"/>
  <c r="D46" i="36"/>
  <c r="D6" i="36"/>
  <c r="D44" i="46"/>
  <c r="D13" i="46"/>
  <c r="D8" i="46"/>
  <c r="D38" i="36"/>
  <c r="D37" i="36"/>
  <c r="D27" i="23"/>
  <c r="H55" i="23"/>
  <c r="D17" i="32"/>
  <c r="D15" i="18"/>
  <c r="D35" i="18"/>
  <c r="D6" i="18"/>
  <c r="D44" i="18"/>
  <c r="H44" i="18"/>
  <c r="D27" i="18"/>
  <c r="D25" i="25"/>
  <c r="D25" i="33"/>
  <c r="D32" i="25"/>
  <c r="H49" i="25"/>
  <c r="D47" i="46"/>
  <c r="D6" i="46"/>
  <c r="D32" i="46"/>
  <c r="D26" i="46"/>
  <c r="D56" i="46"/>
  <c r="D12" i="46"/>
  <c r="D51" i="32"/>
  <c r="H49" i="32"/>
  <c r="D24" i="42"/>
  <c r="H16" i="25"/>
  <c r="D14" i="25"/>
  <c r="C61" i="25"/>
  <c r="D24" i="46"/>
  <c r="D28" i="46"/>
  <c r="D36" i="46"/>
  <c r="H49" i="46"/>
  <c r="D39" i="46"/>
  <c r="D5" i="32"/>
  <c r="D39" i="32"/>
  <c r="D32" i="32"/>
  <c r="H49" i="42"/>
  <c r="D13" i="25"/>
  <c r="D47" i="25"/>
  <c r="D13" i="32"/>
  <c r="D23" i="32"/>
  <c r="D6" i="32"/>
  <c r="C40" i="45"/>
  <c r="D43" i="19"/>
  <c r="D13" i="19"/>
  <c r="D24" i="19"/>
  <c r="D36" i="19"/>
  <c r="D51" i="19"/>
  <c r="D14" i="19"/>
  <c r="D44" i="19"/>
  <c r="H49" i="19"/>
  <c r="D16" i="32"/>
  <c r="D44" i="32"/>
  <c r="D24" i="32"/>
  <c r="D57" i="32"/>
  <c r="D31" i="23"/>
  <c r="D5" i="23"/>
  <c r="H44" i="23"/>
  <c r="D6" i="23"/>
  <c r="D12" i="23"/>
  <c r="D13" i="23"/>
  <c r="D22" i="23"/>
  <c r="D16" i="23"/>
  <c r="D15" i="23"/>
  <c r="D23" i="23"/>
  <c r="D32" i="23"/>
  <c r="D28" i="23"/>
  <c r="H56" i="36"/>
  <c r="D39" i="12"/>
  <c r="D5" i="10"/>
  <c r="D23" i="10"/>
  <c r="D43" i="10"/>
  <c r="D58" i="10"/>
  <c r="D24" i="10"/>
  <c r="D26" i="10"/>
  <c r="D27" i="10"/>
  <c r="D18" i="35"/>
  <c r="D28" i="35"/>
  <c r="D26" i="41"/>
  <c r="C61" i="41"/>
  <c r="D7" i="41"/>
  <c r="B58" i="30"/>
  <c r="D32" i="41"/>
  <c r="D63" i="36"/>
  <c r="D18" i="36"/>
  <c r="D50" i="36"/>
  <c r="D54" i="36"/>
  <c r="D47" i="41"/>
  <c r="D58" i="41"/>
  <c r="D7" i="36"/>
  <c r="D31" i="36"/>
  <c r="D27" i="41"/>
  <c r="D51" i="25"/>
  <c r="D27" i="25"/>
  <c r="D44" i="25"/>
  <c r="D35" i="25"/>
  <c r="D56" i="19"/>
  <c r="D15" i="19"/>
  <c r="D47" i="19"/>
  <c r="D17" i="19"/>
  <c r="C61" i="19"/>
  <c r="D26" i="19"/>
  <c r="D31" i="19"/>
  <c r="D22" i="22"/>
  <c r="D5" i="35"/>
  <c r="D32" i="35"/>
  <c r="D16" i="42"/>
  <c r="D51" i="42"/>
  <c r="D15" i="41"/>
  <c r="D65" i="36"/>
  <c r="D14" i="41"/>
  <c r="D43" i="41"/>
  <c r="D25" i="41"/>
  <c r="D18" i="41"/>
  <c r="D44" i="41"/>
  <c r="D20" i="36"/>
  <c r="D33" i="36"/>
  <c r="D26" i="36"/>
  <c r="D56" i="41"/>
  <c r="D16" i="41"/>
  <c r="D5" i="36"/>
  <c r="D58" i="36"/>
  <c r="D41" i="36"/>
  <c r="H51" i="36"/>
  <c r="D29" i="36"/>
  <c r="D15" i="36"/>
  <c r="D64" i="36"/>
  <c r="D6" i="41"/>
  <c r="D16" i="36"/>
  <c r="D6" i="25"/>
  <c r="D15" i="25"/>
  <c r="D28" i="25"/>
  <c r="D43" i="25"/>
  <c r="D5" i="19"/>
  <c r="D18" i="19"/>
  <c r="D23" i="19"/>
  <c r="D35" i="19"/>
  <c r="D32" i="19"/>
  <c r="H44" i="19"/>
  <c r="D27" i="19"/>
  <c r="D12" i="19"/>
  <c r="D35" i="35"/>
  <c r="H49" i="35"/>
  <c r="D56" i="42"/>
  <c r="D39" i="41"/>
  <c r="D5" i="41"/>
  <c r="D13" i="41"/>
  <c r="F16" i="29"/>
  <c r="F41" i="29" s="1"/>
  <c r="F57" i="29" s="1"/>
  <c r="D43" i="36"/>
  <c r="D17" i="41"/>
  <c r="D14" i="36"/>
  <c r="D25" i="19"/>
  <c r="D16" i="19"/>
  <c r="D6" i="19"/>
  <c r="D7" i="19"/>
  <c r="D28" i="19"/>
  <c r="D8" i="19"/>
  <c r="D39" i="19"/>
  <c r="D51" i="35"/>
  <c r="D13" i="35"/>
  <c r="D8" i="42"/>
  <c r="D15" i="42"/>
  <c r="C13" i="31"/>
  <c r="D51" i="41"/>
  <c r="D6" i="12"/>
  <c r="D13" i="12"/>
  <c r="D26" i="12"/>
  <c r="D8" i="10"/>
  <c r="D13" i="10"/>
  <c r="D35" i="10"/>
  <c r="D25" i="10"/>
  <c r="D15" i="10"/>
  <c r="D47" i="10"/>
  <c r="C7" i="31"/>
  <c r="D56" i="10"/>
  <c r="D57" i="10"/>
  <c r="D14" i="10"/>
  <c r="C61" i="10"/>
  <c r="D51" i="10"/>
  <c r="D57" i="33"/>
  <c r="C61" i="33"/>
  <c r="D28" i="9"/>
  <c r="C61" i="32"/>
  <c r="D43" i="32"/>
  <c r="D28" i="33"/>
  <c r="D27" i="9"/>
  <c r="D56" i="33"/>
  <c r="D35" i="22"/>
  <c r="D51" i="9"/>
  <c r="D15" i="22"/>
  <c r="H20" i="22"/>
  <c r="D6" i="9"/>
  <c r="D5" i="33"/>
  <c r="D23" i="33"/>
  <c r="D31" i="22"/>
  <c r="D13" i="22"/>
  <c r="D58" i="9"/>
  <c r="D43" i="9"/>
  <c r="D5" i="22"/>
  <c r="C28" i="29"/>
  <c r="C7" i="29"/>
  <c r="D16" i="33"/>
  <c r="D31" i="33"/>
  <c r="D24" i="33"/>
  <c r="D22" i="33"/>
  <c r="D51" i="33"/>
  <c r="D49" i="22"/>
  <c r="D16" i="22"/>
  <c r="D8" i="22"/>
  <c r="D17" i="9"/>
  <c r="D12" i="9"/>
  <c r="D26" i="9"/>
  <c r="D43" i="42"/>
  <c r="C48" i="29"/>
  <c r="C46" i="29" s="1"/>
  <c r="D44" i="33"/>
  <c r="D43" i="33"/>
  <c r="D39" i="33"/>
  <c r="H44" i="33"/>
  <c r="D7" i="22"/>
  <c r="D26" i="22"/>
  <c r="D27" i="22"/>
  <c r="D44" i="9"/>
  <c r="D25" i="9"/>
  <c r="D39" i="9"/>
  <c r="H49" i="9"/>
  <c r="D47" i="22"/>
  <c r="D6" i="22"/>
  <c r="D25" i="22"/>
  <c r="H44" i="22"/>
  <c r="D18" i="9"/>
  <c r="D56" i="9"/>
  <c r="D15" i="9"/>
  <c r="D52" i="9"/>
  <c r="D8" i="18"/>
  <c r="D23" i="18"/>
  <c r="D25" i="18"/>
  <c r="D32" i="18"/>
  <c r="C61" i="18"/>
  <c r="D56" i="25"/>
  <c r="D36" i="25"/>
  <c r="D26" i="25"/>
  <c r="D8" i="25"/>
  <c r="D22" i="25"/>
  <c r="D12" i="25"/>
  <c r="D18" i="23"/>
  <c r="D25" i="23"/>
  <c r="D26" i="23"/>
  <c r="D56" i="23"/>
  <c r="D35" i="23"/>
  <c r="H16" i="23"/>
  <c r="H49" i="23"/>
  <c r="D47" i="33"/>
  <c r="D18" i="33"/>
  <c r="D15" i="33"/>
  <c r="D35" i="33"/>
  <c r="D36" i="33"/>
  <c r="D13" i="33"/>
  <c r="D7" i="33"/>
  <c r="D6" i="33"/>
  <c r="D14" i="22"/>
  <c r="D32" i="22"/>
  <c r="D39" i="22"/>
  <c r="D44" i="22"/>
  <c r="D28" i="22"/>
  <c r="D56" i="22"/>
  <c r="D51" i="22"/>
  <c r="D18" i="22"/>
  <c r="H49" i="22"/>
  <c r="D52" i="46"/>
  <c r="D58" i="46"/>
  <c r="D23" i="46"/>
  <c r="D15" i="46"/>
  <c r="D14" i="46"/>
  <c r="D16" i="46"/>
  <c r="H44" i="46"/>
  <c r="D22" i="46"/>
  <c r="D51" i="46"/>
  <c r="D12" i="10"/>
  <c r="D31" i="10"/>
  <c r="D18" i="10"/>
  <c r="D7" i="10"/>
  <c r="D32" i="10"/>
  <c r="D6" i="10"/>
  <c r="H44" i="10"/>
  <c r="D47" i="9"/>
  <c r="D35" i="9"/>
  <c r="D31" i="9"/>
  <c r="D36" i="9"/>
  <c r="D24" i="9"/>
  <c r="D23" i="9"/>
  <c r="D57" i="9"/>
  <c r="D7" i="9"/>
  <c r="C61" i="9"/>
  <c r="D36" i="32"/>
  <c r="D14" i="32"/>
  <c r="D18" i="32"/>
  <c r="D27" i="32"/>
  <c r="D25" i="32"/>
  <c r="D7" i="32"/>
  <c r="H44" i="32"/>
  <c r="D22" i="32"/>
  <c r="G4" i="32"/>
  <c r="I60" i="22"/>
  <c r="I60" i="23"/>
  <c r="D17" i="25"/>
  <c r="D5" i="25"/>
  <c r="D31" i="25"/>
  <c r="D24" i="25"/>
  <c r="D16" i="25"/>
  <c r="D7" i="25"/>
  <c r="H44" i="25"/>
  <c r="D7" i="23"/>
  <c r="D8" i="23"/>
  <c r="D36" i="23"/>
  <c r="D14" i="23"/>
  <c r="D24" i="23"/>
  <c r="D17" i="23"/>
  <c r="D58" i="33"/>
  <c r="D12" i="33"/>
  <c r="D32" i="33"/>
  <c r="D8" i="33"/>
  <c r="D26" i="33"/>
  <c r="D14" i="33"/>
  <c r="D17" i="33"/>
  <c r="D36" i="22"/>
  <c r="D23" i="22"/>
  <c r="D17" i="22"/>
  <c r="D12" i="22"/>
  <c r="D24" i="22"/>
  <c r="H55" i="22"/>
  <c r="D43" i="22"/>
  <c r="D31" i="46"/>
  <c r="D52" i="10"/>
  <c r="D17" i="10"/>
  <c r="D28" i="10"/>
  <c r="D36" i="10"/>
  <c r="D16" i="10"/>
  <c r="D22" i="10"/>
  <c r="H49" i="10"/>
  <c r="D44" i="10"/>
  <c r="D13" i="9"/>
  <c r="D5" i="9"/>
  <c r="D14" i="9"/>
  <c r="D22" i="9"/>
  <c r="D16" i="9"/>
  <c r="D8" i="9"/>
  <c r="D32" i="9"/>
  <c r="D26" i="32"/>
  <c r="D58" i="32"/>
  <c r="D35" i="32"/>
  <c r="D56" i="32"/>
  <c r="D31" i="32"/>
  <c r="D28" i="32"/>
  <c r="D15" i="32"/>
  <c r="D8" i="32"/>
  <c r="C57" i="30"/>
  <c r="C36" i="31"/>
  <c r="G16" i="43"/>
  <c r="C6" i="31"/>
  <c r="C28" i="31"/>
  <c r="C4" i="45"/>
  <c r="D12" i="12"/>
  <c r="D23" i="12"/>
  <c r="D5" i="12"/>
  <c r="H44" i="12"/>
  <c r="C15" i="31"/>
  <c r="C12" i="31"/>
  <c r="C55" i="29"/>
  <c r="C8" i="29"/>
  <c r="D15" i="35"/>
  <c r="D27" i="35"/>
  <c r="D8" i="35"/>
  <c r="D25" i="35"/>
  <c r="D44" i="35"/>
  <c r="D31" i="35"/>
  <c r="H44" i="35"/>
  <c r="D36" i="35"/>
  <c r="D36" i="42"/>
  <c r="D18" i="42"/>
  <c r="D14" i="42"/>
  <c r="D32" i="42"/>
  <c r="D7" i="42"/>
  <c r="C61" i="42"/>
  <c r="D31" i="42"/>
  <c r="D17" i="42"/>
  <c r="D7" i="12"/>
  <c r="D14" i="12"/>
  <c r="D28" i="12"/>
  <c r="D36" i="12"/>
  <c r="D35" i="12"/>
  <c r="D25" i="12"/>
  <c r="H49" i="12"/>
  <c r="D43" i="12"/>
  <c r="C30" i="31"/>
  <c r="C54" i="29"/>
  <c r="D6" i="35"/>
  <c r="D12" i="35"/>
  <c r="D17" i="35"/>
  <c r="D24" i="35"/>
  <c r="D56" i="35"/>
  <c r="D43" i="35"/>
  <c r="C61" i="35"/>
  <c r="D23" i="42"/>
  <c r="D39" i="42"/>
  <c r="D5" i="42"/>
  <c r="D22" i="42"/>
  <c r="D28" i="42"/>
  <c r="D57" i="42"/>
  <c r="H44" i="42"/>
  <c r="D58" i="42"/>
  <c r="D27" i="42"/>
  <c r="D58" i="12"/>
  <c r="D15" i="12"/>
  <c r="D31" i="12"/>
  <c r="D18" i="12"/>
  <c r="D17" i="12"/>
  <c r="D24" i="12"/>
  <c r="D32" i="12"/>
  <c r="G44" i="31"/>
  <c r="G31" i="31"/>
  <c r="G20" i="31"/>
  <c r="C16" i="31"/>
  <c r="C23" i="31"/>
  <c r="C6" i="29"/>
  <c r="C35" i="29"/>
  <c r="D16" i="35"/>
  <c r="D23" i="35"/>
  <c r="D47" i="35"/>
  <c r="D14" i="35"/>
  <c r="D7" i="35"/>
  <c r="D22" i="35"/>
  <c r="D26" i="42"/>
  <c r="D44" i="42"/>
  <c r="D25" i="42"/>
  <c r="D12" i="42"/>
  <c r="D52" i="42"/>
  <c r="D6" i="42"/>
  <c r="D47" i="42"/>
  <c r="D13" i="42"/>
  <c r="D16" i="12"/>
  <c r="D51" i="12"/>
  <c r="D56" i="12"/>
  <c r="D27" i="12"/>
  <c r="D57" i="12"/>
  <c r="C61" i="12"/>
  <c r="G4" i="28"/>
  <c r="C33" i="31"/>
  <c r="C27" i="31"/>
  <c r="C37" i="31"/>
  <c r="G4" i="36"/>
  <c r="G67" i="36" s="1"/>
  <c r="C60" i="44"/>
  <c r="D60" i="44" s="1"/>
  <c r="G4" i="19"/>
  <c r="C16" i="29"/>
  <c r="C36" i="45"/>
  <c r="D56" i="8"/>
  <c r="H49" i="8"/>
  <c r="C61" i="8"/>
  <c r="H44" i="8"/>
  <c r="D16" i="8"/>
  <c r="D31" i="8"/>
  <c r="D39" i="8"/>
  <c r="D58" i="8"/>
  <c r="D43" i="8"/>
  <c r="D24" i="8"/>
  <c r="D32" i="8"/>
  <c r="D35" i="8"/>
  <c r="D25" i="8"/>
  <c r="D8" i="8"/>
  <c r="D27" i="8"/>
  <c r="D22" i="8"/>
  <c r="D18" i="8"/>
  <c r="D14" i="8"/>
  <c r="D44" i="8"/>
  <c r="D17" i="8"/>
  <c r="D47" i="8"/>
  <c r="D6" i="8"/>
  <c r="D13" i="8"/>
  <c r="D12" i="8"/>
  <c r="D36" i="8"/>
  <c r="D26" i="8"/>
  <c r="D15" i="8"/>
  <c r="D51" i="8"/>
  <c r="D28" i="8"/>
  <c r="D57" i="8"/>
  <c r="D7" i="8"/>
  <c r="D5" i="8"/>
  <c r="D23" i="8"/>
  <c r="C18" i="29"/>
  <c r="G4" i="18"/>
  <c r="C13" i="29"/>
  <c r="C36" i="29"/>
  <c r="G4" i="35"/>
  <c r="H16" i="35"/>
  <c r="G53" i="31"/>
  <c r="H16" i="10"/>
  <c r="G4" i="10"/>
  <c r="H16" i="12"/>
  <c r="G4" i="12"/>
  <c r="G4" i="33"/>
  <c r="F16" i="30"/>
  <c r="G4" i="46"/>
  <c r="C17" i="29"/>
  <c r="G43" i="29"/>
  <c r="C22" i="29"/>
  <c r="C21" i="29" s="1"/>
  <c r="C53" i="29"/>
  <c r="C5" i="29"/>
  <c r="C12" i="29"/>
  <c r="C39" i="29"/>
  <c r="C38" i="29" s="1"/>
  <c r="C32" i="29"/>
  <c r="C43" i="29"/>
  <c r="C42" i="29" s="1"/>
  <c r="C25" i="29"/>
  <c r="C31" i="29"/>
  <c r="H16" i="41"/>
  <c r="G4" i="41"/>
  <c r="G16" i="44"/>
  <c r="G4" i="13"/>
  <c r="C60" i="43"/>
  <c r="C23" i="45"/>
  <c r="D13" i="13"/>
  <c r="C61" i="13"/>
  <c r="H49" i="13"/>
  <c r="H44" i="13"/>
  <c r="D26" i="13"/>
  <c r="D27" i="13"/>
  <c r="D57" i="13"/>
  <c r="D8" i="13"/>
  <c r="D23" i="13"/>
  <c r="D32" i="13"/>
  <c r="D47" i="13"/>
  <c r="D7" i="13"/>
  <c r="D18" i="13"/>
  <c r="D15" i="13"/>
  <c r="D24" i="13"/>
  <c r="D39" i="13"/>
  <c r="D58" i="13"/>
  <c r="D35" i="13"/>
  <c r="D56" i="13"/>
  <c r="D36" i="13"/>
  <c r="D44" i="13"/>
  <c r="D17" i="13"/>
  <c r="D5" i="13"/>
  <c r="D31" i="13"/>
  <c r="D16" i="13"/>
  <c r="D25" i="13"/>
  <c r="D14" i="13"/>
  <c r="D6" i="13"/>
  <c r="D28" i="13"/>
  <c r="D22" i="13"/>
  <c r="D43" i="13"/>
  <c r="D51" i="13"/>
  <c r="D12" i="13"/>
  <c r="C54" i="45"/>
  <c r="C15" i="29"/>
  <c r="C68" i="45" l="1"/>
  <c r="C59" i="49"/>
  <c r="C60" i="47"/>
  <c r="D55" i="47" s="1"/>
  <c r="G16" i="47"/>
  <c r="G4" i="43"/>
  <c r="D60" i="43"/>
  <c r="I60" i="9"/>
  <c r="H16" i="42"/>
  <c r="H4" i="42"/>
  <c r="H41" i="42"/>
  <c r="H4" i="8"/>
  <c r="H41" i="8"/>
  <c r="H4" i="9"/>
  <c r="H41" i="9"/>
  <c r="H4" i="25"/>
  <c r="H41" i="25"/>
  <c r="G60" i="13"/>
  <c r="H16" i="13" s="1"/>
  <c r="G60" i="46"/>
  <c r="H16" i="46" s="1"/>
  <c r="G60" i="28"/>
  <c r="H16" i="28" s="1"/>
  <c r="G60" i="41"/>
  <c r="G60" i="33"/>
  <c r="H16" i="33" s="1"/>
  <c r="G60" i="18"/>
  <c r="H16" i="18" s="1"/>
  <c r="G60" i="32"/>
  <c r="H16" i="32" s="1"/>
  <c r="G60" i="12"/>
  <c r="G60" i="10"/>
  <c r="G60" i="35"/>
  <c r="G60" i="19"/>
  <c r="H16" i="19" s="1"/>
  <c r="G16" i="29"/>
  <c r="G4" i="29" s="1"/>
  <c r="H41" i="22"/>
  <c r="F16" i="31"/>
  <c r="G16" i="31" s="1"/>
  <c r="G42" i="31" s="1"/>
  <c r="C34" i="29"/>
  <c r="C30" i="29"/>
  <c r="C4" i="29"/>
  <c r="C61" i="43"/>
  <c r="H49" i="43"/>
  <c r="H44" i="43"/>
  <c r="H20" i="43"/>
  <c r="D16" i="43"/>
  <c r="D7" i="43"/>
  <c r="D18" i="43"/>
  <c r="D57" i="43"/>
  <c r="D36" i="43"/>
  <c r="D23" i="43"/>
  <c r="D56" i="43"/>
  <c r="D28" i="43"/>
  <c r="D44" i="43"/>
  <c r="D8" i="43"/>
  <c r="D24" i="43"/>
  <c r="D32" i="43"/>
  <c r="D12" i="43"/>
  <c r="D51" i="43"/>
  <c r="D14" i="43"/>
  <c r="D39" i="43"/>
  <c r="D26" i="43"/>
  <c r="D31" i="43"/>
  <c r="D22" i="43"/>
  <c r="D27" i="43"/>
  <c r="D17" i="43"/>
  <c r="D6" i="43"/>
  <c r="D5" i="43"/>
  <c r="D13" i="43"/>
  <c r="D47" i="43"/>
  <c r="D25" i="43"/>
  <c r="D15" i="43"/>
  <c r="D43" i="43"/>
  <c r="D58" i="43"/>
  <c r="D35" i="43"/>
  <c r="H16" i="44"/>
  <c r="G4" i="44"/>
  <c r="C11" i="29"/>
  <c r="H16" i="43"/>
  <c r="I67" i="36"/>
  <c r="H48" i="36"/>
  <c r="F41" i="30"/>
  <c r="G16" i="30"/>
  <c r="G4" i="30" s="1"/>
  <c r="H49" i="44"/>
  <c r="H44" i="44"/>
  <c r="C61" i="44"/>
  <c r="D43" i="44"/>
  <c r="D22" i="44"/>
  <c r="D24" i="44"/>
  <c r="D5" i="44"/>
  <c r="D14" i="44"/>
  <c r="D56" i="44"/>
  <c r="D27" i="44"/>
  <c r="D23" i="44"/>
  <c r="D12" i="44"/>
  <c r="D6" i="44"/>
  <c r="D47" i="44"/>
  <c r="D15" i="44"/>
  <c r="D18" i="44"/>
  <c r="D51" i="44"/>
  <c r="D25" i="44"/>
  <c r="D35" i="44"/>
  <c r="D44" i="44"/>
  <c r="D8" i="44"/>
  <c r="D28" i="44"/>
  <c r="D26" i="44"/>
  <c r="D13" i="44"/>
  <c r="D7" i="44"/>
  <c r="D17" i="44"/>
  <c r="D31" i="44"/>
  <c r="D32" i="44"/>
  <c r="D36" i="44"/>
  <c r="D16" i="44"/>
  <c r="H17" i="36"/>
  <c r="D4" i="47" l="1"/>
  <c r="D21" i="47"/>
  <c r="D60" i="47"/>
  <c r="D34" i="47"/>
  <c r="D38" i="47"/>
  <c r="D30" i="47"/>
  <c r="D46" i="47"/>
  <c r="D11" i="47"/>
  <c r="D49" i="47"/>
  <c r="D42" i="47"/>
  <c r="G60" i="43"/>
  <c r="H60" i="43" s="1"/>
  <c r="G4" i="47"/>
  <c r="I60" i="12"/>
  <c r="H41" i="12"/>
  <c r="I60" i="41"/>
  <c r="H41" i="41"/>
  <c r="I60" i="19"/>
  <c r="H41" i="19"/>
  <c r="I60" i="32"/>
  <c r="H41" i="32"/>
  <c r="I60" i="28"/>
  <c r="H41" i="28"/>
  <c r="I60" i="35"/>
  <c r="H41" i="35"/>
  <c r="I60" i="18"/>
  <c r="H41" i="18"/>
  <c r="I60" i="46"/>
  <c r="H41" i="46"/>
  <c r="I60" i="10"/>
  <c r="H41" i="10"/>
  <c r="I60" i="33"/>
  <c r="H41" i="33"/>
  <c r="I60" i="13"/>
  <c r="H41" i="13"/>
  <c r="H4" i="35"/>
  <c r="H4" i="12"/>
  <c r="H4" i="18"/>
  <c r="H4" i="41"/>
  <c r="H4" i="46"/>
  <c r="H4" i="19"/>
  <c r="H4" i="10"/>
  <c r="H4" i="32"/>
  <c r="H4" i="33"/>
  <c r="H4" i="28"/>
  <c r="H4" i="13"/>
  <c r="G60" i="44"/>
  <c r="H60" i="44" s="1"/>
  <c r="G41" i="29"/>
  <c r="F42" i="31"/>
  <c r="F58" i="31" s="1"/>
  <c r="F59" i="31" s="1"/>
  <c r="C57" i="29"/>
  <c r="G41" i="30"/>
  <c r="F57" i="30"/>
  <c r="H41" i="43" l="1"/>
  <c r="G60" i="47"/>
  <c r="H60" i="47" s="1"/>
  <c r="I60" i="43"/>
  <c r="H4" i="43"/>
  <c r="I60" i="44"/>
  <c r="H41" i="44"/>
  <c r="H4" i="44"/>
  <c r="H16" i="47" l="1"/>
  <c r="H41" i="47"/>
  <c r="H4" i="47"/>
  <c r="AD55" i="6"/>
  <c r="AD54" i="6"/>
  <c r="AD51" i="6"/>
  <c r="AD52" i="6"/>
  <c r="AD58" i="6"/>
  <c r="AD48" i="6"/>
  <c r="AD49" i="6"/>
  <c r="AD31" i="6" l="1"/>
  <c r="AD47" i="6"/>
  <c r="G57" i="45"/>
  <c r="G48" i="49" s="1"/>
  <c r="G17" i="45"/>
  <c r="AD56" i="6"/>
  <c r="AD59" i="6"/>
  <c r="G4" i="45" l="1"/>
  <c r="G68" i="45" s="1"/>
  <c r="I68" i="45" s="1"/>
  <c r="G17" i="49"/>
  <c r="AD53" i="6"/>
  <c r="AD57" i="6"/>
  <c r="AD60" i="6" l="1"/>
  <c r="AD61" i="6"/>
  <c r="AD44" i="6"/>
  <c r="C69" i="45"/>
  <c r="G4" i="49"/>
  <c r="G59" i="49" l="1"/>
  <c r="H4" i="49" s="1"/>
  <c r="H22" i="49" l="1"/>
  <c r="H17" i="4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Jean-Paul DEHEZ</author>
  </authors>
  <commentList>
    <comment ref="E35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UNIQUEMENT GOUV ET ECO, 
le reste est en compte 611 ….</t>
        </r>
      </text>
    </comment>
  </commentList>
</comments>
</file>

<file path=xl/sharedStrings.xml><?xml version="1.0" encoding="utf-8"?>
<sst xmlns="http://schemas.openxmlformats.org/spreadsheetml/2006/main" count="2682" uniqueCount="525">
  <si>
    <t>Compte</t>
  </si>
  <si>
    <t>Intitulé des dépenses</t>
  </si>
  <si>
    <t>Intitulé des recettes</t>
  </si>
  <si>
    <t>IMEX</t>
  </si>
  <si>
    <t>FOND DE ROULEMENT</t>
  </si>
  <si>
    <t>Bénévolat</t>
  </si>
  <si>
    <t xml:space="preserve">CHARGES DE PERSONNEL </t>
  </si>
  <si>
    <t>Nom</t>
  </si>
  <si>
    <t>Brut</t>
  </si>
  <si>
    <t xml:space="preserve">Coût global </t>
  </si>
  <si>
    <t>A</t>
  </si>
  <si>
    <t>B</t>
  </si>
  <si>
    <t>D</t>
  </si>
  <si>
    <t>D1</t>
  </si>
  <si>
    <t>D2</t>
  </si>
  <si>
    <t>D3</t>
  </si>
  <si>
    <t>D4</t>
  </si>
  <si>
    <t>Contrôle</t>
  </si>
  <si>
    <t>TOTAL C</t>
  </si>
  <si>
    <t>TOTAL D</t>
  </si>
  <si>
    <t/>
  </si>
  <si>
    <t>TOTAL GENERAL</t>
  </si>
  <si>
    <t>CLE FRAIS GENERAUX</t>
  </si>
  <si>
    <t>TOTAL ETP</t>
  </si>
  <si>
    <t>Vérif</t>
  </si>
  <si>
    <t>vérif</t>
  </si>
  <si>
    <t>Frais Généraux</t>
  </si>
  <si>
    <t>Repartition</t>
  </si>
  <si>
    <t>Racine</t>
  </si>
  <si>
    <t>615 - Entretien Reparation et Maintenance</t>
  </si>
  <si>
    <t>616 - Assurance</t>
  </si>
  <si>
    <t xml:space="preserve">617 - Etudes et recherche </t>
  </si>
  <si>
    <t xml:space="preserve">625 - Déplacements, missions et réceptions </t>
  </si>
  <si>
    <t>626 - Frais postaux et frais de télécom.</t>
  </si>
  <si>
    <t>628 - Adhésion association</t>
  </si>
  <si>
    <t>641 - Rémunérations de personnel</t>
  </si>
  <si>
    <t>645 - Charges sociales</t>
  </si>
  <si>
    <t>65 - Autres charges de gestion courante</t>
  </si>
  <si>
    <t>661 - Charges d'intérêts</t>
  </si>
  <si>
    <t xml:space="preserve">681 - Dotations aux amortissements </t>
  </si>
  <si>
    <t xml:space="preserve"> Etudes et prestations diverses</t>
  </si>
  <si>
    <t xml:space="preserve">Achats de matériels, équipements </t>
  </si>
  <si>
    <t xml:space="preserve"> Achats .. fournitures</t>
  </si>
  <si>
    <t>Achats de marchandises</t>
  </si>
  <si>
    <t>Sous traitance générale</t>
  </si>
  <si>
    <t xml:space="preserve"> Locations bureaux</t>
  </si>
  <si>
    <t xml:space="preserve">Divers </t>
  </si>
  <si>
    <t xml:space="preserve">Rémunérations d'intermédiaires </t>
  </si>
  <si>
    <t xml:space="preserve"> Publicité, public., relations publiques </t>
  </si>
  <si>
    <t>Impots et taxes</t>
  </si>
  <si>
    <t>Total dépenses</t>
  </si>
  <si>
    <t>Cotisations</t>
  </si>
  <si>
    <t>Prestations de services</t>
  </si>
  <si>
    <t>Sous total fonds privés</t>
  </si>
  <si>
    <t>région PACA</t>
  </si>
  <si>
    <t>CG84</t>
  </si>
  <si>
    <t>Sous total aides publiques</t>
  </si>
  <si>
    <t>Total recettes</t>
  </si>
  <si>
    <t>Ecart</t>
  </si>
  <si>
    <t>% public</t>
  </si>
  <si>
    <t>Personnel extérieur</t>
  </si>
  <si>
    <t>Taxes</t>
  </si>
  <si>
    <t>RESSOURCES</t>
  </si>
  <si>
    <t>DEPENSES</t>
  </si>
  <si>
    <t>A/B</t>
  </si>
  <si>
    <t>NOM</t>
  </si>
  <si>
    <t>PRENOM</t>
  </si>
  <si>
    <t>QUALITE</t>
  </si>
  <si>
    <t>TAUX</t>
  </si>
  <si>
    <t>NBR D'H</t>
  </si>
  <si>
    <t>RT</t>
  </si>
  <si>
    <t>Réunion de travail PCE</t>
  </si>
  <si>
    <t>RDV Partenaires</t>
  </si>
  <si>
    <t>Parcours de Croissance</t>
  </si>
  <si>
    <t>Stratégie à l'international</t>
  </si>
  <si>
    <t>TOTAL A</t>
  </si>
  <si>
    <t>TOTAL B</t>
  </si>
  <si>
    <t>Total</t>
  </si>
  <si>
    <t>ROUCARIES</t>
  </si>
  <si>
    <t>Pierre Louis</t>
  </si>
  <si>
    <t>Président</t>
  </si>
  <si>
    <t>Trésorier</t>
  </si>
  <si>
    <t>DORE</t>
  </si>
  <si>
    <t>Eric</t>
  </si>
  <si>
    <t>Vice Président</t>
  </si>
  <si>
    <t>Secrétaire</t>
  </si>
  <si>
    <t>vérif c</t>
  </si>
  <si>
    <t xml:space="preserve">Intitulé des dépenses </t>
  </si>
  <si>
    <t xml:space="preserve">HT </t>
  </si>
  <si>
    <t>%</t>
  </si>
  <si>
    <t>Ressources</t>
  </si>
  <si>
    <t xml:space="preserve">60 - Achats </t>
  </si>
  <si>
    <t xml:space="preserve">74 - Subventions </t>
  </si>
  <si>
    <t>604 - Etudes et prestations diverses</t>
  </si>
  <si>
    <t xml:space="preserve">605 - Achats de matériels, équipements </t>
  </si>
  <si>
    <t xml:space="preserve">Etat </t>
  </si>
  <si>
    <t>606 - Achats .. fournitures</t>
  </si>
  <si>
    <t>607 - Achats de marchandises</t>
  </si>
  <si>
    <t>Union Européenne</t>
  </si>
  <si>
    <t>61 - Services extérieurs</t>
  </si>
  <si>
    <t>611 - Sous traitance générale</t>
  </si>
  <si>
    <t>Région</t>
  </si>
  <si>
    <t xml:space="preserve">618 - Divers </t>
  </si>
  <si>
    <t xml:space="preserve">Département </t>
  </si>
  <si>
    <t>62 - Autres services extérieurs</t>
  </si>
  <si>
    <t xml:space="preserve">622 - Rémunérations d'intermédiaires </t>
  </si>
  <si>
    <t xml:space="preserve">et honoraires </t>
  </si>
  <si>
    <t xml:space="preserve">623 - Publicité, public., relations publiques </t>
  </si>
  <si>
    <t>EPCI</t>
  </si>
  <si>
    <t>Communes</t>
  </si>
  <si>
    <t>64 - Charges de personnel</t>
  </si>
  <si>
    <t>Autres établissements publics</t>
  </si>
  <si>
    <t>Total des financements publics</t>
  </si>
  <si>
    <t>66- Charges financières</t>
  </si>
  <si>
    <t>Autofinancement</t>
  </si>
  <si>
    <t>Ventes de marchandises</t>
  </si>
  <si>
    <t xml:space="preserve">68 - Dotations </t>
  </si>
  <si>
    <t>aux amortissement et aux provisions</t>
  </si>
  <si>
    <t>Autres fonds propres</t>
  </si>
  <si>
    <t>et aux provisions</t>
  </si>
  <si>
    <t>Contributions en nature</t>
  </si>
  <si>
    <t>Emplois des contributions en nature</t>
  </si>
  <si>
    <t>Valorisation du bénévolat</t>
  </si>
  <si>
    <t>Dons en nature</t>
  </si>
  <si>
    <t>Locaux et métériels</t>
  </si>
  <si>
    <t>Prestations</t>
  </si>
  <si>
    <t xml:space="preserve">Total  dépenses </t>
  </si>
  <si>
    <t>Total  ressources</t>
  </si>
  <si>
    <t xml:space="preserve">613 - Locations </t>
  </si>
  <si>
    <t>63 - impôts et taxes</t>
  </si>
  <si>
    <t>631 - Taxes</t>
  </si>
  <si>
    <t>635- Impôts et taxes</t>
  </si>
  <si>
    <t>Département CG Vaucluse</t>
  </si>
  <si>
    <t>IBTM</t>
  </si>
  <si>
    <t xml:space="preserve">Total </t>
  </si>
  <si>
    <t>Autres rdv de travail</t>
  </si>
  <si>
    <t>GAYMARD</t>
  </si>
  <si>
    <t>Vincent</t>
  </si>
  <si>
    <t>LAVERGNE</t>
  </si>
  <si>
    <t>Fabrice</t>
  </si>
  <si>
    <t>TISSOT</t>
  </si>
  <si>
    <t>Maxime</t>
  </si>
  <si>
    <t>Demarchages europe</t>
  </si>
  <si>
    <t>MP2</t>
  </si>
  <si>
    <t>Workshop Lyon</t>
  </si>
  <si>
    <t>Formation initiale et continue</t>
  </si>
  <si>
    <t>Réunion Région</t>
  </si>
  <si>
    <t>Chaire sur la sécurite</t>
  </si>
  <si>
    <t>Grand Prix Formule 1</t>
  </si>
  <si>
    <t>BODIN</t>
  </si>
  <si>
    <t xml:space="preserve">Nicolas </t>
  </si>
  <si>
    <t>CHOVELON</t>
  </si>
  <si>
    <t>Loic</t>
  </si>
  <si>
    <t>Membre fondateur</t>
  </si>
  <si>
    <t>SANCHIS</t>
  </si>
  <si>
    <t xml:space="preserve">Richard </t>
  </si>
  <si>
    <t xml:space="preserve">Membre bureau </t>
  </si>
  <si>
    <t>MEZZIANI</t>
  </si>
  <si>
    <t xml:space="preserve">Zohra </t>
  </si>
  <si>
    <t xml:space="preserve">Administrateur </t>
  </si>
  <si>
    <t>VALLAURI</t>
  </si>
  <si>
    <t xml:space="preserve">Franck </t>
  </si>
  <si>
    <t>CHERRIER COUETTE</t>
  </si>
  <si>
    <t xml:space="preserve">Marie Christine </t>
  </si>
  <si>
    <t>BŒUF</t>
  </si>
  <si>
    <t xml:space="preserve">Jean Pierre </t>
  </si>
  <si>
    <t xml:space="preserve">COURRIER </t>
  </si>
  <si>
    <t xml:space="preserve">Hubert </t>
  </si>
  <si>
    <t>ROUSTA GIROUD</t>
  </si>
  <si>
    <t>Maryam</t>
  </si>
  <si>
    <t>CIPPOLINI</t>
  </si>
  <si>
    <t xml:space="preserve">Denis </t>
  </si>
  <si>
    <t xml:space="preserve">CHEVILLON </t>
  </si>
  <si>
    <t xml:space="preserve">Michel </t>
  </si>
  <si>
    <t>627-Frais Bancaires</t>
  </si>
  <si>
    <t>ben</t>
  </si>
  <si>
    <t>Budget prévisionnel Actions 1er semestre 2018
 PROVENCE COTE D'AZUR EVENTS</t>
  </si>
  <si>
    <t>Budget prévisionnel Global  2018
 PROVENCE COTE D'AZUR EVENTS</t>
  </si>
  <si>
    <t>Budget prévisionnel Seconde semestre 2018
 PROVENCE COTE D'AZUR EVENTS</t>
  </si>
  <si>
    <t>Budget prévisionnel D 2018
 PROVENCE COTE D'AZUR EVENTS</t>
  </si>
  <si>
    <t>Marseille le 31/07/2017</t>
  </si>
  <si>
    <t>Pierre Louis ROUCARIES Président</t>
  </si>
  <si>
    <t>Metropoles</t>
  </si>
  <si>
    <t>Heavent</t>
  </si>
  <si>
    <t>Imex</t>
  </si>
  <si>
    <t>Mice Place</t>
  </si>
  <si>
    <t>623 - Cadeaux clients</t>
  </si>
  <si>
    <t>CHARGES FIXES                                       HT</t>
  </si>
  <si>
    <t>CHARGES VARIABLES                        HT</t>
  </si>
  <si>
    <t>DEPENSES REELLES</t>
  </si>
  <si>
    <t>PU / HT</t>
  </si>
  <si>
    <t>Qt</t>
  </si>
  <si>
    <t>Total HT</t>
  </si>
  <si>
    <t>Liste des opérations</t>
  </si>
  <si>
    <t>SBE LYON</t>
  </si>
  <si>
    <t>Workshop Allemagne</t>
  </si>
  <si>
    <t>Workshop UK</t>
  </si>
  <si>
    <t>Soutien au dvp international</t>
  </si>
  <si>
    <t>Eductour Belge</t>
  </si>
  <si>
    <t>Application WACAN</t>
  </si>
  <si>
    <t>Eductours 1et 2</t>
  </si>
  <si>
    <t>Operation Paris C12</t>
  </si>
  <si>
    <t>Operation Paris été</t>
  </si>
  <si>
    <t>Poste</t>
  </si>
  <si>
    <t>Montant des dépenses compris entre 50 et 75%</t>
  </si>
  <si>
    <t>Montant des dépenses &gt; à 100%</t>
  </si>
  <si>
    <t>Montant des dépenses compris entre 75 et 100%</t>
  </si>
  <si>
    <t>Montant des dépenses &lt; à 50%</t>
  </si>
  <si>
    <t>SEMESTRE</t>
  </si>
  <si>
    <t>CODE</t>
  </si>
  <si>
    <t>COMPTE</t>
  </si>
  <si>
    <t>INTITULÉ</t>
  </si>
  <si>
    <t>COMMENTAIRE</t>
  </si>
  <si>
    <t>N° PIECE</t>
  </si>
  <si>
    <t>DEBIT</t>
  </si>
  <si>
    <t>MODE DE PAIEMENT</t>
  </si>
  <si>
    <t>DATE DE PAIEMENT</t>
  </si>
  <si>
    <t>ANALYTIQUE</t>
  </si>
  <si>
    <t>ECO</t>
  </si>
  <si>
    <t>TOTAL</t>
  </si>
  <si>
    <t>BUDGET</t>
  </si>
  <si>
    <t xml:space="preserve"> BUDGET DE FONCTIONNEMENT</t>
  </si>
  <si>
    <t>FONCTIONNEMENT</t>
  </si>
  <si>
    <t>FOURNISSEUR</t>
  </si>
  <si>
    <t>Facture</t>
  </si>
  <si>
    <t>RÉEL</t>
  </si>
  <si>
    <t>Offert</t>
  </si>
  <si>
    <t>DIFFÉRENCE (€)</t>
  </si>
  <si>
    <t>DIFFÉRENCE (%)</t>
  </si>
  <si>
    <t>DEPENSES VARIABLES</t>
  </si>
  <si>
    <t>reçue=OK</t>
  </si>
  <si>
    <t xml:space="preserve">Location Lieu avec restauration </t>
  </si>
  <si>
    <t>Prestation Groupe SBE : recrutement acheteurs soit 85 €HT par acheteur</t>
  </si>
  <si>
    <t xml:space="preserve">Frais fixe, dossier et mini site </t>
  </si>
  <si>
    <t xml:space="preserve">Animations (prestataires de PCE) </t>
  </si>
  <si>
    <t>IMPRESSION DE DOCS DE PROMOTION</t>
  </si>
  <si>
    <t xml:space="preserve">Accessoire workshop : sacs </t>
  </si>
  <si>
    <t>Total des dépenses</t>
  </si>
  <si>
    <t>DEPENSES FIXES</t>
  </si>
  <si>
    <t>code</t>
  </si>
  <si>
    <t>frais de déplacement</t>
  </si>
  <si>
    <t>choisir avec menu déroulant</t>
  </si>
  <si>
    <t>RECETTES</t>
  </si>
  <si>
    <t>CREDIT</t>
  </si>
  <si>
    <t>Cadre</t>
  </si>
  <si>
    <t>mb</t>
  </si>
  <si>
    <t>lc</t>
  </si>
  <si>
    <t>non cadre</t>
  </si>
  <si>
    <t>ic</t>
  </si>
  <si>
    <t>ll</t>
  </si>
  <si>
    <t>lml</t>
  </si>
  <si>
    <t>jp</t>
  </si>
  <si>
    <t>Gouvernance</t>
  </si>
  <si>
    <t>Ecosysteme</t>
  </si>
  <si>
    <t>CGE</t>
  </si>
  <si>
    <t>GOUV</t>
  </si>
  <si>
    <t>Mice Place Méditerranée</t>
  </si>
  <si>
    <t>SBE</t>
  </si>
  <si>
    <t>Heavent Meeting</t>
  </si>
  <si>
    <t>MPM</t>
  </si>
  <si>
    <t>WSB</t>
  </si>
  <si>
    <t>HM</t>
  </si>
  <si>
    <t>imex</t>
  </si>
  <si>
    <t>WSE</t>
  </si>
  <si>
    <t>Eductour 1 &amp; 2</t>
  </si>
  <si>
    <t>Workshop Paris Été + Déj. Asso</t>
  </si>
  <si>
    <t>Evènement Sacandinavie</t>
  </si>
  <si>
    <t>Workshop Paris hiver + Déj. Asso</t>
  </si>
  <si>
    <t>EDUC</t>
  </si>
  <si>
    <t>WSP1</t>
  </si>
  <si>
    <t>ES</t>
  </si>
  <si>
    <t>DE</t>
  </si>
  <si>
    <t>WSP2</t>
  </si>
  <si>
    <t>Actions</t>
  </si>
  <si>
    <t>606</t>
  </si>
  <si>
    <t>613</t>
  </si>
  <si>
    <t>614</t>
  </si>
  <si>
    <t>615</t>
  </si>
  <si>
    <t>616</t>
  </si>
  <si>
    <t>622</t>
  </si>
  <si>
    <t>623</t>
  </si>
  <si>
    <t>624</t>
  </si>
  <si>
    <t>625</t>
  </si>
  <si>
    <t>626</t>
  </si>
  <si>
    <t>627</t>
  </si>
  <si>
    <t>dépenses</t>
  </si>
  <si>
    <t>prévues 2019</t>
  </si>
  <si>
    <t>ACT</t>
  </si>
  <si>
    <t>624 - transport sur achats</t>
  </si>
  <si>
    <t>614 - charges locatives</t>
  </si>
  <si>
    <t>614 - charges sur loyer</t>
  </si>
  <si>
    <t>627 - frais tenue compte banque</t>
  </si>
  <si>
    <t>666 - Ecart de change</t>
  </si>
  <si>
    <t>666 - ecart de change</t>
  </si>
  <si>
    <t>624 - transport sur achat</t>
  </si>
  <si>
    <t>624 - Transport / achats</t>
  </si>
  <si>
    <t>622 - Rémunérations d'intermédiaires et honoraires</t>
  </si>
  <si>
    <t>65 - charges de gestion courante</t>
  </si>
  <si>
    <t>Budget prévisionnel 2019
PROVENCE COTE D'AZUR EVENTS</t>
  </si>
  <si>
    <t>SALAIRES ET CHARGES</t>
  </si>
  <si>
    <t>DEV. INTERNATIONNAL</t>
  </si>
  <si>
    <t>DEVINT</t>
  </si>
  <si>
    <t>Recettes Prev 2019</t>
  </si>
  <si>
    <t>WSL</t>
  </si>
  <si>
    <t>WS LYON</t>
  </si>
  <si>
    <t>Depenses Prévs 2019</t>
  </si>
  <si>
    <t>code analytique</t>
  </si>
  <si>
    <t>depenses "ACTIONS" 2019 prévues</t>
  </si>
  <si>
    <t>678 - Aides versées</t>
  </si>
  <si>
    <t>67 - Charges exceptionnelles</t>
  </si>
  <si>
    <t>BUDGET 2019</t>
  </si>
  <si>
    <t>DEP</t>
  </si>
  <si>
    <t>AUT</t>
  </si>
  <si>
    <t>REG</t>
  </si>
  <si>
    <t>Saisie Manuelle</t>
  </si>
  <si>
    <t>benevolat</t>
  </si>
  <si>
    <t>enevolat CGE</t>
  </si>
  <si>
    <t>BENEVOLAT</t>
  </si>
  <si>
    <t>BENEVOLAT CGE</t>
  </si>
  <si>
    <t>625C</t>
  </si>
  <si>
    <t>611C</t>
  </si>
  <si>
    <t>623C</t>
  </si>
  <si>
    <t>617C</t>
  </si>
  <si>
    <t>618C</t>
  </si>
  <si>
    <t>626C</t>
  </si>
  <si>
    <t>650C</t>
  </si>
  <si>
    <t>641C</t>
  </si>
  <si>
    <t>860C</t>
  </si>
  <si>
    <t>622C</t>
  </si>
  <si>
    <t>756C</t>
  </si>
  <si>
    <t>758C</t>
  </si>
  <si>
    <t>740C</t>
  </si>
  <si>
    <t>COTISATIONS CGE</t>
  </si>
  <si>
    <t>PRESTATION CGE</t>
  </si>
  <si>
    <t>REGION PACA - CGE</t>
  </si>
  <si>
    <t>ok</t>
  </si>
  <si>
    <t>pk</t>
  </si>
  <si>
    <t>salaires / contrôle</t>
  </si>
  <si>
    <t>740c</t>
  </si>
  <si>
    <t>758c</t>
  </si>
  <si>
    <t>756c</t>
  </si>
  <si>
    <t>758PCE</t>
  </si>
  <si>
    <t>AUTOFINANCEMENT CELLULE</t>
  </si>
  <si>
    <t>POURCENTAGE SOUHAITÉ</t>
  </si>
  <si>
    <t>Cotisations CGE</t>
  </si>
  <si>
    <t>Cotisations PCE</t>
  </si>
  <si>
    <t>631</t>
  </si>
  <si>
    <t>DIVERS</t>
  </si>
  <si>
    <t>Partenariat UNIMEV</t>
  </si>
  <si>
    <t>860c</t>
  </si>
  <si>
    <t>Total des financements privés</t>
  </si>
  <si>
    <t>Total subventions publiques</t>
  </si>
  <si>
    <t>Marseille le 27/07/2018</t>
  </si>
  <si>
    <t xml:space="preserve">Heures feuille de route </t>
  </si>
  <si>
    <t xml:space="preserve">Commissions de travail  </t>
  </si>
  <si>
    <t>Stratégie innovation</t>
  </si>
  <si>
    <t xml:space="preserve">Stratégie de Prom et dvlp réseau </t>
  </si>
  <si>
    <t>DEMISSION</t>
  </si>
  <si>
    <t xml:space="preserve">DEMISSION </t>
  </si>
  <si>
    <t>604</t>
  </si>
  <si>
    <t>605</t>
  </si>
  <si>
    <t>607</t>
  </si>
  <si>
    <t>611</t>
  </si>
  <si>
    <t>617</t>
  </si>
  <si>
    <t>628</t>
  </si>
  <si>
    <t>635</t>
  </si>
  <si>
    <t>641</t>
  </si>
  <si>
    <t>645</t>
  </si>
  <si>
    <t>661</t>
  </si>
  <si>
    <t>666</t>
  </si>
  <si>
    <t>678</t>
  </si>
  <si>
    <t xml:space="preserve">68 </t>
  </si>
  <si>
    <t>681</t>
  </si>
  <si>
    <t>627c</t>
  </si>
  <si>
    <t>Marseille le 31/07/2018</t>
  </si>
  <si>
    <t>DU</t>
  </si>
  <si>
    <t>AU</t>
  </si>
  <si>
    <t>ABREGE</t>
  </si>
  <si>
    <t>COMPTA</t>
  </si>
  <si>
    <t>MOIS</t>
  </si>
  <si>
    <t>M. BODIN Nicolas</t>
  </si>
  <si>
    <t>M. BŒUF Jean Pierre</t>
  </si>
  <si>
    <t>Mme CHERRIER COUETTE Marie Christine</t>
  </si>
  <si>
    <t>M. CHEVILLON Michel</t>
  </si>
  <si>
    <t>M. CHOVELON Loïc</t>
  </si>
  <si>
    <t>M. CIPPOLINI Denis</t>
  </si>
  <si>
    <t>M. GAYMARD Vincent</t>
  </si>
  <si>
    <t>M. LAVERGNE Fabrice</t>
  </si>
  <si>
    <t>M. ROUCARIES Pierre Louis</t>
  </si>
  <si>
    <t>Mme ROUSTA GIROUD Maryam</t>
  </si>
  <si>
    <t>M. SANCHIS Richard</t>
  </si>
  <si>
    <t>M. TISSOT Maxime</t>
  </si>
  <si>
    <t>M. VALLAURI Franck</t>
  </si>
  <si>
    <t>M. DORE Eric</t>
  </si>
  <si>
    <t>Conseil Administration</t>
  </si>
  <si>
    <t>Séance de travail</t>
  </si>
  <si>
    <t>Ecosystème</t>
  </si>
  <si>
    <t>Eductour</t>
  </si>
  <si>
    <t>GOUVERNANCE</t>
  </si>
  <si>
    <t>CELLULE</t>
  </si>
  <si>
    <t>HEAVENT</t>
  </si>
  <si>
    <t>WORKSHOP PARIS DEC 17</t>
  </si>
  <si>
    <t>CA</t>
  </si>
  <si>
    <t>SEANCE</t>
  </si>
  <si>
    <t>EDUCTOUR</t>
  </si>
  <si>
    <t>WSPARIS1218</t>
  </si>
  <si>
    <t>hb</t>
  </si>
  <si>
    <t>STAGIAIRE</t>
  </si>
  <si>
    <t>stagiaire</t>
  </si>
  <si>
    <t xml:space="preserve"> </t>
  </si>
  <si>
    <t>HONORAIRES</t>
  </si>
  <si>
    <t>Leasing</t>
  </si>
  <si>
    <t>Locations bureaux</t>
  </si>
  <si>
    <t>charges sur loyer</t>
  </si>
  <si>
    <t>Entretien Reparation et Maintenance</t>
  </si>
  <si>
    <t>Assurance</t>
  </si>
  <si>
    <t xml:space="preserve">Etudes et recherche </t>
  </si>
  <si>
    <t>Rémunérations de personnel</t>
  </si>
  <si>
    <t>Charges sociales</t>
  </si>
  <si>
    <t>Autres charges de gestion courante</t>
  </si>
  <si>
    <t>Charges d'intérêts</t>
  </si>
  <si>
    <t>sStagiaires + autres frais de personnels</t>
  </si>
  <si>
    <t>MICE PLACE MED</t>
  </si>
  <si>
    <t>20MPM</t>
  </si>
  <si>
    <t>20HEAVENT</t>
  </si>
  <si>
    <t>20IMEX</t>
  </si>
  <si>
    <t>20IBTM</t>
  </si>
  <si>
    <t>MICE PLACE CANNES</t>
  </si>
  <si>
    <t>20MICE</t>
  </si>
  <si>
    <t>OPERATION PARIS ÉTÉ</t>
  </si>
  <si>
    <t>20PARISETE</t>
  </si>
  <si>
    <t>20SBE</t>
  </si>
  <si>
    <t>WS BRUXELLES</t>
  </si>
  <si>
    <t>20WSBRU</t>
  </si>
  <si>
    <t>WS LONDRES</t>
  </si>
  <si>
    <t>20WSLON</t>
  </si>
  <si>
    <t>OPERATION PARIS HIVER</t>
  </si>
  <si>
    <t>20PARISHIV</t>
  </si>
  <si>
    <t>20MP2</t>
  </si>
  <si>
    <t xml:space="preserve">Heavent Cannes </t>
  </si>
  <si>
    <t xml:space="preserve">Salon IMEX </t>
  </si>
  <si>
    <t xml:space="preserve">Salon IBTM </t>
  </si>
  <si>
    <t>Salon SBE Lyon</t>
  </si>
  <si>
    <t xml:space="preserve">Workshop Bruxelles </t>
  </si>
  <si>
    <t xml:space="preserve">Workshop Londres </t>
  </si>
  <si>
    <t xml:space="preserve">Workshop Lyon </t>
  </si>
  <si>
    <t xml:space="preserve">Salon MP2 </t>
  </si>
  <si>
    <t>Operations Paris Hiver</t>
  </si>
  <si>
    <t>Operations Paris ÉTÉ</t>
  </si>
  <si>
    <t>Mice Peace</t>
  </si>
  <si>
    <t>20WSLYON</t>
  </si>
  <si>
    <t>MP CANNES</t>
  </si>
  <si>
    <t>20EDUC</t>
  </si>
  <si>
    <t>HB</t>
  </si>
  <si>
    <t>POURC. REPARTITION</t>
  </si>
  <si>
    <t>Total BP 2020</t>
  </si>
  <si>
    <t>Sous traitance Actions</t>
  </si>
  <si>
    <t>TETE DE RESEAU</t>
  </si>
  <si>
    <t>Achats .. fournitures</t>
  </si>
  <si>
    <t>20INTER</t>
  </si>
  <si>
    <t>FRAIS WS ICCA</t>
  </si>
  <si>
    <t>Charges prévisionnelles</t>
  </si>
  <si>
    <t>Montant en €</t>
  </si>
  <si>
    <t>Produits prévisionnels</t>
  </si>
  <si>
    <t>60 - Achat</t>
  </si>
  <si>
    <t>70 - Vente de produits finis</t>
  </si>
  <si>
    <t>Achats d'études et de prestations de services</t>
  </si>
  <si>
    <t>Fournitures non stockable (eau, énergie)</t>
  </si>
  <si>
    <t>Vente de marchandises</t>
  </si>
  <si>
    <t>Fourniture d'entretion et de petit équipement</t>
  </si>
  <si>
    <t>Autres fournitures</t>
  </si>
  <si>
    <t>74 - Subventions</t>
  </si>
  <si>
    <t>Etat : précisez le(s) ministère(s) sollicité(s)</t>
  </si>
  <si>
    <t>Locations</t>
  </si>
  <si>
    <t>Entretien et réparation</t>
  </si>
  <si>
    <t>Région(s)</t>
  </si>
  <si>
    <t>Documentation</t>
  </si>
  <si>
    <t>Divers</t>
  </si>
  <si>
    <t>Département(s)</t>
  </si>
  <si>
    <t>Rémunérations intermédiaires et honoraires</t>
  </si>
  <si>
    <t>Commune(s)</t>
  </si>
  <si>
    <t>Publicité, publication</t>
  </si>
  <si>
    <t>Déplacements, missions</t>
  </si>
  <si>
    <t>Organismes sociaux (à détailler)</t>
  </si>
  <si>
    <t>Frais Postaux et de télécommunications</t>
  </si>
  <si>
    <t>Services bancaires, autres</t>
  </si>
  <si>
    <t>63 - Impôts et taxes</t>
  </si>
  <si>
    <t>Fonds européens</t>
  </si>
  <si>
    <t>Impôts et taxes sur rémunération</t>
  </si>
  <si>
    <t>ASP (emplois aidés)</t>
  </si>
  <si>
    <t>Autres impôts et taxes</t>
  </si>
  <si>
    <t>Autres recettes (précisez)</t>
  </si>
  <si>
    <t>Rémunération des personnels</t>
  </si>
  <si>
    <t>75 - Autres produits de gestion courante</t>
  </si>
  <si>
    <t>Autres charges de personnel</t>
  </si>
  <si>
    <t>Autres produits de gestion courante (hors cotisations)</t>
  </si>
  <si>
    <t>66 - Charges financières</t>
  </si>
  <si>
    <t>76 - Produits financiers</t>
  </si>
  <si>
    <t>77 - Produits exceptionnels</t>
  </si>
  <si>
    <t>68 - Dotation aux amortissements (provisions pour renouvellement)</t>
  </si>
  <si>
    <t>78 - Reprises sur amortissements et provisions</t>
  </si>
  <si>
    <t>79 - Transfert de charges</t>
  </si>
  <si>
    <t>TOTAL DES CHARGES PREVISIONNELLES</t>
  </si>
  <si>
    <t>TOTAL DES PRODUITS PREVISIONNELS</t>
  </si>
  <si>
    <t xml:space="preserve">86 - Emplois des contributions volontaires en nature </t>
  </si>
  <si>
    <t xml:space="preserve">87 - Contributions volontaires en nature </t>
  </si>
  <si>
    <t>Secours en nature</t>
  </si>
  <si>
    <t>Mise à disposition gratuite de biens et prestations</t>
  </si>
  <si>
    <t>Prestations en nature</t>
  </si>
  <si>
    <t>Personnel bénévole</t>
  </si>
  <si>
    <t>TOTAL DES CHARGES</t>
  </si>
  <si>
    <t>TOTAL DES PRODUITS</t>
  </si>
  <si>
    <t>PCE</t>
  </si>
  <si>
    <t>ACTIONS</t>
  </si>
  <si>
    <t>860CGE</t>
  </si>
  <si>
    <t>860PCE</t>
  </si>
  <si>
    <t>740vau</t>
  </si>
  <si>
    <t>Frais de déplacements</t>
  </si>
  <si>
    <t>758TR</t>
  </si>
  <si>
    <t>Tête de réseau</t>
  </si>
  <si>
    <t>TOTAL SALAIRES</t>
  </si>
  <si>
    <t>TOTAL REPARTITION</t>
  </si>
  <si>
    <t>TOTAL ACTIONS</t>
  </si>
  <si>
    <t xml:space="preserve">liste déroulante 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</si>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</sst>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5">
    <numFmt numFmtId="44" formatCode="_-* #,##0.00\ &quot;€&quot;_-;\-* #,##0.00\ &quot;€&quot;_-;_-* &quot;-&quot;??\ &quot;€&quot;_-;_-@_-"/>
    <numFmt numFmtId="164" formatCode="_-* #,##0\ _€_-;\-* #,##0\ _€_-;_-* &quot;-&quot;\ _€_-;_-@_-"/>
    <numFmt numFmtId="165" formatCode="_-* #,##0.00\ _€_-;\-* #,##0.00\ _€_-;_-* &quot;-&quot;??\ _€_-;_-@_-"/>
    <numFmt numFmtId="166" formatCode="0.0%"/>
    <numFmt numFmtId="167" formatCode="#,##0.00\ &quot;€&quot;"/>
    <numFmt numFmtId="168" formatCode="dd/mm/yy;@"/>
    <numFmt numFmtId="169" formatCode="_(&quot;$&quot;* #,##0.00_);_(&quot;$&quot;* \(#,##0.00\);_(&quot;$&quot;* &quot;-&quot;??_);_(@_)"/>
    <numFmt numFmtId="170" formatCode="_(\$* #,##0.00_);_(\$* \(#,##0.00\);_(\$* &quot;-&quot;??_);_(@_)"/>
    <numFmt numFmtId="171" formatCode="0&quot; &quot;%"/>
    <numFmt numFmtId="172" formatCode="#,##0\ &quot;€&quot;"/>
    <numFmt numFmtId="173" formatCode="#,##0.00_ ;[Red]\-#,##0.00\ "/>
    <numFmt numFmtId="174" formatCode="_-* #,##0\ &quot;€&quot;_-;\-* #,##0\ &quot;€&quot;_-;_-* &quot;-&quot;??\ &quot;€&quot;_-;_-@_-"/>
    <numFmt numFmtId="175" formatCode="_-* #,##0\ _€_-;\-* #,##0\ _€_-;_-* &quot;-&quot;??\ _€_-;_-@_-"/>
    <numFmt numFmtId="176" formatCode="#,##0_ ;[Red]\-#,##0\ "/>
    <numFmt numFmtId="177" formatCode="#,##0\ _€;[Red]\-#,##0\ _€"/>
  </numFmts>
  <fonts count="8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0"/>
      <name val="Arial"/>
      <family val="2"/>
    </font>
    <font>
      <b/>
      <sz val="7"/>
      <name val="Arial"/>
      <family val="2"/>
    </font>
    <font>
      <sz val="11"/>
      <color theme="1"/>
      <name val="Calibri Light"/>
      <family val="2"/>
      <scheme val="major"/>
    </font>
    <font>
      <sz val="1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i/>
      <sz val="10"/>
      <color rgb="FFFF0000"/>
      <name val="Calibri Light"/>
      <family val="2"/>
      <scheme val="major"/>
    </font>
    <font>
      <b/>
      <sz val="12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2"/>
      <name val="Times New Roman"/>
      <family val="1"/>
    </font>
    <font>
      <b/>
      <sz val="18"/>
      <color theme="3"/>
      <name val="Calibri Light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8"/>
      <color rgb="FF0070C0"/>
      <name val="Calibri Light"/>
      <family val="2"/>
      <scheme val="major"/>
    </font>
    <font>
      <sz val="9.9"/>
      <color rgb="FF3F9852"/>
      <name val="Courier New"/>
      <family val="3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theme="0"/>
      <name val="no_name_37"/>
      <family val="2"/>
    </font>
    <font>
      <i/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28"/>
      <color theme="3"/>
      <name val="Calibri Light"/>
      <family val="2"/>
      <scheme val="major"/>
    </font>
    <font>
      <sz val="10"/>
      <color theme="1"/>
      <name val="Calibri"/>
      <family val="2"/>
      <scheme val="minor"/>
    </font>
    <font>
      <sz val="14"/>
      <color theme="1" tint="0.249977111117893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b/>
      <sz val="11"/>
      <color theme="1"/>
      <name val="Calibri Light"/>
      <family val="1"/>
      <scheme val="major"/>
    </font>
    <font>
      <b/>
      <sz val="12"/>
      <color theme="1"/>
      <name val="Arial"/>
      <family val="2"/>
    </font>
    <font>
      <sz val="11"/>
      <color theme="1"/>
      <name val="Calibri Light"/>
      <family val="1"/>
      <scheme val="major"/>
    </font>
    <font>
      <i/>
      <sz val="11"/>
      <color theme="1"/>
      <name val="Calibri Light"/>
      <family val="1"/>
      <scheme val="major"/>
    </font>
    <font>
      <outline/>
      <shadow/>
      <sz val="11"/>
      <color theme="1"/>
      <name val="Calibri Light"/>
      <family val="1"/>
      <scheme val="major"/>
    </font>
    <font>
      <strike/>
      <outline/>
      <shadow/>
      <sz val="11"/>
      <color theme="1"/>
      <name val="Calibri Light"/>
      <family val="1"/>
      <scheme val="major"/>
    </font>
    <font>
      <outline/>
      <shadow/>
      <sz val="11"/>
      <name val="Arial"/>
      <family val="2"/>
    </font>
    <font>
      <strike/>
      <outline/>
      <shadow/>
      <sz val="11"/>
      <name val="Arial"/>
      <family val="2"/>
    </font>
    <font>
      <b/>
      <outline/>
      <shadow/>
      <sz val="11"/>
      <name val="Arial"/>
      <family val="2"/>
    </font>
    <font>
      <sz val="12"/>
      <color theme="1"/>
      <name val="Calibri Light"/>
      <family val="2"/>
      <scheme val="major"/>
    </font>
    <font>
      <i/>
      <sz val="11"/>
      <color theme="0"/>
      <name val="no_name_37"/>
      <family val="2"/>
    </font>
    <font>
      <i/>
      <sz val="12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theme="7" tint="-0.249977111117893"/>
      <name val="Arial"/>
      <family val="2"/>
    </font>
    <font>
      <sz val="12"/>
      <color rgb="FF3F3F76"/>
      <name val="Calibri"/>
      <family val="2"/>
      <scheme val="minor"/>
    </font>
    <font>
      <b/>
      <sz val="12"/>
      <color rgb="FF3F3F76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11"/>
      <color theme="0"/>
      <name val="Calibri Light"/>
      <family val="2"/>
      <scheme val="major"/>
    </font>
    <font>
      <sz val="12"/>
      <color rgb="FF9C0006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9" tint="-0.249977111117893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sz val="12"/>
      <name val="Arial"/>
      <family val="2"/>
    </font>
    <font>
      <b/>
      <sz val="12"/>
      <color indexed="8"/>
      <name val="Arial"/>
      <family val="2"/>
    </font>
    <font>
      <b/>
      <sz val="12"/>
      <color theme="1"/>
      <name val="Calibri"/>
      <family val="2"/>
      <scheme val="minor"/>
    </font>
    <font>
      <b/>
      <i/>
      <sz val="9"/>
      <color theme="9" tint="-0.249977111117893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2"/>
      <color rgb="FF3F3F76"/>
      <name val="Calibri"/>
      <family val="2"/>
      <scheme val="minor"/>
    </font>
    <font>
      <b/>
      <i/>
      <sz val="13"/>
      <color theme="3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1"/>
      <name val="Calibri Light"/>
      <family val="2"/>
      <scheme val="major"/>
    </font>
    <font>
      <sz val="11"/>
      <color theme="5" tint="-0.249977111117893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2"/>
        <bgColor indexed="64"/>
      </patternFill>
    </fill>
    <fill>
      <patternFill patternType="solid">
        <fgColor theme="8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9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CA4F2"/>
        <bgColor indexed="64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7CE"/>
      </patternFill>
    </fill>
    <fill>
      <patternFill patternType="solid">
        <fgColor rgb="FFEBCCF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</fills>
  <borders count="9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B2B2B2"/>
      </left>
      <right/>
      <top/>
      <bottom/>
      <diagonal/>
    </border>
    <border>
      <left style="thin">
        <color indexed="64"/>
      </left>
      <right style="thin">
        <color rgb="FFB2B2B2"/>
      </right>
      <top style="thin">
        <color rgb="FFB2B2B2"/>
      </top>
      <bottom/>
      <diagonal/>
    </border>
    <border>
      <left style="thin">
        <color indexed="64"/>
      </left>
      <right style="thin">
        <color rgb="FFB2B2B2"/>
      </right>
      <top/>
      <bottom style="thin">
        <color indexed="64"/>
      </bottom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theme="8" tint="-0.24994659260841701"/>
      </left>
      <right/>
      <top style="double">
        <color theme="8" tint="-0.24994659260841701"/>
      </top>
      <bottom style="double">
        <color theme="8" tint="-0.24994659260841701"/>
      </bottom>
      <diagonal/>
    </border>
    <border>
      <left/>
      <right/>
      <top style="double">
        <color theme="8" tint="-0.24994659260841701"/>
      </top>
      <bottom style="double">
        <color theme="8" tint="-0.24994659260841701"/>
      </bottom>
      <diagonal/>
    </border>
    <border>
      <left/>
      <right style="double">
        <color theme="8" tint="-0.24994659260841701"/>
      </right>
      <top style="double">
        <color theme="8" tint="-0.24994659260841701"/>
      </top>
      <bottom style="double">
        <color theme="8" tint="-0.24994659260841701"/>
      </bottom>
      <diagonal/>
    </border>
    <border>
      <left/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 style="thick">
        <color rgb="FF7030A0"/>
      </right>
      <top/>
      <bottom/>
      <diagonal/>
    </border>
    <border>
      <left style="thick">
        <color rgb="FF7030A0"/>
      </left>
      <right style="thick">
        <color rgb="FF7030A0"/>
      </right>
      <top style="medium">
        <color indexed="64"/>
      </top>
      <bottom/>
      <diagonal/>
    </border>
    <border>
      <left style="thick">
        <color rgb="FF7030A0"/>
      </left>
      <right style="thick">
        <color rgb="FF7030A0"/>
      </right>
      <top style="medium">
        <color indexed="64"/>
      </top>
      <bottom style="medium">
        <color indexed="64"/>
      </bottom>
      <diagonal/>
    </border>
    <border>
      <left style="thick">
        <color rgb="FF7030A0"/>
      </left>
      <right style="thick">
        <color rgb="FF7030A0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/>
      <top style="thin">
        <color theme="5" tint="-0.24994659260841701"/>
      </top>
      <bottom style="thin">
        <color theme="5" tint="-0.24994659260841701"/>
      </bottom>
      <diagonal/>
    </border>
    <border>
      <left/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/>
      <top style="thin">
        <color theme="5" tint="-0.2499465926084170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ck">
        <color rgb="FF7030A0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1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30" fillId="0" borderId="55" applyNumberFormat="0" applyFill="0" applyAlignment="0" applyProtection="0"/>
    <xf numFmtId="0" fontId="31" fillId="17" borderId="56" applyNumberFormat="0" applyAlignment="0" applyProtection="0"/>
    <xf numFmtId="0" fontId="10" fillId="18" borderId="57" applyNumberFormat="0" applyAlignment="0" applyProtection="0"/>
    <xf numFmtId="0" fontId="2" fillId="19" borderId="58" applyNumberFormat="0" applyFont="0" applyAlignment="0" applyProtection="0"/>
    <xf numFmtId="0" fontId="37" fillId="21" borderId="0" applyNumberFormat="0" applyBorder="0" applyAlignment="0" applyProtection="0"/>
    <xf numFmtId="0" fontId="37" fillId="25" borderId="0" applyNumberFormat="0" applyBorder="0" applyAlignment="0" applyProtection="0"/>
    <xf numFmtId="0" fontId="37" fillId="26" borderId="0" applyNumberFormat="0" applyBorder="0" applyAlignment="0" applyProtection="0"/>
    <xf numFmtId="0" fontId="37" fillId="27" borderId="0" applyNumberFormat="0" applyBorder="0" applyAlignment="0" applyProtection="0"/>
    <xf numFmtId="0" fontId="37" fillId="28" borderId="0" applyNumberFormat="0" applyBorder="0" applyAlignment="0" applyProtection="0"/>
    <xf numFmtId="0" fontId="60" fillId="33" borderId="56" applyNumberFormat="0" applyAlignment="0" applyProtection="0"/>
    <xf numFmtId="165" fontId="2" fillId="0" borderId="0" applyFont="0" applyFill="0" applyBorder="0" applyAlignment="0" applyProtection="0"/>
    <xf numFmtId="0" fontId="62" fillId="34" borderId="0" applyNumberFormat="0" applyBorder="0" applyAlignment="0" applyProtection="0"/>
    <xf numFmtId="0" fontId="64" fillId="36" borderId="0" applyNumberFormat="0" applyBorder="0" applyAlignment="0" applyProtection="0"/>
    <xf numFmtId="0" fontId="1" fillId="39" borderId="0" applyNumberFormat="0" applyBorder="0" applyAlignment="0" applyProtection="0"/>
    <xf numFmtId="0" fontId="72" fillId="17" borderId="91" applyNumberFormat="0" applyAlignment="0" applyProtection="0"/>
    <xf numFmtId="0" fontId="70" fillId="0" borderId="93" applyNumberFormat="0" applyFill="0" applyAlignment="0" applyProtection="0"/>
  </cellStyleXfs>
  <cellXfs count="659">
    <xf numFmtId="0" fontId="0" fillId="0" borderId="0" xfId="0"/>
    <xf numFmtId="0" fontId="6" fillId="0" borderId="1" xfId="0" applyFont="1" applyBorder="1" applyAlignment="1">
      <alignment horizontal="center"/>
    </xf>
    <xf numFmtId="0" fontId="0" fillId="0" borderId="2" xfId="0" applyBorder="1"/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0" fillId="0" borderId="5" xfId="0" applyBorder="1"/>
    <xf numFmtId="4" fontId="0" fillId="0" borderId="5" xfId="0" applyNumberFormat="1" applyBorder="1"/>
    <xf numFmtId="0" fontId="0" fillId="0" borderId="5" xfId="0" applyBorder="1" applyAlignment="1">
      <alignment wrapText="1"/>
    </xf>
    <xf numFmtId="0" fontId="5" fillId="0" borderId="5" xfId="0" applyFont="1" applyBorder="1"/>
    <xf numFmtId="4" fontId="0" fillId="0" borderId="0" xfId="0" applyNumberFormat="1"/>
    <xf numFmtId="0" fontId="6" fillId="0" borderId="0" xfId="0" applyFont="1"/>
    <xf numFmtId="0" fontId="0" fillId="0" borderId="0" xfId="0" applyAlignment="1">
      <alignment vertical="center" wrapText="1"/>
    </xf>
    <xf numFmtId="0" fontId="4" fillId="0" borderId="8" xfId="0" applyFont="1" applyBorder="1"/>
    <xf numFmtId="0" fontId="0" fillId="0" borderId="8" xfId="0" applyBorder="1"/>
    <xf numFmtId="0" fontId="4" fillId="0" borderId="0" xfId="0" applyFont="1"/>
    <xf numFmtId="4" fontId="8" fillId="0" borderId="0" xfId="0" applyNumberFormat="1" applyFont="1" applyAlignment="1">
      <alignment horizontal="center" vertical="center" wrapText="1"/>
    </xf>
    <xf numFmtId="0" fontId="3" fillId="0" borderId="0" xfId="0" applyFont="1"/>
    <xf numFmtId="0" fontId="0" fillId="0" borderId="0" xfId="0" applyAlignment="1">
      <alignment vertical="center"/>
    </xf>
    <xf numFmtId="2" fontId="0" fillId="0" borderId="0" xfId="0" applyNumberFormat="1"/>
    <xf numFmtId="0" fontId="10" fillId="3" borderId="0" xfId="0" applyFont="1" applyFill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0" fillId="4" borderId="0" xfId="0" quotePrefix="1" applyFill="1"/>
    <xf numFmtId="0" fontId="0" fillId="0" borderId="11" xfId="0" applyBorder="1"/>
    <xf numFmtId="0" fontId="0" fillId="0" borderId="3" xfId="0" applyBorder="1"/>
    <xf numFmtId="0" fontId="0" fillId="0" borderId="12" xfId="0" applyBorder="1"/>
    <xf numFmtId="9" fontId="0" fillId="0" borderId="0" xfId="0" applyNumberFormat="1"/>
    <xf numFmtId="0" fontId="0" fillId="0" borderId="0" xfId="0" quotePrefix="1"/>
    <xf numFmtId="3" fontId="0" fillId="0" borderId="0" xfId="0" applyNumberFormat="1"/>
    <xf numFmtId="3" fontId="2" fillId="0" borderId="0" xfId="2" applyNumberFormat="1"/>
    <xf numFmtId="9" fontId="0" fillId="0" borderId="11" xfId="0" applyNumberFormat="1" applyBorder="1"/>
    <xf numFmtId="9" fontId="0" fillId="0" borderId="12" xfId="0" applyNumberFormat="1" applyBorder="1"/>
    <xf numFmtId="10" fontId="0" fillId="0" borderId="0" xfId="0" applyNumberFormat="1"/>
    <xf numFmtId="0" fontId="0" fillId="0" borderId="0" xfId="0" quotePrefix="1" applyAlignment="1">
      <alignment wrapText="1"/>
    </xf>
    <xf numFmtId="3" fontId="0" fillId="0" borderId="0" xfId="0" quotePrefix="1" applyNumberFormat="1"/>
    <xf numFmtId="3" fontId="4" fillId="0" borderId="0" xfId="0" quotePrefix="1" applyNumberFormat="1" applyFont="1"/>
    <xf numFmtId="9" fontId="2" fillId="6" borderId="5" xfId="2" quotePrefix="1" applyFill="1" applyBorder="1"/>
    <xf numFmtId="9" fontId="2" fillId="2" borderId="5" xfId="2" quotePrefix="1" applyFill="1" applyBorder="1"/>
    <xf numFmtId="9" fontId="2" fillId="2" borderId="0" xfId="2" quotePrefix="1" applyFill="1"/>
    <xf numFmtId="2" fontId="2" fillId="2" borderId="5" xfId="2" quotePrefix="1" applyNumberFormat="1" applyFill="1" applyBorder="1"/>
    <xf numFmtId="0" fontId="11" fillId="0" borderId="0" xfId="0" applyFont="1"/>
    <xf numFmtId="3" fontId="11" fillId="0" borderId="0" xfId="0" applyNumberFormat="1" applyFont="1"/>
    <xf numFmtId="9" fontId="2" fillId="0" borderId="0" xfId="2"/>
    <xf numFmtId="0" fontId="0" fillId="2" borderId="5" xfId="0" applyFill="1" applyBorder="1" applyAlignment="1">
      <alignment wrapText="1"/>
    </xf>
    <xf numFmtId="0" fontId="6" fillId="0" borderId="5" xfId="0" applyFont="1" applyBorder="1" applyAlignment="1">
      <alignment horizontal="center"/>
    </xf>
    <xf numFmtId="0" fontId="7" fillId="0" borderId="5" xfId="0" applyFont="1" applyBorder="1" applyAlignment="1">
      <alignment horizontal="center" vertical="center" wrapText="1"/>
    </xf>
    <xf numFmtId="164" fontId="12" fillId="0" borderId="5" xfId="0" applyNumberFormat="1" applyFont="1" applyBorder="1" applyAlignment="1">
      <alignment horizontal="center" vertical="center" wrapText="1"/>
    </xf>
    <xf numFmtId="164" fontId="13" fillId="0" borderId="5" xfId="0" applyNumberFormat="1" applyFont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/>
    </xf>
    <xf numFmtId="9" fontId="0" fillId="2" borderId="5" xfId="0" applyNumberFormat="1" applyFill="1" applyBorder="1"/>
    <xf numFmtId="44" fontId="0" fillId="0" borderId="0" xfId="0" applyNumberFormat="1"/>
    <xf numFmtId="44" fontId="0" fillId="2" borderId="0" xfId="0" applyNumberFormat="1" applyFill="1"/>
    <xf numFmtId="9" fontId="14" fillId="0" borderId="0" xfId="2" applyFont="1"/>
    <xf numFmtId="0" fontId="10" fillId="8" borderId="3" xfId="0" applyFont="1" applyFill="1" applyBorder="1" applyAlignment="1">
      <alignment horizontal="center" wrapText="1"/>
    </xf>
    <xf numFmtId="0" fontId="10" fillId="10" borderId="3" xfId="0" applyFont="1" applyFill="1" applyBorder="1" applyAlignment="1">
      <alignment horizontal="center" wrapText="1"/>
    </xf>
    <xf numFmtId="0" fontId="4" fillId="11" borderId="17" xfId="0" applyFont="1" applyFill="1" applyBorder="1" applyAlignment="1">
      <alignment horizontal="center"/>
    </xf>
    <xf numFmtId="0" fontId="4" fillId="11" borderId="18" xfId="0" applyFont="1" applyFill="1" applyBorder="1" applyAlignment="1">
      <alignment horizontal="center"/>
    </xf>
    <xf numFmtId="0" fontId="4" fillId="11" borderId="19" xfId="0" applyFont="1" applyFill="1" applyBorder="1" applyAlignment="1">
      <alignment horizontal="center"/>
    </xf>
    <xf numFmtId="0" fontId="4" fillId="0" borderId="21" xfId="0" applyFont="1" applyBorder="1" applyAlignment="1">
      <alignment horizontal="center" wrapText="1"/>
    </xf>
    <xf numFmtId="0" fontId="4" fillId="0" borderId="25" xfId="0" applyFont="1" applyBorder="1" applyAlignment="1">
      <alignment horizontal="center" wrapText="1"/>
    </xf>
    <xf numFmtId="0" fontId="10" fillId="8" borderId="26" xfId="0" applyFont="1" applyFill="1" applyBorder="1" applyAlignment="1">
      <alignment horizontal="center" wrapText="1"/>
    </xf>
    <xf numFmtId="0" fontId="10" fillId="10" borderId="18" xfId="0" applyFont="1" applyFill="1" applyBorder="1" applyAlignment="1">
      <alignment horizontal="center" wrapText="1"/>
    </xf>
    <xf numFmtId="0" fontId="4" fillId="0" borderId="19" xfId="0" applyFont="1" applyBorder="1" applyAlignment="1">
      <alignment horizontal="center"/>
    </xf>
    <xf numFmtId="0" fontId="0" fillId="11" borderId="28" xfId="0" applyFill="1" applyBorder="1"/>
    <xf numFmtId="0" fontId="0" fillId="0" borderId="35" xfId="0" applyBorder="1"/>
    <xf numFmtId="0" fontId="10" fillId="8" borderId="16" xfId="0" applyFont="1" applyFill="1" applyBorder="1" applyAlignment="1">
      <alignment horizontal="center"/>
    </xf>
    <xf numFmtId="0" fontId="10" fillId="10" borderId="16" xfId="0" applyFont="1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9" xfId="0" applyBorder="1"/>
    <xf numFmtId="0" fontId="0" fillId="11" borderId="40" xfId="0" applyFill="1" applyBorder="1"/>
    <xf numFmtId="0" fontId="0" fillId="0" borderId="42" xfId="0" applyBorder="1"/>
    <xf numFmtId="0" fontId="0" fillId="0" borderId="41" xfId="0" applyBorder="1"/>
    <xf numFmtId="0" fontId="0" fillId="0" borderId="43" xfId="0" applyBorder="1"/>
    <xf numFmtId="0" fontId="0" fillId="0" borderId="40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17" fillId="8" borderId="49" xfId="0" applyFont="1" applyFill="1" applyBorder="1" applyAlignment="1">
      <alignment horizontal="center"/>
    </xf>
    <xf numFmtId="0" fontId="17" fillId="10" borderId="47" xfId="0" applyFont="1" applyFill="1" applyBorder="1" applyAlignment="1">
      <alignment horizontal="center"/>
    </xf>
    <xf numFmtId="0" fontId="4" fillId="0" borderId="48" xfId="0" applyFont="1" applyBorder="1" applyAlignment="1">
      <alignment horizontal="center"/>
    </xf>
    <xf numFmtId="166" fontId="0" fillId="0" borderId="0" xfId="2" applyNumberFormat="1" applyFont="1"/>
    <xf numFmtId="3" fontId="16" fillId="0" borderId="0" xfId="0" applyNumberFormat="1" applyFont="1"/>
    <xf numFmtId="3" fontId="14" fillId="0" borderId="0" xfId="0" applyNumberFormat="1" applyFont="1"/>
    <xf numFmtId="3" fontId="14" fillId="12" borderId="0" xfId="0" applyNumberFormat="1" applyFont="1" applyFill="1"/>
    <xf numFmtId="3" fontId="19" fillId="0" borderId="0" xfId="0" applyNumberFormat="1" applyFont="1"/>
    <xf numFmtId="3" fontId="15" fillId="12" borderId="50" xfId="0" applyNumberFormat="1" applyFont="1" applyFill="1" applyBorder="1"/>
    <xf numFmtId="3" fontId="14" fillId="12" borderId="11" xfId="0" applyNumberFormat="1" applyFont="1" applyFill="1" applyBorder="1"/>
    <xf numFmtId="3" fontId="14" fillId="12" borderId="12" xfId="0" applyNumberFormat="1" applyFont="1" applyFill="1" applyBorder="1"/>
    <xf numFmtId="3" fontId="15" fillId="12" borderId="50" xfId="0" applyNumberFormat="1" applyFont="1" applyFill="1" applyBorder="1" applyAlignment="1">
      <alignment horizontal="left" wrapText="1"/>
    </xf>
    <xf numFmtId="3" fontId="14" fillId="0" borderId="11" xfId="0" applyNumberFormat="1" applyFont="1" applyBorder="1"/>
    <xf numFmtId="3" fontId="14" fillId="0" borderId="12" xfId="0" applyNumberFormat="1" applyFont="1" applyBorder="1"/>
    <xf numFmtId="3" fontId="16" fillId="12" borderId="7" xfId="0" applyNumberFormat="1" applyFont="1" applyFill="1" applyBorder="1"/>
    <xf numFmtId="3" fontId="16" fillId="12" borderId="25" xfId="0" applyNumberFormat="1" applyFont="1" applyFill="1" applyBorder="1"/>
    <xf numFmtId="3" fontId="16" fillId="12" borderId="24" xfId="0" applyNumberFormat="1" applyFont="1" applyFill="1" applyBorder="1"/>
    <xf numFmtId="3" fontId="19" fillId="0" borderId="11" xfId="0" applyNumberFormat="1" applyFont="1" applyBorder="1"/>
    <xf numFmtId="3" fontId="19" fillId="0" borderId="12" xfId="0" applyNumberFormat="1" applyFont="1" applyBorder="1"/>
    <xf numFmtId="3" fontId="14" fillId="13" borderId="11" xfId="0" applyNumberFormat="1" applyFont="1" applyFill="1" applyBorder="1"/>
    <xf numFmtId="3" fontId="14" fillId="13" borderId="12" xfId="0" applyNumberFormat="1" applyFont="1" applyFill="1" applyBorder="1"/>
    <xf numFmtId="3" fontId="16" fillId="13" borderId="11" xfId="0" applyNumberFormat="1" applyFont="1" applyFill="1" applyBorder="1"/>
    <xf numFmtId="3" fontId="16" fillId="13" borderId="0" xfId="0" applyNumberFormat="1" applyFont="1" applyFill="1"/>
    <xf numFmtId="3" fontId="16" fillId="13" borderId="12" xfId="0" applyNumberFormat="1" applyFont="1" applyFill="1" applyBorder="1"/>
    <xf numFmtId="3" fontId="16" fillId="13" borderId="25" xfId="0" applyNumberFormat="1" applyFont="1" applyFill="1" applyBorder="1"/>
    <xf numFmtId="3" fontId="16" fillId="13" borderId="24" xfId="0" applyNumberFormat="1" applyFont="1" applyFill="1" applyBorder="1"/>
    <xf numFmtId="3" fontId="16" fillId="0" borderId="1" xfId="0" applyNumberFormat="1" applyFont="1" applyBorder="1" applyAlignment="1">
      <alignment wrapText="1"/>
    </xf>
    <xf numFmtId="3" fontId="16" fillId="0" borderId="25" xfId="0" applyNumberFormat="1" applyFont="1" applyBorder="1" applyAlignment="1">
      <alignment horizontal="center" wrapText="1"/>
    </xf>
    <xf numFmtId="3" fontId="16" fillId="0" borderId="0" xfId="0" applyNumberFormat="1" applyFont="1" applyAlignment="1">
      <alignment wrapText="1"/>
    </xf>
    <xf numFmtId="0" fontId="21" fillId="0" borderId="0" xfId="0" applyFont="1" applyAlignment="1">
      <alignment horizontal="center" vertical="center" shrinkToFit="1"/>
    </xf>
    <xf numFmtId="0" fontId="21" fillId="0" borderId="0" xfId="0" applyFont="1" applyAlignment="1">
      <alignment horizontal="center" vertical="center"/>
    </xf>
    <xf numFmtId="10" fontId="21" fillId="0" borderId="0" xfId="0" applyNumberFormat="1" applyFont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10" fontId="22" fillId="0" borderId="5" xfId="0" applyNumberFormat="1" applyFont="1" applyBorder="1" applyAlignment="1">
      <alignment horizontal="center" vertical="center"/>
    </xf>
    <xf numFmtId="0" fontId="23" fillId="0" borderId="0" xfId="0" applyFont="1"/>
    <xf numFmtId="0" fontId="22" fillId="0" borderId="51" xfId="0" applyFont="1" applyBorder="1"/>
    <xf numFmtId="1" fontId="22" fillId="0" borderId="52" xfId="3" applyNumberFormat="1" applyFont="1" applyBorder="1"/>
    <xf numFmtId="10" fontId="24" fillId="0" borderId="51" xfId="3" applyNumberFormat="1" applyFont="1" applyBorder="1" applyAlignment="1">
      <alignment horizontal="right"/>
    </xf>
    <xf numFmtId="3" fontId="24" fillId="0" borderId="53" xfId="3" applyNumberFormat="1" applyFont="1" applyBorder="1"/>
    <xf numFmtId="10" fontId="24" fillId="0" borderId="16" xfId="3" applyNumberFormat="1" applyFont="1" applyBorder="1" applyAlignment="1">
      <alignment horizontal="right"/>
    </xf>
    <xf numFmtId="0" fontId="23" fillId="0" borderId="16" xfId="0" applyFont="1" applyBorder="1"/>
    <xf numFmtId="10" fontId="22" fillId="0" borderId="16" xfId="3" applyNumberFormat="1" applyFont="1" applyBorder="1"/>
    <xf numFmtId="0" fontId="22" fillId="0" borderId="16" xfId="0" applyFont="1" applyBorder="1"/>
    <xf numFmtId="3" fontId="22" fillId="0" borderId="16" xfId="3" applyNumberFormat="1" applyFont="1" applyBorder="1"/>
    <xf numFmtId="0" fontId="23" fillId="0" borderId="16" xfId="0" applyFont="1" applyBorder="1" applyAlignment="1">
      <alignment horizontal="left" wrapText="1"/>
    </xf>
    <xf numFmtId="10" fontId="0" fillId="0" borderId="16" xfId="0" applyNumberFormat="1" applyBorder="1"/>
    <xf numFmtId="3" fontId="22" fillId="0" borderId="53" xfId="3" applyNumberFormat="1" applyFont="1" applyBorder="1"/>
    <xf numFmtId="9" fontId="22" fillId="0" borderId="16" xfId="3" applyNumberFormat="1" applyFont="1" applyBorder="1"/>
    <xf numFmtId="0" fontId="25" fillId="0" borderId="16" xfId="0" applyFont="1" applyBorder="1"/>
    <xf numFmtId="0" fontId="23" fillId="0" borderId="53" xfId="0" applyFont="1" applyBorder="1"/>
    <xf numFmtId="0" fontId="0" fillId="0" borderId="53" xfId="0" applyBorder="1"/>
    <xf numFmtId="0" fontId="22" fillId="0" borderId="53" xfId="0" applyFont="1" applyBorder="1"/>
    <xf numFmtId="3" fontId="23" fillId="0" borderId="53" xfId="0" applyNumberFormat="1" applyFont="1" applyBorder="1"/>
    <xf numFmtId="10" fontId="23" fillId="0" borderId="16" xfId="0" applyNumberFormat="1" applyFont="1" applyBorder="1"/>
    <xf numFmtId="167" fontId="22" fillId="0" borderId="16" xfId="0" applyNumberFormat="1" applyFont="1" applyBorder="1"/>
    <xf numFmtId="167" fontId="22" fillId="14" borderId="16" xfId="0" applyNumberFormat="1" applyFont="1" applyFill="1" applyBorder="1"/>
    <xf numFmtId="3" fontId="22" fillId="14" borderId="16" xfId="3" applyNumberFormat="1" applyFont="1" applyFill="1" applyBorder="1"/>
    <xf numFmtId="10" fontId="22" fillId="14" borderId="16" xfId="3" applyNumberFormat="1" applyFont="1" applyFill="1" applyBorder="1"/>
    <xf numFmtId="3" fontId="26" fillId="0" borderId="16" xfId="3" applyNumberFormat="1" applyFont="1" applyBorder="1"/>
    <xf numFmtId="0" fontId="27" fillId="0" borderId="16" xfId="0" applyFont="1" applyBorder="1"/>
    <xf numFmtId="1" fontId="24" fillId="0" borderId="53" xfId="3" applyNumberFormat="1" applyFont="1" applyBorder="1"/>
    <xf numFmtId="1" fontId="22" fillId="0" borderId="16" xfId="3" applyNumberFormat="1" applyFont="1" applyBorder="1"/>
    <xf numFmtId="1" fontId="22" fillId="0" borderId="53" xfId="3" applyNumberFormat="1" applyFont="1" applyBorder="1"/>
    <xf numFmtId="0" fontId="28" fillId="0" borderId="0" xfId="0" applyFont="1"/>
    <xf numFmtId="0" fontId="23" fillId="0" borderId="32" xfId="0" applyFont="1" applyBorder="1"/>
    <xf numFmtId="1" fontId="22" fillId="0" borderId="54" xfId="3" applyNumberFormat="1" applyFont="1" applyBorder="1"/>
    <xf numFmtId="10" fontId="22" fillId="0" borderId="32" xfId="3" applyNumberFormat="1" applyFont="1" applyBorder="1"/>
    <xf numFmtId="0" fontId="22" fillId="14" borderId="5" xfId="0" applyFont="1" applyFill="1" applyBorder="1" applyAlignment="1">
      <alignment horizontal="right"/>
    </xf>
    <xf numFmtId="3" fontId="22" fillId="14" borderId="15" xfId="3" applyNumberFormat="1" applyFont="1" applyFill="1" applyBorder="1"/>
    <xf numFmtId="10" fontId="22" fillId="14" borderId="5" xfId="3" applyNumberFormat="1" applyFont="1" applyFill="1" applyBorder="1"/>
    <xf numFmtId="3" fontId="22" fillId="14" borderId="5" xfId="3" applyNumberFormat="1" applyFont="1" applyFill="1" applyBorder="1"/>
    <xf numFmtId="1" fontId="23" fillId="0" borderId="0" xfId="0" applyNumberFormat="1" applyFont="1"/>
    <xf numFmtId="10" fontId="23" fillId="0" borderId="0" xfId="0" applyNumberFormat="1" applyFont="1"/>
    <xf numFmtId="10" fontId="22" fillId="0" borderId="0" xfId="3" applyNumberFormat="1" applyFont="1"/>
    <xf numFmtId="1" fontId="28" fillId="0" borderId="0" xfId="0" applyNumberFormat="1" applyFont="1"/>
    <xf numFmtId="10" fontId="28" fillId="0" borderId="0" xfId="0" applyNumberFormat="1" applyFont="1"/>
    <xf numFmtId="1" fontId="0" fillId="0" borderId="0" xfId="0" applyNumberFormat="1"/>
    <xf numFmtId="3" fontId="24" fillId="0" borderId="16" xfId="3" applyNumberFormat="1" applyFont="1" applyBorder="1"/>
    <xf numFmtId="3" fontId="16" fillId="0" borderId="0" xfId="0" applyNumberFormat="1" applyFont="1" applyAlignment="1">
      <alignment horizontal="left"/>
    </xf>
    <xf numFmtId="3" fontId="14" fillId="12" borderId="3" xfId="0" applyNumberFormat="1" applyFont="1" applyFill="1" applyBorder="1"/>
    <xf numFmtId="3" fontId="16" fillId="7" borderId="25" xfId="0" applyNumberFormat="1" applyFont="1" applyFill="1" applyBorder="1" applyAlignment="1">
      <alignment horizontal="left"/>
    </xf>
    <xf numFmtId="3" fontId="14" fillId="13" borderId="3" xfId="0" applyNumberFormat="1" applyFont="1" applyFill="1" applyBorder="1"/>
    <xf numFmtId="3" fontId="14" fillId="13" borderId="13" xfId="0" applyNumberFormat="1" applyFont="1" applyFill="1" applyBorder="1"/>
    <xf numFmtId="3" fontId="16" fillId="7" borderId="24" xfId="0" applyNumberFormat="1" applyFont="1" applyFill="1" applyBorder="1" applyAlignment="1">
      <alignment horizontal="left"/>
    </xf>
    <xf numFmtId="3" fontId="15" fillId="12" borderId="1" xfId="0" applyNumberFormat="1" applyFont="1" applyFill="1" applyBorder="1"/>
    <xf numFmtId="3" fontId="14" fillId="12" borderId="2" xfId="0" applyNumberFormat="1" applyFont="1" applyFill="1" applyBorder="1"/>
    <xf numFmtId="3" fontId="14" fillId="12" borderId="4" xfId="0" applyNumberFormat="1" applyFont="1" applyFill="1" applyBorder="1"/>
    <xf numFmtId="10" fontId="14" fillId="0" borderId="0" xfId="2" applyNumberFormat="1" applyFont="1"/>
    <xf numFmtId="9" fontId="24" fillId="0" borderId="16" xfId="3" applyNumberFormat="1" applyFont="1" applyBorder="1" applyAlignment="1">
      <alignment horizontal="right"/>
    </xf>
    <xf numFmtId="9" fontId="22" fillId="14" borderId="16" xfId="3" applyNumberFormat="1" applyFont="1" applyFill="1" applyBorder="1"/>
    <xf numFmtId="0" fontId="10" fillId="10" borderId="4" xfId="0" applyFont="1" applyFill="1" applyBorder="1" applyAlignment="1">
      <alignment horizontal="center" wrapText="1"/>
    </xf>
    <xf numFmtId="0" fontId="4" fillId="15" borderId="22" xfId="0" applyFont="1" applyFill="1" applyBorder="1" applyAlignment="1">
      <alignment horizontal="center"/>
    </xf>
    <xf numFmtId="0" fontId="4" fillId="15" borderId="23" xfId="0" applyFont="1" applyFill="1" applyBorder="1" applyAlignment="1">
      <alignment horizontal="center" wrapText="1"/>
    </xf>
    <xf numFmtId="0" fontId="4" fillId="15" borderId="21" xfId="0" applyFont="1" applyFill="1" applyBorder="1" applyAlignment="1">
      <alignment horizontal="center" wrapText="1"/>
    </xf>
    <xf numFmtId="0" fontId="4" fillId="15" borderId="24" xfId="0" applyFont="1" applyFill="1" applyBorder="1" applyAlignment="1">
      <alignment horizontal="center" wrapText="1"/>
    </xf>
    <xf numFmtId="0" fontId="5" fillId="11" borderId="27" xfId="0" applyFont="1" applyFill="1" applyBorder="1"/>
    <xf numFmtId="0" fontId="5" fillId="11" borderId="5" xfId="0" applyFont="1" applyFill="1" applyBorder="1"/>
    <xf numFmtId="0" fontId="5" fillId="11" borderId="28" xfId="0" applyFont="1" applyFill="1" applyBorder="1"/>
    <xf numFmtId="0" fontId="5" fillId="0" borderId="29" xfId="0" applyFont="1" applyBorder="1"/>
    <xf numFmtId="0" fontId="5" fillId="0" borderId="30" xfId="0" applyFont="1" applyBorder="1"/>
    <xf numFmtId="0" fontId="5" fillId="0" borderId="31" xfId="0" applyFont="1" applyBorder="1"/>
    <xf numFmtId="0" fontId="5" fillId="0" borderId="32" xfId="0" applyFont="1" applyBorder="1"/>
    <xf numFmtId="0" fontId="5" fillId="0" borderId="33" xfId="0" applyFont="1" applyBorder="1"/>
    <xf numFmtId="0" fontId="5" fillId="0" borderId="34" xfId="0" applyFont="1" applyBorder="1"/>
    <xf numFmtId="0" fontId="5" fillId="0" borderId="6" xfId="0" applyFont="1" applyBorder="1"/>
    <xf numFmtId="0" fontId="5" fillId="0" borderId="28" xfId="0" applyFont="1" applyBorder="1"/>
    <xf numFmtId="0" fontId="5" fillId="0" borderId="27" xfId="0" applyFont="1" applyBorder="1"/>
    <xf numFmtId="0" fontId="5" fillId="0" borderId="37" xfId="0" applyFont="1" applyBorder="1"/>
    <xf numFmtId="0" fontId="5" fillId="0" borderId="38" xfId="0" applyFont="1" applyBorder="1"/>
    <xf numFmtId="0" fontId="5" fillId="11" borderId="6" xfId="0" applyFont="1" applyFill="1" applyBorder="1"/>
    <xf numFmtId="0" fontId="5" fillId="11" borderId="5" xfId="0" applyFont="1" applyFill="1" applyBorder="1" applyAlignment="1">
      <alignment wrapText="1"/>
    </xf>
    <xf numFmtId="0" fontId="5" fillId="11" borderId="40" xfId="0" applyFont="1" applyFill="1" applyBorder="1"/>
    <xf numFmtId="0" fontId="0" fillId="2" borderId="15" xfId="0" applyFill="1" applyBorder="1"/>
    <xf numFmtId="4" fontId="0" fillId="0" borderId="15" xfId="0" applyNumberFormat="1" applyBorder="1"/>
    <xf numFmtId="0" fontId="7" fillId="2" borderId="5" xfId="0" applyFont="1" applyFill="1" applyBorder="1" applyAlignment="1">
      <alignment horizontal="center" vertical="center" wrapText="1"/>
    </xf>
    <xf numFmtId="0" fontId="0" fillId="2" borderId="0" xfId="0" applyFill="1"/>
    <xf numFmtId="3" fontId="16" fillId="0" borderId="1" xfId="0" applyNumberFormat="1" applyFont="1" applyBorder="1"/>
    <xf numFmtId="3" fontId="16" fillId="0" borderId="2" xfId="0" applyNumberFormat="1" applyFont="1" applyBorder="1"/>
    <xf numFmtId="3" fontId="16" fillId="0" borderId="4" xfId="0" applyNumberFormat="1" applyFont="1" applyBorder="1"/>
    <xf numFmtId="3" fontId="16" fillId="7" borderId="7" xfId="0" applyNumberFormat="1" applyFont="1" applyFill="1" applyBorder="1"/>
    <xf numFmtId="3" fontId="16" fillId="7" borderId="8" xfId="0" applyNumberFormat="1" applyFont="1" applyFill="1" applyBorder="1"/>
    <xf numFmtId="3" fontId="16" fillId="7" borderId="24" xfId="0" applyNumberFormat="1" applyFont="1" applyFill="1" applyBorder="1"/>
    <xf numFmtId="3" fontId="21" fillId="0" borderId="0" xfId="0" applyNumberFormat="1" applyFont="1" applyAlignment="1">
      <alignment horizontal="center" vertical="center"/>
    </xf>
    <xf numFmtId="3" fontId="22" fillId="0" borderId="15" xfId="0" applyNumberFormat="1" applyFont="1" applyBorder="1" applyAlignment="1">
      <alignment horizontal="center" vertical="center"/>
    </xf>
    <xf numFmtId="3" fontId="22" fillId="0" borderId="52" xfId="3" applyNumberFormat="1" applyFont="1" applyBorder="1"/>
    <xf numFmtId="3" fontId="22" fillId="0" borderId="0" xfId="3" applyNumberFormat="1" applyFont="1"/>
    <xf numFmtId="3" fontId="22" fillId="0" borderId="54" xfId="3" applyNumberFormat="1" applyFont="1" applyBorder="1"/>
    <xf numFmtId="3" fontId="23" fillId="0" borderId="0" xfId="0" applyNumberFormat="1" applyFont="1"/>
    <xf numFmtId="3" fontId="28" fillId="0" borderId="0" xfId="0" applyNumberFormat="1" applyFont="1"/>
    <xf numFmtId="0" fontId="23" fillId="0" borderId="16" xfId="0" applyFont="1" applyBorder="1" applyAlignment="1">
      <alignment wrapText="1"/>
    </xf>
    <xf numFmtId="3" fontId="22" fillId="0" borderId="32" xfId="3" applyNumberFormat="1" applyFont="1" applyBorder="1"/>
    <xf numFmtId="0" fontId="0" fillId="0" borderId="0" xfId="0" applyAlignment="1">
      <alignment horizontal="left"/>
    </xf>
    <xf numFmtId="3" fontId="16" fillId="16" borderId="24" xfId="0" applyNumberFormat="1" applyFont="1" applyFill="1" applyBorder="1" applyAlignment="1">
      <alignment horizontal="center" wrapText="1"/>
    </xf>
    <xf numFmtId="4" fontId="21" fillId="0" borderId="0" xfId="0" applyNumberFormat="1" applyFont="1" applyAlignment="1">
      <alignment horizontal="center" vertical="center"/>
    </xf>
    <xf numFmtId="4" fontId="22" fillId="0" borderId="5" xfId="0" applyNumberFormat="1" applyFont="1" applyBorder="1" applyAlignment="1">
      <alignment horizontal="center" vertical="center"/>
    </xf>
    <xf numFmtId="4" fontId="23" fillId="0" borderId="0" xfId="0" applyNumberFormat="1" applyFont="1"/>
    <xf numFmtId="4" fontId="28" fillId="0" borderId="0" xfId="0" applyNumberFormat="1" applyFont="1"/>
    <xf numFmtId="4" fontId="22" fillId="0" borderId="15" xfId="0" applyNumberFormat="1" applyFont="1" applyBorder="1" applyAlignment="1">
      <alignment horizontal="center" vertical="center"/>
    </xf>
    <xf numFmtId="3" fontId="22" fillId="0" borderId="5" xfId="0" applyNumberFormat="1" applyFont="1" applyBorder="1" applyAlignment="1">
      <alignment horizontal="center" vertical="center"/>
    </xf>
    <xf numFmtId="0" fontId="0" fillId="14" borderId="0" xfId="0" applyFill="1"/>
    <xf numFmtId="0" fontId="22" fillId="0" borderId="5" xfId="0" applyFont="1" applyBorder="1" applyAlignment="1">
      <alignment horizontal="left" vertical="center"/>
    </xf>
    <xf numFmtId="0" fontId="20" fillId="20" borderId="5" xfId="0" applyFont="1" applyFill="1" applyBorder="1" applyAlignment="1">
      <alignment horizontal="left" vertical="center"/>
    </xf>
    <xf numFmtId="0" fontId="23" fillId="0" borderId="51" xfId="0" applyFont="1" applyBorder="1"/>
    <xf numFmtId="3" fontId="23" fillId="0" borderId="51" xfId="3" applyNumberFormat="1" applyFont="1" applyBorder="1"/>
    <xf numFmtId="3" fontId="23" fillId="0" borderId="16" xfId="3" applyNumberFormat="1" applyFont="1" applyBorder="1"/>
    <xf numFmtId="3" fontId="23" fillId="0" borderId="32" xfId="3" applyNumberFormat="1" applyFont="1" applyBorder="1"/>
    <xf numFmtId="0" fontId="27" fillId="0" borderId="0" xfId="0" applyFont="1"/>
    <xf numFmtId="3" fontId="22" fillId="20" borderId="0" xfId="3" applyNumberFormat="1" applyFont="1" applyFill="1"/>
    <xf numFmtId="0" fontId="27" fillId="0" borderId="32" xfId="0" applyFont="1" applyBorder="1"/>
    <xf numFmtId="0" fontId="32" fillId="0" borderId="0" xfId="4" applyFont="1"/>
    <xf numFmtId="0" fontId="0" fillId="0" borderId="59" xfId="0" applyBorder="1"/>
    <xf numFmtId="0" fontId="0" fillId="0" borderId="60" xfId="0" applyBorder="1"/>
    <xf numFmtId="3" fontId="0" fillId="0" borderId="5" xfId="0" applyNumberFormat="1" applyBorder="1" applyAlignment="1">
      <alignment horizontal="center"/>
    </xf>
    <xf numFmtId="3" fontId="0" fillId="0" borderId="61" xfId="0" applyNumberFormat="1" applyBorder="1"/>
    <xf numFmtId="3" fontId="0" fillId="0" borderId="62" xfId="0" applyNumberFormat="1" applyBorder="1"/>
    <xf numFmtId="3" fontId="10" fillId="18" borderId="57" xfId="7" applyNumberFormat="1"/>
    <xf numFmtId="3" fontId="30" fillId="0" borderId="55" xfId="5" applyNumberFormat="1"/>
    <xf numFmtId="3" fontId="0" fillId="0" borderId="61" xfId="0" applyNumberFormat="1" applyBorder="1" applyAlignment="1">
      <alignment horizontal="center"/>
    </xf>
    <xf numFmtId="3" fontId="0" fillId="0" borderId="62" xfId="0" applyNumberFormat="1" applyBorder="1" applyAlignment="1">
      <alignment horizontal="center"/>
    </xf>
    <xf numFmtId="0" fontId="33" fillId="0" borderId="0" xfId="0" applyFont="1"/>
    <xf numFmtId="0" fontId="23" fillId="0" borderId="0" xfId="0" applyFont="1" applyAlignment="1">
      <alignment horizontal="right"/>
    </xf>
    <xf numFmtId="9" fontId="36" fillId="0" borderId="0" xfId="2" applyFont="1" applyAlignment="1">
      <alignment horizontal="center"/>
    </xf>
    <xf numFmtId="0" fontId="35" fillId="0" borderId="0" xfId="0" applyFont="1"/>
    <xf numFmtId="0" fontId="10" fillId="0" borderId="0" xfId="6" applyFont="1" applyFill="1" applyBorder="1"/>
    <xf numFmtId="3" fontId="0" fillId="19" borderId="58" xfId="8" applyNumberFormat="1" applyFont="1" applyAlignment="1">
      <alignment horizontal="center"/>
    </xf>
    <xf numFmtId="3" fontId="4" fillId="19" borderId="64" xfId="8" applyNumberFormat="1" applyFont="1" applyBorder="1" applyAlignment="1">
      <alignment vertical="center" wrapText="1"/>
    </xf>
    <xf numFmtId="3" fontId="4" fillId="19" borderId="65" xfId="8" applyNumberFormat="1" applyFont="1" applyBorder="1" applyAlignment="1">
      <alignment vertical="center" wrapText="1"/>
    </xf>
    <xf numFmtId="3" fontId="34" fillId="0" borderId="63" xfId="0" applyNumberFormat="1" applyFont="1" applyBorder="1" applyAlignment="1">
      <alignment vertical="center" wrapText="1"/>
    </xf>
    <xf numFmtId="3" fontId="34" fillId="0" borderId="0" xfId="0" applyNumberFormat="1" applyFont="1" applyAlignment="1">
      <alignment vertical="center" wrapText="1"/>
    </xf>
    <xf numFmtId="0" fontId="38" fillId="21" borderId="0" xfId="9" applyFont="1" applyAlignment="1">
      <alignment horizontal="center" vertical="center" wrapText="1"/>
    </xf>
    <xf numFmtId="14" fontId="0" fillId="0" borderId="0" xfId="0" applyNumberFormat="1"/>
    <xf numFmtId="0" fontId="39" fillId="0" borderId="0" xfId="0" applyFont="1" applyAlignment="1">
      <alignment horizontal="right"/>
    </xf>
    <xf numFmtId="168" fontId="38" fillId="21" borderId="0" xfId="9" applyNumberFormat="1" applyFont="1" applyAlignment="1">
      <alignment horizontal="right" vertical="center" wrapText="1"/>
    </xf>
    <xf numFmtId="168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40" fillId="0" borderId="0" xfId="0" applyFont="1"/>
    <xf numFmtId="0" fontId="41" fillId="0" borderId="0" xfId="4" applyFont="1"/>
    <xf numFmtId="0" fontId="40" fillId="0" borderId="0" xfId="0" applyFont="1" applyAlignment="1">
      <alignment vertical="center"/>
    </xf>
    <xf numFmtId="0" fontId="42" fillId="0" borderId="0" xfId="0" applyFont="1" applyAlignment="1">
      <alignment horizontal="left" vertical="center"/>
    </xf>
    <xf numFmtId="14" fontId="42" fillId="0" borderId="0" xfId="0" applyNumberFormat="1" applyFont="1" applyAlignment="1">
      <alignment vertical="center"/>
    </xf>
    <xf numFmtId="169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0" fontId="0" fillId="0" borderId="66" xfId="0" applyBorder="1" applyAlignment="1">
      <alignment vertical="center"/>
    </xf>
    <xf numFmtId="0" fontId="43" fillId="0" borderId="67" xfId="0" applyFont="1" applyBorder="1"/>
    <xf numFmtId="0" fontId="44" fillId="0" borderId="68" xfId="0" applyFont="1" applyBorder="1"/>
    <xf numFmtId="0" fontId="44" fillId="0" borderId="69" xfId="0" applyFont="1" applyBorder="1"/>
    <xf numFmtId="0" fontId="0" fillId="0" borderId="70" xfId="0" applyBorder="1"/>
    <xf numFmtId="0" fontId="0" fillId="0" borderId="71" xfId="0" applyBorder="1"/>
    <xf numFmtId="0" fontId="0" fillId="0" borderId="66" xfId="0" applyBorder="1"/>
    <xf numFmtId="0" fontId="0" fillId="0" borderId="72" xfId="0" applyBorder="1"/>
    <xf numFmtId="0" fontId="0" fillId="0" borderId="73" xfId="0" applyBorder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51" xfId="0" applyFont="1" applyBorder="1" applyAlignment="1">
      <alignment horizontal="center" vertical="center"/>
    </xf>
    <xf numFmtId="0" fontId="4" fillId="0" borderId="74" xfId="0" applyFont="1" applyBorder="1" applyAlignment="1">
      <alignment horizontal="center" vertical="center"/>
    </xf>
    <xf numFmtId="170" fontId="45" fillId="22" borderId="0" xfId="0" applyNumberFormat="1" applyFont="1" applyFill="1" applyAlignment="1">
      <alignment horizontal="center" vertical="center"/>
    </xf>
    <xf numFmtId="0" fontId="46" fillId="22" borderId="0" xfId="0" applyFont="1" applyFill="1" applyAlignment="1">
      <alignment vertical="center"/>
    </xf>
    <xf numFmtId="0" fontId="45" fillId="22" borderId="0" xfId="0" applyFont="1" applyFill="1" applyAlignment="1">
      <alignment vertical="center"/>
    </xf>
    <xf numFmtId="167" fontId="47" fillId="0" borderId="16" xfId="1" applyNumberFormat="1" applyFont="1" applyBorder="1" applyAlignment="1">
      <alignment horizontal="right" vertical="center"/>
    </xf>
    <xf numFmtId="167" fontId="48" fillId="0" borderId="75" xfId="1" applyNumberFormat="1" applyFont="1" applyBorder="1" applyAlignment="1">
      <alignment horizontal="center" vertical="center"/>
    </xf>
    <xf numFmtId="167" fontId="47" fillId="0" borderId="0" xfId="1" applyNumberFormat="1" applyFont="1" applyAlignment="1">
      <alignment horizontal="right" vertical="center"/>
    </xf>
    <xf numFmtId="167" fontId="47" fillId="0" borderId="0" xfId="0" applyNumberFormat="1" applyFont="1" applyAlignment="1">
      <alignment vertical="center"/>
    </xf>
    <xf numFmtId="171" fontId="47" fillId="0" borderId="0" xfId="2" applyNumberFormat="1" applyFont="1" applyAlignment="1">
      <alignment horizontal="right" vertical="center" indent="1"/>
    </xf>
    <xf numFmtId="170" fontId="47" fillId="0" borderId="0" xfId="0" applyNumberFormat="1" applyFont="1" applyAlignment="1">
      <alignment horizontal="center" vertical="center"/>
    </xf>
    <xf numFmtId="171" fontId="49" fillId="0" borderId="0" xfId="2" applyNumberFormat="1" applyFont="1" applyAlignment="1">
      <alignment horizontal="right" vertical="center" indent="1"/>
    </xf>
    <xf numFmtId="171" fontId="50" fillId="0" borderId="0" xfId="2" applyNumberFormat="1" applyFont="1" applyAlignment="1">
      <alignment horizontal="right" vertical="center" indent="1"/>
    </xf>
    <xf numFmtId="171" fontId="47" fillId="23" borderId="0" xfId="2" applyNumberFormat="1" applyFont="1" applyFill="1" applyAlignment="1">
      <alignment horizontal="right" vertical="center" indent="1"/>
    </xf>
    <xf numFmtId="171" fontId="47" fillId="0" borderId="0" xfId="0" applyNumberFormat="1" applyFont="1" applyAlignment="1">
      <alignment horizontal="right" vertical="center" indent="1"/>
    </xf>
    <xf numFmtId="0" fontId="23" fillId="0" borderId="0" xfId="0" applyFont="1" applyAlignment="1">
      <alignment vertical="center"/>
    </xf>
    <xf numFmtId="167" fontId="23" fillId="0" borderId="16" xfId="1" applyNumberFormat="1" applyFont="1" applyBorder="1" applyAlignment="1">
      <alignment horizontal="right" vertical="center"/>
    </xf>
    <xf numFmtId="167" fontId="23" fillId="0" borderId="75" xfId="1" applyNumberFormat="1" applyFont="1" applyBorder="1" applyAlignment="1">
      <alignment horizontal="right" vertical="center"/>
    </xf>
    <xf numFmtId="167" fontId="23" fillId="0" borderId="0" xfId="1" applyNumberFormat="1" applyFont="1" applyAlignment="1">
      <alignment horizontal="right" vertical="center"/>
    </xf>
    <xf numFmtId="167" fontId="23" fillId="0" borderId="0" xfId="0" applyNumberFormat="1" applyFont="1" applyAlignment="1">
      <alignment vertical="center"/>
    </xf>
    <xf numFmtId="0" fontId="51" fillId="0" borderId="0" xfId="0" applyFont="1" applyAlignment="1">
      <alignment vertical="center"/>
    </xf>
    <xf numFmtId="167" fontId="51" fillId="0" borderId="16" xfId="1" applyNumberFormat="1" applyFont="1" applyBorder="1" applyAlignment="1">
      <alignment horizontal="right" vertical="center"/>
    </xf>
    <xf numFmtId="167" fontId="52" fillId="0" borderId="0" xfId="1" applyNumberFormat="1" applyFont="1" applyAlignment="1">
      <alignment horizontal="right" vertical="center"/>
    </xf>
    <xf numFmtId="167" fontId="51" fillId="0" borderId="0" xfId="0" applyNumberFormat="1" applyFont="1" applyAlignment="1">
      <alignment vertical="center"/>
    </xf>
    <xf numFmtId="0" fontId="23" fillId="0" borderId="0" xfId="0" applyFont="1" applyAlignment="1">
      <alignment vertical="center" wrapText="1"/>
    </xf>
    <xf numFmtId="0" fontId="22" fillId="0" borderId="0" xfId="0" applyFont="1" applyAlignment="1">
      <alignment vertical="center"/>
    </xf>
    <xf numFmtId="0" fontId="53" fillId="0" borderId="0" xfId="0" applyFont="1" applyAlignment="1">
      <alignment vertical="center"/>
    </xf>
    <xf numFmtId="167" fontId="23" fillId="0" borderId="32" xfId="1" applyNumberFormat="1" applyFont="1" applyBorder="1" applyAlignment="1">
      <alignment horizontal="right" vertical="center"/>
    </xf>
    <xf numFmtId="167" fontId="23" fillId="0" borderId="29" xfId="1" applyNumberFormat="1" applyFont="1" applyBorder="1" applyAlignment="1">
      <alignment horizontal="right" vertical="center"/>
    </xf>
    <xf numFmtId="0" fontId="23" fillId="23" borderId="0" xfId="0" applyFont="1" applyFill="1" applyAlignment="1">
      <alignment vertical="center"/>
    </xf>
    <xf numFmtId="167" fontId="23" fillId="23" borderId="0" xfId="1" applyNumberFormat="1" applyFont="1" applyFill="1" applyAlignment="1">
      <alignment horizontal="right" vertical="center"/>
    </xf>
    <xf numFmtId="167" fontId="23" fillId="23" borderId="0" xfId="0" applyNumberFormat="1" applyFont="1" applyFill="1" applyAlignment="1">
      <alignment vertical="center"/>
    </xf>
    <xf numFmtId="167" fontId="23" fillId="0" borderId="74" xfId="1" applyNumberFormat="1" applyFont="1" applyBorder="1" applyAlignment="1">
      <alignment horizontal="right" vertical="center"/>
    </xf>
    <xf numFmtId="167" fontId="23" fillId="0" borderId="0" xfId="0" applyNumberFormat="1" applyFont="1" applyAlignment="1">
      <alignment horizontal="right" vertical="center"/>
    </xf>
    <xf numFmtId="0" fontId="46" fillId="23" borderId="0" xfId="0" applyFont="1" applyFill="1" applyAlignment="1">
      <alignment vertical="center"/>
    </xf>
    <xf numFmtId="0" fontId="47" fillId="0" borderId="0" xfId="0" applyFont="1" applyAlignment="1">
      <alignment horizontal="center" vertical="center"/>
    </xf>
    <xf numFmtId="0" fontId="50" fillId="0" borderId="0" xfId="0" applyFont="1" applyAlignment="1">
      <alignment horizontal="center" vertical="center"/>
    </xf>
    <xf numFmtId="0" fontId="47" fillId="23" borderId="0" xfId="0" applyFont="1" applyFill="1" applyAlignment="1">
      <alignment horizontal="center" vertical="center"/>
    </xf>
    <xf numFmtId="172" fontId="23" fillId="0" borderId="16" xfId="1" applyNumberFormat="1" applyFont="1" applyBorder="1" applyAlignment="1">
      <alignment horizontal="right" vertical="center"/>
    </xf>
    <xf numFmtId="172" fontId="23" fillId="0" borderId="51" xfId="1" applyNumberFormat="1" applyFont="1" applyBorder="1" applyAlignment="1">
      <alignment horizontal="right" vertical="center"/>
    </xf>
    <xf numFmtId="172" fontId="23" fillId="0" borderId="32" xfId="1" applyNumberFormat="1" applyFont="1" applyBorder="1" applyAlignment="1">
      <alignment horizontal="right" vertical="center"/>
    </xf>
    <xf numFmtId="0" fontId="54" fillId="0" borderId="0" xfId="0" applyFont="1"/>
    <xf numFmtId="0" fontId="47" fillId="24" borderId="0" xfId="0" applyFont="1" applyFill="1" applyAlignment="1">
      <alignment horizontal="center" vertical="center"/>
    </xf>
    <xf numFmtId="0" fontId="46" fillId="24" borderId="0" xfId="0" applyFont="1" applyFill="1" applyAlignment="1">
      <alignment vertical="center"/>
    </xf>
    <xf numFmtId="0" fontId="23" fillId="24" borderId="0" xfId="0" applyFont="1" applyFill="1" applyAlignment="1">
      <alignment vertical="center"/>
    </xf>
    <xf numFmtId="167" fontId="23" fillId="24" borderId="0" xfId="1" applyNumberFormat="1" applyFont="1" applyFill="1" applyAlignment="1">
      <alignment horizontal="right" vertical="center"/>
    </xf>
    <xf numFmtId="167" fontId="23" fillId="24" borderId="0" xfId="0" applyNumberFormat="1" applyFont="1" applyFill="1" applyAlignment="1">
      <alignment vertical="center"/>
    </xf>
    <xf numFmtId="171" fontId="47" fillId="24" borderId="0" xfId="2" applyNumberFormat="1" applyFont="1" applyFill="1" applyAlignment="1">
      <alignment horizontal="right" vertical="center" indent="1"/>
    </xf>
    <xf numFmtId="0" fontId="0" fillId="0" borderId="0" xfId="0" applyAlignment="1">
      <alignment horizontal="right"/>
    </xf>
    <xf numFmtId="0" fontId="38" fillId="21" borderId="0" xfId="9" applyFont="1" applyAlignment="1">
      <alignment horizontal="left" vertical="center" wrapText="1"/>
    </xf>
    <xf numFmtId="40" fontId="38" fillId="21" borderId="0" xfId="9" applyNumberFormat="1" applyFont="1" applyAlignment="1">
      <alignment horizontal="center" vertical="center" wrapText="1"/>
    </xf>
    <xf numFmtId="0" fontId="55" fillId="21" borderId="0" xfId="9" applyFont="1" applyAlignment="1">
      <alignment horizontal="right" vertical="center" wrapText="1"/>
    </xf>
    <xf numFmtId="16" fontId="0" fillId="0" borderId="0" xfId="0" applyNumberFormat="1" applyAlignment="1">
      <alignment horizontal="center"/>
    </xf>
    <xf numFmtId="40" fontId="0" fillId="0" borderId="0" xfId="0" applyNumberFormat="1"/>
    <xf numFmtId="40" fontId="9" fillId="0" borderId="0" xfId="0" applyNumberFormat="1" applyFont="1"/>
    <xf numFmtId="0" fontId="56" fillId="0" borderId="0" xfId="0" applyFont="1" applyAlignment="1">
      <alignment horizontal="right"/>
    </xf>
    <xf numFmtId="0" fontId="0" fillId="0" borderId="0" xfId="0" quotePrefix="1" applyAlignment="1">
      <alignment horizontal="left"/>
    </xf>
    <xf numFmtId="0" fontId="37" fillId="25" borderId="0" xfId="10" applyAlignment="1">
      <alignment horizontal="center" vertical="center" wrapText="1"/>
    </xf>
    <xf numFmtId="0" fontId="37" fillId="28" borderId="0" xfId="13" applyAlignment="1">
      <alignment horizontal="center" vertical="center" wrapText="1"/>
    </xf>
    <xf numFmtId="0" fontId="57" fillId="0" borderId="0" xfId="0" applyFont="1" applyAlignment="1">
      <alignment horizontal="center"/>
    </xf>
    <xf numFmtId="0" fontId="17" fillId="27" borderId="0" xfId="12" applyFont="1" applyAlignment="1">
      <alignment horizontal="center" vertical="center" wrapText="1"/>
    </xf>
    <xf numFmtId="0" fontId="17" fillId="26" borderId="0" xfId="11" applyFont="1" applyAlignment="1">
      <alignment horizontal="center" vertical="center" wrapText="1"/>
    </xf>
    <xf numFmtId="0" fontId="17" fillId="29" borderId="0" xfId="13" applyFont="1" applyFill="1" applyAlignment="1">
      <alignment horizontal="center" vertical="center" wrapText="1"/>
    </xf>
    <xf numFmtId="0" fontId="4" fillId="0" borderId="51" xfId="0" applyFont="1" applyBorder="1" applyAlignment="1">
      <alignment horizontal="left"/>
    </xf>
    <xf numFmtId="0" fontId="0" fillId="0" borderId="51" xfId="0" applyBorder="1"/>
    <xf numFmtId="4" fontId="0" fillId="0" borderId="52" xfId="0" applyNumberFormat="1" applyBorder="1"/>
    <xf numFmtId="0" fontId="4" fillId="0" borderId="32" xfId="0" applyFont="1" applyBorder="1"/>
    <xf numFmtId="0" fontId="30" fillId="0" borderId="7" xfId="5" applyBorder="1"/>
    <xf numFmtId="0" fontId="30" fillId="0" borderId="8" xfId="5" applyBorder="1" applyAlignment="1">
      <alignment horizontal="left"/>
    </xf>
    <xf numFmtId="0" fontId="30" fillId="0" borderId="8" xfId="5" applyBorder="1"/>
    <xf numFmtId="4" fontId="30" fillId="0" borderId="8" xfId="5" applyNumberFormat="1" applyBorder="1"/>
    <xf numFmtId="44" fontId="30" fillId="0" borderId="8" xfId="5" applyNumberFormat="1" applyBorder="1"/>
    <xf numFmtId="0" fontId="0" fillId="0" borderId="2" xfId="0" applyBorder="1" applyAlignment="1">
      <alignment vertical="center"/>
    </xf>
    <xf numFmtId="0" fontId="6" fillId="0" borderId="2" xfId="0" applyFont="1" applyBorder="1" applyAlignment="1">
      <alignment vertical="center"/>
    </xf>
    <xf numFmtId="173" fontId="0" fillId="0" borderId="0" xfId="0" applyNumberFormat="1" applyAlignment="1">
      <alignment horizontal="right"/>
    </xf>
    <xf numFmtId="173" fontId="7" fillId="0" borderId="0" xfId="0" applyNumberFormat="1" applyFont="1" applyAlignment="1">
      <alignment horizontal="right"/>
    </xf>
    <xf numFmtId="2" fontId="2" fillId="2" borderId="0" xfId="2" quotePrefix="1" applyNumberFormat="1" applyFill="1"/>
    <xf numFmtId="0" fontId="58" fillId="30" borderId="0" xfId="0" quotePrefix="1" applyFont="1" applyFill="1" applyAlignment="1">
      <alignment horizontal="center" vertical="center" wrapText="1"/>
    </xf>
    <xf numFmtId="0" fontId="58" fillId="30" borderId="0" xfId="0" applyFont="1" applyFill="1" applyAlignment="1">
      <alignment horizontal="center" vertical="center" wrapText="1"/>
    </xf>
    <xf numFmtId="0" fontId="4" fillId="31" borderId="0" xfId="0" quotePrefix="1" applyFont="1" applyFill="1"/>
    <xf numFmtId="3" fontId="4" fillId="31" borderId="0" xfId="0" quotePrefix="1" applyNumberFormat="1" applyFont="1" applyFill="1"/>
    <xf numFmtId="4" fontId="4" fillId="31" borderId="0" xfId="0" quotePrefix="1" applyNumberFormat="1" applyFont="1" applyFill="1"/>
    <xf numFmtId="3" fontId="4" fillId="31" borderId="13" xfId="0" quotePrefix="1" applyNumberFormat="1" applyFont="1" applyFill="1" applyBorder="1"/>
    <xf numFmtId="3" fontId="4" fillId="31" borderId="9" xfId="0" quotePrefix="1" applyNumberFormat="1" applyFont="1" applyFill="1" applyBorder="1"/>
    <xf numFmtId="3" fontId="4" fillId="31" borderId="10" xfId="0" quotePrefix="1" applyNumberFormat="1" applyFont="1" applyFill="1" applyBorder="1"/>
    <xf numFmtId="9" fontId="4" fillId="31" borderId="0" xfId="0" quotePrefix="1" applyNumberFormat="1" applyFont="1" applyFill="1"/>
    <xf numFmtId="9" fontId="4" fillId="31" borderId="9" xfId="0" quotePrefix="1" applyNumberFormat="1" applyFont="1" applyFill="1" applyBorder="1"/>
    <xf numFmtId="3" fontId="0" fillId="12" borderId="0" xfId="0" applyNumberFormat="1" applyFill="1"/>
    <xf numFmtId="9" fontId="0" fillId="12" borderId="0" xfId="0" applyNumberFormat="1" applyFill="1"/>
    <xf numFmtId="3" fontId="0" fillId="32" borderId="0" xfId="0" applyNumberFormat="1" applyFill="1"/>
    <xf numFmtId="9" fontId="0" fillId="32" borderId="0" xfId="0" applyNumberFormat="1" applyFill="1"/>
    <xf numFmtId="4" fontId="4" fillId="31" borderId="13" xfId="0" quotePrefix="1" applyNumberFormat="1" applyFont="1" applyFill="1" applyBorder="1"/>
    <xf numFmtId="174" fontId="30" fillId="0" borderId="8" xfId="5" applyNumberFormat="1" applyBorder="1"/>
    <xf numFmtId="0" fontId="20" fillId="14" borderId="15" xfId="0" applyFont="1" applyFill="1" applyBorder="1" applyAlignment="1">
      <alignment horizontal="center" vertical="center" wrapText="1"/>
    </xf>
    <xf numFmtId="173" fontId="7" fillId="0" borderId="0" xfId="0" applyNumberFormat="1" applyFont="1" applyAlignment="1">
      <alignment horizontal="right" vertical="center" wrapText="1"/>
    </xf>
    <xf numFmtId="173" fontId="8" fillId="0" borderId="0" xfId="1" applyNumberFormat="1" applyFont="1" applyAlignment="1">
      <alignment horizontal="right"/>
    </xf>
    <xf numFmtId="0" fontId="20" fillId="14" borderId="15" xfId="0" applyFont="1" applyFill="1" applyBorder="1" applyAlignment="1">
      <alignment vertical="center" wrapText="1"/>
    </xf>
    <xf numFmtId="0" fontId="20" fillId="14" borderId="14" xfId="0" applyFont="1" applyFill="1" applyBorder="1" applyAlignment="1">
      <alignment vertical="center" wrapText="1"/>
    </xf>
    <xf numFmtId="0" fontId="20" fillId="14" borderId="6" xfId="0" applyFont="1" applyFill="1" applyBorder="1" applyAlignment="1">
      <alignment vertical="center" wrapText="1"/>
    </xf>
    <xf numFmtId="0" fontId="59" fillId="14" borderId="14" xfId="0" applyFont="1" applyFill="1" applyBorder="1" applyAlignment="1">
      <alignment horizontal="center" vertical="center" wrapText="1"/>
    </xf>
    <xf numFmtId="0" fontId="22" fillId="14" borderId="51" xfId="0" applyFont="1" applyFill="1" applyBorder="1"/>
    <xf numFmtId="3" fontId="22" fillId="14" borderId="52" xfId="3" applyNumberFormat="1" applyFont="1" applyFill="1" applyBorder="1"/>
    <xf numFmtId="10" fontId="24" fillId="14" borderId="51" xfId="3" applyNumberFormat="1" applyFont="1" applyFill="1" applyBorder="1" applyAlignment="1">
      <alignment horizontal="right"/>
    </xf>
    <xf numFmtId="0" fontId="23" fillId="14" borderId="0" xfId="0" applyFont="1" applyFill="1"/>
    <xf numFmtId="1" fontId="22" fillId="14" borderId="52" xfId="3" applyNumberFormat="1" applyFont="1" applyFill="1" applyBorder="1"/>
    <xf numFmtId="3" fontId="22" fillId="14" borderId="51" xfId="3" applyNumberFormat="1" applyFont="1" applyFill="1" applyBorder="1"/>
    <xf numFmtId="0" fontId="22" fillId="14" borderId="16" xfId="0" applyFont="1" applyFill="1" applyBorder="1"/>
    <xf numFmtId="3" fontId="22" fillId="14" borderId="0" xfId="3" applyNumberFormat="1" applyFont="1" applyFill="1"/>
    <xf numFmtId="3" fontId="24" fillId="14" borderId="53" xfId="3" applyNumberFormat="1" applyFont="1" applyFill="1" applyBorder="1"/>
    <xf numFmtId="3" fontId="22" fillId="14" borderId="53" xfId="3" applyNumberFormat="1" applyFont="1" applyFill="1" applyBorder="1"/>
    <xf numFmtId="10" fontId="24" fillId="14" borderId="16" xfId="3" applyNumberFormat="1" applyFont="1" applyFill="1" applyBorder="1" applyAlignment="1">
      <alignment horizontal="right"/>
    </xf>
    <xf numFmtId="3" fontId="24" fillId="14" borderId="16" xfId="3" applyNumberFormat="1" applyFont="1" applyFill="1" applyBorder="1"/>
    <xf numFmtId="3" fontId="23" fillId="14" borderId="53" xfId="0" applyNumberFormat="1" applyFont="1" applyFill="1" applyBorder="1"/>
    <xf numFmtId="10" fontId="23" fillId="14" borderId="16" xfId="0" applyNumberFormat="1" applyFont="1" applyFill="1" applyBorder="1"/>
    <xf numFmtId="0" fontId="27" fillId="14" borderId="16" xfId="0" applyFont="1" applyFill="1" applyBorder="1"/>
    <xf numFmtId="0" fontId="28" fillId="14" borderId="0" xfId="0" applyFont="1" applyFill="1"/>
    <xf numFmtId="1" fontId="22" fillId="14" borderId="53" xfId="3" applyNumberFormat="1" applyFont="1" applyFill="1" applyBorder="1"/>
    <xf numFmtId="0" fontId="26" fillId="14" borderId="16" xfId="0" applyFont="1" applyFill="1" applyBorder="1"/>
    <xf numFmtId="3" fontId="26" fillId="14" borderId="0" xfId="3" applyNumberFormat="1" applyFont="1" applyFill="1"/>
    <xf numFmtId="3" fontId="26" fillId="14" borderId="53" xfId="3" applyNumberFormat="1" applyFont="1" applyFill="1" applyBorder="1"/>
    <xf numFmtId="4" fontId="24" fillId="14" borderId="53" xfId="3" applyNumberFormat="1" applyFont="1" applyFill="1" applyBorder="1"/>
    <xf numFmtId="0" fontId="4" fillId="14" borderId="0" xfId="0" applyFont="1" applyFill="1"/>
    <xf numFmtId="3" fontId="23" fillId="0" borderId="0" xfId="3" applyNumberFormat="1" applyFont="1"/>
    <xf numFmtId="10" fontId="23" fillId="0" borderId="16" xfId="3" applyNumberFormat="1" applyFont="1" applyBorder="1"/>
    <xf numFmtId="9" fontId="23" fillId="0" borderId="16" xfId="3" applyNumberFormat="1" applyFont="1" applyBorder="1"/>
    <xf numFmtId="3" fontId="23" fillId="0" borderId="53" xfId="3" applyNumberFormat="1" applyFont="1" applyBorder="1"/>
    <xf numFmtId="9" fontId="25" fillId="0" borderId="16" xfId="3" applyNumberFormat="1" applyFont="1" applyBorder="1" applyAlignment="1">
      <alignment horizontal="right"/>
    </xf>
    <xf numFmtId="10" fontId="25" fillId="0" borderId="16" xfId="3" applyNumberFormat="1" applyFont="1" applyBorder="1" applyAlignment="1">
      <alignment horizontal="right"/>
    </xf>
    <xf numFmtId="3" fontId="25" fillId="0" borderId="53" xfId="3" applyNumberFormat="1" applyFont="1" applyBorder="1"/>
    <xf numFmtId="3" fontId="27" fillId="0" borderId="16" xfId="3" applyNumberFormat="1" applyFont="1" applyBorder="1"/>
    <xf numFmtId="1" fontId="25" fillId="0" borderId="53" xfId="3" applyNumberFormat="1" applyFont="1" applyBorder="1"/>
    <xf numFmtId="1" fontId="23" fillId="0" borderId="16" xfId="3" applyNumberFormat="1" applyFont="1" applyBorder="1"/>
    <xf numFmtId="0" fontId="61" fillId="33" borderId="56" xfId="14" applyFont="1" applyAlignment="1">
      <alignment horizontal="left"/>
    </xf>
    <xf numFmtId="0" fontId="61" fillId="33" borderId="56" xfId="14" applyFont="1"/>
    <xf numFmtId="4" fontId="61" fillId="33" borderId="56" xfId="14" applyNumberFormat="1" applyFont="1"/>
    <xf numFmtId="0" fontId="62" fillId="34" borderId="5" xfId="16" applyBorder="1" applyAlignment="1">
      <alignment horizontal="left"/>
    </xf>
    <xf numFmtId="0" fontId="0" fillId="19" borderId="58" xfId="8" applyFont="1" applyAlignment="1">
      <alignment wrapText="1"/>
    </xf>
    <xf numFmtId="0" fontId="57" fillId="0" borderId="5" xfId="0" applyFont="1" applyBorder="1" applyAlignment="1">
      <alignment horizontal="center"/>
    </xf>
    <xf numFmtId="0" fontId="62" fillId="34" borderId="5" xfId="16" applyBorder="1"/>
    <xf numFmtId="3" fontId="14" fillId="2" borderId="11" xfId="0" applyNumberFormat="1" applyFont="1" applyFill="1" applyBorder="1"/>
    <xf numFmtId="3" fontId="16" fillId="2" borderId="8" xfId="0" applyNumberFormat="1" applyFont="1" applyFill="1" applyBorder="1"/>
    <xf numFmtId="0" fontId="0" fillId="14" borderId="0" xfId="0" applyFill="1" applyAlignment="1">
      <alignment horizontal="left"/>
    </xf>
    <xf numFmtId="3" fontId="66" fillId="12" borderId="12" xfId="0" applyNumberFormat="1" applyFont="1" applyFill="1" applyBorder="1"/>
    <xf numFmtId="0" fontId="4" fillId="37" borderId="5" xfId="0" applyFont="1" applyFill="1" applyBorder="1" applyAlignment="1">
      <alignment horizontal="left"/>
    </xf>
    <xf numFmtId="0" fontId="0" fillId="37" borderId="5" xfId="0" applyFill="1" applyBorder="1"/>
    <xf numFmtId="4" fontId="0" fillId="37" borderId="15" xfId="0" applyNumberFormat="1" applyFill="1" applyBorder="1"/>
    <xf numFmtId="0" fontId="37" fillId="28" borderId="80" xfId="13" applyBorder="1" applyAlignment="1">
      <alignment horizontal="center" vertical="center" wrapText="1"/>
    </xf>
    <xf numFmtId="0" fontId="57" fillId="0" borderId="81" xfId="0" applyFont="1" applyBorder="1" applyAlignment="1">
      <alignment horizontal="center"/>
    </xf>
    <xf numFmtId="3" fontId="14" fillId="12" borderId="82" xfId="0" applyNumberFormat="1" applyFont="1" applyFill="1" applyBorder="1"/>
    <xf numFmtId="3" fontId="14" fillId="12" borderId="81" xfId="0" applyNumberFormat="1" applyFont="1" applyFill="1" applyBorder="1"/>
    <xf numFmtId="3" fontId="14" fillId="0" borderId="81" xfId="0" applyNumberFormat="1" applyFont="1" applyBorder="1"/>
    <xf numFmtId="3" fontId="16" fillId="12" borderId="83" xfId="0" applyNumberFormat="1" applyFont="1" applyFill="1" applyBorder="1"/>
    <xf numFmtId="3" fontId="19" fillId="0" borderId="81" xfId="0" applyNumberFormat="1" applyFont="1" applyBorder="1"/>
    <xf numFmtId="3" fontId="16" fillId="7" borderId="83" xfId="0" applyNumberFormat="1" applyFont="1" applyFill="1" applyBorder="1"/>
    <xf numFmtId="3" fontId="62" fillId="34" borderId="50" xfId="16" applyNumberFormat="1" applyBorder="1"/>
    <xf numFmtId="3" fontId="62" fillId="34" borderId="81" xfId="16" applyNumberFormat="1" applyBorder="1"/>
    <xf numFmtId="0" fontId="4" fillId="0" borderId="32" xfId="0" applyFont="1" applyBorder="1" applyAlignment="1">
      <alignment horizontal="left"/>
    </xf>
    <xf numFmtId="0" fontId="0" fillId="0" borderId="32" xfId="0" applyBorder="1"/>
    <xf numFmtId="4" fontId="0" fillId="0" borderId="32" xfId="0" applyNumberFormat="1" applyBorder="1"/>
    <xf numFmtId="0" fontId="4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0" fontId="0" fillId="0" borderId="18" xfId="0" applyBorder="1"/>
    <xf numFmtId="4" fontId="0" fillId="0" borderId="18" xfId="0" applyNumberFormat="1" applyBorder="1"/>
    <xf numFmtId="0" fontId="4" fillId="0" borderId="27" xfId="0" applyFont="1" applyBorder="1" applyAlignment="1">
      <alignment horizontal="left"/>
    </xf>
    <xf numFmtId="0" fontId="4" fillId="0" borderId="43" xfId="0" applyFont="1" applyBorder="1" applyAlignment="1">
      <alignment horizontal="left"/>
    </xf>
    <xf numFmtId="0" fontId="4" fillId="0" borderId="40" xfId="0" applyFont="1" applyBorder="1" applyAlignment="1">
      <alignment horizontal="left"/>
    </xf>
    <xf numFmtId="4" fontId="0" fillId="0" borderId="40" xfId="0" applyNumberFormat="1" applyBorder="1"/>
    <xf numFmtId="0" fontId="4" fillId="0" borderId="16" xfId="0" applyFont="1" applyBorder="1" applyAlignment="1">
      <alignment horizontal="left"/>
    </xf>
    <xf numFmtId="0" fontId="0" fillId="0" borderId="16" xfId="0" applyBorder="1"/>
    <xf numFmtId="4" fontId="0" fillId="0" borderId="16" xfId="0" applyNumberFormat="1" applyBorder="1"/>
    <xf numFmtId="0" fontId="4" fillId="5" borderId="17" xfId="0" applyFont="1" applyFill="1" applyBorder="1" applyAlignment="1">
      <alignment horizontal="left"/>
    </xf>
    <xf numFmtId="0" fontId="4" fillId="5" borderId="18" xfId="0" applyFont="1" applyFill="1" applyBorder="1" applyAlignment="1">
      <alignment horizontal="left"/>
    </xf>
    <xf numFmtId="0" fontId="0" fillId="5" borderId="18" xfId="0" applyFill="1" applyBorder="1"/>
    <xf numFmtId="4" fontId="0" fillId="5" borderId="18" xfId="0" applyNumberFormat="1" applyFill="1" applyBorder="1"/>
    <xf numFmtId="0" fontId="4" fillId="5" borderId="27" xfId="0" applyFont="1" applyFill="1" applyBorder="1" applyAlignment="1">
      <alignment horizontal="left"/>
    </xf>
    <xf numFmtId="0" fontId="4" fillId="5" borderId="5" xfId="0" applyFont="1" applyFill="1" applyBorder="1" applyAlignment="1">
      <alignment horizontal="left"/>
    </xf>
    <xf numFmtId="0" fontId="0" fillId="5" borderId="5" xfId="0" applyFill="1" applyBorder="1"/>
    <xf numFmtId="4" fontId="0" fillId="5" borderId="5" xfId="0" applyNumberFormat="1" applyFill="1" applyBorder="1"/>
    <xf numFmtId="0" fontId="4" fillId="5" borderId="43" xfId="0" applyFont="1" applyFill="1" applyBorder="1" applyAlignment="1">
      <alignment horizontal="left"/>
    </xf>
    <xf numFmtId="0" fontId="4" fillId="5" borderId="40" xfId="0" applyFont="1" applyFill="1" applyBorder="1" applyAlignment="1">
      <alignment horizontal="left"/>
    </xf>
    <xf numFmtId="0" fontId="0" fillId="5" borderId="40" xfId="0" applyFill="1" applyBorder="1"/>
    <xf numFmtId="4" fontId="0" fillId="5" borderId="40" xfId="0" applyNumberFormat="1" applyFill="1" applyBorder="1"/>
    <xf numFmtId="0" fontId="0" fillId="0" borderId="5" xfId="0" applyBorder="1" applyAlignment="1">
      <alignment horizontal="center"/>
    </xf>
    <xf numFmtId="0" fontId="62" fillId="34" borderId="5" xfId="16" applyBorder="1" applyAlignment="1">
      <alignment horizontal="center"/>
    </xf>
    <xf numFmtId="0" fontId="0" fillId="0" borderId="0" xfId="0" applyAlignment="1">
      <alignment horizontal="center"/>
    </xf>
    <xf numFmtId="176" fontId="0" fillId="0" borderId="0" xfId="0" applyNumberFormat="1"/>
    <xf numFmtId="176" fontId="7" fillId="0" borderId="3" xfId="0" applyNumberFormat="1" applyFont="1" applyBorder="1" applyAlignment="1">
      <alignment horizontal="center" wrapText="1"/>
    </xf>
    <xf numFmtId="176" fontId="9" fillId="0" borderId="0" xfId="0" applyNumberFormat="1" applyFont="1"/>
    <xf numFmtId="176" fontId="0" fillId="0" borderId="5" xfId="0" applyNumberFormat="1" applyBorder="1"/>
    <xf numFmtId="176" fontId="62" fillId="34" borderId="5" xfId="16" applyNumberFormat="1" applyBorder="1"/>
    <xf numFmtId="176" fontId="0" fillId="0" borderId="0" xfId="0" applyNumberFormat="1" applyAlignment="1">
      <alignment horizontal="right"/>
    </xf>
    <xf numFmtId="176" fontId="7" fillId="0" borderId="4" xfId="0" applyNumberFormat="1" applyFont="1" applyBorder="1" applyAlignment="1">
      <alignment horizontal="right" vertical="center" wrapText="1"/>
    </xf>
    <xf numFmtId="176" fontId="8" fillId="0" borderId="85" xfId="1" applyNumberFormat="1" applyFont="1" applyBorder="1" applyAlignment="1">
      <alignment horizontal="right"/>
    </xf>
    <xf numFmtId="176" fontId="8" fillId="0" borderId="37" xfId="1" applyNumberFormat="1" applyFont="1" applyBorder="1" applyAlignment="1">
      <alignment horizontal="right"/>
    </xf>
    <xf numFmtId="176" fontId="8" fillId="0" borderId="44" xfId="1" applyNumberFormat="1" applyFont="1" applyBorder="1" applyAlignment="1">
      <alignment horizontal="right"/>
    </xf>
    <xf numFmtId="176" fontId="8" fillId="0" borderId="75" xfId="1" applyNumberFormat="1" applyFont="1" applyBorder="1" applyAlignment="1">
      <alignment horizontal="right"/>
    </xf>
    <xf numFmtId="176" fontId="8" fillId="5" borderId="85" xfId="1" applyNumberFormat="1" applyFont="1" applyFill="1" applyBorder="1" applyAlignment="1">
      <alignment horizontal="right"/>
    </xf>
    <xf numFmtId="176" fontId="8" fillId="5" borderId="37" xfId="1" applyNumberFormat="1" applyFont="1" applyFill="1" applyBorder="1" applyAlignment="1">
      <alignment horizontal="right"/>
    </xf>
    <xf numFmtId="176" fontId="8" fillId="5" borderId="44" xfId="1" applyNumberFormat="1" applyFont="1" applyFill="1" applyBorder="1" applyAlignment="1">
      <alignment horizontal="right"/>
    </xf>
    <xf numFmtId="176" fontId="8" fillId="0" borderId="29" xfId="1" applyNumberFormat="1" applyFont="1" applyBorder="1" applyAlignment="1">
      <alignment horizontal="right"/>
    </xf>
    <xf numFmtId="176" fontId="8" fillId="0" borderId="6" xfId="1" applyNumberFormat="1" applyFont="1" applyBorder="1" applyAlignment="1">
      <alignment horizontal="right"/>
    </xf>
    <xf numFmtId="176" fontId="7" fillId="0" borderId="0" xfId="0" applyNumberFormat="1" applyFont="1" applyAlignment="1">
      <alignment horizontal="right"/>
    </xf>
    <xf numFmtId="173" fontId="4" fillId="0" borderId="0" xfId="0" applyNumberFormat="1" applyFont="1" applyAlignment="1">
      <alignment horizontal="right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wrapText="1"/>
    </xf>
    <xf numFmtId="176" fontId="5" fillId="0" borderId="19" xfId="1" applyNumberFormat="1" applyFont="1" applyBorder="1"/>
    <xf numFmtId="0" fontId="0" fillId="0" borderId="27" xfId="0" applyBorder="1" applyAlignment="1">
      <alignment horizontal="left"/>
    </xf>
    <xf numFmtId="176" fontId="5" fillId="0" borderId="28" xfId="1" applyNumberFormat="1" applyFont="1" applyBorder="1"/>
    <xf numFmtId="0" fontId="0" fillId="0" borderId="43" xfId="0" applyBorder="1" applyAlignment="1">
      <alignment horizontal="left"/>
    </xf>
    <xf numFmtId="0" fontId="0" fillId="0" borderId="40" xfId="0" applyBorder="1" applyAlignment="1">
      <alignment wrapText="1"/>
    </xf>
    <xf numFmtId="176" fontId="5" fillId="0" borderId="41" xfId="1" applyNumberFormat="1" applyFont="1" applyBorder="1"/>
    <xf numFmtId="0" fontId="0" fillId="0" borderId="51" xfId="0" applyBorder="1" applyAlignment="1">
      <alignment horizontal="left"/>
    </xf>
    <xf numFmtId="0" fontId="0" fillId="0" borderId="51" xfId="0" applyBorder="1" applyAlignment="1">
      <alignment wrapText="1"/>
    </xf>
    <xf numFmtId="176" fontId="5" fillId="0" borderId="51" xfId="1" applyNumberFormat="1" applyFont="1" applyBorder="1"/>
    <xf numFmtId="3" fontId="14" fillId="0" borderId="0" xfId="0" applyNumberFormat="1" applyFont="1" applyAlignment="1">
      <alignment horizontal="right"/>
    </xf>
    <xf numFmtId="0" fontId="62" fillId="34" borderId="0" xfId="16" applyAlignment="1">
      <alignment horizontal="left"/>
    </xf>
    <xf numFmtId="3" fontId="14" fillId="0" borderId="0" xfId="0" applyNumberFormat="1" applyFont="1" applyAlignment="1">
      <alignment horizontal="center"/>
    </xf>
    <xf numFmtId="9" fontId="14" fillId="0" borderId="86" xfId="2" applyFont="1" applyBorder="1" applyAlignment="1">
      <alignment horizontal="center"/>
    </xf>
    <xf numFmtId="9" fontId="14" fillId="0" borderId="87" xfId="2" applyFont="1" applyBorder="1" applyAlignment="1">
      <alignment horizontal="center"/>
    </xf>
    <xf numFmtId="9" fontId="14" fillId="0" borderId="88" xfId="2" applyFont="1" applyBorder="1" applyAlignment="1">
      <alignment horizontal="center"/>
    </xf>
    <xf numFmtId="9" fontId="24" fillId="14" borderId="16" xfId="3" applyNumberFormat="1" applyFont="1" applyFill="1" applyBorder="1" applyAlignment="1">
      <alignment horizontal="right"/>
    </xf>
    <xf numFmtId="3" fontId="67" fillId="0" borderId="0" xfId="0" applyNumberFormat="1" applyFont="1"/>
    <xf numFmtId="3" fontId="15" fillId="12" borderId="0" xfId="0" applyNumberFormat="1" applyFont="1" applyFill="1"/>
    <xf numFmtId="3" fontId="15" fillId="12" borderId="81" xfId="0" applyNumberFormat="1" applyFont="1" applyFill="1" applyBorder="1"/>
    <xf numFmtId="3" fontId="15" fillId="12" borderId="12" xfId="0" applyNumberFormat="1" applyFont="1" applyFill="1" applyBorder="1"/>
    <xf numFmtId="3" fontId="15" fillId="12" borderId="11" xfId="0" applyNumberFormat="1" applyFont="1" applyFill="1" applyBorder="1"/>
    <xf numFmtId="3" fontId="15" fillId="0" borderId="0" xfId="0" applyNumberFormat="1" applyFont="1"/>
    <xf numFmtId="3" fontId="59" fillId="14" borderId="14" xfId="0" applyNumberFormat="1" applyFont="1" applyFill="1" applyBorder="1" applyAlignment="1">
      <alignment horizontal="center" vertical="center" wrapText="1"/>
    </xf>
    <xf numFmtId="0" fontId="68" fillId="0" borderId="0" xfId="0" applyFont="1"/>
    <xf numFmtId="0" fontId="20" fillId="14" borderId="16" xfId="0" applyFont="1" applyFill="1" applyBorder="1"/>
    <xf numFmtId="0" fontId="69" fillId="14" borderId="16" xfId="0" applyFont="1" applyFill="1" applyBorder="1"/>
    <xf numFmtId="9" fontId="20" fillId="14" borderId="14" xfId="0" applyNumberFormat="1" applyFont="1" applyFill="1" applyBorder="1" applyAlignment="1">
      <alignment vertical="center" wrapText="1"/>
    </xf>
    <xf numFmtId="9" fontId="21" fillId="0" borderId="0" xfId="0" applyNumberFormat="1" applyFont="1" applyAlignment="1">
      <alignment horizontal="center" vertical="center"/>
    </xf>
    <xf numFmtId="9" fontId="22" fillId="0" borderId="5" xfId="0" applyNumberFormat="1" applyFont="1" applyBorder="1" applyAlignment="1">
      <alignment horizontal="center" vertical="center"/>
    </xf>
    <xf numFmtId="9" fontId="24" fillId="14" borderId="51" xfId="3" applyNumberFormat="1" applyFont="1" applyFill="1" applyBorder="1" applyAlignment="1">
      <alignment horizontal="right"/>
    </xf>
    <xf numFmtId="9" fontId="22" fillId="0" borderId="32" xfId="3" applyNumberFormat="1" applyFont="1" applyBorder="1"/>
    <xf numFmtId="9" fontId="23" fillId="0" borderId="0" xfId="0" applyNumberFormat="1" applyFont="1"/>
    <xf numFmtId="9" fontId="28" fillId="0" borderId="0" xfId="0" applyNumberFormat="1" applyFont="1"/>
    <xf numFmtId="9" fontId="20" fillId="14" borderId="6" xfId="0" applyNumberFormat="1" applyFont="1" applyFill="1" applyBorder="1" applyAlignment="1">
      <alignment vertical="center" wrapText="1"/>
    </xf>
    <xf numFmtId="9" fontId="0" fillId="0" borderId="16" xfId="0" applyNumberFormat="1" applyBorder="1"/>
    <xf numFmtId="9" fontId="22" fillId="0" borderId="0" xfId="3" applyNumberFormat="1" applyFont="1"/>
    <xf numFmtId="0" fontId="5" fillId="38" borderId="5" xfId="0" applyFont="1" applyFill="1" applyBorder="1"/>
    <xf numFmtId="0" fontId="5" fillId="38" borderId="28" xfId="0" applyFont="1" applyFill="1" applyBorder="1"/>
    <xf numFmtId="0" fontId="5" fillId="38" borderId="6" xfId="0" applyFont="1" applyFill="1" applyBorder="1"/>
    <xf numFmtId="0" fontId="5" fillId="38" borderId="27" xfId="0" applyFont="1" applyFill="1" applyBorder="1"/>
    <xf numFmtId="0" fontId="5" fillId="38" borderId="37" xfId="0" applyFont="1" applyFill="1" applyBorder="1"/>
    <xf numFmtId="0" fontId="5" fillId="38" borderId="38" xfId="0" applyFont="1" applyFill="1" applyBorder="1"/>
    <xf numFmtId="0" fontId="0" fillId="38" borderId="39" xfId="0" applyFill="1" applyBorder="1"/>
    <xf numFmtId="0" fontId="10" fillId="38" borderId="16" xfId="0" applyFont="1" applyFill="1" applyBorder="1" applyAlignment="1">
      <alignment horizontal="center"/>
    </xf>
    <xf numFmtId="0" fontId="0" fillId="38" borderId="36" xfId="0" applyFill="1" applyBorder="1" applyAlignment="1">
      <alignment horizontal="center"/>
    </xf>
    <xf numFmtId="0" fontId="4" fillId="0" borderId="20" xfId="0" applyFont="1" applyBorder="1" applyAlignment="1">
      <alignment horizontal="center" wrapText="1"/>
    </xf>
    <xf numFmtId="10" fontId="16" fillId="0" borderId="89" xfId="2" applyNumberFormat="1" applyFont="1" applyBorder="1" applyAlignment="1">
      <alignment horizontal="center"/>
    </xf>
    <xf numFmtId="14" fontId="0" fillId="0" borderId="5" xfId="0" applyNumberFormat="1" applyBorder="1"/>
    <xf numFmtId="0" fontId="0" fillId="0" borderId="26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42" xfId="0" applyBorder="1" applyAlignment="1">
      <alignment horizontal="left"/>
    </xf>
    <xf numFmtId="10" fontId="16" fillId="0" borderId="90" xfId="2" applyNumberFormat="1" applyFont="1" applyBorder="1" applyAlignment="1">
      <alignment horizontal="center"/>
    </xf>
    <xf numFmtId="10" fontId="14" fillId="0" borderId="89" xfId="2" applyNumberFormat="1" applyFont="1" applyBorder="1" applyAlignment="1">
      <alignment horizontal="center"/>
    </xf>
    <xf numFmtId="0" fontId="1" fillId="39" borderId="0" xfId="18" applyAlignment="1">
      <alignment horizontal="center" vertical="center" wrapText="1"/>
    </xf>
    <xf numFmtId="0" fontId="1" fillId="39" borderId="0" xfId="18" applyFont="1" applyAlignment="1">
      <alignment horizontal="center" vertical="center" wrapText="1"/>
    </xf>
    <xf numFmtId="0" fontId="71" fillId="0" borderId="0" xfId="0" applyFont="1" applyAlignment="1">
      <alignment horizontal="center"/>
    </xf>
    <xf numFmtId="4" fontId="0" fillId="0" borderId="60" xfId="0" applyNumberFormat="1" applyBorder="1" applyAlignment="1">
      <alignment horizontal="center"/>
    </xf>
    <xf numFmtId="4" fontId="5" fillId="11" borderId="28" xfId="0" applyNumberFormat="1" applyFont="1" applyFill="1" applyBorder="1"/>
    <xf numFmtId="4" fontId="0" fillId="0" borderId="36" xfId="0" applyNumberFormat="1" applyBorder="1" applyAlignment="1">
      <alignment horizontal="center"/>
    </xf>
    <xf numFmtId="4" fontId="4" fillId="2" borderId="48" xfId="0" applyNumberFormat="1" applyFont="1" applyFill="1" applyBorder="1" applyAlignment="1">
      <alignment horizontal="center"/>
    </xf>
    <xf numFmtId="177" fontId="0" fillId="0" borderId="5" xfId="0" applyNumberFormat="1" applyBorder="1"/>
    <xf numFmtId="177" fontId="0" fillId="19" borderId="58" xfId="8" applyNumberFormat="1" applyFont="1"/>
    <xf numFmtId="177" fontId="0" fillId="37" borderId="5" xfId="0" applyNumberFormat="1" applyFill="1" applyBorder="1"/>
    <xf numFmtId="177" fontId="57" fillId="0" borderId="0" xfId="0" applyNumberFormat="1" applyFont="1" applyAlignment="1">
      <alignment horizontal="center"/>
    </xf>
    <xf numFmtId="177" fontId="0" fillId="5" borderId="79" xfId="8" applyNumberFormat="1" applyFont="1" applyFill="1" applyBorder="1"/>
    <xf numFmtId="177" fontId="0" fillId="5" borderId="5" xfId="0" applyNumberFormat="1" applyFill="1" applyBorder="1"/>
    <xf numFmtId="177" fontId="57" fillId="0" borderId="5" xfId="0" applyNumberFormat="1" applyFont="1" applyBorder="1" applyAlignment="1">
      <alignment horizontal="center"/>
    </xf>
    <xf numFmtId="177" fontId="0" fillId="37" borderId="5" xfId="0" applyNumberFormat="1" applyFill="1" applyBorder="1" applyAlignment="1">
      <alignment horizontal="center"/>
    </xf>
    <xf numFmtId="177" fontId="0" fillId="37" borderId="58" xfId="8" applyNumberFormat="1" applyFont="1" applyFill="1"/>
    <xf numFmtId="177" fontId="61" fillId="33" borderId="56" xfId="14" applyNumberFormat="1" applyFont="1"/>
    <xf numFmtId="177" fontId="0" fillId="0" borderId="51" xfId="0" applyNumberFormat="1" applyBorder="1"/>
    <xf numFmtId="177" fontId="0" fillId="37" borderId="51" xfId="0" applyNumberFormat="1" applyFill="1" applyBorder="1"/>
    <xf numFmtId="177" fontId="0" fillId="2" borderId="5" xfId="0" applyNumberFormat="1" applyFill="1" applyBorder="1"/>
    <xf numFmtId="177" fontId="30" fillId="0" borderId="8" xfId="5" applyNumberFormat="1" applyBorder="1"/>
    <xf numFmtId="3" fontId="63" fillId="40" borderId="25" xfId="0" applyNumberFormat="1" applyFont="1" applyFill="1" applyBorder="1"/>
    <xf numFmtId="3" fontId="63" fillId="40" borderId="2" xfId="0" applyNumberFormat="1" applyFont="1" applyFill="1" applyBorder="1"/>
    <xf numFmtId="3" fontId="63" fillId="40" borderId="0" xfId="0" applyNumberFormat="1" applyFont="1" applyFill="1"/>
    <xf numFmtId="3" fontId="63" fillId="40" borderId="11" xfId="0" applyNumberFormat="1" applyFont="1" applyFill="1" applyBorder="1"/>
    <xf numFmtId="177" fontId="73" fillId="0" borderId="5" xfId="1" applyNumberFormat="1" applyFont="1" applyBorder="1" applyAlignment="1">
      <alignment horizontal="right"/>
    </xf>
    <xf numFmtId="177" fontId="73" fillId="37" borderId="5" xfId="1" applyNumberFormat="1" applyFont="1" applyFill="1" applyBorder="1" applyAlignment="1">
      <alignment horizontal="right"/>
    </xf>
    <xf numFmtId="177" fontId="74" fillId="33" borderId="56" xfId="14" applyNumberFormat="1" applyFont="1" applyAlignment="1">
      <alignment horizontal="right"/>
    </xf>
    <xf numFmtId="177" fontId="73" fillId="0" borderId="51" xfId="1" applyNumberFormat="1" applyFont="1" applyBorder="1" applyAlignment="1">
      <alignment horizontal="right"/>
    </xf>
    <xf numFmtId="44" fontId="75" fillId="0" borderId="8" xfId="5" applyNumberFormat="1" applyFont="1" applyBorder="1" applyAlignment="1">
      <alignment horizontal="right"/>
    </xf>
    <xf numFmtId="44" fontId="72" fillId="17" borderId="91" xfId="19" applyNumberFormat="1" applyAlignment="1">
      <alignment horizontal="center"/>
    </xf>
    <xf numFmtId="0" fontId="76" fillId="7" borderId="5" xfId="12" applyFont="1" applyFill="1" applyBorder="1" applyAlignment="1">
      <alignment horizontal="center" vertical="center" wrapText="1"/>
    </xf>
    <xf numFmtId="0" fontId="77" fillId="7" borderId="5" xfId="12" applyFont="1" applyFill="1" applyBorder="1" applyAlignment="1">
      <alignment horizontal="center" vertical="center" wrapText="1"/>
    </xf>
    <xf numFmtId="9" fontId="57" fillId="0" borderId="0" xfId="0" applyNumberFormat="1" applyFont="1" applyAlignment="1">
      <alignment horizontal="center"/>
    </xf>
    <xf numFmtId="9" fontId="57" fillId="0" borderId="81" xfId="2" applyFont="1" applyBorder="1" applyAlignment="1">
      <alignment horizontal="center"/>
    </xf>
    <xf numFmtId="3" fontId="78" fillId="12" borderId="50" xfId="0" applyNumberFormat="1" applyFont="1" applyFill="1" applyBorder="1"/>
    <xf numFmtId="3" fontId="16" fillId="12" borderId="0" xfId="0" applyNumberFormat="1" applyFont="1" applyFill="1"/>
    <xf numFmtId="3" fontId="16" fillId="12" borderId="81" xfId="0" applyNumberFormat="1" applyFont="1" applyFill="1" applyBorder="1"/>
    <xf numFmtId="3" fontId="0" fillId="0" borderId="0" xfId="0" applyNumberFormat="1" applyFill="1"/>
    <xf numFmtId="3" fontId="62" fillId="41" borderId="0" xfId="16" applyNumberFormat="1" applyFill="1"/>
    <xf numFmtId="3" fontId="14" fillId="0" borderId="11" xfId="0" applyNumberFormat="1" applyFont="1" applyFill="1" applyBorder="1"/>
    <xf numFmtId="3" fontId="14" fillId="0" borderId="0" xfId="0" applyNumberFormat="1" applyFont="1" applyFill="1"/>
    <xf numFmtId="3" fontId="14" fillId="0" borderId="81" xfId="0" applyNumberFormat="1" applyFont="1" applyFill="1" applyBorder="1"/>
    <xf numFmtId="3" fontId="14" fillId="0" borderId="12" xfId="0" applyNumberFormat="1" applyFont="1" applyFill="1" applyBorder="1"/>
    <xf numFmtId="3" fontId="16" fillId="0" borderId="0" xfId="0" applyNumberFormat="1" applyFont="1" applyFill="1"/>
    <xf numFmtId="3" fontId="16" fillId="0" borderId="81" xfId="0" applyNumberFormat="1" applyFont="1" applyFill="1" applyBorder="1"/>
    <xf numFmtId="3" fontId="16" fillId="0" borderId="11" xfId="0" applyNumberFormat="1" applyFont="1" applyFill="1" applyBorder="1"/>
    <xf numFmtId="3" fontId="14" fillId="16" borderId="50" xfId="0" applyNumberFormat="1" applyFont="1" applyFill="1" applyBorder="1"/>
    <xf numFmtId="3" fontId="16" fillId="16" borderId="50" xfId="0" applyNumberFormat="1" applyFont="1" applyFill="1" applyBorder="1"/>
    <xf numFmtId="3" fontId="16" fillId="16" borderId="15" xfId="0" applyNumberFormat="1" applyFont="1" applyFill="1" applyBorder="1"/>
    <xf numFmtId="3" fontId="16" fillId="16" borderId="84" xfId="0" applyNumberFormat="1" applyFont="1" applyFill="1" applyBorder="1"/>
    <xf numFmtId="3" fontId="16" fillId="16" borderId="38" xfId="0" applyNumberFormat="1" applyFont="1" applyFill="1" applyBorder="1"/>
    <xf numFmtId="3" fontId="63" fillId="40" borderId="39" xfId="0" applyNumberFormat="1" applyFont="1" applyFill="1" applyBorder="1"/>
    <xf numFmtId="3" fontId="16" fillId="16" borderId="92" xfId="0" applyNumberFormat="1" applyFont="1" applyFill="1" applyBorder="1"/>
    <xf numFmtId="3" fontId="16" fillId="16" borderId="5" xfId="0" applyNumberFormat="1" applyFont="1" applyFill="1" applyBorder="1"/>
    <xf numFmtId="3" fontId="16" fillId="16" borderId="23" xfId="0" applyNumberFormat="1" applyFont="1" applyFill="1" applyBorder="1"/>
    <xf numFmtId="3" fontId="63" fillId="40" borderId="23" xfId="0" applyNumberFormat="1" applyFont="1" applyFill="1" applyBorder="1"/>
    <xf numFmtId="3" fontId="16" fillId="13" borderId="23" xfId="0" applyNumberFormat="1" applyFont="1" applyFill="1" applyBorder="1"/>
    <xf numFmtId="3" fontId="16" fillId="12" borderId="11" xfId="0" applyNumberFormat="1" applyFont="1" applyFill="1" applyBorder="1"/>
    <xf numFmtId="3" fontId="62" fillId="34" borderId="11" xfId="16" applyNumberFormat="1" applyBorder="1"/>
    <xf numFmtId="0" fontId="30" fillId="17" borderId="55" xfId="5" applyFill="1"/>
    <xf numFmtId="0" fontId="70" fillId="42" borderId="0" xfId="0" applyFont="1" applyFill="1"/>
    <xf numFmtId="0" fontId="70" fillId="0" borderId="93" xfId="20"/>
    <xf numFmtId="175" fontId="30" fillId="17" borderId="55" xfId="15" applyNumberFormat="1" applyFont="1" applyFill="1" applyBorder="1"/>
    <xf numFmtId="175" fontId="70" fillId="42" borderId="0" xfId="15" applyNumberFormat="1" applyFont="1" applyFill="1"/>
    <xf numFmtId="175" fontId="0" fillId="0" borderId="0" xfId="15" applyNumberFormat="1" applyFont="1"/>
    <xf numFmtId="175" fontId="70" fillId="0" borderId="93" xfId="15" applyNumberFormat="1" applyFont="1" applyBorder="1"/>
    <xf numFmtId="0" fontId="17" fillId="26" borderId="0" xfId="11" applyFont="1" applyBorder="1" applyAlignment="1">
      <alignment horizontal="center" vertical="center" wrapText="1"/>
    </xf>
    <xf numFmtId="0" fontId="79" fillId="0" borderId="0" xfId="0" applyFont="1" applyAlignment="1">
      <alignment horizontal="left"/>
    </xf>
    <xf numFmtId="0" fontId="79" fillId="0" borderId="0" xfId="0" applyFont="1"/>
    <xf numFmtId="0" fontId="79" fillId="0" borderId="86" xfId="0" applyFont="1" applyBorder="1"/>
    <xf numFmtId="0" fontId="79" fillId="0" borderId="86" xfId="0" applyFont="1" applyBorder="1" applyAlignment="1">
      <alignment horizontal="left"/>
    </xf>
    <xf numFmtId="175" fontId="30" fillId="0" borderId="55" xfId="15" applyNumberFormat="1" applyFont="1" applyFill="1" applyBorder="1"/>
    <xf numFmtId="175" fontId="70" fillId="0" borderId="0" xfId="15" applyNumberFormat="1" applyFont="1" applyFill="1"/>
    <xf numFmtId="175" fontId="0" fillId="0" borderId="0" xfId="15" applyNumberFormat="1" applyFont="1" applyFill="1"/>
    <xf numFmtId="175" fontId="70" fillId="0" borderId="93" xfId="15" applyNumberFormat="1" applyFont="1" applyFill="1" applyBorder="1"/>
    <xf numFmtId="0" fontId="17" fillId="43" borderId="0" xfId="13" applyFont="1" applyFill="1" applyAlignment="1">
      <alignment horizontal="center" vertical="center" wrapText="1"/>
    </xf>
    <xf numFmtId="3" fontId="63" fillId="43" borderId="2" xfId="0" applyNumberFormat="1" applyFont="1" applyFill="1" applyBorder="1"/>
    <xf numFmtId="3" fontId="63" fillId="43" borderId="0" xfId="0" applyNumberFormat="1" applyFont="1" applyFill="1"/>
    <xf numFmtId="3" fontId="63" fillId="43" borderId="25" xfId="0" applyNumberFormat="1" applyFont="1" applyFill="1" applyBorder="1"/>
    <xf numFmtId="3" fontId="63" fillId="43" borderId="11" xfId="0" applyNumberFormat="1" applyFont="1" applyFill="1" applyBorder="1"/>
    <xf numFmtId="3" fontId="63" fillId="43" borderId="39" xfId="0" applyNumberFormat="1" applyFont="1" applyFill="1" applyBorder="1"/>
    <xf numFmtId="3" fontId="63" fillId="43" borderId="23" xfId="0" applyNumberFormat="1" applyFont="1" applyFill="1" applyBorder="1"/>
    <xf numFmtId="3" fontId="14" fillId="2" borderId="0" xfId="0" applyNumberFormat="1" applyFont="1" applyFill="1"/>
    <xf numFmtId="0" fontId="60" fillId="33" borderId="56" xfId="14"/>
    <xf numFmtId="0" fontId="4" fillId="9" borderId="1" xfId="0" applyFont="1" applyFill="1" applyBorder="1" applyAlignment="1">
      <alignment horizontal="center"/>
    </xf>
    <xf numFmtId="0" fontId="4" fillId="9" borderId="4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center" wrapText="1"/>
    </xf>
    <xf numFmtId="0" fontId="10" fillId="10" borderId="2" xfId="0" applyFont="1" applyFill="1" applyBorder="1" applyAlignment="1">
      <alignment horizontal="center" wrapText="1"/>
    </xf>
    <xf numFmtId="0" fontId="10" fillId="10" borderId="4" xfId="0" applyFont="1" applyFill="1" applyBorder="1" applyAlignment="1">
      <alignment horizontal="center" wrapText="1"/>
    </xf>
    <xf numFmtId="177" fontId="0" fillId="37" borderId="51" xfId="0" applyNumberFormat="1" applyFill="1" applyBorder="1" applyAlignment="1">
      <alignment horizontal="center" vertical="center"/>
    </xf>
    <xf numFmtId="177" fontId="0" fillId="37" borderId="16" xfId="0" applyNumberFormat="1" applyFill="1" applyBorder="1" applyAlignment="1">
      <alignment horizontal="center" vertical="center"/>
    </xf>
    <xf numFmtId="177" fontId="0" fillId="37" borderId="32" xfId="0" applyNumberFormat="1" applyFill="1" applyBorder="1" applyAlignment="1">
      <alignment horizontal="center" vertical="center"/>
    </xf>
    <xf numFmtId="177" fontId="0" fillId="5" borderId="51" xfId="0" applyNumberFormat="1" applyFill="1" applyBorder="1" applyAlignment="1">
      <alignment horizontal="center" vertical="center"/>
    </xf>
    <xf numFmtId="177" fontId="0" fillId="5" borderId="16" xfId="0" applyNumberFormat="1" applyFill="1" applyBorder="1" applyAlignment="1">
      <alignment horizontal="center" vertical="center"/>
    </xf>
    <xf numFmtId="177" fontId="0" fillId="5" borderId="32" xfId="0" applyNumberFormat="1" applyFill="1" applyBorder="1" applyAlignment="1">
      <alignment horizontal="center" vertical="center"/>
    </xf>
    <xf numFmtId="177" fontId="64" fillId="36" borderId="15" xfId="17" applyNumberFormat="1" applyBorder="1" applyAlignment="1">
      <alignment horizontal="center"/>
    </xf>
    <xf numFmtId="177" fontId="64" fillId="36" borderId="14" xfId="17" applyNumberFormat="1" applyBorder="1" applyAlignment="1">
      <alignment horizontal="center"/>
    </xf>
    <xf numFmtId="177" fontId="64" fillId="36" borderId="6" xfId="17" applyNumberFormat="1" applyBorder="1" applyAlignment="1">
      <alignment horizontal="center"/>
    </xf>
    <xf numFmtId="175" fontId="17" fillId="27" borderId="2" xfId="15" applyNumberFormat="1" applyFont="1" applyFill="1" applyBorder="1" applyAlignment="1">
      <alignment horizontal="center" vertical="center"/>
    </xf>
    <xf numFmtId="174" fontId="17" fillId="26" borderId="2" xfId="11" applyNumberFormat="1" applyFont="1" applyBorder="1" applyAlignment="1">
      <alignment horizontal="center" vertical="center"/>
    </xf>
    <xf numFmtId="0" fontId="17" fillId="26" borderId="2" xfId="11" applyFont="1" applyBorder="1" applyAlignment="1">
      <alignment horizontal="center" vertical="center"/>
    </xf>
    <xf numFmtId="177" fontId="4" fillId="5" borderId="51" xfId="0" applyNumberFormat="1" applyFont="1" applyFill="1" applyBorder="1" applyAlignment="1">
      <alignment horizontal="center" vertical="center"/>
    </xf>
    <xf numFmtId="177" fontId="4" fillId="5" borderId="16" xfId="0" applyNumberFormat="1" applyFont="1" applyFill="1" applyBorder="1" applyAlignment="1">
      <alignment horizontal="center" vertical="center"/>
    </xf>
    <xf numFmtId="177" fontId="4" fillId="5" borderId="32" xfId="0" applyNumberFormat="1" applyFont="1" applyFill="1" applyBorder="1" applyAlignment="1">
      <alignment horizontal="center" vertical="center"/>
    </xf>
    <xf numFmtId="3" fontId="63" fillId="35" borderId="7" xfId="0" applyNumberFormat="1" applyFont="1" applyFill="1" applyBorder="1" applyAlignment="1">
      <alignment horizontal="center"/>
    </xf>
    <xf numFmtId="3" fontId="63" fillId="35" borderId="8" xfId="0" applyNumberFormat="1" applyFont="1" applyFill="1" applyBorder="1" applyAlignment="1">
      <alignment horizontal="center"/>
    </xf>
    <xf numFmtId="3" fontId="63" fillId="35" borderId="24" xfId="0" applyNumberFormat="1" applyFont="1" applyFill="1" applyBorder="1" applyAlignment="1">
      <alignment horizontal="center"/>
    </xf>
    <xf numFmtId="3" fontId="17" fillId="26" borderId="7" xfId="11" applyNumberFormat="1" applyFont="1" applyBorder="1" applyAlignment="1">
      <alignment horizontal="center" vertical="center" wrapText="1"/>
    </xf>
    <xf numFmtId="0" fontId="17" fillId="26" borderId="8" xfId="11" applyFont="1" applyBorder="1" applyAlignment="1">
      <alignment horizontal="center" vertical="center" wrapText="1"/>
    </xf>
    <xf numFmtId="0" fontId="20" fillId="14" borderId="15" xfId="0" applyFont="1" applyFill="1" applyBorder="1" applyAlignment="1">
      <alignment horizontal="center" vertical="center" wrapText="1"/>
    </xf>
    <xf numFmtId="0" fontId="20" fillId="14" borderId="14" xfId="0" applyFont="1" applyFill="1" applyBorder="1" applyAlignment="1">
      <alignment horizontal="center" vertical="center" wrapText="1"/>
    </xf>
    <xf numFmtId="0" fontId="20" fillId="14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1" fillId="0" borderId="76" xfId="4" applyFont="1" applyBorder="1" applyAlignment="1">
      <alignment horizontal="center"/>
    </xf>
    <xf numFmtId="0" fontId="41" fillId="0" borderId="77" xfId="4" applyFont="1" applyBorder="1" applyAlignment="1">
      <alignment horizontal="center"/>
    </xf>
    <xf numFmtId="0" fontId="41" fillId="0" borderId="78" xfId="4" applyFont="1" applyBorder="1" applyAlignment="1">
      <alignment horizontal="center"/>
    </xf>
    <xf numFmtId="0" fontId="16" fillId="7" borderId="0" xfId="0" applyNumberFormat="1" applyFont="1" applyFill="1" applyAlignment="1">
      <alignment wrapText="1"/>
    </xf>
    <xf numFmtId="0" fontId="16" fillId="7" borderId="0" xfId="0" applyNumberFormat="1" applyFont="1" applyFill="1"/>
    <xf numFmtId="0" fontId="14" fillId="7" borderId="0" xfId="0" quotePrefix="1" applyNumberFormat="1" applyFont="1" applyFill="1"/>
    <xf numFmtId="0" fontId="14" fillId="7" borderId="0" xfId="0" applyNumberFormat="1" applyFont="1" applyFill="1"/>
    <xf numFmtId="0" fontId="15" fillId="7" borderId="0" xfId="0" applyNumberFormat="1" applyFont="1" applyFill="1"/>
    <xf numFmtId="0" fontId="66" fillId="7" borderId="0" xfId="0" applyNumberFormat="1" applyFont="1" applyFill="1"/>
    <xf numFmtId="0" fontId="19" fillId="7" borderId="0" xfId="0" applyNumberFormat="1" applyFont="1" applyFill="1"/>
    <xf numFmtId="0" fontId="14" fillId="7" borderId="0" xfId="0" applyNumberFormat="1" applyFont="1" applyFill="1" applyAlignment="1">
      <alignment horizontal="left"/>
    </xf>
    <xf numFmtId="0" fontId="16" fillId="7" borderId="0" xfId="0" applyNumberFormat="1" applyFont="1" applyFill="1" applyAlignment="1">
      <alignment horizontal="left"/>
    </xf>
    <xf numFmtId="0" fontId="14" fillId="7" borderId="0" xfId="2" applyNumberFormat="1" applyFont="1" applyFill="1"/>
  </cellXfs>
  <cellStyles count="21">
    <cellStyle name="60 % - Accent5" xfId="18" builtinId="48"/>
    <cellStyle name="Accent1" xfId="10" builtinId="29"/>
    <cellStyle name="Accent2" xfId="11" builtinId="33"/>
    <cellStyle name="Accent3" xfId="12" builtinId="37"/>
    <cellStyle name="Accent5" xfId="9" builtinId="45"/>
    <cellStyle name="Accent6" xfId="13" builtinId="49"/>
    <cellStyle name="Calcul" xfId="6" builtinId="22"/>
    <cellStyle name="Entrée" xfId="14" builtinId="20"/>
    <cellStyle name="Euro" xfId="3" xr:uid="{00000000-0005-0000-0000-000007000000}"/>
    <cellStyle name="Insatisfaisant" xfId="17" builtinId="27"/>
    <cellStyle name="Milliers" xfId="15" builtinId="3"/>
    <cellStyle name="Monétaire" xfId="1" builtinId="4"/>
    <cellStyle name="Normal" xfId="0" builtinId="0"/>
    <cellStyle name="Note" xfId="8" builtinId="10"/>
    <cellStyle name="Pourcentage" xfId="2" builtinId="5"/>
    <cellStyle name="Satisfaisant" xfId="16" builtinId="26"/>
    <cellStyle name="Sortie" xfId="19" builtinId="21"/>
    <cellStyle name="Titre" xfId="4" builtinId="15"/>
    <cellStyle name="Titre 2" xfId="5" builtinId="17"/>
    <cellStyle name="Total" xfId="20" builtinId="25"/>
    <cellStyle name="Vérification" xfId="7" builtinId="23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71" formatCode="0&quot; &quot;%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11"/>
        <color theme="1"/>
        <name val="Calibri Light"/>
        <scheme val="major"/>
      </font>
      <numFmt numFmtId="171" formatCode="0&quot; &quot;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70" formatCode="_(\$* #,##0.00_);_(\$* \(#,##0.00\);_(\$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11"/>
        <color theme="1"/>
        <name val="Calibri Light"/>
        <scheme val="major"/>
      </font>
    </dxf>
    <dxf>
      <font>
        <strike/>
        <outline/>
        <shadow/>
        <u val="none"/>
        <vertAlign val="baseline"/>
        <sz val="11"/>
        <color theme="1"/>
      </font>
    </dxf>
    <dxf>
      <font>
        <b/>
        <strike/>
        <outline/>
        <shadow/>
        <u val="none"/>
        <vertAlign val="baseline"/>
        <sz val="11"/>
        <color theme="1"/>
        <name val="Calibri"/>
        <scheme val="minor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ont>
        <b val="0"/>
        <i val="0"/>
        <color theme="9" tint="-0.24994659260841701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ont>
        <b val="0"/>
        <i val="0"/>
        <color theme="9" tint="-0.24994659260841701"/>
      </font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ont>
        <b val="0"/>
        <i val="0"/>
        <color theme="9" tint="-0.2499465926084170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 tint="-0.14996795556505021"/>
      </font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>
          <fgColor theme="0" tint="-4.9989318521683403E-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theme="0" tint="-0.24994659260841701"/>
      </font>
      <fill>
        <patternFill>
          <bgColor theme="0" tint="-4.9989318521683403E-2"/>
        </patternFill>
      </fill>
    </dxf>
    <dxf>
      <font>
        <b/>
        <i val="0"/>
      </font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sz val="9"/>
        <color theme="3"/>
      </font>
      <fill>
        <patternFill patternType="none"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 style="dotted">
          <color theme="0" tint="-0.34998626667073579"/>
        </horizontal>
      </border>
    </dxf>
  </dxfs>
  <tableStyles count="1" defaultTableStyle="TableStyleMedium2" defaultPivotStyle="PivotStyleLight16">
    <tableStyle name="Expense Budget" pivot="0" count="3" xr9:uid="{00000000-0011-0000-FFFF-FFFF00000000}">
      <tableStyleElement type="wholeTable" dxfId="33"/>
      <tableStyleElement type="headerRow" dxfId="32"/>
      <tableStyleElement type="totalRow" dxfId="31"/>
    </tableStyle>
  </tableStyles>
  <colors>
    <mruColors>
      <color rgb="FFEBCCF8"/>
      <color rgb="FFDCA4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BUDGET</c:v>
          </c:tx>
          <c:invertIfNegative val="0"/>
          <c:cat>
            <c:strLit>
              <c:ptCount val="23"/>
              <c:pt idx="1">
                <c:v>Invitation</c:v>
              </c:pt>
              <c:pt idx="2">
                <c:v>Impression invitations</c:v>
              </c:pt>
              <c:pt idx="3">
                <c:v>Park Mougins - LENOTRE</c:v>
              </c:pt>
              <c:pt idx="4">
                <c:v>Traiteurs lenotre et Pavillon</c:v>
              </c:pt>
              <c:pt idx="5">
                <c:v>Mobilier</c:v>
              </c:pt>
              <c:pt idx="6">
                <c:v>Technique</c:v>
              </c:pt>
              <c:pt idx="7">
                <c:v>Organisation Honoraires</c:v>
              </c:pt>
              <c:pt idx="8">
                <c:v>Décoration florale</c:v>
              </c:pt>
              <c:pt idx="9">
                <c:v>Animateur si local </c:v>
              </c:pt>
              <c:pt idx="10">
                <c:v>Expédition invitation</c:v>
              </c:pt>
              <c:pt idx="11">
                <c:v>Glass Art Cooking </c:v>
              </c:pt>
              <c:pt idx="12">
                <c:v>Animation musicale The Presidents </c:v>
              </c:pt>
              <c:pt idx="13">
                <c:v>Animation artistique Fresque Geante </c:v>
              </c:pt>
              <c:pt idx="14">
                <c:v>Peinture Live Mr One Teas </c:v>
              </c:pt>
              <c:pt idx="15">
                <c:v>Photocal carnavalier </c:v>
              </c:pt>
              <c:pt idx="16">
                <c:v>Reportage Photo </c:v>
              </c:pt>
              <c:pt idx="17">
                <c:v>Hôtel PCE</c:v>
              </c:pt>
              <c:pt idx="18">
                <c:v>Cadeaux Adhérents</c:v>
              </c:pt>
              <c:pt idx="19">
                <c:v>Frais déplacement PCE</c:v>
              </c:pt>
            </c:strLit>
          </c:cat>
          <c:val>
            <c:numLit>
              <c:formatCode>General</c:formatCode>
              <c:ptCount val="23"/>
              <c:pt idx="1">
                <c:v>500</c:v>
              </c:pt>
              <c:pt idx="2">
                <c:v>350</c:v>
              </c:pt>
              <c:pt idx="3">
                <c:v>0</c:v>
              </c:pt>
              <c:pt idx="4">
                <c:v>7800</c:v>
              </c:pt>
              <c:pt idx="5">
                <c:v>1000</c:v>
              </c:pt>
              <c:pt idx="6">
                <c:v>3000</c:v>
              </c:pt>
              <c:pt idx="7">
                <c:v>1580</c:v>
              </c:pt>
              <c:pt idx="8">
                <c:v>0</c:v>
              </c:pt>
              <c:pt idx="9">
                <c:v>600</c:v>
              </c:pt>
              <c:pt idx="11">
                <c:v>1850</c:v>
              </c:pt>
              <c:pt idx="12">
                <c:v>0</c:v>
              </c:pt>
              <c:pt idx="13">
                <c:v>2740</c:v>
              </c:pt>
              <c:pt idx="14">
                <c:v>600</c:v>
              </c:pt>
              <c:pt idx="16">
                <c:v>550</c:v>
              </c:pt>
            </c:numLit>
          </c:val>
          <c:extLst>
            <c:ext xmlns:c16="http://schemas.microsoft.com/office/drawing/2014/chart" uri="{C3380CC4-5D6E-409C-BE32-E72D297353CC}">
              <c16:uniqueId val="{00000000-C962-4A90-8C15-F4418826C410}"/>
            </c:ext>
          </c:extLst>
        </c:ser>
        <c:ser>
          <c:idx val="1"/>
          <c:order val="1"/>
          <c:tx>
            <c:v>RÉEL</c:v>
          </c:tx>
          <c:invertIfNegative val="0"/>
          <c:cat>
            <c:strLit>
              <c:ptCount val="23"/>
              <c:pt idx="1">
                <c:v>Invitation</c:v>
              </c:pt>
              <c:pt idx="2">
                <c:v>Impression invitations</c:v>
              </c:pt>
              <c:pt idx="3">
                <c:v>Park Mougins - LENOTRE</c:v>
              </c:pt>
              <c:pt idx="4">
                <c:v>Traiteurs lenotre et Pavillon</c:v>
              </c:pt>
              <c:pt idx="5">
                <c:v>Mobilier</c:v>
              </c:pt>
              <c:pt idx="6">
                <c:v>Technique</c:v>
              </c:pt>
              <c:pt idx="7">
                <c:v>Organisation Honoraires</c:v>
              </c:pt>
              <c:pt idx="8">
                <c:v>Décoration florale</c:v>
              </c:pt>
              <c:pt idx="9">
                <c:v>Animateur si local </c:v>
              </c:pt>
              <c:pt idx="10">
                <c:v>Expédition invitation</c:v>
              </c:pt>
              <c:pt idx="11">
                <c:v>Glass Art Cooking </c:v>
              </c:pt>
              <c:pt idx="12">
                <c:v>Animation musicale The Presidents </c:v>
              </c:pt>
              <c:pt idx="13">
                <c:v>Animation artistique Fresque Geante </c:v>
              </c:pt>
              <c:pt idx="14">
                <c:v>Peinture Live Mr One Teas </c:v>
              </c:pt>
              <c:pt idx="15">
                <c:v>Photocal carnavalier </c:v>
              </c:pt>
              <c:pt idx="16">
                <c:v>Reportage Photo </c:v>
              </c:pt>
              <c:pt idx="17">
                <c:v>Hôtel PCE</c:v>
              </c:pt>
              <c:pt idx="18">
                <c:v>Cadeaux Adhérents</c:v>
              </c:pt>
              <c:pt idx="19">
                <c:v>Frais déplacement PCE</c:v>
              </c:pt>
            </c:strLit>
          </c:cat>
          <c:val>
            <c:numLit>
              <c:formatCode>General</c:formatCode>
              <c:ptCount val="23"/>
              <c:pt idx="1">
                <c:v>500</c:v>
              </c:pt>
            </c:numLit>
          </c:val>
          <c:extLst>
            <c:ext xmlns:c16="http://schemas.microsoft.com/office/drawing/2014/chart" uri="{C3380CC4-5D6E-409C-BE32-E72D297353CC}">
              <c16:uniqueId val="{00000001-C962-4A90-8C15-F4418826C4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28585920"/>
        <c:axId val="528586312"/>
      </c:barChart>
      <c:catAx>
        <c:axId val="528585920"/>
        <c:scaling>
          <c:orientation val="minMax"/>
        </c:scaling>
        <c:delete val="0"/>
        <c:axPos val="b"/>
        <c:maj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ajorGridlines>
        <c:numFmt formatCode="General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 rot="-2700000" vert="horz"/>
          <a:lstStyle/>
          <a:p>
            <a:pPr>
              <a:defRPr sz="6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528586312"/>
        <c:crosses val="autoZero"/>
        <c:auto val="1"/>
        <c:lblAlgn val="ctr"/>
        <c:lblOffset val="100"/>
        <c:tickLblSkip val="1"/>
        <c:noMultiLvlLbl val="0"/>
      </c:catAx>
      <c:valAx>
        <c:axId val="528586312"/>
        <c:scaling>
          <c:orientation val="minMax"/>
        </c:scaling>
        <c:delete val="0"/>
        <c:axPos val="l"/>
        <c:numFmt formatCode="&quot;€&quot;#,##0_);\(&quot;€&quot;#,##0\)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528585920"/>
        <c:crosses val="autoZero"/>
        <c:crossBetween val="between"/>
      </c:valAx>
      <c:spPr>
        <a:noFill/>
        <a:ln>
          <a:noFill/>
        </a:ln>
      </c:spPr>
    </c:plotArea>
    <c:legend>
      <c:legendPos val="r"/>
      <c:overlay val="0"/>
      <c:txPr>
        <a:bodyPr/>
        <a:lstStyle/>
        <a:p>
          <a:pPr>
            <a:defRPr sz="700">
              <a:solidFill>
                <a:schemeClr val="tx1">
                  <a:lumMod val="75000"/>
                  <a:lumOff val="25000"/>
                </a:schemeClr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</xdr:row>
      <xdr:rowOff>19050</xdr:rowOff>
    </xdr:from>
    <xdr:to>
      <xdr:col>9</xdr:col>
      <xdr:colOff>397634</xdr:colOff>
      <xdr:row>36</xdr:row>
      <xdr:rowOff>113769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5960419-61A4-4968-B74C-048A993608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4638675"/>
          <a:ext cx="8446259" cy="295221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116542</xdr:colOff>
          <xdr:row>25</xdr:row>
          <xdr:rowOff>0</xdr:rowOff>
        </xdr:from>
        <xdr:to>
          <xdr:col>2</xdr:col>
          <xdr:colOff>672354</xdr:colOff>
          <xdr:row>32</xdr:row>
          <xdr:rowOff>9525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153F043F-F2CE-4F4F-BBDF-AB1A68E98611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H$26:$AH$32" spid="_x0000_s1069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212042" y="6028765"/>
              <a:ext cx="555812" cy="13430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1838325</xdr:colOff>
      <xdr:row>62</xdr:row>
      <xdr:rowOff>114300</xdr:rowOff>
    </xdr:from>
    <xdr:to>
      <xdr:col>3</xdr:col>
      <xdr:colOff>504825</xdr:colOff>
      <xdr:row>66</xdr:row>
      <xdr:rowOff>24173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EE83E22-8D69-4725-B464-176F9B5A38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2343150" y="12192000"/>
          <a:ext cx="3219450" cy="70044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1962151</xdr:colOff>
      <xdr:row>72</xdr:row>
      <xdr:rowOff>57151</xdr:rowOff>
    </xdr:from>
    <xdr:to>
      <xdr:col>3</xdr:col>
      <xdr:colOff>628651</xdr:colOff>
      <xdr:row>75</xdr:row>
      <xdr:rowOff>157524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DB8BD3A-74C9-442F-A66C-A3AFA5913D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2466976" y="14249401"/>
          <a:ext cx="3219450" cy="70044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704851</xdr:colOff>
      <xdr:row>63</xdr:row>
      <xdr:rowOff>0</xdr:rowOff>
    </xdr:from>
    <xdr:to>
      <xdr:col>2</xdr:col>
      <xdr:colOff>533401</xdr:colOff>
      <xdr:row>66</xdr:row>
      <xdr:rowOff>119423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EE8C945-DA38-4E53-A6F2-79421FDC74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1209676" y="12430125"/>
          <a:ext cx="3219450" cy="70044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2257425</xdr:colOff>
      <xdr:row>62</xdr:row>
      <xdr:rowOff>190500</xdr:rowOff>
    </xdr:from>
    <xdr:to>
      <xdr:col>4</xdr:col>
      <xdr:colOff>314325</xdr:colOff>
      <xdr:row>66</xdr:row>
      <xdr:rowOff>109898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2545CB6-E847-413D-A106-B6505D9C4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2762250" y="12277725"/>
          <a:ext cx="3219450" cy="70044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104775</xdr:rowOff>
    </xdr:from>
    <xdr:to>
      <xdr:col>7</xdr:col>
      <xdr:colOff>36195</xdr:colOff>
      <xdr:row>1</xdr:row>
      <xdr:rowOff>142875</xdr:rowOff>
    </xdr:to>
    <xdr:grpSp>
      <xdr:nvGrpSpPr>
        <xdr:cNvPr id="2" name="Bordure de titre" descr="&quot;&quot;" title="Bordure">
          <a:extLst>
            <a:ext uri="{FF2B5EF4-FFF2-40B4-BE49-F238E27FC236}">
              <a16:creationId xmlns:a16="http://schemas.microsoft.com/office/drawing/2014/main" id="{FE22905F-8B62-4C8B-9031-293EB96ACA3E}"/>
            </a:ext>
          </a:extLst>
        </xdr:cNvPr>
        <xdr:cNvGrpSpPr/>
      </xdr:nvGrpSpPr>
      <xdr:grpSpPr>
        <a:xfrm>
          <a:off x="171450" y="581025"/>
          <a:ext cx="8065770" cy="38100"/>
          <a:chOff x="247650" y="800100"/>
          <a:chExt cx="7751445" cy="38100"/>
        </a:xfrm>
      </xdr:grpSpPr>
      <xdr:cxnSp macro="">
        <xdr:nvCxnSpPr>
          <xdr:cNvPr id="3" name="Lien droit 2">
            <a:extLst>
              <a:ext uri="{FF2B5EF4-FFF2-40B4-BE49-F238E27FC236}">
                <a16:creationId xmlns:a16="http://schemas.microsoft.com/office/drawing/2014/main" id="{2FE2FB62-F8E2-4131-BFDF-ED54D4D8E62E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4" name="Lien droit 4">
            <a:extLst>
              <a:ext uri="{FF2B5EF4-FFF2-40B4-BE49-F238E27FC236}">
                <a16:creationId xmlns:a16="http://schemas.microsoft.com/office/drawing/2014/main" id="{82362E5A-B152-41A3-8709-A655BAB76476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0</xdr:colOff>
      <xdr:row>4</xdr:row>
      <xdr:rowOff>85725</xdr:rowOff>
    </xdr:from>
    <xdr:to>
      <xdr:col>7</xdr:col>
      <xdr:colOff>1</xdr:colOff>
      <xdr:row>10</xdr:row>
      <xdr:rowOff>9525</xdr:rowOff>
    </xdr:to>
    <xdr:graphicFrame macro="">
      <xdr:nvGraphicFramePr>
        <xdr:cNvPr id="5" name="Graphique Budget de fonctionnement" descr="Synthèse de graphique en colonnes des Dépenses de fonctionnement telles que Publicité, Avantages, Fournitures, Frais postaux, etc." title="Dépenses de fonctionnement">
          <a:extLst>
            <a:ext uri="{FF2B5EF4-FFF2-40B4-BE49-F238E27FC236}">
              <a16:creationId xmlns:a16="http://schemas.microsoft.com/office/drawing/2014/main" id="{F6BDEBF4-509A-4425-A733-BFD7E25D7E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2</xdr:row>
      <xdr:rowOff>0</xdr:rowOff>
    </xdr:from>
    <xdr:to>
      <xdr:col>7</xdr:col>
      <xdr:colOff>36195</xdr:colOff>
      <xdr:row>2</xdr:row>
      <xdr:rowOff>38100</xdr:rowOff>
    </xdr:to>
    <xdr:grpSp>
      <xdr:nvGrpSpPr>
        <xdr:cNvPr id="6" name="Bordure Personnel" descr="&quot;&quot;" title="Bordure">
          <a:extLst>
            <a:ext uri="{FF2B5EF4-FFF2-40B4-BE49-F238E27FC236}">
              <a16:creationId xmlns:a16="http://schemas.microsoft.com/office/drawing/2014/main" id="{FEEE63CC-75EA-47B9-867E-4D6573D4FE7D}"/>
            </a:ext>
          </a:extLst>
        </xdr:cNvPr>
        <xdr:cNvGrpSpPr/>
      </xdr:nvGrpSpPr>
      <xdr:grpSpPr>
        <a:xfrm>
          <a:off x="171450" y="676275"/>
          <a:ext cx="8065770" cy="38100"/>
          <a:chOff x="247650" y="800100"/>
          <a:chExt cx="7751445" cy="38100"/>
        </a:xfrm>
      </xdr:grpSpPr>
      <xdr:cxnSp macro="">
        <xdr:nvCxnSpPr>
          <xdr:cNvPr id="7" name="Lien droit 18">
            <a:extLst>
              <a:ext uri="{FF2B5EF4-FFF2-40B4-BE49-F238E27FC236}">
                <a16:creationId xmlns:a16="http://schemas.microsoft.com/office/drawing/2014/main" id="{5647AEBE-95AE-4FCC-AFC1-ED37D952E711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8" name="Lien droit 19">
            <a:extLst>
              <a:ext uri="{FF2B5EF4-FFF2-40B4-BE49-F238E27FC236}">
                <a16:creationId xmlns:a16="http://schemas.microsoft.com/office/drawing/2014/main" id="{7E5AA1E5-188A-4BEB-95E6-5A2E45F6EE64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0</xdr:colOff>
      <xdr:row>48</xdr:row>
      <xdr:rowOff>0</xdr:rowOff>
    </xdr:from>
    <xdr:to>
      <xdr:col>11</xdr:col>
      <xdr:colOff>0</xdr:colOff>
      <xdr:row>48</xdr:row>
      <xdr:rowOff>161926</xdr:rowOff>
    </xdr:to>
    <xdr:grpSp>
      <xdr:nvGrpSpPr>
        <xdr:cNvPr id="9" name="Bordure Fonctionnement" descr="&quot;&quot;" title="Bordure">
          <a:extLst>
            <a:ext uri="{FF2B5EF4-FFF2-40B4-BE49-F238E27FC236}">
              <a16:creationId xmlns:a16="http://schemas.microsoft.com/office/drawing/2014/main" id="{9D9A5320-3D82-4BE3-8F3A-932F61F99751}"/>
            </a:ext>
          </a:extLst>
        </xdr:cNvPr>
        <xdr:cNvGrpSpPr/>
      </xdr:nvGrpSpPr>
      <xdr:grpSpPr>
        <a:xfrm>
          <a:off x="171450" y="9505950"/>
          <a:ext cx="11868150" cy="161926"/>
          <a:chOff x="247650" y="800100"/>
          <a:chExt cx="7751445" cy="38100"/>
        </a:xfrm>
      </xdr:grpSpPr>
      <xdr:cxnSp macro="">
        <xdr:nvCxnSpPr>
          <xdr:cNvPr id="10" name="Lien droit 21">
            <a:extLst>
              <a:ext uri="{FF2B5EF4-FFF2-40B4-BE49-F238E27FC236}">
                <a16:creationId xmlns:a16="http://schemas.microsoft.com/office/drawing/2014/main" id="{251DD1D8-F731-4D76-A89A-5E141D9049C9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1" name="Lien droit 22">
            <a:extLst>
              <a:ext uri="{FF2B5EF4-FFF2-40B4-BE49-F238E27FC236}">
                <a16:creationId xmlns:a16="http://schemas.microsoft.com/office/drawing/2014/main" id="{D387257E-A185-4347-BCF8-3BC0EC5DC6A6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361950</xdr:colOff>
      <xdr:row>19</xdr:row>
      <xdr:rowOff>180975</xdr:rowOff>
    </xdr:from>
    <xdr:to>
      <xdr:col>4</xdr:col>
      <xdr:colOff>662549</xdr:colOff>
      <xdr:row>24</xdr:row>
      <xdr:rowOff>114154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05400" y="3848100"/>
          <a:ext cx="1062599" cy="895204"/>
        </a:xfrm>
        <a:prstGeom prst="rect">
          <a:avLst/>
        </a:prstGeom>
      </xdr:spPr>
    </xdr:pic>
    <xdr:clientData/>
  </xdr:twoCellAnchor>
  <xdr:twoCellAnchor>
    <xdr:from>
      <xdr:col>3</xdr:col>
      <xdr:colOff>161925</xdr:colOff>
      <xdr:row>1</xdr:row>
      <xdr:rowOff>57150</xdr:rowOff>
    </xdr:from>
    <xdr:to>
      <xdr:col>6</xdr:col>
      <xdr:colOff>295275</xdr:colOff>
      <xdr:row>4</xdr:row>
      <xdr:rowOff>142875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 txBox="1"/>
      </xdr:nvSpPr>
      <xdr:spPr>
        <a:xfrm>
          <a:off x="4905375" y="247650"/>
          <a:ext cx="2419350" cy="70485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&lt; ====   Choix du budget avec le "Menu Déroulant"</a:t>
          </a:r>
          <a:r>
            <a:rPr lang="fr-FR" sz="1400"/>
            <a:t> </a:t>
          </a:r>
        </a:p>
      </xdr:txBody>
    </xdr:sp>
    <xdr:clientData/>
  </xdr:twoCellAnchor>
  <xdr:twoCellAnchor editAs="oneCell">
    <xdr:from>
      <xdr:col>5</xdr:col>
      <xdr:colOff>400050</xdr:colOff>
      <xdr:row>2</xdr:row>
      <xdr:rowOff>76200</xdr:rowOff>
    </xdr:from>
    <xdr:to>
      <xdr:col>6</xdr:col>
      <xdr:colOff>9525</xdr:colOff>
      <xdr:row>4</xdr:row>
      <xdr:rowOff>46037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667500" y="647700"/>
          <a:ext cx="371475" cy="350837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609600</xdr:colOff>
      <xdr:row>70</xdr:row>
      <xdr:rowOff>95250</xdr:rowOff>
    </xdr:from>
    <xdr:to>
      <xdr:col>2</xdr:col>
      <xdr:colOff>438150</xdr:colOff>
      <xdr:row>74</xdr:row>
      <xdr:rowOff>24173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DDB1E37-F849-456B-9E86-FA387E80D8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1114425" y="13801725"/>
          <a:ext cx="3219450" cy="700448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1914526</xdr:colOff>
      <xdr:row>63</xdr:row>
      <xdr:rowOff>4402</xdr:rowOff>
    </xdr:from>
    <xdr:to>
      <xdr:col>4</xdr:col>
      <xdr:colOff>180976</xdr:colOff>
      <xdr:row>66</xdr:row>
      <xdr:rowOff>123825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1A1E74FA-DF2B-46BE-9216-C382D35EAB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1250986">
          <a:off x="2419351" y="12263077"/>
          <a:ext cx="3219450" cy="70044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59</xdr:row>
      <xdr:rowOff>0</xdr:rowOff>
    </xdr:from>
    <xdr:to>
      <xdr:col>0</xdr:col>
      <xdr:colOff>1443990</xdr:colOff>
      <xdr:row>61</xdr:row>
      <xdr:rowOff>153035</xdr:rowOff>
    </xdr:to>
    <xdr:pic>
      <xdr:nvPicPr>
        <xdr:cNvPr id="3" name="Image 2" descr="S:\LOGOS-SIGNATURES ELECTRONIQUES\PLR.jpg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68100"/>
          <a:ext cx="1443990" cy="5530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DépensesFonctionnement" displayName="tblDépensesFonctionnement" ref="B12:J48" totalsRowCount="1" headerRowDxfId="12" dataDxfId="11">
  <tableColumns count="9">
    <tableColumn id="6" xr3:uid="{00000000-0010-0000-0000-000006000000}" name="code" dataDxfId="10" totalsRowDxfId="9">
      <calculatedColumnFormula>IFERROR(tblDépensesFonctionnement[[#This Row],[RÉEL]]/tblDépensesFonctionnement[[#This Row],[BUDGET]],"")</calculatedColumnFormula>
    </tableColumn>
    <tableColumn id="1" xr3:uid="{00000000-0010-0000-0000-000001000000}" name="FONCTIONNEMENT" totalsRowLabel="Total des dépenses" totalsRowDxfId="8"/>
    <tableColumn id="9" xr3:uid="{00000000-0010-0000-0000-000009000000}" name="FOURNISSEUR" totalsRowDxfId="7"/>
    <tableColumn id="2" xr3:uid="{00000000-0010-0000-0000-000002000000}" name="BUDGET" totalsRowFunction="sum" totalsRowDxfId="6"/>
    <tableColumn id="7" xr3:uid="{00000000-0010-0000-0000-000007000000}" name="Facture" totalsRowDxfId="5" dataCellStyle="Monétaire"/>
    <tableColumn id="3" xr3:uid="{00000000-0010-0000-0000-000003000000}" name="RÉEL" totalsRowFunction="sum" totalsRowDxfId="4" dataCellStyle="Monétaire"/>
    <tableColumn id="10" xr3:uid="{00000000-0010-0000-0000-00000A000000}" name="Offert" totalsRowFunction="sum" totalsRowDxfId="3" dataCellStyle="Monétaire"/>
    <tableColumn id="4" xr3:uid="{00000000-0010-0000-0000-000004000000}" name="DIFFÉRENCE (€)" totalsRowFunction="sum" totalsRowDxfId="2">
      <calculatedColumnFormula>tblDépensesFonctionnement[[#This Row],[BUDGET]]-tblDépensesFonctionnement[[#This Row],[RÉEL]]</calculatedColumnFormula>
    </tableColumn>
    <tableColumn id="5" xr3:uid="{00000000-0010-0000-0000-000005000000}" name="DIFFÉRENCE (%)" totalsRowFunction="custom" dataDxfId="1" totalsRowDxfId="0">
      <calculatedColumnFormula>IFERROR(tblDépensesFonctionnement[[#This Row],[DIFFÉRENCE (€)]]/tblDépensesFonctionnement[[#This Row],[BUDGET]],"")</calculatedColumnFormula>
      <totalsRowFormula>IFERROR(SUM(tblDépensesFonctionnement[[#Totals],[DIFFÉRENCE (€)]]/tblDépensesFonctionnement[[#Totals],[BUDGET]]),"")</totalsRowFormula>
    </tableColumn>
  </tableColumns>
  <tableStyleInfo name="Expense Budget" showFirstColumn="0" showLastColumn="0" showRowStripes="1" showColumnStripes="0"/>
  <extLst>
    <ext xmlns:x14="http://schemas.microsoft.com/office/spreadsheetml/2009/9/main" uri="{504A1905-F514-4f6f-8877-14C23A59335A}">
      <x14:table altText="Dépenses d’exploitation" altTextSummary="État, Exploitation, Budget, Réel, Différence (€) et Différence (%) pour les dépenses d’exploitation telles que Publicité, Dettes, Bénéfices, Fournitures, Frais postaux, etc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7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5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2E869-CC26-49A6-87E6-79BC548B386B}">
  <dimension ref="A2:Y24"/>
  <sheetViews>
    <sheetView workbookViewId="0"/>
    <sheetView workbookViewId="1"/>
  </sheetViews>
  <sheetFormatPr baseColWidth="10" defaultRowHeight="15"/>
  <cols>
    <col min="1" max="1" width="16.7109375" bestFit="1" customWidth="1"/>
    <col min="2" max="2" width="15.42578125" customWidth="1"/>
    <col min="3" max="3" width="17.7109375" customWidth="1"/>
    <col min="13" max="13" width="11.85546875" customWidth="1"/>
    <col min="16" max="16" width="15" customWidth="1"/>
  </cols>
  <sheetData>
    <row r="2" spans="1:25" ht="15.75" thickBot="1"/>
    <row r="3" spans="1:25" ht="15.75" thickBot="1">
      <c r="F3" s="617" t="s">
        <v>64</v>
      </c>
      <c r="G3" s="618"/>
      <c r="H3" s="619" t="s">
        <v>11</v>
      </c>
      <c r="I3" s="620"/>
      <c r="J3" s="620"/>
      <c r="K3" s="620"/>
      <c r="L3" s="620"/>
      <c r="M3" s="620"/>
      <c r="N3" s="620"/>
      <c r="O3" s="621"/>
      <c r="P3" s="171"/>
      <c r="Q3" s="171"/>
      <c r="R3" s="171"/>
      <c r="S3" s="171"/>
      <c r="T3" s="56" t="s">
        <v>10</v>
      </c>
      <c r="U3" s="57" t="s">
        <v>11</v>
      </c>
    </row>
    <row r="4" spans="1:25" ht="45.75" thickBot="1">
      <c r="A4" s="58" t="s">
        <v>65</v>
      </c>
      <c r="B4" s="59" t="s">
        <v>66</v>
      </c>
      <c r="C4" s="59" t="s">
        <v>67</v>
      </c>
      <c r="D4" s="59" t="s">
        <v>68</v>
      </c>
      <c r="E4" s="60" t="s">
        <v>69</v>
      </c>
      <c r="F4" s="524" t="s">
        <v>353</v>
      </c>
      <c r="G4" s="61" t="s">
        <v>135</v>
      </c>
      <c r="H4" s="172" t="s">
        <v>70</v>
      </c>
      <c r="I4" s="173" t="s">
        <v>145</v>
      </c>
      <c r="J4" s="173" t="s">
        <v>71</v>
      </c>
      <c r="K4" s="173" t="s">
        <v>146</v>
      </c>
      <c r="L4" s="173" t="s">
        <v>72</v>
      </c>
      <c r="M4" s="173" t="s">
        <v>354</v>
      </c>
      <c r="N4" s="173" t="s">
        <v>73</v>
      </c>
      <c r="O4" s="174" t="s">
        <v>356</v>
      </c>
      <c r="P4" s="175" t="s">
        <v>74</v>
      </c>
      <c r="Q4" s="175" t="s">
        <v>355</v>
      </c>
      <c r="R4" s="175" t="s">
        <v>147</v>
      </c>
      <c r="S4" s="175" t="s">
        <v>148</v>
      </c>
      <c r="T4" s="62"/>
      <c r="U4" s="62"/>
      <c r="V4" s="63" t="s">
        <v>75</v>
      </c>
      <c r="W4" s="64" t="s">
        <v>76</v>
      </c>
      <c r="X4" s="65" t="s">
        <v>77</v>
      </c>
    </row>
    <row r="5" spans="1:25">
      <c r="A5" s="176" t="s">
        <v>78</v>
      </c>
      <c r="B5" s="177" t="s">
        <v>79</v>
      </c>
      <c r="C5" s="177" t="s">
        <v>80</v>
      </c>
      <c r="D5" s="177">
        <v>60</v>
      </c>
      <c r="E5" s="178">
        <f>SUM(F5:T5)</f>
        <v>179</v>
      </c>
      <c r="F5" s="179">
        <v>22</v>
      </c>
      <c r="G5" s="180">
        <v>20</v>
      </c>
      <c r="H5" s="181">
        <v>15</v>
      </c>
      <c r="I5" s="182">
        <v>12</v>
      </c>
      <c r="J5" s="182">
        <v>15</v>
      </c>
      <c r="K5" s="182">
        <v>10</v>
      </c>
      <c r="L5" s="182">
        <v>18</v>
      </c>
      <c r="M5" s="182">
        <v>6</v>
      </c>
      <c r="N5" s="182">
        <v>10</v>
      </c>
      <c r="O5" s="180">
        <v>15</v>
      </c>
      <c r="P5" s="183">
        <v>10</v>
      </c>
      <c r="Q5" s="183">
        <v>10</v>
      </c>
      <c r="R5" s="183">
        <v>12</v>
      </c>
      <c r="S5" s="183">
        <v>4</v>
      </c>
      <c r="T5" s="184">
        <v>0</v>
      </c>
      <c r="U5" s="67">
        <v>0</v>
      </c>
      <c r="V5" s="68">
        <f t="shared" ref="V5:V20" si="0">(T5+(F5*0.1)+(G5*0.1))*E5</f>
        <v>751.80000000000007</v>
      </c>
      <c r="W5" s="69">
        <f t="shared" ref="W5:W20" si="1">((F5*0.9)+(G5*0.09)+H5+I5+J5+K5+L5+M5+N5+O5+P5+Q5+R5+S5)*E5</f>
        <v>28389.399999999998</v>
      </c>
      <c r="X5" s="70">
        <f>W5+V5</f>
        <v>29141.199999999997</v>
      </c>
      <c r="Y5">
        <v>0</v>
      </c>
    </row>
    <row r="6" spans="1:25">
      <c r="A6" s="176" t="s">
        <v>136</v>
      </c>
      <c r="B6" s="177" t="s">
        <v>137</v>
      </c>
      <c r="C6" s="177" t="s">
        <v>81</v>
      </c>
      <c r="D6" s="177">
        <v>76</v>
      </c>
      <c r="E6" s="178">
        <f t="shared" ref="E6:E12" si="2">SUM(F6:T6)</f>
        <v>68</v>
      </c>
      <c r="F6" s="185">
        <v>18</v>
      </c>
      <c r="G6" s="186">
        <v>10</v>
      </c>
      <c r="H6" s="187">
        <v>0</v>
      </c>
      <c r="I6" s="9">
        <v>0</v>
      </c>
      <c r="J6" s="9">
        <v>6</v>
      </c>
      <c r="K6" s="9"/>
      <c r="L6" s="9">
        <v>4</v>
      </c>
      <c r="M6" s="9">
        <v>2</v>
      </c>
      <c r="N6" s="9">
        <v>6</v>
      </c>
      <c r="O6" s="186">
        <v>9</v>
      </c>
      <c r="P6" s="188">
        <v>6</v>
      </c>
      <c r="Q6" s="188">
        <v>7</v>
      </c>
      <c r="R6" s="188"/>
      <c r="S6" s="188"/>
      <c r="T6" s="189"/>
      <c r="U6" s="71"/>
      <c r="V6" s="68">
        <f t="shared" si="0"/>
        <v>190.39999999999998</v>
      </c>
      <c r="W6" s="69">
        <f t="shared" si="1"/>
        <v>3882.7999999999997</v>
      </c>
      <c r="X6" s="70">
        <f t="shared" ref="X6:X20" si="3">W6+V6</f>
        <v>4073.2</v>
      </c>
      <c r="Y6">
        <v>0</v>
      </c>
    </row>
    <row r="7" spans="1:25">
      <c r="A7" s="176" t="s">
        <v>82</v>
      </c>
      <c r="B7" s="177" t="s">
        <v>83</v>
      </c>
      <c r="C7" s="177" t="s">
        <v>84</v>
      </c>
      <c r="D7" s="177">
        <v>60</v>
      </c>
      <c r="E7" s="178">
        <f t="shared" si="2"/>
        <v>66</v>
      </c>
      <c r="F7" s="185">
        <v>18</v>
      </c>
      <c r="G7" s="186">
        <v>8</v>
      </c>
      <c r="H7" s="187">
        <v>0</v>
      </c>
      <c r="I7" s="9">
        <v>0</v>
      </c>
      <c r="J7" s="9">
        <v>4</v>
      </c>
      <c r="K7" s="9">
        <v>0</v>
      </c>
      <c r="L7" s="9">
        <v>2</v>
      </c>
      <c r="M7" s="9">
        <v>2</v>
      </c>
      <c r="N7" s="9">
        <v>3</v>
      </c>
      <c r="O7" s="186">
        <v>15</v>
      </c>
      <c r="P7" s="188">
        <v>8</v>
      </c>
      <c r="Q7" s="188">
        <v>0</v>
      </c>
      <c r="R7" s="188">
        <v>2</v>
      </c>
      <c r="S7" s="188">
        <v>4</v>
      </c>
      <c r="T7" s="189">
        <v>0</v>
      </c>
      <c r="U7" s="71"/>
      <c r="V7" s="68">
        <f t="shared" si="0"/>
        <v>171.6</v>
      </c>
      <c r="W7" s="69">
        <f t="shared" si="1"/>
        <v>3756.7200000000003</v>
      </c>
      <c r="X7" s="70">
        <f t="shared" si="3"/>
        <v>3928.32</v>
      </c>
      <c r="Y7">
        <v>0</v>
      </c>
    </row>
    <row r="8" spans="1:25">
      <c r="A8" s="176" t="s">
        <v>149</v>
      </c>
      <c r="B8" s="177" t="s">
        <v>150</v>
      </c>
      <c r="C8" s="177" t="s">
        <v>85</v>
      </c>
      <c r="D8" s="177">
        <v>33</v>
      </c>
      <c r="E8" s="178">
        <f t="shared" si="2"/>
        <v>32</v>
      </c>
      <c r="F8" s="185">
        <v>18</v>
      </c>
      <c r="G8" s="186">
        <v>6</v>
      </c>
      <c r="H8" s="187"/>
      <c r="I8" s="9"/>
      <c r="J8" s="9"/>
      <c r="K8" s="9"/>
      <c r="L8" s="9">
        <v>2</v>
      </c>
      <c r="M8" s="9"/>
      <c r="N8" s="9"/>
      <c r="O8" s="186">
        <v>6</v>
      </c>
      <c r="P8" s="188"/>
      <c r="Q8" s="188"/>
      <c r="R8" s="188"/>
      <c r="S8" s="188"/>
      <c r="T8" s="189"/>
      <c r="U8" s="71"/>
      <c r="V8" s="68">
        <f t="shared" si="0"/>
        <v>76.800000000000011</v>
      </c>
      <c r="W8" s="69">
        <f t="shared" si="1"/>
        <v>791.68</v>
      </c>
      <c r="X8" s="70">
        <f t="shared" si="3"/>
        <v>868.48</v>
      </c>
      <c r="Y8">
        <v>0</v>
      </c>
    </row>
    <row r="9" spans="1:25">
      <c r="A9" s="176" t="s">
        <v>138</v>
      </c>
      <c r="B9" s="177" t="s">
        <v>139</v>
      </c>
      <c r="C9" s="177" t="s">
        <v>84</v>
      </c>
      <c r="D9" s="177">
        <v>76</v>
      </c>
      <c r="E9" s="178">
        <f t="shared" si="2"/>
        <v>43</v>
      </c>
      <c r="F9" s="185">
        <v>18</v>
      </c>
      <c r="G9" s="186">
        <v>4</v>
      </c>
      <c r="H9" s="187"/>
      <c r="I9" s="9"/>
      <c r="J9" s="9">
        <v>4</v>
      </c>
      <c r="K9" s="9"/>
      <c r="L9" s="9"/>
      <c r="M9" s="9"/>
      <c r="N9" s="9">
        <v>2</v>
      </c>
      <c r="O9" s="186">
        <v>2</v>
      </c>
      <c r="P9" s="188"/>
      <c r="Q9" s="188">
        <v>2</v>
      </c>
      <c r="R9" s="188">
        <v>7</v>
      </c>
      <c r="S9" s="188">
        <v>4</v>
      </c>
      <c r="T9" s="189"/>
      <c r="U9" s="71"/>
      <c r="V9" s="68">
        <f t="shared" si="0"/>
        <v>94.600000000000009</v>
      </c>
      <c r="W9" s="69">
        <f t="shared" si="1"/>
        <v>1615.0800000000002</v>
      </c>
      <c r="X9" s="70">
        <f t="shared" si="3"/>
        <v>1709.68</v>
      </c>
      <c r="Y9">
        <v>0</v>
      </c>
    </row>
    <row r="10" spans="1:25">
      <c r="A10" s="176" t="s">
        <v>140</v>
      </c>
      <c r="B10" s="177" t="s">
        <v>141</v>
      </c>
      <c r="C10" s="177" t="s">
        <v>84</v>
      </c>
      <c r="D10" s="177">
        <v>33</v>
      </c>
      <c r="E10" s="178">
        <f t="shared" si="2"/>
        <v>42</v>
      </c>
      <c r="F10" s="185">
        <v>18</v>
      </c>
      <c r="G10" s="186">
        <v>4</v>
      </c>
      <c r="H10" s="187"/>
      <c r="I10" s="9"/>
      <c r="J10" s="9">
        <v>4</v>
      </c>
      <c r="K10" s="9"/>
      <c r="L10" s="9"/>
      <c r="M10" s="9"/>
      <c r="N10" s="9">
        <v>6</v>
      </c>
      <c r="O10" s="186">
        <v>2</v>
      </c>
      <c r="P10" s="188"/>
      <c r="Q10" s="188"/>
      <c r="R10" s="188"/>
      <c r="S10" s="188">
        <v>8</v>
      </c>
      <c r="T10" s="189"/>
      <c r="U10" s="71"/>
      <c r="V10" s="68">
        <f t="shared" si="0"/>
        <v>92.4</v>
      </c>
      <c r="W10" s="69">
        <f t="shared" si="1"/>
        <v>1535.52</v>
      </c>
      <c r="X10" s="70">
        <f t="shared" si="3"/>
        <v>1627.92</v>
      </c>
      <c r="Y10">
        <v>0</v>
      </c>
    </row>
    <row r="11" spans="1:25">
      <c r="A11" s="190" t="s">
        <v>151</v>
      </c>
      <c r="B11" s="177" t="s">
        <v>152</v>
      </c>
      <c r="C11" s="177" t="s">
        <v>153</v>
      </c>
      <c r="D11" s="177">
        <v>33</v>
      </c>
      <c r="E11" s="178">
        <f t="shared" si="2"/>
        <v>34</v>
      </c>
      <c r="F11" s="185">
        <v>12</v>
      </c>
      <c r="G11" s="186">
        <v>8</v>
      </c>
      <c r="H11" s="187"/>
      <c r="I11" s="9"/>
      <c r="J11" s="9">
        <v>4</v>
      </c>
      <c r="K11" s="9"/>
      <c r="L11" s="9"/>
      <c r="M11" s="9"/>
      <c r="N11" s="9"/>
      <c r="O11" s="186">
        <v>2</v>
      </c>
      <c r="P11" s="188">
        <v>2</v>
      </c>
      <c r="Q11" s="188"/>
      <c r="R11" s="188"/>
      <c r="S11" s="188">
        <v>6</v>
      </c>
      <c r="T11" s="189"/>
      <c r="U11" s="71"/>
      <c r="V11" s="68">
        <f t="shared" si="0"/>
        <v>68</v>
      </c>
      <c r="W11" s="69">
        <f t="shared" si="1"/>
        <v>867.68000000000006</v>
      </c>
      <c r="X11" s="70">
        <f t="shared" si="3"/>
        <v>935.68000000000006</v>
      </c>
      <c r="Y11">
        <v>0</v>
      </c>
    </row>
    <row r="12" spans="1:25">
      <c r="A12" s="177" t="s">
        <v>154</v>
      </c>
      <c r="B12" s="177" t="s">
        <v>155</v>
      </c>
      <c r="C12" s="177" t="s">
        <v>156</v>
      </c>
      <c r="D12" s="177">
        <v>76</v>
      </c>
      <c r="E12" s="178">
        <f t="shared" si="2"/>
        <v>32</v>
      </c>
      <c r="F12" s="185">
        <v>16</v>
      </c>
      <c r="G12" s="186"/>
      <c r="H12" s="187"/>
      <c r="I12" s="9"/>
      <c r="J12" s="9">
        <v>4</v>
      </c>
      <c r="K12" s="9"/>
      <c r="L12" s="9"/>
      <c r="M12" s="9"/>
      <c r="N12" s="9">
        <v>10</v>
      </c>
      <c r="O12" s="186"/>
      <c r="P12" s="188">
        <v>2</v>
      </c>
      <c r="Q12" s="188"/>
      <c r="R12" s="188"/>
      <c r="S12" s="188"/>
      <c r="T12" s="189"/>
      <c r="U12" s="71"/>
      <c r="V12" s="68">
        <f t="shared" si="0"/>
        <v>51.2</v>
      </c>
      <c r="W12" s="69">
        <f t="shared" si="1"/>
        <v>972.8</v>
      </c>
      <c r="X12" s="70">
        <f t="shared" si="3"/>
        <v>1024</v>
      </c>
      <c r="Y12">
        <v>0</v>
      </c>
    </row>
    <row r="13" spans="1:25">
      <c r="A13" s="515" t="s">
        <v>157</v>
      </c>
      <c r="B13" s="515" t="s">
        <v>158</v>
      </c>
      <c r="C13" s="515" t="s">
        <v>357</v>
      </c>
      <c r="D13" s="515"/>
      <c r="E13" s="516">
        <f>SUM(F13:T13)</f>
        <v>0</v>
      </c>
      <c r="F13" s="517"/>
      <c r="G13" s="516"/>
      <c r="H13" s="518"/>
      <c r="I13" s="515"/>
      <c r="J13" s="515"/>
      <c r="K13" s="515"/>
      <c r="L13" s="515"/>
      <c r="M13" s="515"/>
      <c r="N13" s="515"/>
      <c r="O13" s="516"/>
      <c r="P13" s="519"/>
      <c r="Q13" s="519"/>
      <c r="R13" s="519"/>
      <c r="S13" s="519"/>
      <c r="T13" s="520"/>
      <c r="U13" s="521"/>
      <c r="V13" s="522">
        <f t="shared" si="0"/>
        <v>0</v>
      </c>
      <c r="W13" s="522">
        <f t="shared" si="1"/>
        <v>0</v>
      </c>
      <c r="X13" s="523">
        <f t="shared" si="3"/>
        <v>0</v>
      </c>
      <c r="Y13">
        <v>0</v>
      </c>
    </row>
    <row r="14" spans="1:25">
      <c r="A14" s="177" t="s">
        <v>160</v>
      </c>
      <c r="B14" s="177" t="s">
        <v>161</v>
      </c>
      <c r="C14" s="177" t="s">
        <v>159</v>
      </c>
      <c r="D14" s="177">
        <v>76</v>
      </c>
      <c r="E14" s="178">
        <f>SUM(F14:T14)</f>
        <v>12</v>
      </c>
      <c r="F14" s="185">
        <v>8</v>
      </c>
      <c r="G14" s="186"/>
      <c r="H14" s="187"/>
      <c r="I14" s="9"/>
      <c r="J14" s="9"/>
      <c r="K14" s="9"/>
      <c r="L14" s="9"/>
      <c r="M14" s="9"/>
      <c r="N14" s="9"/>
      <c r="O14" s="186"/>
      <c r="P14" s="188">
        <v>4</v>
      </c>
      <c r="Q14" s="188"/>
      <c r="R14" s="188"/>
      <c r="S14" s="188"/>
      <c r="T14" s="189"/>
      <c r="U14" s="71"/>
      <c r="V14" s="68">
        <f t="shared" si="0"/>
        <v>9.6000000000000014</v>
      </c>
      <c r="W14" s="69">
        <f t="shared" si="1"/>
        <v>134.39999999999998</v>
      </c>
      <c r="X14" s="70">
        <f t="shared" si="3"/>
        <v>143.99999999999997</v>
      </c>
      <c r="Y14">
        <v>0</v>
      </c>
    </row>
    <row r="15" spans="1:25" ht="30">
      <c r="A15" s="191" t="s">
        <v>162</v>
      </c>
      <c r="B15" s="177" t="s">
        <v>163</v>
      </c>
      <c r="C15" s="177" t="s">
        <v>159</v>
      </c>
      <c r="D15" s="177">
        <v>76</v>
      </c>
      <c r="E15" s="178">
        <f t="shared" ref="E15:E20" si="4">SUM(F15:T15)</f>
        <v>22</v>
      </c>
      <c r="F15" s="185">
        <v>18</v>
      </c>
      <c r="G15" s="186"/>
      <c r="H15" s="187"/>
      <c r="I15" s="9"/>
      <c r="J15" s="9">
        <v>4</v>
      </c>
      <c r="K15" s="9"/>
      <c r="L15" s="9"/>
      <c r="M15" s="9"/>
      <c r="N15" s="9"/>
      <c r="O15" s="186"/>
      <c r="P15" s="188"/>
      <c r="Q15" s="188"/>
      <c r="R15" s="188"/>
      <c r="S15" s="188"/>
      <c r="T15" s="189"/>
      <c r="U15" s="71"/>
      <c r="V15" s="68">
        <f t="shared" si="0"/>
        <v>39.6</v>
      </c>
      <c r="W15" s="69">
        <f t="shared" si="1"/>
        <v>444.4</v>
      </c>
      <c r="X15" s="70">
        <f t="shared" si="3"/>
        <v>484</v>
      </c>
      <c r="Y15">
        <v>0</v>
      </c>
    </row>
    <row r="16" spans="1:25">
      <c r="A16" s="177" t="s">
        <v>164</v>
      </c>
      <c r="B16" s="177" t="s">
        <v>165</v>
      </c>
      <c r="C16" s="177" t="s">
        <v>159</v>
      </c>
      <c r="D16" s="177">
        <v>60</v>
      </c>
      <c r="E16" s="178">
        <f t="shared" si="4"/>
        <v>12</v>
      </c>
      <c r="F16" s="185">
        <v>6</v>
      </c>
      <c r="G16" s="186"/>
      <c r="H16" s="187"/>
      <c r="I16" s="9"/>
      <c r="J16" s="9"/>
      <c r="K16" s="9"/>
      <c r="L16" s="9"/>
      <c r="M16" s="9"/>
      <c r="N16" s="9"/>
      <c r="O16" s="186"/>
      <c r="P16" s="188"/>
      <c r="Q16" s="188"/>
      <c r="R16" s="188">
        <v>6</v>
      </c>
      <c r="S16" s="188"/>
      <c r="T16" s="189"/>
      <c r="U16" s="71"/>
      <c r="V16" s="68">
        <f t="shared" si="0"/>
        <v>7.2000000000000011</v>
      </c>
      <c r="W16" s="69">
        <f t="shared" si="1"/>
        <v>136.80000000000001</v>
      </c>
      <c r="X16" s="70">
        <f t="shared" si="3"/>
        <v>144</v>
      </c>
      <c r="Y16">
        <v>0</v>
      </c>
    </row>
    <row r="17" spans="1:25">
      <c r="A17" s="515" t="s">
        <v>166</v>
      </c>
      <c r="B17" s="515" t="s">
        <v>167</v>
      </c>
      <c r="C17" s="515" t="s">
        <v>358</v>
      </c>
      <c r="D17" s="515"/>
      <c r="E17" s="516">
        <f t="shared" si="4"/>
        <v>0</v>
      </c>
      <c r="F17" s="517"/>
      <c r="G17" s="516"/>
      <c r="H17" s="518"/>
      <c r="I17" s="515"/>
      <c r="J17" s="515"/>
      <c r="K17" s="515"/>
      <c r="L17" s="515"/>
      <c r="M17" s="515"/>
      <c r="N17" s="515"/>
      <c r="O17" s="516"/>
      <c r="P17" s="519"/>
      <c r="Q17" s="519"/>
      <c r="R17" s="519"/>
      <c r="S17" s="519"/>
      <c r="T17" s="520"/>
      <c r="U17" s="521"/>
      <c r="V17" s="522">
        <f t="shared" si="0"/>
        <v>0</v>
      </c>
      <c r="W17" s="522">
        <f t="shared" si="1"/>
        <v>0</v>
      </c>
      <c r="X17" s="523">
        <f t="shared" si="3"/>
        <v>0</v>
      </c>
      <c r="Y17">
        <v>0</v>
      </c>
    </row>
    <row r="18" spans="1:25">
      <c r="A18" s="177" t="s">
        <v>168</v>
      </c>
      <c r="B18" s="177" t="s">
        <v>169</v>
      </c>
      <c r="C18" s="177" t="s">
        <v>159</v>
      </c>
      <c r="D18" s="177">
        <v>60</v>
      </c>
      <c r="E18" s="178">
        <f t="shared" si="4"/>
        <v>6</v>
      </c>
      <c r="F18" s="185">
        <v>6</v>
      </c>
      <c r="G18" s="186"/>
      <c r="H18" s="187"/>
      <c r="I18" s="9"/>
      <c r="J18" s="9"/>
      <c r="K18" s="9"/>
      <c r="L18" s="9"/>
      <c r="M18" s="9"/>
      <c r="N18" s="9"/>
      <c r="O18" s="186"/>
      <c r="P18" s="188"/>
      <c r="Q18" s="188"/>
      <c r="R18" s="188"/>
      <c r="S18" s="188"/>
      <c r="T18" s="189"/>
      <c r="U18" s="71"/>
      <c r="V18" s="68">
        <f t="shared" si="0"/>
        <v>3.6000000000000005</v>
      </c>
      <c r="W18" s="69">
        <f t="shared" si="1"/>
        <v>32.400000000000006</v>
      </c>
      <c r="X18" s="70">
        <f t="shared" si="3"/>
        <v>36.000000000000007</v>
      </c>
      <c r="Y18">
        <v>0</v>
      </c>
    </row>
    <row r="19" spans="1:25">
      <c r="A19" s="176" t="s">
        <v>170</v>
      </c>
      <c r="B19" s="177" t="s">
        <v>171</v>
      </c>
      <c r="C19" s="177" t="s">
        <v>159</v>
      </c>
      <c r="D19" s="177">
        <v>60</v>
      </c>
      <c r="E19" s="178">
        <f t="shared" si="4"/>
        <v>10</v>
      </c>
      <c r="F19" s="185">
        <v>4</v>
      </c>
      <c r="G19" s="186">
        <v>2</v>
      </c>
      <c r="H19" s="187"/>
      <c r="I19" s="9"/>
      <c r="J19" s="9"/>
      <c r="K19" s="9"/>
      <c r="L19" s="9"/>
      <c r="M19" s="9"/>
      <c r="N19" s="9"/>
      <c r="O19" s="186"/>
      <c r="P19" s="188"/>
      <c r="Q19" s="188"/>
      <c r="R19" s="188">
        <v>4</v>
      </c>
      <c r="S19" s="188"/>
      <c r="T19" s="189"/>
      <c r="U19" s="71"/>
      <c r="V19" s="68">
        <f t="shared" si="0"/>
        <v>6.0000000000000009</v>
      </c>
      <c r="W19" s="69">
        <f t="shared" si="1"/>
        <v>77.8</v>
      </c>
      <c r="X19" s="70">
        <f t="shared" si="3"/>
        <v>83.8</v>
      </c>
      <c r="Y19">
        <v>0</v>
      </c>
    </row>
    <row r="20" spans="1:25" ht="15.75" thickBot="1">
      <c r="A20" s="176" t="s">
        <v>172</v>
      </c>
      <c r="B20" s="192" t="s">
        <v>173</v>
      </c>
      <c r="C20" s="177" t="s">
        <v>153</v>
      </c>
      <c r="D20" s="72">
        <v>60</v>
      </c>
      <c r="E20" s="66">
        <f t="shared" si="4"/>
        <v>4</v>
      </c>
      <c r="F20" s="73">
        <v>4</v>
      </c>
      <c r="G20" s="74"/>
      <c r="H20" s="75"/>
      <c r="I20" s="76"/>
      <c r="J20" s="76"/>
      <c r="K20" s="76"/>
      <c r="L20" s="76"/>
      <c r="M20" s="76"/>
      <c r="N20" s="76"/>
      <c r="O20" s="74"/>
      <c r="P20" s="77"/>
      <c r="Q20" s="77"/>
      <c r="R20" s="77"/>
      <c r="S20" s="77"/>
      <c r="T20" s="78"/>
      <c r="U20" s="79"/>
      <c r="V20" s="68">
        <f t="shared" si="0"/>
        <v>1.6</v>
      </c>
      <c r="W20" s="69">
        <f t="shared" si="1"/>
        <v>14.4</v>
      </c>
      <c r="X20" s="70">
        <f t="shared" si="3"/>
        <v>16</v>
      </c>
      <c r="Y20">
        <v>0</v>
      </c>
    </row>
    <row r="21" spans="1:25" ht="16.5" thickBot="1">
      <c r="V21" s="80">
        <f>SUM(V5:V20)</f>
        <v>1564.3999999999996</v>
      </c>
      <c r="W21" s="81">
        <f>SUM(W5:W20)</f>
        <v>42651.880000000012</v>
      </c>
      <c r="X21" s="82">
        <f>SUM(X5:X20)</f>
        <v>44216.28</v>
      </c>
      <c r="Y21">
        <v>0</v>
      </c>
    </row>
    <row r="23" spans="1:25">
      <c r="B23" s="83"/>
    </row>
    <row r="24" spans="1:25">
      <c r="B24" s="83"/>
      <c r="V24" t="s">
        <v>316</v>
      </c>
      <c r="X24" s="31">
        <v>21000</v>
      </c>
    </row>
  </sheetData>
  <mergeCells count="2">
    <mergeCell ref="F3:G3"/>
    <mergeCell ref="H3:O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00153-7C00-4C7A-A0EF-A3574F9E34F5}">
  <dimension ref="A1:F17"/>
  <sheetViews>
    <sheetView workbookViewId="0"/>
    <sheetView workbookViewId="1"/>
  </sheetViews>
  <sheetFormatPr baseColWidth="10" defaultRowHeight="15"/>
  <cols>
    <col min="1" max="1" width="33.5703125" bestFit="1" customWidth="1"/>
    <col min="2" max="2" width="10.42578125" customWidth="1"/>
  </cols>
  <sheetData>
    <row r="1" spans="1:6">
      <c r="B1" s="458" t="s">
        <v>379</v>
      </c>
      <c r="C1" s="458" t="s">
        <v>375</v>
      </c>
      <c r="D1" s="458" t="s">
        <v>376</v>
      </c>
      <c r="E1" t="s">
        <v>377</v>
      </c>
      <c r="F1" t="s">
        <v>378</v>
      </c>
    </row>
    <row r="2" spans="1:6">
      <c r="A2" s="6" t="s">
        <v>422</v>
      </c>
      <c r="B2" s="6"/>
      <c r="C2" s="526"/>
      <c r="D2" s="526"/>
      <c r="E2" s="411" t="s">
        <v>423</v>
      </c>
      <c r="F2" s="6"/>
    </row>
    <row r="3" spans="1:6">
      <c r="A3" s="6" t="s">
        <v>400</v>
      </c>
      <c r="B3" s="6"/>
      <c r="C3" s="526"/>
      <c r="D3" s="6"/>
      <c r="E3" s="411" t="s">
        <v>424</v>
      </c>
      <c r="F3" s="6"/>
    </row>
    <row r="4" spans="1:6">
      <c r="A4" s="6" t="s">
        <v>3</v>
      </c>
      <c r="B4" s="6"/>
      <c r="C4" s="526"/>
      <c r="D4" s="526"/>
      <c r="E4" s="411" t="s">
        <v>425</v>
      </c>
      <c r="F4" s="6"/>
    </row>
    <row r="5" spans="1:6">
      <c r="A5" s="6" t="s">
        <v>133</v>
      </c>
      <c r="B5" s="6"/>
      <c r="C5" s="526"/>
      <c r="D5" s="6"/>
      <c r="E5" s="411" t="s">
        <v>426</v>
      </c>
      <c r="F5" s="6"/>
    </row>
    <row r="6" spans="1:6">
      <c r="A6" s="6" t="s">
        <v>427</v>
      </c>
      <c r="B6" s="6"/>
      <c r="C6" s="6"/>
      <c r="D6" s="6"/>
      <c r="E6" s="411" t="s">
        <v>428</v>
      </c>
      <c r="F6" s="6"/>
    </row>
    <row r="7" spans="1:6">
      <c r="A7" s="6" t="s">
        <v>429</v>
      </c>
      <c r="B7" s="6"/>
      <c r="C7" s="526"/>
      <c r="D7" s="526"/>
      <c r="E7" s="411" t="s">
        <v>430</v>
      </c>
      <c r="F7" s="6"/>
    </row>
    <row r="8" spans="1:6">
      <c r="A8" s="6" t="s">
        <v>257</v>
      </c>
      <c r="B8" s="6"/>
      <c r="C8" s="6"/>
      <c r="D8" s="6"/>
      <c r="E8" s="411" t="s">
        <v>431</v>
      </c>
      <c r="F8" s="6"/>
    </row>
    <row r="9" spans="1:6">
      <c r="A9" s="6" t="s">
        <v>432</v>
      </c>
      <c r="B9" s="6"/>
      <c r="C9" s="6"/>
      <c r="D9" s="6"/>
      <c r="E9" s="411" t="s">
        <v>433</v>
      </c>
      <c r="F9" s="6"/>
    </row>
    <row r="10" spans="1:6">
      <c r="A10" s="6" t="s">
        <v>434</v>
      </c>
      <c r="B10" s="6"/>
      <c r="C10" s="6"/>
      <c r="D10" s="6"/>
      <c r="E10" s="411" t="s">
        <v>435</v>
      </c>
      <c r="F10" s="6"/>
    </row>
    <row r="11" spans="1:6">
      <c r="A11" s="6" t="s">
        <v>304</v>
      </c>
      <c r="B11" s="6"/>
      <c r="C11" s="6"/>
      <c r="D11" s="6"/>
      <c r="E11" s="411" t="s">
        <v>450</v>
      </c>
      <c r="F11" s="6"/>
    </row>
    <row r="12" spans="1:6">
      <c r="A12" s="6" t="s">
        <v>436</v>
      </c>
      <c r="B12" s="6"/>
      <c r="C12" s="6"/>
      <c r="D12" s="6"/>
      <c r="E12" s="411" t="s">
        <v>437</v>
      </c>
      <c r="F12" s="6"/>
    </row>
    <row r="13" spans="1:6">
      <c r="A13" s="6" t="s">
        <v>143</v>
      </c>
      <c r="B13" s="6"/>
      <c r="C13" s="6"/>
      <c r="D13" s="6"/>
      <c r="E13" s="411" t="s">
        <v>438</v>
      </c>
      <c r="F13" s="6"/>
    </row>
    <row r="14" spans="1:6">
      <c r="A14" s="6"/>
      <c r="B14" s="6"/>
      <c r="C14" s="6"/>
      <c r="D14" s="6"/>
      <c r="E14" s="411"/>
      <c r="F14" s="6"/>
    </row>
    <row r="15" spans="1:6">
      <c r="A15" s="6"/>
      <c r="B15" s="6"/>
      <c r="C15" s="6"/>
      <c r="D15" s="6"/>
      <c r="E15" s="411"/>
      <c r="F15" s="6"/>
    </row>
    <row r="16" spans="1:6">
      <c r="A16" s="6"/>
      <c r="B16" s="6"/>
      <c r="C16" s="6"/>
      <c r="D16" s="6"/>
      <c r="E16" s="411"/>
      <c r="F16" s="6"/>
    </row>
    <row r="17" spans="1:6">
      <c r="A17" s="6"/>
      <c r="B17" s="6"/>
      <c r="C17" s="6"/>
      <c r="D17" s="6"/>
      <c r="E17" s="411"/>
      <c r="F17" s="6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3:V22"/>
  <sheetViews>
    <sheetView workbookViewId="0"/>
    <sheetView workbookViewId="1"/>
  </sheetViews>
  <sheetFormatPr baseColWidth="10" defaultRowHeight="15"/>
  <cols>
    <col min="1" max="1" width="16.7109375" bestFit="1" customWidth="1"/>
    <col min="2" max="2" width="15.42578125" customWidth="1"/>
    <col min="3" max="3" width="17.7109375" customWidth="1"/>
    <col min="6" max="8" width="12.140625" bestFit="1" customWidth="1"/>
    <col min="9" max="9" width="11.5703125" bestFit="1" customWidth="1"/>
    <col min="10" max="11" width="13.28515625" bestFit="1" customWidth="1"/>
    <col min="12" max="13" width="11.5703125" bestFit="1" customWidth="1"/>
    <col min="14" max="14" width="15" customWidth="1"/>
  </cols>
  <sheetData>
    <row r="3" spans="1:14" ht="48" thickBot="1">
      <c r="F3" s="532" t="s">
        <v>394</v>
      </c>
      <c r="G3" s="533" t="s">
        <v>395</v>
      </c>
      <c r="H3" s="533" t="s">
        <v>396</v>
      </c>
      <c r="I3" s="532" t="s">
        <v>397</v>
      </c>
      <c r="J3" s="532" t="s">
        <v>398</v>
      </c>
      <c r="K3" s="533" t="s">
        <v>399</v>
      </c>
      <c r="L3" s="532" t="s">
        <v>400</v>
      </c>
      <c r="M3" s="532" t="s">
        <v>401</v>
      </c>
    </row>
    <row r="4" spans="1:14">
      <c r="A4" s="58" t="s">
        <v>65</v>
      </c>
      <c r="B4" s="59"/>
      <c r="C4" s="59"/>
      <c r="D4" s="59" t="s">
        <v>68</v>
      </c>
      <c r="E4" s="60" t="s">
        <v>69</v>
      </c>
      <c r="F4" s="534" t="s">
        <v>402</v>
      </c>
      <c r="G4" s="534" t="s">
        <v>403</v>
      </c>
      <c r="H4" s="534" t="s">
        <v>218</v>
      </c>
      <c r="I4" s="534" t="s">
        <v>404</v>
      </c>
      <c r="J4" s="534" t="s">
        <v>255</v>
      </c>
      <c r="K4" s="534" t="s">
        <v>399</v>
      </c>
      <c r="L4" s="534" t="s">
        <v>400</v>
      </c>
      <c r="M4" s="534" t="s">
        <v>405</v>
      </c>
      <c r="N4" s="65" t="s">
        <v>77</v>
      </c>
    </row>
    <row r="5" spans="1:14">
      <c r="A5" s="176" t="s">
        <v>380</v>
      </c>
      <c r="B5" s="177"/>
      <c r="C5" s="177"/>
      <c r="D5" s="177">
        <v>50</v>
      </c>
      <c r="E5" s="536">
        <f>SUM(F5:M5)</f>
        <v>40.75</v>
      </c>
      <c r="F5" s="535">
        <v>11</v>
      </c>
      <c r="G5" s="535">
        <v>8.75</v>
      </c>
      <c r="H5" s="535">
        <v>6</v>
      </c>
      <c r="I5" s="535"/>
      <c r="J5" s="535">
        <v>9</v>
      </c>
      <c r="K5" s="535">
        <v>6</v>
      </c>
      <c r="L5" s="535"/>
      <c r="M5" s="535"/>
      <c r="N5" s="537">
        <f>+E5*D5</f>
        <v>2037.5</v>
      </c>
    </row>
    <row r="6" spans="1:14">
      <c r="A6" s="176" t="s">
        <v>381</v>
      </c>
      <c r="B6" s="177"/>
      <c r="C6" s="177"/>
      <c r="D6" s="177">
        <v>70</v>
      </c>
      <c r="E6" s="536">
        <f t="shared" ref="E6:E18" si="0">SUM(F6:M6)</f>
        <v>12.75</v>
      </c>
      <c r="F6" s="535">
        <v>6</v>
      </c>
      <c r="G6" s="535">
        <v>3.75</v>
      </c>
      <c r="H6" s="535">
        <v>0</v>
      </c>
      <c r="I6" s="535"/>
      <c r="J6" s="535">
        <v>3</v>
      </c>
      <c r="K6" s="535">
        <v>0</v>
      </c>
      <c r="L6" s="535"/>
      <c r="M6" s="535"/>
      <c r="N6" s="537">
        <f t="shared" ref="N6:N18" si="1">+E6*D6</f>
        <v>892.5</v>
      </c>
    </row>
    <row r="7" spans="1:14">
      <c r="A7" s="176" t="s">
        <v>382</v>
      </c>
      <c r="B7" s="177"/>
      <c r="C7" s="177"/>
      <c r="D7" s="177">
        <v>90</v>
      </c>
      <c r="E7" s="536">
        <f t="shared" si="0"/>
        <v>12.75</v>
      </c>
      <c r="F7" s="535">
        <v>5</v>
      </c>
      <c r="G7" s="535">
        <v>3.75</v>
      </c>
      <c r="H7" s="535">
        <v>4</v>
      </c>
      <c r="I7" s="535"/>
      <c r="J7" s="535">
        <v>0</v>
      </c>
      <c r="K7" s="535">
        <v>0</v>
      </c>
      <c r="L7" s="535"/>
      <c r="M7" s="535"/>
      <c r="N7" s="537">
        <f t="shared" si="1"/>
        <v>1147.5</v>
      </c>
    </row>
    <row r="8" spans="1:14">
      <c r="A8" s="176" t="s">
        <v>383</v>
      </c>
      <c r="B8" s="177"/>
      <c r="C8" s="177"/>
      <c r="D8" s="177">
        <v>90</v>
      </c>
      <c r="E8" s="536">
        <f t="shared" si="0"/>
        <v>8.75</v>
      </c>
      <c r="F8" s="535">
        <v>0</v>
      </c>
      <c r="G8" s="535">
        <v>3.75</v>
      </c>
      <c r="H8" s="535">
        <v>0</v>
      </c>
      <c r="I8" s="535"/>
      <c r="J8" s="535">
        <v>0</v>
      </c>
      <c r="K8" s="535">
        <v>5</v>
      </c>
      <c r="L8" s="535"/>
      <c r="M8" s="535"/>
      <c r="N8" s="537">
        <f t="shared" si="1"/>
        <v>787.5</v>
      </c>
    </row>
    <row r="9" spans="1:14">
      <c r="A9" s="176" t="s">
        <v>384</v>
      </c>
      <c r="B9" s="177"/>
      <c r="C9" s="177"/>
      <c r="D9" s="177">
        <v>90</v>
      </c>
      <c r="E9" s="536">
        <f t="shared" si="0"/>
        <v>14.75</v>
      </c>
      <c r="F9" s="535">
        <v>0</v>
      </c>
      <c r="G9" s="535">
        <v>3.75</v>
      </c>
      <c r="H9" s="535">
        <v>0</v>
      </c>
      <c r="I9" s="535"/>
      <c r="J9" s="535">
        <v>3</v>
      </c>
      <c r="K9" s="535">
        <v>8</v>
      </c>
      <c r="L9" s="535"/>
      <c r="M9" s="535"/>
      <c r="N9" s="537">
        <f t="shared" si="1"/>
        <v>1327.5</v>
      </c>
    </row>
    <row r="10" spans="1:14">
      <c r="A10" s="176" t="s">
        <v>385</v>
      </c>
      <c r="B10" s="177"/>
      <c r="C10" s="177"/>
      <c r="D10" s="177">
        <v>50</v>
      </c>
      <c r="E10" s="536">
        <f t="shared" si="0"/>
        <v>7.75</v>
      </c>
      <c r="F10" s="535">
        <v>0</v>
      </c>
      <c r="G10" s="535">
        <v>6.75</v>
      </c>
      <c r="H10" s="535">
        <v>1</v>
      </c>
      <c r="I10" s="535"/>
      <c r="J10" s="535">
        <v>0</v>
      </c>
      <c r="K10" s="535">
        <v>0</v>
      </c>
      <c r="L10" s="535"/>
      <c r="M10" s="535"/>
      <c r="N10" s="537">
        <f t="shared" si="1"/>
        <v>387.5</v>
      </c>
    </row>
    <row r="11" spans="1:14">
      <c r="A11" s="190" t="s">
        <v>386</v>
      </c>
      <c r="B11" s="177"/>
      <c r="C11" s="177"/>
      <c r="D11" s="177">
        <v>90</v>
      </c>
      <c r="E11" s="536">
        <f t="shared" si="0"/>
        <v>23.25</v>
      </c>
      <c r="F11" s="535">
        <v>9.5</v>
      </c>
      <c r="G11" s="535">
        <v>3.75</v>
      </c>
      <c r="H11" s="535">
        <v>0</v>
      </c>
      <c r="I11" s="535"/>
      <c r="J11" s="535">
        <v>7</v>
      </c>
      <c r="K11" s="535">
        <v>3</v>
      </c>
      <c r="L11" s="535"/>
      <c r="M11" s="535"/>
      <c r="N11" s="537">
        <f t="shared" si="1"/>
        <v>2092.5</v>
      </c>
    </row>
    <row r="12" spans="1:14">
      <c r="A12" s="177" t="s">
        <v>387</v>
      </c>
      <c r="B12" s="177"/>
      <c r="C12" s="177"/>
      <c r="D12" s="177">
        <v>50</v>
      </c>
      <c r="E12" s="536">
        <f t="shared" si="0"/>
        <v>43.25</v>
      </c>
      <c r="F12" s="535">
        <v>12.5</v>
      </c>
      <c r="G12" s="535">
        <v>14.75</v>
      </c>
      <c r="H12" s="535">
        <v>0</v>
      </c>
      <c r="I12" s="535"/>
      <c r="J12" s="535">
        <v>8</v>
      </c>
      <c r="K12" s="535">
        <v>8</v>
      </c>
      <c r="L12" s="535"/>
      <c r="M12" s="535"/>
      <c r="N12" s="537">
        <f t="shared" si="1"/>
        <v>2162.5</v>
      </c>
    </row>
    <row r="13" spans="1:14">
      <c r="A13" s="177" t="s">
        <v>388</v>
      </c>
      <c r="B13" s="177"/>
      <c r="C13" s="177"/>
      <c r="D13" s="177">
        <v>70</v>
      </c>
      <c r="E13" s="536">
        <f t="shared" si="0"/>
        <v>621.75</v>
      </c>
      <c r="F13" s="535">
        <v>0</v>
      </c>
      <c r="G13" s="535">
        <v>12.75</v>
      </c>
      <c r="H13" s="535">
        <v>50</v>
      </c>
      <c r="I13" s="535"/>
      <c r="J13" s="535">
        <v>306.5</v>
      </c>
      <c r="K13" s="535">
        <v>252.5</v>
      </c>
      <c r="L13" s="535"/>
      <c r="M13" s="535"/>
      <c r="N13" s="537">
        <f t="shared" si="1"/>
        <v>43522.5</v>
      </c>
    </row>
    <row r="14" spans="1:14">
      <c r="A14" s="177" t="s">
        <v>389</v>
      </c>
      <c r="B14" s="177"/>
      <c r="C14" s="177"/>
      <c r="D14" s="177"/>
      <c r="E14" s="536">
        <f t="shared" si="0"/>
        <v>3.75</v>
      </c>
      <c r="F14" s="535">
        <v>0</v>
      </c>
      <c r="G14" s="535">
        <v>3.75</v>
      </c>
      <c r="H14" s="535">
        <v>0</v>
      </c>
      <c r="I14" s="535"/>
      <c r="J14" s="535">
        <v>0</v>
      </c>
      <c r="K14" s="535">
        <v>0</v>
      </c>
      <c r="L14" s="535"/>
      <c r="M14" s="535"/>
      <c r="N14" s="537">
        <f t="shared" si="1"/>
        <v>0</v>
      </c>
    </row>
    <row r="15" spans="1:14" ht="30">
      <c r="A15" s="191" t="s">
        <v>390</v>
      </c>
      <c r="B15" s="177"/>
      <c r="C15" s="177"/>
      <c r="D15" s="177">
        <v>90</v>
      </c>
      <c r="E15" s="536">
        <f t="shared" si="0"/>
        <v>43.25</v>
      </c>
      <c r="F15" s="535">
        <v>15.5</v>
      </c>
      <c r="G15" s="535">
        <v>14.75</v>
      </c>
      <c r="H15" s="535">
        <v>13</v>
      </c>
      <c r="I15" s="535"/>
      <c r="J15" s="535">
        <v>0</v>
      </c>
      <c r="K15" s="535">
        <v>0</v>
      </c>
      <c r="L15" s="535"/>
      <c r="M15" s="535"/>
      <c r="N15" s="537">
        <f t="shared" si="1"/>
        <v>3892.5</v>
      </c>
    </row>
    <row r="16" spans="1:14">
      <c r="A16" s="177" t="s">
        <v>391</v>
      </c>
      <c r="B16" s="177"/>
      <c r="C16" s="177"/>
      <c r="D16" s="177">
        <v>90</v>
      </c>
      <c r="E16" s="536">
        <f t="shared" si="0"/>
        <v>27.75</v>
      </c>
      <c r="F16" s="535">
        <v>7</v>
      </c>
      <c r="G16" s="535">
        <v>5.75</v>
      </c>
      <c r="H16" s="535">
        <v>3</v>
      </c>
      <c r="I16" s="535"/>
      <c r="J16" s="535">
        <v>1</v>
      </c>
      <c r="K16" s="535">
        <v>11</v>
      </c>
      <c r="L16" s="535"/>
      <c r="M16" s="535"/>
      <c r="N16" s="537">
        <f t="shared" si="1"/>
        <v>2497.5</v>
      </c>
    </row>
    <row r="17" spans="1:22">
      <c r="A17" s="177" t="s">
        <v>392</v>
      </c>
      <c r="B17" s="177"/>
      <c r="C17" s="177"/>
      <c r="D17" s="177">
        <v>90</v>
      </c>
      <c r="E17" s="536">
        <f t="shared" si="0"/>
        <v>20.75</v>
      </c>
      <c r="F17" s="535">
        <v>11</v>
      </c>
      <c r="G17" s="535">
        <v>9.75</v>
      </c>
      <c r="H17" s="535">
        <v>0</v>
      </c>
      <c r="I17" s="535"/>
      <c r="J17" s="535">
        <v>0</v>
      </c>
      <c r="K17" s="535">
        <v>0</v>
      </c>
      <c r="L17" s="535"/>
      <c r="M17" s="535"/>
      <c r="N17" s="537">
        <f t="shared" si="1"/>
        <v>1867.5</v>
      </c>
    </row>
    <row r="18" spans="1:22">
      <c r="A18" s="177" t="s">
        <v>393</v>
      </c>
      <c r="B18" s="177"/>
      <c r="C18" s="177"/>
      <c r="D18" s="177">
        <v>90</v>
      </c>
      <c r="E18" s="536">
        <f t="shared" si="0"/>
        <v>45.75</v>
      </c>
      <c r="F18" s="535">
        <v>5</v>
      </c>
      <c r="G18" s="535">
        <v>13.75</v>
      </c>
      <c r="H18" s="535">
        <v>0</v>
      </c>
      <c r="I18" s="535"/>
      <c r="J18" s="535">
        <v>5</v>
      </c>
      <c r="K18" s="535">
        <v>22</v>
      </c>
      <c r="L18" s="535"/>
      <c r="M18" s="535"/>
      <c r="N18" s="537">
        <f t="shared" si="1"/>
        <v>4117.5</v>
      </c>
    </row>
    <row r="19" spans="1:22" ht="16.5" thickBot="1">
      <c r="F19" s="562">
        <f>($D$5*F5)+($D$6*F6)+($D$7*F7)+($D$8*F8)+($D$9*F9)+($D$10*F10)+($D$11*F11)+($D$12*F12)+($D$13*F13)+($D$14*F14)+($D$15*F15)+($D$16*F16)+($D$17*F17)+($D$18*F18)</f>
        <v>6365</v>
      </c>
      <c r="G19" s="562">
        <f t="shared" ref="G19:M19" si="2">($D$5*G5)+($D$6*G6)+($D$7*G7)+($D$8*G8)+($D$9*G9)+($D$10*G10)+($D$11*G11)+($D$12*G12)+($D$13*G13)+($D$14*G14)+($D$15*G15)+($D$16*G16)+($D$17*G17)+($D$18*G18)</f>
        <v>7977.5</v>
      </c>
      <c r="H19" s="562">
        <f t="shared" si="2"/>
        <v>5650</v>
      </c>
      <c r="I19" s="562">
        <f t="shared" si="2"/>
        <v>0</v>
      </c>
      <c r="J19" s="562">
        <f t="shared" si="2"/>
        <v>23955</v>
      </c>
      <c r="K19" s="562">
        <f t="shared" si="2"/>
        <v>22785</v>
      </c>
      <c r="L19" s="562">
        <f t="shared" si="2"/>
        <v>0</v>
      </c>
      <c r="M19" s="562">
        <f t="shared" si="2"/>
        <v>0</v>
      </c>
      <c r="N19" s="538">
        <f>SUM(N5:N18)</f>
        <v>66732.5</v>
      </c>
    </row>
    <row r="21" spans="1:22">
      <c r="B21" s="83"/>
    </row>
    <row r="22" spans="1:22">
      <c r="B22" s="83"/>
      <c r="V22" s="31"/>
    </row>
  </sheetData>
  <conditionalFormatting sqref="F5:M18">
    <cfRule type="cellIs" dxfId="30" priority="1" operator="equal">
      <formula>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pageSetUpPr fitToPage="1"/>
  </sheetPr>
  <dimension ref="A2:BG38"/>
  <sheetViews>
    <sheetView workbookViewId="0"/>
    <sheetView workbookViewId="1"/>
  </sheetViews>
  <sheetFormatPr baseColWidth="10" defaultRowHeight="15"/>
  <cols>
    <col min="1" max="1" width="21.28515625" customWidth="1"/>
    <col min="2" max="2" width="10" customWidth="1"/>
    <col min="3" max="5" width="11.5703125"/>
    <col min="9" max="9" width="11.42578125" bestFit="1" customWidth="1"/>
    <col min="10" max="10" width="11.140625" bestFit="1" customWidth="1"/>
    <col min="11" max="11" width="5.42578125" bestFit="1" customWidth="1"/>
    <col min="12" max="12" width="11.42578125" bestFit="1" customWidth="1"/>
    <col min="13" max="13" width="10.140625" bestFit="1" customWidth="1"/>
    <col min="14" max="14" width="9.140625" bestFit="1" customWidth="1"/>
    <col min="15" max="15" width="6.42578125" bestFit="1" customWidth="1"/>
    <col min="16" max="16" width="11.140625" bestFit="1" customWidth="1"/>
    <col min="17" max="17" width="11.7109375" customWidth="1"/>
    <col min="18" max="19" width="11.140625" bestFit="1" customWidth="1"/>
    <col min="20" max="20" width="10.85546875" bestFit="1" customWidth="1"/>
    <col min="21" max="21" width="5.42578125" bestFit="1" customWidth="1"/>
    <col min="22" max="22" width="6.42578125" bestFit="1" customWidth="1"/>
    <col min="23" max="23" width="11.42578125" bestFit="1" customWidth="1"/>
    <col min="24" max="24" width="7.42578125" bestFit="1" customWidth="1"/>
    <col min="25" max="25" width="11.7109375" customWidth="1"/>
    <col min="26" max="26" width="9.5703125" customWidth="1"/>
    <col min="27" max="27" width="8.28515625" bestFit="1" customWidth="1"/>
    <col min="28" max="28" width="7.7109375" bestFit="1" customWidth="1"/>
    <col min="29" max="29" width="4.5703125" bestFit="1" customWidth="1"/>
    <col min="30" max="31" width="3.28515625" bestFit="1" customWidth="1"/>
    <col min="32" max="33" width="2" bestFit="1" customWidth="1"/>
    <col min="34" max="34" width="8.140625" bestFit="1" customWidth="1"/>
    <col min="35" max="36" width="7.7109375" bestFit="1" customWidth="1"/>
    <col min="38" max="38" width="11.5703125" customWidth="1"/>
    <col min="39" max="43" width="11.5703125"/>
    <col min="45" max="48" width="11.5703125"/>
    <col min="49" max="57" width="11.7109375" customWidth="1"/>
    <col min="58" max="59" width="16.7109375" customWidth="1"/>
    <col min="60" max="60" width="11.5703125"/>
    <col min="61" max="64" width="0" hidden="1" customWidth="1"/>
  </cols>
  <sheetData>
    <row r="2" spans="1:30">
      <c r="A2" s="15" t="s">
        <v>6</v>
      </c>
    </row>
    <row r="3" spans="1:30" ht="15.75" thickBot="1">
      <c r="A3" s="15" t="s">
        <v>310</v>
      </c>
      <c r="Y3" s="196"/>
      <c r="Z3" s="196"/>
      <c r="AA3" s="196"/>
      <c r="AB3" s="196"/>
      <c r="AC3" s="196"/>
    </row>
    <row r="4" spans="1:30" ht="63.75" thickBot="1">
      <c r="A4" s="351" t="s">
        <v>7</v>
      </c>
      <c r="B4" s="352" t="s">
        <v>8</v>
      </c>
      <c r="C4" s="352"/>
      <c r="D4" s="352"/>
      <c r="E4" s="352" t="s">
        <v>9</v>
      </c>
      <c r="F4" s="331" t="s">
        <v>252</v>
      </c>
      <c r="G4" s="331" t="s">
        <v>253</v>
      </c>
      <c r="H4" s="336" t="s">
        <v>273</v>
      </c>
      <c r="I4" s="563" t="s">
        <v>256</v>
      </c>
      <c r="J4" s="563" t="s">
        <v>432</v>
      </c>
      <c r="K4" s="563" t="s">
        <v>257</v>
      </c>
      <c r="L4" s="563" t="s">
        <v>300</v>
      </c>
      <c r="M4" s="563" t="s">
        <v>304</v>
      </c>
      <c r="N4" s="563" t="s">
        <v>258</v>
      </c>
      <c r="O4" s="563" t="s">
        <v>184</v>
      </c>
      <c r="P4" s="563" t="s">
        <v>434</v>
      </c>
      <c r="Q4" s="563" t="s">
        <v>264</v>
      </c>
      <c r="R4" s="563" t="s">
        <v>265</v>
      </c>
      <c r="S4" s="563" t="s">
        <v>266</v>
      </c>
      <c r="T4" s="564" t="s">
        <v>451</v>
      </c>
      <c r="U4" s="563" t="s">
        <v>143</v>
      </c>
      <c r="V4" s="563" t="s">
        <v>133</v>
      </c>
      <c r="W4" s="563" t="s">
        <v>267</v>
      </c>
      <c r="X4" s="332" t="s">
        <v>254</v>
      </c>
      <c r="Y4" s="20" t="s">
        <v>134</v>
      </c>
      <c r="Z4" s="20" t="s">
        <v>17</v>
      </c>
      <c r="AA4" s="21" t="s">
        <v>10</v>
      </c>
      <c r="AB4" s="21" t="s">
        <v>11</v>
      </c>
      <c r="AC4" s="22" t="s">
        <v>18</v>
      </c>
    </row>
    <row r="5" spans="1:30">
      <c r="A5" s="25" t="s">
        <v>20</v>
      </c>
      <c r="B5" s="25" t="s">
        <v>20</v>
      </c>
      <c r="C5" s="25"/>
      <c r="D5" s="25"/>
      <c r="E5" s="25" t="s">
        <v>20</v>
      </c>
      <c r="F5" s="333" t="s">
        <v>255</v>
      </c>
      <c r="G5" s="333" t="s">
        <v>218</v>
      </c>
      <c r="H5" s="333" t="s">
        <v>287</v>
      </c>
      <c r="I5" s="333" t="s">
        <v>423</v>
      </c>
      <c r="J5" s="333" t="s">
        <v>433</v>
      </c>
      <c r="K5" s="333" t="s">
        <v>431</v>
      </c>
      <c r="L5" s="333" t="s">
        <v>459</v>
      </c>
      <c r="M5" s="333" t="s">
        <v>450</v>
      </c>
      <c r="N5" s="333" t="s">
        <v>424</v>
      </c>
      <c r="O5" s="333" t="s">
        <v>425</v>
      </c>
      <c r="P5" s="333" t="s">
        <v>435</v>
      </c>
      <c r="Q5" s="333" t="s">
        <v>452</v>
      </c>
      <c r="R5" s="333" t="s">
        <v>430</v>
      </c>
      <c r="S5" s="333"/>
      <c r="T5" s="333" t="s">
        <v>428</v>
      </c>
      <c r="U5" s="333" t="s">
        <v>438</v>
      </c>
      <c r="V5" s="333" t="s">
        <v>426</v>
      </c>
      <c r="W5" s="333" t="s">
        <v>437</v>
      </c>
      <c r="X5" s="333" t="s">
        <v>254</v>
      </c>
      <c r="AA5" s="26"/>
      <c r="AB5" s="26"/>
      <c r="AC5" s="27"/>
    </row>
    <row r="6" spans="1:30">
      <c r="A6" s="30"/>
      <c r="B6" s="31"/>
      <c r="C6" s="32"/>
      <c r="D6" s="31"/>
      <c r="E6" s="31"/>
      <c r="F6" s="361">
        <f>+$E$6*AA6</f>
        <v>0</v>
      </c>
      <c r="G6" s="361">
        <f>+$E$6*AB6</f>
        <v>0</v>
      </c>
      <c r="H6" s="363">
        <f>+$E$6*AC6</f>
        <v>0</v>
      </c>
      <c r="I6" s="570">
        <f t="shared" ref="I6:Q6" si="0">+$E$6*I25</f>
        <v>0</v>
      </c>
      <c r="J6" s="570">
        <f t="shared" si="0"/>
        <v>0</v>
      </c>
      <c r="K6" s="570">
        <f t="shared" si="0"/>
        <v>0</v>
      </c>
      <c r="L6" s="570">
        <f t="shared" si="0"/>
        <v>0</v>
      </c>
      <c r="M6" s="570">
        <f t="shared" ref="M6" si="1">+$E$6*M25</f>
        <v>0</v>
      </c>
      <c r="N6" s="570">
        <f t="shared" si="0"/>
        <v>0</v>
      </c>
      <c r="O6" s="570">
        <f t="shared" si="0"/>
        <v>0</v>
      </c>
      <c r="P6" s="570">
        <f t="shared" si="0"/>
        <v>0</v>
      </c>
      <c r="Q6" s="570">
        <f t="shared" si="0"/>
        <v>0</v>
      </c>
      <c r="R6" s="570"/>
      <c r="S6" s="570">
        <f>+$E$6*S25</f>
        <v>0</v>
      </c>
      <c r="T6" s="570">
        <f>+$E$6*T25</f>
        <v>0</v>
      </c>
      <c r="U6" s="570">
        <f>+$E$6*U25</f>
        <v>0</v>
      </c>
      <c r="V6" s="570">
        <f t="shared" ref="V6:X6" si="2">+$E$6*V25</f>
        <v>0</v>
      </c>
      <c r="W6" s="570">
        <f t="shared" si="2"/>
        <v>0</v>
      </c>
      <c r="X6" s="570">
        <f t="shared" si="2"/>
        <v>0</v>
      </c>
      <c r="Y6" s="570">
        <f>+$E$6*AH25</f>
        <v>0</v>
      </c>
      <c r="Z6" s="570"/>
      <c r="AA6" s="33"/>
      <c r="AB6" s="33"/>
      <c r="AC6" s="33"/>
    </row>
    <row r="7" spans="1:30">
      <c r="A7" t="s">
        <v>244</v>
      </c>
      <c r="B7" s="31" t="s">
        <v>245</v>
      </c>
      <c r="C7" s="32"/>
      <c r="D7" s="31"/>
      <c r="E7" s="31">
        <v>96520</v>
      </c>
      <c r="F7" s="361">
        <f t="shared" ref="F7:F17" si="3">+$E7*AA7</f>
        <v>42468.800000000003</v>
      </c>
      <c r="G7" s="361">
        <f t="shared" ref="G7:G17" si="4">+$E7*AB7</f>
        <v>20269.2</v>
      </c>
      <c r="H7" s="363">
        <f>+$E$7*AC7</f>
        <v>33782</v>
      </c>
      <c r="I7" s="570">
        <f>+$E7*I26</f>
        <v>1930.4</v>
      </c>
      <c r="J7" s="570">
        <f t="shared" ref="J7:X7" si="5">+$E7*J26</f>
        <v>1930.4</v>
      </c>
      <c r="K7" s="570">
        <f t="shared" si="5"/>
        <v>1930.4</v>
      </c>
      <c r="L7" s="570">
        <f t="shared" si="5"/>
        <v>1930.4</v>
      </c>
      <c r="M7" s="570">
        <f t="shared" si="5"/>
        <v>965.2</v>
      </c>
      <c r="N7" s="570">
        <f t="shared" si="5"/>
        <v>1930.4</v>
      </c>
      <c r="O7" s="570">
        <f t="shared" si="5"/>
        <v>1930.4</v>
      </c>
      <c r="P7" s="570">
        <f t="shared" si="5"/>
        <v>1930.4</v>
      </c>
      <c r="Q7" s="570">
        <f t="shared" si="5"/>
        <v>1930.4</v>
      </c>
      <c r="R7" s="570">
        <f t="shared" si="5"/>
        <v>1930.4</v>
      </c>
      <c r="S7" s="570">
        <f t="shared" si="5"/>
        <v>0</v>
      </c>
      <c r="T7" s="570">
        <f t="shared" si="5"/>
        <v>1930.4</v>
      </c>
      <c r="U7" s="570">
        <f t="shared" si="5"/>
        <v>1930.4</v>
      </c>
      <c r="V7" s="570">
        <f t="shared" si="5"/>
        <v>1930.4</v>
      </c>
      <c r="W7" s="570">
        <f t="shared" si="5"/>
        <v>1930.4</v>
      </c>
      <c r="X7" s="570">
        <f t="shared" si="5"/>
        <v>7721.6</v>
      </c>
      <c r="Y7" s="570">
        <f t="shared" ref="Y7:Y16" si="6">+$E7*AH26</f>
        <v>96520</v>
      </c>
      <c r="Z7" s="570">
        <f>SUM(I7:X7)+F7+G7-Y7</f>
        <v>0</v>
      </c>
      <c r="AA7" s="33">
        <f t="shared" ref="AA7:AB13" si="7">+F26</f>
        <v>0.44</v>
      </c>
      <c r="AB7" s="33">
        <f t="shared" si="7"/>
        <v>0.21</v>
      </c>
      <c r="AC7" s="33">
        <f t="shared" ref="AC7:AC13" si="8">SUM(I26:Y26)</f>
        <v>0.35</v>
      </c>
      <c r="AD7" s="29"/>
    </row>
    <row r="8" spans="1:30">
      <c r="A8" t="s">
        <v>244</v>
      </c>
      <c r="B8" s="31" t="s">
        <v>246</v>
      </c>
      <c r="C8" s="32"/>
      <c r="D8" s="31"/>
      <c r="E8" s="31">
        <v>78320</v>
      </c>
      <c r="F8" s="361">
        <f t="shared" si="3"/>
        <v>1566.4</v>
      </c>
      <c r="G8" s="361">
        <f t="shared" si="4"/>
        <v>3132.8</v>
      </c>
      <c r="H8" s="363">
        <f>+$E$8*AC8</f>
        <v>73620.800000000003</v>
      </c>
      <c r="I8" s="570">
        <f t="shared" ref="I8:X8" si="9">+$E8*I27</f>
        <v>0</v>
      </c>
      <c r="J8" s="570">
        <f t="shared" si="9"/>
        <v>0</v>
      </c>
      <c r="K8" s="570">
        <f t="shared" si="9"/>
        <v>0</v>
      </c>
      <c r="L8" s="570">
        <f t="shared" si="9"/>
        <v>0</v>
      </c>
      <c r="M8" s="570">
        <f t="shared" si="9"/>
        <v>0</v>
      </c>
      <c r="N8" s="570">
        <f t="shared" si="9"/>
        <v>0</v>
      </c>
      <c r="O8" s="570">
        <f t="shared" si="9"/>
        <v>0</v>
      </c>
      <c r="P8" s="570">
        <f t="shared" si="9"/>
        <v>0</v>
      </c>
      <c r="Q8" s="570">
        <f t="shared" si="9"/>
        <v>0</v>
      </c>
      <c r="R8" s="570">
        <f t="shared" si="9"/>
        <v>0</v>
      </c>
      <c r="S8" s="570">
        <f t="shared" si="9"/>
        <v>0</v>
      </c>
      <c r="T8" s="570">
        <f t="shared" si="9"/>
        <v>0</v>
      </c>
      <c r="U8" s="570">
        <f t="shared" si="9"/>
        <v>0</v>
      </c>
      <c r="V8" s="570">
        <f t="shared" si="9"/>
        <v>0</v>
      </c>
      <c r="W8" s="570">
        <f t="shared" si="9"/>
        <v>0</v>
      </c>
      <c r="X8" s="570">
        <f t="shared" si="9"/>
        <v>73620.800000000003</v>
      </c>
      <c r="Y8" s="570">
        <f t="shared" si="6"/>
        <v>78320</v>
      </c>
      <c r="Z8" s="570">
        <f t="shared" ref="Z8:Z16" si="10">SUM(I8:X8)+F8+G8-Y8</f>
        <v>0</v>
      </c>
      <c r="AA8" s="33">
        <f t="shared" si="7"/>
        <v>0.02</v>
      </c>
      <c r="AB8" s="33">
        <f t="shared" si="7"/>
        <v>0.04</v>
      </c>
      <c r="AC8" s="33">
        <f t="shared" si="8"/>
        <v>0.94</v>
      </c>
      <c r="AD8" s="29"/>
    </row>
    <row r="9" spans="1:30">
      <c r="A9" t="s">
        <v>244</v>
      </c>
      <c r="B9" s="31" t="s">
        <v>406</v>
      </c>
      <c r="C9" s="32"/>
      <c r="D9" s="31"/>
      <c r="E9" s="31">
        <v>70120</v>
      </c>
      <c r="F9" s="361">
        <f t="shared" si="3"/>
        <v>1402.4</v>
      </c>
      <c r="G9" s="361">
        <f t="shared" si="4"/>
        <v>2804.8</v>
      </c>
      <c r="H9" s="363">
        <f>+$E$9*AC9</f>
        <v>65912.800000000003</v>
      </c>
      <c r="I9" s="570">
        <f t="shared" ref="I9:X9" si="11">+$E9*I28</f>
        <v>0</v>
      </c>
      <c r="J9" s="570">
        <f t="shared" si="11"/>
        <v>0</v>
      </c>
      <c r="K9" s="570">
        <f t="shared" si="11"/>
        <v>0</v>
      </c>
      <c r="L9" s="570">
        <f t="shared" si="11"/>
        <v>0</v>
      </c>
      <c r="M9" s="570">
        <f t="shared" si="11"/>
        <v>0</v>
      </c>
      <c r="N9" s="570">
        <f t="shared" si="11"/>
        <v>0</v>
      </c>
      <c r="O9" s="570">
        <f t="shared" si="11"/>
        <v>0</v>
      </c>
      <c r="P9" s="570">
        <f t="shared" si="11"/>
        <v>0</v>
      </c>
      <c r="Q9" s="570">
        <f t="shared" si="11"/>
        <v>0</v>
      </c>
      <c r="R9" s="570">
        <f t="shared" si="11"/>
        <v>0</v>
      </c>
      <c r="S9" s="570">
        <f t="shared" si="11"/>
        <v>0</v>
      </c>
      <c r="T9" s="570">
        <f t="shared" si="11"/>
        <v>0</v>
      </c>
      <c r="U9" s="570">
        <f t="shared" si="11"/>
        <v>0</v>
      </c>
      <c r="V9" s="570">
        <f t="shared" si="11"/>
        <v>0</v>
      </c>
      <c r="W9" s="570">
        <f t="shared" si="11"/>
        <v>0</v>
      </c>
      <c r="X9" s="570">
        <f t="shared" si="11"/>
        <v>65912.800000000003</v>
      </c>
      <c r="Y9" s="570">
        <f t="shared" si="6"/>
        <v>70120</v>
      </c>
      <c r="Z9" s="570">
        <f t="shared" si="10"/>
        <v>0</v>
      </c>
      <c r="AA9" s="33">
        <f t="shared" si="7"/>
        <v>0.02</v>
      </c>
      <c r="AB9" s="33">
        <f t="shared" si="7"/>
        <v>0.04</v>
      </c>
      <c r="AC9" s="33">
        <f t="shared" si="8"/>
        <v>0.94</v>
      </c>
      <c r="AD9" s="29"/>
    </row>
    <row r="10" spans="1:30">
      <c r="A10" t="s">
        <v>247</v>
      </c>
      <c r="B10" s="31" t="s">
        <v>248</v>
      </c>
      <c r="C10" s="32"/>
      <c r="D10" s="31"/>
      <c r="E10" s="31">
        <v>43120</v>
      </c>
      <c r="F10" s="361">
        <f t="shared" si="3"/>
        <v>1293.5999999999999</v>
      </c>
      <c r="G10" s="361">
        <f t="shared" si="4"/>
        <v>1724.8</v>
      </c>
      <c r="H10" s="363">
        <f>+$E$10*AC10</f>
        <v>40101.599999999999</v>
      </c>
      <c r="I10" s="570">
        <f t="shared" ref="I10:X10" si="12">+$E10*I29</f>
        <v>2156</v>
      </c>
      <c r="J10" s="570">
        <f t="shared" si="12"/>
        <v>2156</v>
      </c>
      <c r="K10" s="570">
        <f t="shared" si="12"/>
        <v>2156</v>
      </c>
      <c r="L10" s="570">
        <f t="shared" si="12"/>
        <v>2587.1999999999998</v>
      </c>
      <c r="M10" s="570">
        <f t="shared" si="12"/>
        <v>3449.6</v>
      </c>
      <c r="N10" s="570">
        <f t="shared" si="12"/>
        <v>3449.6</v>
      </c>
      <c r="O10" s="570">
        <f t="shared" si="12"/>
        <v>3449.6</v>
      </c>
      <c r="P10" s="570">
        <f t="shared" si="12"/>
        <v>1724.8</v>
      </c>
      <c r="Q10" s="570">
        <f t="shared" si="12"/>
        <v>4312</v>
      </c>
      <c r="R10" s="570">
        <f t="shared" si="12"/>
        <v>3880.7999999999997</v>
      </c>
      <c r="S10" s="570">
        <f t="shared" si="12"/>
        <v>0</v>
      </c>
      <c r="T10" s="570">
        <f t="shared" si="12"/>
        <v>1293.5999999999999</v>
      </c>
      <c r="U10" s="570">
        <f t="shared" si="12"/>
        <v>1293.5999999999999</v>
      </c>
      <c r="V10" s="570">
        <f t="shared" si="12"/>
        <v>4312</v>
      </c>
      <c r="W10" s="570">
        <f t="shared" si="12"/>
        <v>3880.7999999999997</v>
      </c>
      <c r="X10" s="570">
        <f t="shared" si="12"/>
        <v>0</v>
      </c>
      <c r="Y10" s="570">
        <f t="shared" si="6"/>
        <v>43120</v>
      </c>
      <c r="Z10" s="570">
        <f t="shared" si="10"/>
        <v>0</v>
      </c>
      <c r="AA10" s="33">
        <f t="shared" si="7"/>
        <v>0.03</v>
      </c>
      <c r="AB10" s="33">
        <f t="shared" si="7"/>
        <v>0.04</v>
      </c>
      <c r="AC10" s="33">
        <f t="shared" si="8"/>
        <v>0.93</v>
      </c>
      <c r="AD10" s="29"/>
    </row>
    <row r="11" spans="1:30">
      <c r="A11" t="s">
        <v>247</v>
      </c>
      <c r="B11" s="31" t="s">
        <v>249</v>
      </c>
      <c r="C11" s="32"/>
      <c r="D11" s="31"/>
      <c r="E11" s="31">
        <v>54420</v>
      </c>
      <c r="F11" s="361">
        <f t="shared" si="3"/>
        <v>3265.2</v>
      </c>
      <c r="G11" s="361">
        <f t="shared" si="4"/>
        <v>21768</v>
      </c>
      <c r="H11" s="363">
        <f>+$E$11*AC11</f>
        <v>29386.800000000003</v>
      </c>
      <c r="I11" s="570">
        <f t="shared" ref="I11:X11" si="13">+$E11*I30</f>
        <v>1088.4000000000001</v>
      </c>
      <c r="J11" s="570">
        <f t="shared" si="13"/>
        <v>1088.4000000000001</v>
      </c>
      <c r="K11" s="570">
        <f t="shared" si="13"/>
        <v>1632.6</v>
      </c>
      <c r="L11" s="570">
        <f t="shared" si="13"/>
        <v>2176.8000000000002</v>
      </c>
      <c r="M11" s="570">
        <f t="shared" si="13"/>
        <v>1632.6</v>
      </c>
      <c r="N11" s="570">
        <f t="shared" si="13"/>
        <v>3809.4000000000005</v>
      </c>
      <c r="O11" s="570">
        <f t="shared" si="13"/>
        <v>2176.8000000000002</v>
      </c>
      <c r="P11" s="570">
        <f t="shared" si="13"/>
        <v>3265.2</v>
      </c>
      <c r="Q11" s="570">
        <f t="shared" si="13"/>
        <v>2721</v>
      </c>
      <c r="R11" s="570">
        <f t="shared" si="13"/>
        <v>3265.2</v>
      </c>
      <c r="S11" s="570">
        <f t="shared" si="13"/>
        <v>0</v>
      </c>
      <c r="T11" s="570">
        <f t="shared" si="13"/>
        <v>1088.4000000000001</v>
      </c>
      <c r="U11" s="570">
        <f t="shared" si="13"/>
        <v>0</v>
      </c>
      <c r="V11" s="570">
        <f t="shared" si="13"/>
        <v>2721</v>
      </c>
      <c r="W11" s="570">
        <f t="shared" si="13"/>
        <v>2721</v>
      </c>
      <c r="X11" s="570">
        <f t="shared" si="13"/>
        <v>0</v>
      </c>
      <c r="Y11" s="570">
        <f t="shared" si="6"/>
        <v>54420</v>
      </c>
      <c r="Z11" s="570">
        <f t="shared" si="10"/>
        <v>0</v>
      </c>
      <c r="AA11" s="33">
        <f t="shared" si="7"/>
        <v>0.06</v>
      </c>
      <c r="AB11" s="33">
        <f t="shared" si="7"/>
        <v>0.4</v>
      </c>
      <c r="AC11" s="33">
        <f t="shared" si="8"/>
        <v>0.54</v>
      </c>
      <c r="AD11" s="29"/>
    </row>
    <row r="12" spans="1:30">
      <c r="A12" t="s">
        <v>247</v>
      </c>
      <c r="B12" s="31" t="s">
        <v>250</v>
      </c>
      <c r="C12" s="32"/>
      <c r="D12" s="31"/>
      <c r="E12" s="31">
        <v>39120</v>
      </c>
      <c r="F12" s="361">
        <f t="shared" si="3"/>
        <v>3129.6</v>
      </c>
      <c r="G12" s="361">
        <f t="shared" si="4"/>
        <v>7432.8</v>
      </c>
      <c r="H12" s="363">
        <f>+$E$12*AC12</f>
        <v>28557.599999999999</v>
      </c>
      <c r="I12" s="570">
        <f t="shared" ref="I12:X12" si="14">+$E12*I31</f>
        <v>3912</v>
      </c>
      <c r="J12" s="570">
        <f t="shared" si="14"/>
        <v>1173.5999999999999</v>
      </c>
      <c r="K12" s="570">
        <f t="shared" si="14"/>
        <v>1173.5999999999999</v>
      </c>
      <c r="L12" s="570">
        <f t="shared" si="14"/>
        <v>0</v>
      </c>
      <c r="M12" s="570">
        <f t="shared" si="14"/>
        <v>2738.4</v>
      </c>
      <c r="N12" s="570">
        <f t="shared" si="14"/>
        <v>2347.1999999999998</v>
      </c>
      <c r="O12" s="570">
        <f t="shared" si="14"/>
        <v>1564.8</v>
      </c>
      <c r="P12" s="570">
        <f t="shared" si="14"/>
        <v>1173.5999999999999</v>
      </c>
      <c r="Q12" s="570">
        <f t="shared" si="14"/>
        <v>1564.8</v>
      </c>
      <c r="R12" s="570">
        <f t="shared" si="14"/>
        <v>3912</v>
      </c>
      <c r="S12" s="570">
        <f t="shared" si="14"/>
        <v>0</v>
      </c>
      <c r="T12" s="570">
        <f t="shared" si="14"/>
        <v>391.2</v>
      </c>
      <c r="U12" s="570">
        <f t="shared" si="14"/>
        <v>3912</v>
      </c>
      <c r="V12" s="570">
        <f t="shared" si="14"/>
        <v>1564.8</v>
      </c>
      <c r="W12" s="570">
        <f t="shared" si="14"/>
        <v>3129.6</v>
      </c>
      <c r="X12" s="570">
        <f t="shared" si="14"/>
        <v>0</v>
      </c>
      <c r="Y12" s="570">
        <f t="shared" si="6"/>
        <v>39120</v>
      </c>
      <c r="Z12" s="570">
        <f t="shared" si="10"/>
        <v>0</v>
      </c>
      <c r="AA12" s="33">
        <f t="shared" si="7"/>
        <v>0.08</v>
      </c>
      <c r="AB12" s="33">
        <f t="shared" si="7"/>
        <v>0.19</v>
      </c>
      <c r="AC12" s="33">
        <f t="shared" si="8"/>
        <v>0.73</v>
      </c>
      <c r="AD12" s="29"/>
    </row>
    <row r="13" spans="1:30">
      <c r="A13" t="s">
        <v>247</v>
      </c>
      <c r="B13" s="31" t="s">
        <v>251</v>
      </c>
      <c r="C13" s="32"/>
      <c r="D13" s="31"/>
      <c r="E13" s="31">
        <v>56020</v>
      </c>
      <c r="F13" s="361">
        <f t="shared" si="3"/>
        <v>22968.199999999997</v>
      </c>
      <c r="G13" s="361">
        <f t="shared" si="4"/>
        <v>23528.399999999998</v>
      </c>
      <c r="H13" s="363">
        <f>+$E$13*AC13</f>
        <v>9523.4000000000015</v>
      </c>
      <c r="I13" s="570">
        <f t="shared" ref="I13:X13" si="15">+$E13*I32</f>
        <v>1120.4000000000001</v>
      </c>
      <c r="J13" s="570">
        <f t="shared" si="15"/>
        <v>560.20000000000005</v>
      </c>
      <c r="K13" s="570">
        <f t="shared" si="15"/>
        <v>560.20000000000005</v>
      </c>
      <c r="L13" s="570">
        <f t="shared" si="15"/>
        <v>0</v>
      </c>
      <c r="M13" s="570">
        <f t="shared" si="15"/>
        <v>560.20000000000005</v>
      </c>
      <c r="N13" s="570">
        <f t="shared" si="15"/>
        <v>1680.6</v>
      </c>
      <c r="O13" s="570">
        <f t="shared" si="15"/>
        <v>560.20000000000005</v>
      </c>
      <c r="P13" s="570">
        <f t="shared" si="15"/>
        <v>560.20000000000005</v>
      </c>
      <c r="Q13" s="570">
        <f t="shared" si="15"/>
        <v>560.20000000000005</v>
      </c>
      <c r="R13" s="570">
        <f t="shared" si="15"/>
        <v>560.20000000000005</v>
      </c>
      <c r="S13" s="570">
        <f t="shared" si="15"/>
        <v>0</v>
      </c>
      <c r="T13" s="570">
        <f t="shared" si="15"/>
        <v>560.20000000000005</v>
      </c>
      <c r="U13" s="570">
        <f t="shared" si="15"/>
        <v>560.20000000000005</v>
      </c>
      <c r="V13" s="570">
        <f t="shared" si="15"/>
        <v>560.20000000000005</v>
      </c>
      <c r="W13" s="570">
        <f t="shared" si="15"/>
        <v>560.20000000000005</v>
      </c>
      <c r="X13" s="570">
        <f t="shared" si="15"/>
        <v>560.20000000000005</v>
      </c>
      <c r="Y13" s="570">
        <f t="shared" si="6"/>
        <v>56020</v>
      </c>
      <c r="Z13" s="570">
        <f t="shared" si="10"/>
        <v>0</v>
      </c>
      <c r="AA13" s="33">
        <f t="shared" si="7"/>
        <v>0.41</v>
      </c>
      <c r="AB13" s="33">
        <f>+G32</f>
        <v>0.42</v>
      </c>
      <c r="AC13" s="33">
        <f t="shared" si="8"/>
        <v>0.17</v>
      </c>
      <c r="AD13" s="29"/>
    </row>
    <row r="14" spans="1:30">
      <c r="A14" s="36"/>
      <c r="B14" s="31"/>
      <c r="C14" s="32"/>
      <c r="D14" s="31"/>
      <c r="E14" s="31"/>
      <c r="F14" s="361">
        <f t="shared" si="3"/>
        <v>0</v>
      </c>
      <c r="G14" s="361">
        <f t="shared" si="4"/>
        <v>0</v>
      </c>
      <c r="H14" s="363">
        <f>+$E$6*AC14</f>
        <v>0</v>
      </c>
      <c r="I14" s="570">
        <f t="shared" ref="I14:X14" si="16">+$E14*I33</f>
        <v>0</v>
      </c>
      <c r="J14" s="570">
        <f t="shared" si="16"/>
        <v>0</v>
      </c>
      <c r="K14" s="570">
        <f t="shared" si="16"/>
        <v>0</v>
      </c>
      <c r="L14" s="570">
        <f t="shared" si="16"/>
        <v>0</v>
      </c>
      <c r="M14" s="570">
        <f t="shared" si="16"/>
        <v>0</v>
      </c>
      <c r="N14" s="570">
        <f t="shared" si="16"/>
        <v>0</v>
      </c>
      <c r="O14" s="570">
        <f t="shared" si="16"/>
        <v>0</v>
      </c>
      <c r="P14" s="570">
        <f t="shared" si="16"/>
        <v>0</v>
      </c>
      <c r="Q14" s="570">
        <f t="shared" si="16"/>
        <v>0</v>
      </c>
      <c r="R14" s="570">
        <f t="shared" si="16"/>
        <v>0</v>
      </c>
      <c r="S14" s="570">
        <f t="shared" si="16"/>
        <v>0</v>
      </c>
      <c r="T14" s="570">
        <f t="shared" si="16"/>
        <v>0</v>
      </c>
      <c r="U14" s="570">
        <f t="shared" si="16"/>
        <v>0</v>
      </c>
      <c r="V14" s="570">
        <f t="shared" si="16"/>
        <v>0</v>
      </c>
      <c r="W14" s="570">
        <f t="shared" si="16"/>
        <v>0</v>
      </c>
      <c r="X14" s="570">
        <f t="shared" si="16"/>
        <v>0</v>
      </c>
      <c r="Y14" s="570">
        <f t="shared" si="6"/>
        <v>0</v>
      </c>
      <c r="Z14" s="570">
        <f t="shared" si="10"/>
        <v>0</v>
      </c>
      <c r="AA14" s="33"/>
      <c r="AB14" s="33">
        <f>+G33</f>
        <v>0</v>
      </c>
      <c r="AC14" s="33"/>
    </row>
    <row r="15" spans="1:30">
      <c r="A15" t="s">
        <v>407</v>
      </c>
      <c r="B15" s="31"/>
      <c r="C15" s="31"/>
      <c r="D15" s="31"/>
      <c r="E15" s="31">
        <v>6400</v>
      </c>
      <c r="F15" s="361">
        <f t="shared" si="3"/>
        <v>0</v>
      </c>
      <c r="G15" s="361">
        <f t="shared" si="4"/>
        <v>6400</v>
      </c>
      <c r="H15" s="363">
        <f>+$E$6*AC15</f>
        <v>0</v>
      </c>
      <c r="I15" s="570">
        <f t="shared" ref="I15:X15" si="17">+$E15*I34</f>
        <v>0</v>
      </c>
      <c r="J15" s="570">
        <f t="shared" si="17"/>
        <v>0</v>
      </c>
      <c r="K15" s="570">
        <f t="shared" si="17"/>
        <v>0</v>
      </c>
      <c r="L15" s="570">
        <f t="shared" si="17"/>
        <v>0</v>
      </c>
      <c r="M15" s="570">
        <f t="shared" si="17"/>
        <v>0</v>
      </c>
      <c r="N15" s="570">
        <f t="shared" si="17"/>
        <v>0</v>
      </c>
      <c r="O15" s="570">
        <f t="shared" si="17"/>
        <v>0</v>
      </c>
      <c r="P15" s="570">
        <f t="shared" si="17"/>
        <v>0</v>
      </c>
      <c r="Q15" s="570">
        <f t="shared" si="17"/>
        <v>0</v>
      </c>
      <c r="R15" s="570">
        <f t="shared" si="17"/>
        <v>0</v>
      </c>
      <c r="S15" s="570">
        <f t="shared" si="17"/>
        <v>0</v>
      </c>
      <c r="T15" s="570">
        <f t="shared" si="17"/>
        <v>0</v>
      </c>
      <c r="U15" s="570">
        <f t="shared" si="17"/>
        <v>0</v>
      </c>
      <c r="V15" s="570">
        <f t="shared" si="17"/>
        <v>0</v>
      </c>
      <c r="W15" s="570">
        <f t="shared" si="17"/>
        <v>0</v>
      </c>
      <c r="X15" s="570">
        <f t="shared" si="17"/>
        <v>0</v>
      </c>
      <c r="Y15" s="570">
        <f t="shared" si="6"/>
        <v>6400</v>
      </c>
      <c r="Z15" s="570">
        <f t="shared" si="10"/>
        <v>0</v>
      </c>
      <c r="AA15" s="33"/>
      <c r="AB15" s="33">
        <f>+G34</f>
        <v>1</v>
      </c>
      <c r="AC15" s="33"/>
    </row>
    <row r="16" spans="1:30">
      <c r="B16" s="31"/>
      <c r="C16" s="31"/>
      <c r="D16" s="31"/>
      <c r="E16" s="31"/>
      <c r="F16" s="361">
        <f t="shared" si="3"/>
        <v>0</v>
      </c>
      <c r="G16" s="361">
        <f t="shared" si="4"/>
        <v>0</v>
      </c>
      <c r="H16" s="363">
        <f>+$E$6*AC16</f>
        <v>0</v>
      </c>
      <c r="I16" s="570">
        <f t="shared" ref="I16:X16" si="18">+$E16*I35</f>
        <v>0</v>
      </c>
      <c r="J16" s="570">
        <f t="shared" si="18"/>
        <v>0</v>
      </c>
      <c r="K16" s="570">
        <f t="shared" si="18"/>
        <v>0</v>
      </c>
      <c r="L16" s="570">
        <f t="shared" si="18"/>
        <v>0</v>
      </c>
      <c r="M16" s="570">
        <f t="shared" si="18"/>
        <v>0</v>
      </c>
      <c r="N16" s="570">
        <f t="shared" si="18"/>
        <v>0</v>
      </c>
      <c r="O16" s="570">
        <f t="shared" si="18"/>
        <v>0</v>
      </c>
      <c r="P16" s="570">
        <f t="shared" si="18"/>
        <v>0</v>
      </c>
      <c r="Q16" s="570">
        <f t="shared" si="18"/>
        <v>0</v>
      </c>
      <c r="R16" s="570">
        <f t="shared" si="18"/>
        <v>0</v>
      </c>
      <c r="S16" s="570">
        <f t="shared" si="18"/>
        <v>0</v>
      </c>
      <c r="T16" s="570">
        <f t="shared" si="18"/>
        <v>0</v>
      </c>
      <c r="U16" s="570">
        <f t="shared" si="18"/>
        <v>0</v>
      </c>
      <c r="V16" s="570">
        <f t="shared" si="18"/>
        <v>0</v>
      </c>
      <c r="W16" s="570">
        <f t="shared" si="18"/>
        <v>0</v>
      </c>
      <c r="X16" s="570">
        <f t="shared" si="18"/>
        <v>0</v>
      </c>
      <c r="Y16" s="570">
        <f t="shared" si="6"/>
        <v>0</v>
      </c>
      <c r="Z16" s="570">
        <f t="shared" si="10"/>
        <v>0</v>
      </c>
      <c r="AA16" s="33"/>
      <c r="AB16" s="33"/>
      <c r="AC16" s="33"/>
    </row>
    <row r="17" spans="1:59">
      <c r="B17" s="31"/>
      <c r="C17" s="31"/>
      <c r="D17" s="31"/>
      <c r="E17" s="10"/>
      <c r="F17" s="361">
        <f t="shared" si="3"/>
        <v>0</v>
      </c>
      <c r="G17" s="361">
        <f t="shared" si="4"/>
        <v>0</v>
      </c>
      <c r="H17" s="363">
        <f>+$E$6*AC17</f>
        <v>0</v>
      </c>
      <c r="I17" s="570">
        <f t="shared" ref="I17" si="19">+$E17*I36</f>
        <v>0</v>
      </c>
      <c r="J17" s="570"/>
      <c r="K17" s="570">
        <f t="shared" ref="K17:N17" si="20">+$E17*K36</f>
        <v>0</v>
      </c>
      <c r="L17" s="570">
        <f t="shared" si="20"/>
        <v>0</v>
      </c>
      <c r="M17" s="570">
        <f t="shared" ref="M17" si="21">+$E17*M36</f>
        <v>0</v>
      </c>
      <c r="N17" s="570">
        <f t="shared" si="20"/>
        <v>0</v>
      </c>
      <c r="O17" s="570">
        <f t="shared" ref="O17:Q17" si="22">+$E$6*O36</f>
        <v>0</v>
      </c>
      <c r="P17" s="570">
        <f t="shared" si="22"/>
        <v>0</v>
      </c>
      <c r="Q17" s="570">
        <f t="shared" si="22"/>
        <v>0</v>
      </c>
      <c r="R17" s="570">
        <f>+$E$7*R36</f>
        <v>0</v>
      </c>
      <c r="S17" s="570">
        <f t="shared" ref="S17:U17" si="23">+$E$6*S36</f>
        <v>0</v>
      </c>
      <c r="T17" s="570">
        <f t="shared" si="23"/>
        <v>0</v>
      </c>
      <c r="U17" s="570">
        <f t="shared" si="23"/>
        <v>0</v>
      </c>
      <c r="V17" s="570">
        <f t="shared" ref="V17:X17" si="24">+$E$6*V36</f>
        <v>0</v>
      </c>
      <c r="W17" s="570">
        <f t="shared" si="24"/>
        <v>0</v>
      </c>
      <c r="X17" s="570">
        <f t="shared" si="24"/>
        <v>0</v>
      </c>
      <c r="Y17" s="570"/>
      <c r="Z17" s="570"/>
      <c r="AA17" s="33"/>
      <c r="AB17" s="33"/>
      <c r="AC17" s="33"/>
    </row>
    <row r="18" spans="1:59" ht="15.75" thickBot="1">
      <c r="A18" s="353" t="s">
        <v>21</v>
      </c>
      <c r="B18" s="354">
        <f>SUM(B6:B17)</f>
        <v>0</v>
      </c>
      <c r="C18" s="354">
        <f>SUM(C6:C17)</f>
        <v>0</v>
      </c>
      <c r="D18" s="354"/>
      <c r="E18" s="355">
        <f>SUM(E6:E17)</f>
        <v>444040</v>
      </c>
      <c r="F18" s="354">
        <f>SUM(F6:F17)</f>
        <v>76094.2</v>
      </c>
      <c r="G18" s="354">
        <f t="shared" ref="G18:X18" si="25">SUM(G6:G17)</f>
        <v>87060.800000000003</v>
      </c>
      <c r="H18" s="354">
        <f t="shared" si="25"/>
        <v>280885</v>
      </c>
      <c r="I18" s="354">
        <f t="shared" si="25"/>
        <v>10207.199999999999</v>
      </c>
      <c r="J18" s="354">
        <f t="shared" si="25"/>
        <v>6908.5999999999995</v>
      </c>
      <c r="K18" s="354">
        <f t="shared" si="25"/>
        <v>7452.8</v>
      </c>
      <c r="L18" s="354">
        <f t="shared" si="25"/>
        <v>6694.4000000000005</v>
      </c>
      <c r="M18" s="354">
        <f t="shared" ref="M18" si="26">SUM(M6:M17)</f>
        <v>9346</v>
      </c>
      <c r="N18" s="354">
        <f t="shared" si="25"/>
        <v>13217.200000000003</v>
      </c>
      <c r="O18" s="354">
        <f t="shared" si="25"/>
        <v>9681.8000000000011</v>
      </c>
      <c r="P18" s="354">
        <f t="shared" si="25"/>
        <v>8654.2000000000007</v>
      </c>
      <c r="Q18" s="354">
        <f t="shared" si="25"/>
        <v>11088.4</v>
      </c>
      <c r="R18" s="354">
        <f t="shared" si="25"/>
        <v>13548.6</v>
      </c>
      <c r="S18" s="354">
        <f t="shared" si="25"/>
        <v>0</v>
      </c>
      <c r="T18" s="354">
        <f t="shared" si="25"/>
        <v>5263.7999999999993</v>
      </c>
      <c r="U18" s="354">
        <f t="shared" si="25"/>
        <v>7696.2</v>
      </c>
      <c r="V18" s="354">
        <f t="shared" si="25"/>
        <v>11088.4</v>
      </c>
      <c r="W18" s="354">
        <f t="shared" si="25"/>
        <v>12222.000000000002</v>
      </c>
      <c r="X18" s="354">
        <f t="shared" si="25"/>
        <v>147815.40000000002</v>
      </c>
      <c r="Y18" s="354">
        <f>SUM(Y6:Y17)</f>
        <v>444040</v>
      </c>
      <c r="Z18" s="354">
        <f>SUM(Z6:Z17)</f>
        <v>0</v>
      </c>
      <c r="AA18" s="365">
        <f>SUM(AA6:AA17)</f>
        <v>1.06</v>
      </c>
      <c r="AB18" s="365">
        <f>SUM(AB6:AB17)</f>
        <v>2.34</v>
      </c>
      <c r="AC18" s="365">
        <f>SUM(AC6:AC17)</f>
        <v>4.5999999999999996</v>
      </c>
    </row>
    <row r="19" spans="1:59">
      <c r="A19" s="30" t="s">
        <v>20</v>
      </c>
      <c r="B19" s="37" t="s">
        <v>20</v>
      </c>
      <c r="C19" s="38" t="s">
        <v>22</v>
      </c>
      <c r="F19" s="39">
        <f>AA18/$E$20</f>
        <v>0.13250000000000001</v>
      </c>
      <c r="G19" s="39">
        <f>AB18/$E$20</f>
        <v>0.29249999999999998</v>
      </c>
      <c r="H19" s="39">
        <f>AC18/$E$20</f>
        <v>0.57499999999999996</v>
      </c>
      <c r="I19" s="40">
        <f t="shared" ref="I19:X19" si="27">I37/$AC$18</f>
        <v>4.5652173913043478E-2</v>
      </c>
      <c r="J19" s="40">
        <f t="shared" si="27"/>
        <v>2.8260869565217395E-2</v>
      </c>
      <c r="K19" s="40">
        <f t="shared" si="27"/>
        <v>3.0434782608695657E-2</v>
      </c>
      <c r="L19" s="40">
        <f t="shared" si="27"/>
        <v>2.6086956521739132E-2</v>
      </c>
      <c r="M19" s="40">
        <f t="shared" si="27"/>
        <v>4.3478260869565223E-2</v>
      </c>
      <c r="N19" s="40">
        <f t="shared" si="27"/>
        <v>5.6521739130434789E-2</v>
      </c>
      <c r="O19" s="40">
        <f t="shared" si="27"/>
        <v>4.1304347826086968E-2</v>
      </c>
      <c r="P19" s="40">
        <f t="shared" si="27"/>
        <v>3.4782608695652174E-2</v>
      </c>
      <c r="Q19" s="40">
        <f t="shared" si="27"/>
        <v>4.7826086956521748E-2</v>
      </c>
      <c r="R19" s="40">
        <f t="shared" si="27"/>
        <v>6.0869565217391314E-2</v>
      </c>
      <c r="S19" s="40">
        <f t="shared" si="27"/>
        <v>0</v>
      </c>
      <c r="T19" s="40">
        <f t="shared" si="27"/>
        <v>1.9565217391304349E-2</v>
      </c>
      <c r="U19" s="40">
        <f t="shared" si="27"/>
        <v>3.4782608695652181E-2</v>
      </c>
      <c r="V19" s="40">
        <f t="shared" si="27"/>
        <v>4.7826086956521748E-2</v>
      </c>
      <c r="W19" s="40">
        <f t="shared" si="27"/>
        <v>5.4347826086956527E-2</v>
      </c>
      <c r="X19" s="40">
        <f t="shared" si="27"/>
        <v>0.42826086956521742</v>
      </c>
      <c r="Y19" s="40"/>
      <c r="Z19" s="40"/>
      <c r="AA19" s="40" t="e">
        <f>AF37/$AA$37</f>
        <v>#DIV/0!</v>
      </c>
      <c r="AB19" s="40" t="e">
        <f>AG37/$AA$37</f>
        <v>#DIV/0!</v>
      </c>
      <c r="AC19" s="41"/>
    </row>
    <row r="20" spans="1:59">
      <c r="C20" s="15" t="s">
        <v>23</v>
      </c>
      <c r="E20" s="42">
        <f>AH37</f>
        <v>8</v>
      </c>
      <c r="F20" s="350"/>
      <c r="G20" s="350"/>
      <c r="H20" s="350"/>
      <c r="I20" s="458"/>
      <c r="J20" s="458" t="s">
        <v>335</v>
      </c>
      <c r="K20" s="458"/>
      <c r="L20" s="458"/>
      <c r="M20" s="458" t="s">
        <v>335</v>
      </c>
      <c r="N20" s="458" t="s">
        <v>335</v>
      </c>
      <c r="O20" s="458" t="s">
        <v>335</v>
      </c>
      <c r="P20" s="458" t="s">
        <v>335</v>
      </c>
      <c r="Q20" s="458"/>
      <c r="R20" s="458" t="s">
        <v>335</v>
      </c>
      <c r="S20" s="458" t="s">
        <v>335</v>
      </c>
      <c r="T20" s="458" t="s">
        <v>335</v>
      </c>
      <c r="U20" s="458"/>
      <c r="V20" s="458" t="s">
        <v>335</v>
      </c>
      <c r="W20" s="458" t="s">
        <v>336</v>
      </c>
      <c r="X20" s="458"/>
      <c r="Y20" s="458"/>
    </row>
    <row r="21" spans="1:59">
      <c r="C21" s="43" t="s">
        <v>24</v>
      </c>
      <c r="D21" s="43"/>
      <c r="E21" s="44" t="e">
        <f>100%-F19-G19-H19-#REF!</f>
        <v>#REF!</v>
      </c>
      <c r="F21" s="44"/>
      <c r="G21" s="44"/>
      <c r="H21" s="44"/>
      <c r="I21" s="45"/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W21" s="45"/>
      <c r="AX21" s="45"/>
      <c r="AY21" s="45"/>
      <c r="AZ21" s="45"/>
      <c r="BA21" s="45"/>
      <c r="BB21" s="45"/>
      <c r="BC21" s="45"/>
      <c r="BD21" s="45"/>
      <c r="BE21" s="45"/>
      <c r="BF21" s="45"/>
      <c r="BG21" s="45"/>
    </row>
    <row r="22" spans="1:59" ht="15.75" thickBot="1"/>
    <row r="23" spans="1:59" ht="48" thickBot="1">
      <c r="B23" s="31"/>
      <c r="D23" s="351" t="s">
        <v>7</v>
      </c>
      <c r="E23" s="352" t="s">
        <v>8</v>
      </c>
      <c r="F23" s="331" t="str">
        <f>+F4</f>
        <v>Gouvernance</v>
      </c>
      <c r="G23" s="331" t="str">
        <f t="shared" ref="G23:W23" si="28">+G4</f>
        <v>Ecosysteme</v>
      </c>
      <c r="H23" s="336" t="str">
        <f t="shared" si="28"/>
        <v>Actions</v>
      </c>
      <c r="I23" s="334" t="str">
        <f t="shared" si="28"/>
        <v>Mice Place Méditerranée</v>
      </c>
      <c r="J23" s="334" t="str">
        <f t="shared" si="28"/>
        <v>WS BRUXELLES</v>
      </c>
      <c r="K23" s="334" t="str">
        <f t="shared" si="28"/>
        <v>SBE</v>
      </c>
      <c r="L23" s="334" t="str">
        <f t="shared" ref="L23" si="29">+L4</f>
        <v>DEV. INTERNATIONNAL</v>
      </c>
      <c r="M23" s="334" t="str">
        <f t="shared" si="28"/>
        <v>WS LYON</v>
      </c>
      <c r="N23" s="334" t="str">
        <f t="shared" si="28"/>
        <v>Heavent Meeting</v>
      </c>
      <c r="O23" s="334" t="str">
        <f t="shared" si="28"/>
        <v>Imex</v>
      </c>
      <c r="P23" s="334" t="str">
        <f t="shared" si="28"/>
        <v>WS LONDRES</v>
      </c>
      <c r="Q23" s="334" t="str">
        <f t="shared" si="28"/>
        <v>Eductour 1 &amp; 2</v>
      </c>
      <c r="R23" s="334" t="str">
        <f t="shared" si="28"/>
        <v>Workshop Paris Été + Déj. Asso</v>
      </c>
      <c r="S23" s="334"/>
      <c r="T23" s="334" t="str">
        <f t="shared" si="28"/>
        <v>MP CANNES</v>
      </c>
      <c r="U23" s="334" t="str">
        <f t="shared" si="28"/>
        <v>MP2</v>
      </c>
      <c r="V23" s="334" t="str">
        <f t="shared" si="28"/>
        <v>IBTM</v>
      </c>
      <c r="W23" s="334" t="str">
        <f t="shared" si="28"/>
        <v>Workshop Paris hiver + Déj. Asso</v>
      </c>
      <c r="X23" s="332" t="s">
        <v>254</v>
      </c>
      <c r="Y23" s="20"/>
      <c r="Z23" s="20"/>
      <c r="AA23" s="21" t="s">
        <v>19</v>
      </c>
      <c r="AB23" s="23" t="s">
        <v>13</v>
      </c>
      <c r="AC23" s="23" t="s">
        <v>14</v>
      </c>
      <c r="AD23" s="23" t="s">
        <v>15</v>
      </c>
      <c r="AE23" s="24" t="s">
        <v>16</v>
      </c>
      <c r="AF23" s="20"/>
      <c r="AG23" s="20"/>
    </row>
    <row r="24" spans="1:59">
      <c r="D24" s="25" t="s">
        <v>20</v>
      </c>
      <c r="E24" s="25" t="s">
        <v>20</v>
      </c>
      <c r="F24" s="333" t="str">
        <f>+F5</f>
        <v>GOUV</v>
      </c>
      <c r="G24" s="333" t="str">
        <f t="shared" ref="G24:W24" si="30">+G5</f>
        <v>ECO</v>
      </c>
      <c r="H24" s="333" t="str">
        <f t="shared" si="30"/>
        <v>ACT</v>
      </c>
      <c r="I24" s="333" t="str">
        <f t="shared" si="30"/>
        <v>20MPM</v>
      </c>
      <c r="J24" s="333" t="str">
        <f t="shared" si="30"/>
        <v>20WSBRU</v>
      </c>
      <c r="K24" s="333" t="str">
        <f t="shared" si="30"/>
        <v>20SBE</v>
      </c>
      <c r="L24" s="333" t="str">
        <f t="shared" ref="L24" si="31">+L5</f>
        <v>20INTER</v>
      </c>
      <c r="M24" s="333" t="str">
        <f t="shared" si="30"/>
        <v>20WSLYON</v>
      </c>
      <c r="N24" s="333" t="str">
        <f t="shared" si="30"/>
        <v>20HEAVENT</v>
      </c>
      <c r="O24" s="333" t="str">
        <f t="shared" si="30"/>
        <v>20IMEX</v>
      </c>
      <c r="P24" s="333" t="str">
        <f t="shared" si="30"/>
        <v>20WSLON</v>
      </c>
      <c r="Q24" s="333" t="str">
        <f t="shared" si="30"/>
        <v>20EDUC</v>
      </c>
      <c r="R24" s="333" t="str">
        <f t="shared" si="30"/>
        <v>20PARISETE</v>
      </c>
      <c r="S24" s="333"/>
      <c r="T24" s="333" t="str">
        <f t="shared" si="30"/>
        <v>20MICE</v>
      </c>
      <c r="U24" s="333" t="str">
        <f t="shared" si="30"/>
        <v>20MP2</v>
      </c>
      <c r="V24" s="333" t="str">
        <f t="shared" si="30"/>
        <v>20IBTM</v>
      </c>
      <c r="W24" s="333" t="str">
        <f t="shared" si="30"/>
        <v>20PARISHIV</v>
      </c>
      <c r="X24" s="333" t="s">
        <v>254</v>
      </c>
      <c r="AA24" s="27"/>
      <c r="AE24" s="28"/>
      <c r="AH24" s="29"/>
    </row>
    <row r="25" spans="1:59">
      <c r="D25" s="30"/>
      <c r="E25" s="31"/>
      <c r="F25" s="31"/>
      <c r="G25" s="31"/>
      <c r="H25" s="31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33"/>
      <c r="AB25" s="29"/>
      <c r="AC25" s="29"/>
      <c r="AD25" s="29"/>
      <c r="AE25" s="34"/>
      <c r="AF25" s="29"/>
      <c r="AG25" s="29"/>
      <c r="AH25" s="35"/>
    </row>
    <row r="26" spans="1:59">
      <c r="D26" t="s">
        <v>244</v>
      </c>
      <c r="E26" s="31" t="s">
        <v>245</v>
      </c>
      <c r="F26" s="362">
        <v>0.44</v>
      </c>
      <c r="G26" s="362">
        <v>0.21</v>
      </c>
      <c r="H26" s="364">
        <f>SUM(I26:X26)</f>
        <v>0.35</v>
      </c>
      <c r="I26" s="29">
        <v>0.02</v>
      </c>
      <c r="J26" s="29">
        <v>0.02</v>
      </c>
      <c r="K26" s="29">
        <v>0.02</v>
      </c>
      <c r="L26" s="29">
        <v>0.02</v>
      </c>
      <c r="M26" s="29">
        <v>0.01</v>
      </c>
      <c r="N26" s="29">
        <v>0.02</v>
      </c>
      <c r="O26" s="29">
        <v>0.02</v>
      </c>
      <c r="P26" s="29">
        <v>0.02</v>
      </c>
      <c r="Q26" s="29">
        <v>0.02</v>
      </c>
      <c r="R26" s="29">
        <v>0.02</v>
      </c>
      <c r="S26" s="29"/>
      <c r="T26" s="29">
        <v>0.02</v>
      </c>
      <c r="U26" s="29">
        <v>0.02</v>
      </c>
      <c r="V26" s="29">
        <v>0.02</v>
      </c>
      <c r="W26" s="29">
        <v>0.02</v>
      </c>
      <c r="X26" s="29">
        <v>0.08</v>
      </c>
      <c r="Y26" s="29"/>
      <c r="Z26" s="29"/>
      <c r="AA26" s="33"/>
      <c r="AB26" s="29"/>
      <c r="AC26" s="29"/>
      <c r="AD26" s="29"/>
      <c r="AE26" s="34"/>
      <c r="AH26" s="35">
        <f>AA7+AC7+AB7+AA26+Z26</f>
        <v>1</v>
      </c>
    </row>
    <row r="27" spans="1:59">
      <c r="D27" t="s">
        <v>244</v>
      </c>
      <c r="E27" s="31" t="s">
        <v>246</v>
      </c>
      <c r="F27" s="362">
        <v>0.02</v>
      </c>
      <c r="G27" s="362">
        <v>0.04</v>
      </c>
      <c r="H27" s="364">
        <f t="shared" ref="H27:H32" si="32">SUM(I27:X27)</f>
        <v>0.94</v>
      </c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>
        <f>100%-F27-G27</f>
        <v>0.94</v>
      </c>
      <c r="Y27" s="29"/>
      <c r="Z27" s="29"/>
      <c r="AA27" s="33"/>
      <c r="AB27" s="29"/>
      <c r="AC27" s="29"/>
      <c r="AD27" s="29"/>
      <c r="AE27" s="34"/>
      <c r="AH27" s="35">
        <f>AA8+AC8+AB8+AA27+Z27</f>
        <v>1</v>
      </c>
    </row>
    <row r="28" spans="1:59">
      <c r="D28" t="s">
        <v>244</v>
      </c>
      <c r="E28" s="31" t="s">
        <v>453</v>
      </c>
      <c r="F28" s="362">
        <v>0.02</v>
      </c>
      <c r="G28" s="362">
        <v>0.04</v>
      </c>
      <c r="H28" s="364">
        <f t="shared" si="32"/>
        <v>0.94</v>
      </c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>
        <f>100%-F28-G28</f>
        <v>0.94</v>
      </c>
      <c r="Y28" s="29"/>
      <c r="Z28" s="29"/>
      <c r="AA28" s="33"/>
      <c r="AB28" s="29"/>
      <c r="AC28" s="29"/>
      <c r="AD28" s="29"/>
      <c r="AE28" s="34"/>
      <c r="AH28" s="35">
        <f>AA9+AC9+AB9+AA28+Z28</f>
        <v>1</v>
      </c>
    </row>
    <row r="29" spans="1:59">
      <c r="D29" t="s">
        <v>247</v>
      </c>
      <c r="E29" s="31" t="s">
        <v>248</v>
      </c>
      <c r="F29" s="362">
        <v>0.03</v>
      </c>
      <c r="G29" s="362">
        <v>0.04</v>
      </c>
      <c r="H29" s="364">
        <f t="shared" si="32"/>
        <v>0.93</v>
      </c>
      <c r="I29" s="29">
        <v>0.05</v>
      </c>
      <c r="J29" s="29">
        <v>0.05</v>
      </c>
      <c r="K29" s="29">
        <v>0.05</v>
      </c>
      <c r="L29" s="29">
        <v>0.06</v>
      </c>
      <c r="M29" s="29">
        <v>0.08</v>
      </c>
      <c r="N29" s="29">
        <v>0.08</v>
      </c>
      <c r="O29" s="29">
        <v>0.08</v>
      </c>
      <c r="P29" s="29">
        <v>0.04</v>
      </c>
      <c r="Q29" s="29">
        <v>0.1</v>
      </c>
      <c r="R29" s="29">
        <v>0.09</v>
      </c>
      <c r="S29" s="29"/>
      <c r="T29" s="29">
        <v>0.03</v>
      </c>
      <c r="U29" s="29">
        <v>0.03</v>
      </c>
      <c r="V29" s="29">
        <v>0.1</v>
      </c>
      <c r="W29" s="29">
        <v>0.09</v>
      </c>
      <c r="X29" s="29"/>
      <c r="Y29" s="29"/>
      <c r="Z29" s="29"/>
      <c r="AA29" s="33"/>
      <c r="AB29" s="29"/>
      <c r="AC29" s="29"/>
      <c r="AD29" s="29"/>
      <c r="AE29" s="34"/>
      <c r="AH29" s="35">
        <f>AA10+AC10+AB10+AA29+Z29</f>
        <v>1</v>
      </c>
    </row>
    <row r="30" spans="1:59">
      <c r="D30" t="s">
        <v>247</v>
      </c>
      <c r="E30" s="31" t="s">
        <v>249</v>
      </c>
      <c r="F30" s="362">
        <v>0.06</v>
      </c>
      <c r="G30" s="362">
        <v>0.4</v>
      </c>
      <c r="H30" s="364">
        <f t="shared" si="32"/>
        <v>0.54</v>
      </c>
      <c r="I30" s="29">
        <v>0.02</v>
      </c>
      <c r="J30" s="29">
        <v>0.02</v>
      </c>
      <c r="K30" s="29">
        <v>0.03</v>
      </c>
      <c r="L30" s="29">
        <v>0.04</v>
      </c>
      <c r="M30" s="29">
        <v>0.03</v>
      </c>
      <c r="N30" s="29">
        <v>7.0000000000000007E-2</v>
      </c>
      <c r="O30" s="29">
        <v>0.04</v>
      </c>
      <c r="P30" s="29">
        <v>0.06</v>
      </c>
      <c r="Q30" s="29">
        <v>0.05</v>
      </c>
      <c r="R30" s="29">
        <v>0.06</v>
      </c>
      <c r="S30" s="29"/>
      <c r="T30" s="29">
        <v>0.02</v>
      </c>
      <c r="U30" s="29">
        <v>0</v>
      </c>
      <c r="V30" s="29">
        <v>0.05</v>
      </c>
      <c r="W30" s="29">
        <v>0.05</v>
      </c>
      <c r="X30" s="29"/>
      <c r="Y30" s="29"/>
      <c r="Z30" s="29"/>
      <c r="AA30" s="33"/>
      <c r="AB30" s="29"/>
      <c r="AC30" s="29"/>
      <c r="AD30" s="29"/>
      <c r="AE30" s="34"/>
      <c r="AH30" s="35">
        <f>AA11+AC11+AB11+AA30+Z30</f>
        <v>1</v>
      </c>
    </row>
    <row r="31" spans="1:59">
      <c r="D31" t="s">
        <v>247</v>
      </c>
      <c r="E31" s="31" t="s">
        <v>250</v>
      </c>
      <c r="F31" s="362">
        <v>0.08</v>
      </c>
      <c r="G31" s="362">
        <v>0.19</v>
      </c>
      <c r="H31" s="364">
        <f t="shared" si="32"/>
        <v>0.73</v>
      </c>
      <c r="I31" s="29">
        <v>0.1</v>
      </c>
      <c r="J31" s="29">
        <v>0.03</v>
      </c>
      <c r="K31" s="29">
        <v>0.03</v>
      </c>
      <c r="L31" s="29"/>
      <c r="M31" s="29">
        <v>7.0000000000000007E-2</v>
      </c>
      <c r="N31" s="29">
        <v>0.06</v>
      </c>
      <c r="O31" s="29">
        <v>0.04</v>
      </c>
      <c r="P31" s="29">
        <v>0.03</v>
      </c>
      <c r="Q31" s="29">
        <v>0.04</v>
      </c>
      <c r="R31" s="29">
        <v>0.1</v>
      </c>
      <c r="S31" s="29"/>
      <c r="T31" s="29">
        <v>0.01</v>
      </c>
      <c r="U31" s="29">
        <v>0.1</v>
      </c>
      <c r="V31" s="29">
        <v>0.04</v>
      </c>
      <c r="W31" s="29">
        <v>0.08</v>
      </c>
      <c r="X31" s="29"/>
      <c r="Y31" s="29"/>
      <c r="Z31" s="29"/>
      <c r="AA31" s="33"/>
      <c r="AB31" s="29"/>
      <c r="AC31" s="29"/>
      <c r="AD31" s="29"/>
      <c r="AE31" s="34"/>
      <c r="AH31" s="35">
        <f>AA12+AC12+AB12+AA31</f>
        <v>1</v>
      </c>
    </row>
    <row r="32" spans="1:59">
      <c r="D32" t="s">
        <v>247</v>
      </c>
      <c r="E32" s="31" t="s">
        <v>251</v>
      </c>
      <c r="F32" s="362">
        <v>0.41</v>
      </c>
      <c r="G32" s="362">
        <v>0.42</v>
      </c>
      <c r="H32" s="364">
        <f t="shared" si="32"/>
        <v>0.17</v>
      </c>
      <c r="I32" s="29">
        <v>0.02</v>
      </c>
      <c r="J32" s="29">
        <v>0.01</v>
      </c>
      <c r="K32" s="29">
        <v>0.01</v>
      </c>
      <c r="L32" s="29"/>
      <c r="M32" s="29">
        <v>0.01</v>
      </c>
      <c r="N32" s="29">
        <v>0.03</v>
      </c>
      <c r="O32" s="29">
        <v>0.01</v>
      </c>
      <c r="P32" s="29">
        <v>0.01</v>
      </c>
      <c r="Q32" s="29">
        <v>0.01</v>
      </c>
      <c r="R32" s="29">
        <v>0.01</v>
      </c>
      <c r="S32" s="29"/>
      <c r="T32" s="29">
        <v>0.01</v>
      </c>
      <c r="U32" s="29">
        <v>0.01</v>
      </c>
      <c r="V32" s="29">
        <v>0.01</v>
      </c>
      <c r="W32" s="29">
        <v>0.01</v>
      </c>
      <c r="X32" s="29">
        <v>0.01</v>
      </c>
      <c r="Y32" s="29"/>
      <c r="Z32" s="29"/>
      <c r="AA32" s="33"/>
      <c r="AB32" s="29"/>
      <c r="AC32" s="29"/>
      <c r="AD32" s="29"/>
      <c r="AE32" s="34"/>
      <c r="AF32" s="29"/>
      <c r="AG32" s="29"/>
      <c r="AH32" s="35">
        <f>AA13+AC13+AB13+AA32</f>
        <v>1</v>
      </c>
    </row>
    <row r="33" spans="4:34">
      <c r="D33" s="36"/>
      <c r="E33" s="31"/>
      <c r="F33" s="361"/>
      <c r="G33" s="361"/>
      <c r="H33" s="363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33"/>
      <c r="AB33" s="29"/>
      <c r="AC33" s="29"/>
      <c r="AD33" s="29"/>
      <c r="AE33" s="34"/>
      <c r="AF33" s="29"/>
      <c r="AG33" s="29"/>
      <c r="AH33" s="35">
        <f t="shared" ref="AH33:AH35" si="33">AA14+AC14+AB14+AA33</f>
        <v>0</v>
      </c>
    </row>
    <row r="34" spans="4:34">
      <c r="D34" t="s">
        <v>408</v>
      </c>
      <c r="E34" s="31"/>
      <c r="F34" s="362"/>
      <c r="G34" s="362">
        <v>1</v>
      </c>
      <c r="H34" s="363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33"/>
      <c r="AB34" s="29"/>
      <c r="AC34" s="29"/>
      <c r="AD34" s="29"/>
      <c r="AE34" s="34"/>
      <c r="AF34" s="29"/>
      <c r="AG34" s="29"/>
      <c r="AH34" s="35">
        <f t="shared" si="33"/>
        <v>1</v>
      </c>
    </row>
    <row r="35" spans="4:34">
      <c r="E35" s="31"/>
      <c r="F35" s="361"/>
      <c r="G35" s="361"/>
      <c r="H35" s="363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33"/>
      <c r="AB35" s="29"/>
      <c r="AC35" s="29"/>
      <c r="AD35" s="29"/>
      <c r="AE35" s="34"/>
      <c r="AF35" s="29"/>
      <c r="AG35" s="29"/>
      <c r="AH35" s="35">
        <f t="shared" si="33"/>
        <v>0</v>
      </c>
    </row>
    <row r="36" spans="4:34">
      <c r="E36" s="31"/>
      <c r="F36" s="361"/>
      <c r="G36" s="361"/>
      <c r="H36" s="363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33"/>
      <c r="AB36" s="29"/>
      <c r="AC36" s="29"/>
      <c r="AD36" s="29"/>
      <c r="AE36" s="34"/>
      <c r="AF36" s="29"/>
      <c r="AG36" s="29"/>
      <c r="AH36" s="35"/>
    </row>
    <row r="37" spans="4:34" ht="15.75" thickBot="1">
      <c r="D37" s="353" t="s">
        <v>21</v>
      </c>
      <c r="E37" s="354">
        <f>SUM(E25:E36)</f>
        <v>0</v>
      </c>
      <c r="F37" s="359">
        <f>SUM(F26:F36)</f>
        <v>1.06</v>
      </c>
      <c r="G37" s="359">
        <f>SUM(G26:G36)</f>
        <v>2.34</v>
      </c>
      <c r="H37" s="359">
        <f>SUM(H26:H36)</f>
        <v>4.5999999999999996</v>
      </c>
      <c r="I37" s="360">
        <f>SUM(I26:I36)</f>
        <v>0.21</v>
      </c>
      <c r="J37" s="360">
        <f>SUM(J26:J36)</f>
        <v>0.13</v>
      </c>
      <c r="K37" s="360">
        <f t="shared" ref="K37:AH37" si="34">SUM(K25:K36)</f>
        <v>0.14000000000000001</v>
      </c>
      <c r="L37" s="360">
        <f t="shared" si="34"/>
        <v>0.12</v>
      </c>
      <c r="M37" s="360">
        <f t="shared" si="34"/>
        <v>0.2</v>
      </c>
      <c r="N37" s="360">
        <f t="shared" si="34"/>
        <v>0.26</v>
      </c>
      <c r="O37" s="360">
        <f t="shared" si="34"/>
        <v>0.19000000000000003</v>
      </c>
      <c r="P37" s="360">
        <f t="shared" si="34"/>
        <v>0.16</v>
      </c>
      <c r="Q37" s="360">
        <f t="shared" si="34"/>
        <v>0.22000000000000003</v>
      </c>
      <c r="R37" s="360">
        <f>SUM(R25:R36)</f>
        <v>0.28000000000000003</v>
      </c>
      <c r="S37" s="360">
        <f t="shared" si="34"/>
        <v>0</v>
      </c>
      <c r="T37" s="360">
        <f t="shared" si="34"/>
        <v>0.09</v>
      </c>
      <c r="U37" s="360">
        <f t="shared" si="34"/>
        <v>0.16000000000000003</v>
      </c>
      <c r="V37" s="360">
        <f t="shared" si="34"/>
        <v>0.22000000000000003</v>
      </c>
      <c r="W37" s="360">
        <f t="shared" si="34"/>
        <v>0.25</v>
      </c>
      <c r="X37" s="360">
        <f t="shared" si="34"/>
        <v>1.97</v>
      </c>
      <c r="Y37" s="357">
        <f t="shared" si="34"/>
        <v>0</v>
      </c>
      <c r="Z37" s="357">
        <f>Z26+Z27+Z28+Z29+Z30+Z31</f>
        <v>0</v>
      </c>
      <c r="AA37" s="356">
        <f t="shared" si="34"/>
        <v>0</v>
      </c>
      <c r="AB37" s="357">
        <f t="shared" si="34"/>
        <v>0</v>
      </c>
      <c r="AC37" s="357">
        <f t="shared" si="34"/>
        <v>0</v>
      </c>
      <c r="AD37" s="357">
        <f t="shared" si="34"/>
        <v>0</v>
      </c>
      <c r="AE37" s="358">
        <f t="shared" si="34"/>
        <v>0</v>
      </c>
      <c r="AF37" s="354">
        <f>SUM(AF26:AF36)</f>
        <v>0</v>
      </c>
      <c r="AG37" s="354">
        <f>SUM(AG26:AG36)</f>
        <v>0</v>
      </c>
      <c r="AH37" s="354">
        <f t="shared" si="34"/>
        <v>8</v>
      </c>
    </row>
    <row r="38" spans="4:34">
      <c r="P38" s="40"/>
      <c r="Q38" s="40"/>
      <c r="R38" s="40"/>
      <c r="S38" s="40"/>
      <c r="T38" s="40"/>
      <c r="U38" s="40"/>
      <c r="V38" s="40"/>
      <c r="W38" s="40"/>
      <c r="X38" s="41"/>
      <c r="Y38" s="41"/>
      <c r="Z38" s="41"/>
    </row>
  </sheetData>
  <conditionalFormatting sqref="AH26:AH35">
    <cfRule type="cellIs" dxfId="29" priority="2" operator="equal">
      <formula>1</formula>
    </cfRule>
  </conditionalFormatting>
  <conditionalFormatting sqref="F6:Z17">
    <cfRule type="cellIs" dxfId="28" priority="1" operator="equal">
      <formula>0</formula>
    </cfRule>
  </conditionalFormatting>
  <pageMargins left="0.48" right="0.28999999999999998" top="0.75" bottom="0.75" header="0.3" footer="0.3"/>
  <pageSetup paperSize="8" scale="64" orientation="landscape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374"/>
  <sheetViews>
    <sheetView workbookViewId="0"/>
    <sheetView workbookViewId="1"/>
  </sheetViews>
  <sheetFormatPr baseColWidth="10" defaultRowHeight="15"/>
  <cols>
    <col min="1" max="1" width="11.42578125" style="251"/>
    <col min="3" max="3" width="11.42578125" style="212"/>
    <col min="4" max="4" width="49.28515625" bestFit="1" customWidth="1"/>
    <col min="5" max="5" width="28.140625" customWidth="1"/>
    <col min="7" max="7" width="13" style="327" bestFit="1" customWidth="1"/>
    <col min="10" max="10" width="22.140625" style="252" customWidth="1"/>
    <col min="11" max="11" width="24.42578125" bestFit="1" customWidth="1"/>
    <col min="12" max="12" width="19.5703125" style="254" bestFit="1" customWidth="1"/>
    <col min="13" max="13" width="13" customWidth="1"/>
  </cols>
  <sheetData>
    <row r="1" spans="1:13" ht="28.5">
      <c r="A1" s="250" t="s">
        <v>409</v>
      </c>
      <c r="B1" s="250" t="s">
        <v>209</v>
      </c>
      <c r="C1" s="323" t="s">
        <v>210</v>
      </c>
      <c r="D1" s="250" t="s">
        <v>211</v>
      </c>
      <c r="E1" s="250" t="s">
        <v>212</v>
      </c>
      <c r="F1" s="250" t="s">
        <v>213</v>
      </c>
      <c r="G1" s="324" t="s">
        <v>214</v>
      </c>
      <c r="H1" s="250" t="s">
        <v>243</v>
      </c>
      <c r="I1" s="250"/>
      <c r="J1" s="325" t="s">
        <v>217</v>
      </c>
      <c r="K1" s="250" t="s">
        <v>215</v>
      </c>
      <c r="L1" s="253" t="s">
        <v>216</v>
      </c>
      <c r="M1" s="250" t="s">
        <v>208</v>
      </c>
    </row>
    <row r="2" spans="1:13">
      <c r="B2" s="326"/>
      <c r="F2" s="30"/>
    </row>
    <row r="3" spans="1:13" ht="15.75">
      <c r="B3" s="326"/>
      <c r="G3" s="328"/>
      <c r="J3" s="329"/>
    </row>
    <row r="4" spans="1:13" ht="15.75">
      <c r="B4" s="326"/>
      <c r="G4" s="328"/>
      <c r="J4" s="329"/>
    </row>
    <row r="5" spans="1:13" ht="15.75">
      <c r="B5" s="326"/>
      <c r="J5" s="329"/>
    </row>
    <row r="6" spans="1:13">
      <c r="B6" s="326"/>
      <c r="I6" s="10"/>
    </row>
    <row r="7" spans="1:13" ht="15.75">
      <c r="B7" s="326"/>
      <c r="J7" s="329"/>
    </row>
    <row r="8" spans="1:13" ht="15.75">
      <c r="B8" s="326"/>
      <c r="J8" s="329"/>
    </row>
    <row r="9" spans="1:13">
      <c r="B9" s="326"/>
    </row>
    <row r="10" spans="1:13">
      <c r="B10" s="326"/>
    </row>
    <row r="11" spans="1:13">
      <c r="B11" s="326"/>
    </row>
    <row r="12" spans="1:13">
      <c r="B12" s="326"/>
      <c r="I12" s="10"/>
    </row>
    <row r="13" spans="1:13">
      <c r="B13" s="326"/>
    </row>
    <row r="14" spans="1:13">
      <c r="B14" s="326"/>
    </row>
    <row r="15" spans="1:13">
      <c r="B15" s="326"/>
    </row>
    <row r="16" spans="1:13">
      <c r="B16" s="326"/>
    </row>
    <row r="17" spans="2:12">
      <c r="B17" s="326"/>
    </row>
    <row r="18" spans="2:12">
      <c r="B18" s="326"/>
    </row>
    <row r="19" spans="2:12">
      <c r="B19" s="326"/>
      <c r="I19" s="10"/>
    </row>
    <row r="20" spans="2:12">
      <c r="B20" s="326"/>
      <c r="I20" s="10"/>
    </row>
    <row r="21" spans="2:12">
      <c r="B21" s="326"/>
    </row>
    <row r="22" spans="2:12">
      <c r="B22" s="326"/>
    </row>
    <row r="23" spans="2:12">
      <c r="B23" s="326"/>
    </row>
    <row r="24" spans="2:12">
      <c r="B24" s="326"/>
      <c r="I24" s="10"/>
    </row>
    <row r="25" spans="2:12">
      <c r="B25" s="326"/>
      <c r="I25" s="10"/>
    </row>
    <row r="26" spans="2:12">
      <c r="B26" s="326"/>
      <c r="I26" s="10"/>
    </row>
    <row r="27" spans="2:12">
      <c r="B27" s="326"/>
      <c r="I27" s="10"/>
    </row>
    <row r="28" spans="2:12">
      <c r="B28" s="326"/>
      <c r="I28" s="10"/>
    </row>
    <row r="29" spans="2:12">
      <c r="B29" s="326"/>
      <c r="I29" s="10"/>
    </row>
    <row r="30" spans="2:12">
      <c r="B30" s="326"/>
      <c r="I30" s="10"/>
      <c r="L30" s="255"/>
    </row>
    <row r="31" spans="2:12">
      <c r="B31" s="326"/>
      <c r="I31" s="10"/>
    </row>
    <row r="32" spans="2:12">
      <c r="B32" s="326"/>
      <c r="I32" s="10"/>
    </row>
    <row r="33" spans="2:9">
      <c r="B33" s="326"/>
      <c r="I33" s="10"/>
    </row>
    <row r="34" spans="2:9">
      <c r="B34" s="326"/>
      <c r="I34" s="10"/>
    </row>
    <row r="35" spans="2:9">
      <c r="B35" s="326"/>
      <c r="I35" s="10"/>
    </row>
    <row r="36" spans="2:9">
      <c r="B36" s="326"/>
      <c r="I36" s="10"/>
    </row>
    <row r="37" spans="2:9">
      <c r="B37" s="326"/>
      <c r="I37" s="10"/>
    </row>
    <row r="38" spans="2:9">
      <c r="B38" s="326"/>
      <c r="I38" s="10"/>
    </row>
    <row r="39" spans="2:9">
      <c r="B39" s="326"/>
      <c r="I39" s="10"/>
    </row>
    <row r="40" spans="2:9">
      <c r="B40" s="326"/>
      <c r="I40" s="10"/>
    </row>
    <row r="41" spans="2:9">
      <c r="B41" s="326"/>
      <c r="I41" s="10"/>
    </row>
    <row r="42" spans="2:9">
      <c r="B42" s="326"/>
      <c r="I42" s="10"/>
    </row>
    <row r="43" spans="2:9">
      <c r="B43" s="326"/>
      <c r="I43" s="10"/>
    </row>
    <row r="44" spans="2:9">
      <c r="B44" s="326"/>
      <c r="I44" s="10"/>
    </row>
    <row r="45" spans="2:9">
      <c r="B45" s="326"/>
      <c r="I45" s="10"/>
    </row>
    <row r="46" spans="2:9">
      <c r="B46" s="326"/>
      <c r="I46" s="10"/>
    </row>
    <row r="47" spans="2:9">
      <c r="B47" s="326"/>
      <c r="I47" s="10"/>
    </row>
    <row r="48" spans="2:9">
      <c r="B48" s="326"/>
      <c r="I48" s="10"/>
    </row>
    <row r="49" spans="2:12">
      <c r="B49" s="326"/>
      <c r="I49" s="10"/>
    </row>
    <row r="50" spans="2:12">
      <c r="B50" s="326"/>
      <c r="I50" s="10"/>
    </row>
    <row r="51" spans="2:12">
      <c r="B51" s="326"/>
      <c r="I51" s="10"/>
    </row>
    <row r="52" spans="2:12">
      <c r="B52" s="326"/>
      <c r="I52" s="10"/>
      <c r="L52" s="255"/>
    </row>
    <row r="53" spans="2:12">
      <c r="B53" s="326"/>
      <c r="I53" s="10"/>
    </row>
    <row r="54" spans="2:12">
      <c r="B54" s="326"/>
      <c r="I54" s="10"/>
    </row>
    <row r="55" spans="2:12">
      <c r="B55" s="326"/>
      <c r="I55" s="10"/>
    </row>
    <row r="56" spans="2:12">
      <c r="B56" s="326"/>
      <c r="I56" s="10"/>
    </row>
    <row r="57" spans="2:12">
      <c r="B57" s="326"/>
      <c r="I57" s="10"/>
    </row>
    <row r="58" spans="2:12">
      <c r="B58" s="326"/>
      <c r="I58" s="10"/>
    </row>
    <row r="59" spans="2:12">
      <c r="B59" s="326"/>
      <c r="I59" s="10"/>
      <c r="L59" s="255"/>
    </row>
    <row r="60" spans="2:12">
      <c r="B60" s="326"/>
      <c r="I60" s="10"/>
    </row>
    <row r="61" spans="2:12">
      <c r="B61" s="326"/>
      <c r="I61" s="10"/>
    </row>
    <row r="62" spans="2:12">
      <c r="B62" s="326"/>
      <c r="I62" s="10"/>
    </row>
    <row r="63" spans="2:12">
      <c r="B63" s="326"/>
      <c r="I63" s="10"/>
      <c r="L63" s="255"/>
    </row>
    <row r="64" spans="2:12">
      <c r="B64" s="326"/>
      <c r="F64" s="30"/>
    </row>
    <row r="65" spans="2:12">
      <c r="B65" s="326"/>
      <c r="F65" s="30"/>
    </row>
    <row r="66" spans="2:12">
      <c r="B66" s="326"/>
      <c r="I66" s="10"/>
    </row>
    <row r="67" spans="2:12">
      <c r="B67" s="326"/>
      <c r="I67" s="10"/>
    </row>
    <row r="68" spans="2:12">
      <c r="B68" s="326"/>
      <c r="I68" s="10"/>
    </row>
    <row r="69" spans="2:12">
      <c r="B69" s="326"/>
      <c r="I69" s="10"/>
    </row>
    <row r="70" spans="2:12">
      <c r="B70" s="326"/>
      <c r="I70" s="10"/>
    </row>
    <row r="71" spans="2:12">
      <c r="B71" s="326"/>
      <c r="F71" s="30"/>
    </row>
    <row r="72" spans="2:12">
      <c r="B72" s="326"/>
      <c r="I72" s="10"/>
    </row>
    <row r="73" spans="2:12">
      <c r="B73" s="326"/>
      <c r="I73" s="10"/>
    </row>
    <row r="74" spans="2:12">
      <c r="B74" s="326"/>
      <c r="I74" s="10"/>
      <c r="L74" s="255"/>
    </row>
    <row r="75" spans="2:12">
      <c r="B75" s="326"/>
      <c r="I75" s="10"/>
    </row>
    <row r="76" spans="2:12">
      <c r="B76" s="326"/>
      <c r="I76" s="10"/>
      <c r="L76" s="255"/>
    </row>
    <row r="77" spans="2:12">
      <c r="B77" s="326"/>
      <c r="I77" s="10"/>
    </row>
    <row r="78" spans="2:12">
      <c r="B78" s="326"/>
      <c r="I78" s="10"/>
    </row>
    <row r="79" spans="2:12">
      <c r="B79" s="326"/>
      <c r="I79" s="10"/>
    </row>
    <row r="80" spans="2:12">
      <c r="B80" s="326"/>
      <c r="I80" s="10"/>
    </row>
    <row r="81" spans="2:12">
      <c r="B81" s="326"/>
      <c r="I81" s="10"/>
      <c r="L81" s="255"/>
    </row>
    <row r="82" spans="2:12">
      <c r="B82" s="326"/>
      <c r="I82" s="10"/>
    </row>
    <row r="83" spans="2:12">
      <c r="B83" s="326"/>
      <c r="I83" s="10"/>
    </row>
    <row r="84" spans="2:12">
      <c r="B84" s="326"/>
      <c r="I84" s="10"/>
      <c r="L84" s="255"/>
    </row>
    <row r="85" spans="2:12">
      <c r="B85" s="326"/>
      <c r="I85" s="10"/>
    </row>
    <row r="86" spans="2:12">
      <c r="B86" s="326"/>
      <c r="I86" s="10"/>
    </row>
    <row r="87" spans="2:12">
      <c r="B87" s="326"/>
      <c r="I87" s="10"/>
    </row>
    <row r="88" spans="2:12">
      <c r="B88" s="326"/>
      <c r="I88" s="10"/>
    </row>
    <row r="89" spans="2:12">
      <c r="B89" s="326"/>
      <c r="I89" s="10"/>
    </row>
    <row r="90" spans="2:12">
      <c r="B90" s="326"/>
      <c r="F90" s="30"/>
    </row>
    <row r="91" spans="2:12">
      <c r="B91" s="326"/>
      <c r="I91" s="10"/>
    </row>
    <row r="92" spans="2:12">
      <c r="B92" s="326"/>
      <c r="I92" s="10"/>
    </row>
    <row r="93" spans="2:12">
      <c r="B93" s="326"/>
      <c r="I93" s="10"/>
    </row>
    <row r="94" spans="2:12">
      <c r="B94" s="326"/>
      <c r="I94" s="10"/>
    </row>
    <row r="95" spans="2:12">
      <c r="B95" s="326"/>
      <c r="I95" s="10"/>
    </row>
    <row r="96" spans="2:12">
      <c r="B96" s="326"/>
      <c r="I96" s="10"/>
    </row>
    <row r="97" spans="1:9">
      <c r="B97" s="326"/>
      <c r="I97" s="10"/>
    </row>
    <row r="98" spans="1:9">
      <c r="B98" s="326"/>
      <c r="I98" s="10"/>
    </row>
    <row r="99" spans="1:9">
      <c r="A99"/>
      <c r="B99" s="326"/>
    </row>
    <row r="100" spans="1:9">
      <c r="A100"/>
      <c r="B100" s="326"/>
    </row>
    <row r="101" spans="1:9">
      <c r="A101"/>
      <c r="B101" s="326"/>
    </row>
    <row r="102" spans="1:9">
      <c r="A102"/>
      <c r="B102" s="326"/>
    </row>
    <row r="103" spans="1:9">
      <c r="A103"/>
      <c r="B103" s="326"/>
    </row>
    <row r="104" spans="1:9">
      <c r="A104"/>
      <c r="B104" s="326"/>
    </row>
    <row r="105" spans="1:9">
      <c r="A105"/>
      <c r="B105" s="326"/>
    </row>
    <row r="106" spans="1:9">
      <c r="A106"/>
      <c r="B106" s="326"/>
    </row>
    <row r="107" spans="1:9">
      <c r="A107"/>
      <c r="B107" s="326"/>
    </row>
    <row r="108" spans="1:9">
      <c r="A108"/>
      <c r="B108" s="326"/>
    </row>
    <row r="109" spans="1:9">
      <c r="A109"/>
      <c r="B109" s="326"/>
    </row>
    <row r="110" spans="1:9">
      <c r="A110"/>
      <c r="B110" s="326"/>
    </row>
    <row r="111" spans="1:9">
      <c r="A111"/>
      <c r="B111" s="326"/>
    </row>
    <row r="112" spans="1:9">
      <c r="A112"/>
      <c r="B112" s="326"/>
    </row>
    <row r="113" spans="1:2">
      <c r="A113"/>
      <c r="B113" s="326"/>
    </row>
    <row r="114" spans="1:2">
      <c r="A114"/>
      <c r="B114" s="326"/>
    </row>
    <row r="115" spans="1:2">
      <c r="A115"/>
      <c r="B115" s="326"/>
    </row>
    <row r="116" spans="1:2">
      <c r="A116"/>
      <c r="B116" s="326"/>
    </row>
    <row r="117" spans="1:2">
      <c r="A117"/>
      <c r="B117" s="326"/>
    </row>
    <row r="118" spans="1:2">
      <c r="A118"/>
      <c r="B118" s="326"/>
    </row>
    <row r="119" spans="1:2">
      <c r="B119" s="326"/>
    </row>
    <row r="120" spans="1:2">
      <c r="A120"/>
      <c r="B120" s="326"/>
    </row>
    <row r="121" spans="1:2">
      <c r="A121"/>
      <c r="B121" s="326"/>
    </row>
    <row r="122" spans="1:2">
      <c r="A122"/>
      <c r="B122" s="326"/>
    </row>
    <row r="123" spans="1:2">
      <c r="A123"/>
      <c r="B123" s="326"/>
    </row>
    <row r="124" spans="1:2">
      <c r="A124"/>
      <c r="B124" s="326"/>
    </row>
    <row r="125" spans="1:2">
      <c r="A125"/>
      <c r="B125" s="326"/>
    </row>
    <row r="126" spans="1:2">
      <c r="A126"/>
      <c r="B126" s="326"/>
    </row>
    <row r="127" spans="1:2">
      <c r="A127"/>
      <c r="B127" s="326"/>
    </row>
    <row r="128" spans="1:2">
      <c r="A128"/>
      <c r="B128" s="326"/>
    </row>
    <row r="129" spans="1:2">
      <c r="A129"/>
      <c r="B129" s="326"/>
    </row>
    <row r="130" spans="1:2">
      <c r="A130"/>
      <c r="B130" s="326"/>
    </row>
    <row r="131" spans="1:2">
      <c r="A131"/>
      <c r="B131" s="326"/>
    </row>
    <row r="132" spans="1:2">
      <c r="A132"/>
      <c r="B132" s="326"/>
    </row>
    <row r="133" spans="1:2">
      <c r="A133"/>
      <c r="B133" s="326"/>
    </row>
    <row r="134" spans="1:2">
      <c r="A134"/>
      <c r="B134" s="326"/>
    </row>
    <row r="135" spans="1:2">
      <c r="A135"/>
      <c r="B135" s="326"/>
    </row>
    <row r="136" spans="1:2">
      <c r="A136"/>
      <c r="B136" s="326"/>
    </row>
    <row r="137" spans="1:2">
      <c r="A137"/>
      <c r="B137" s="326"/>
    </row>
    <row r="138" spans="1:2">
      <c r="A138"/>
      <c r="B138" s="326"/>
    </row>
    <row r="139" spans="1:2">
      <c r="A139"/>
      <c r="B139" s="326"/>
    </row>
    <row r="140" spans="1:2">
      <c r="A140"/>
      <c r="B140" s="326"/>
    </row>
    <row r="141" spans="1:2">
      <c r="A141"/>
      <c r="B141" s="326"/>
    </row>
    <row r="142" spans="1:2">
      <c r="A142"/>
      <c r="B142" s="326"/>
    </row>
    <row r="143" spans="1:2">
      <c r="A143"/>
      <c r="B143" s="326"/>
    </row>
    <row r="144" spans="1:2">
      <c r="A144"/>
      <c r="B144" s="326"/>
    </row>
    <row r="145" spans="1:2">
      <c r="A145"/>
      <c r="B145" s="326"/>
    </row>
    <row r="146" spans="1:2">
      <c r="A146"/>
      <c r="B146" s="326"/>
    </row>
    <row r="147" spans="1:2">
      <c r="A147"/>
      <c r="B147" s="326"/>
    </row>
    <row r="148" spans="1:2">
      <c r="A148"/>
      <c r="B148" s="326"/>
    </row>
    <row r="149" spans="1:2">
      <c r="A149"/>
      <c r="B149" s="326"/>
    </row>
    <row r="150" spans="1:2">
      <c r="A150"/>
      <c r="B150" s="326"/>
    </row>
    <row r="151" spans="1:2">
      <c r="A151"/>
      <c r="B151" s="326"/>
    </row>
    <row r="152" spans="1:2">
      <c r="A152"/>
      <c r="B152" s="326"/>
    </row>
    <row r="153" spans="1:2">
      <c r="A153"/>
      <c r="B153" s="326"/>
    </row>
    <row r="154" spans="1:2">
      <c r="A154"/>
      <c r="B154" s="326"/>
    </row>
    <row r="155" spans="1:2">
      <c r="A155"/>
      <c r="B155" s="326"/>
    </row>
    <row r="156" spans="1:2">
      <c r="B156" s="326"/>
    </row>
    <row r="157" spans="1:2">
      <c r="A157"/>
      <c r="B157" s="326"/>
    </row>
    <row r="158" spans="1:2">
      <c r="A158"/>
      <c r="B158" s="326"/>
    </row>
    <row r="159" spans="1:2">
      <c r="A159"/>
      <c r="B159" s="326"/>
    </row>
    <row r="160" spans="1:2">
      <c r="A160"/>
      <c r="B160" s="326"/>
    </row>
    <row r="161" spans="1:2">
      <c r="A161"/>
      <c r="B161" s="326"/>
    </row>
    <row r="162" spans="1:2">
      <c r="A162"/>
      <c r="B162" s="326"/>
    </row>
    <row r="163" spans="1:2">
      <c r="A163"/>
      <c r="B163" s="326"/>
    </row>
    <row r="164" spans="1:2">
      <c r="A164"/>
      <c r="B164" s="326"/>
    </row>
    <row r="165" spans="1:2">
      <c r="A165"/>
      <c r="B165" s="326"/>
    </row>
    <row r="166" spans="1:2">
      <c r="A166"/>
      <c r="B166" s="326"/>
    </row>
    <row r="167" spans="1:2">
      <c r="A167"/>
      <c r="B167" s="326"/>
    </row>
    <row r="168" spans="1:2">
      <c r="A168"/>
      <c r="B168" s="326"/>
    </row>
    <row r="169" spans="1:2">
      <c r="A169"/>
      <c r="B169" s="326"/>
    </row>
    <row r="170" spans="1:2">
      <c r="A170"/>
      <c r="B170" s="326"/>
    </row>
    <row r="171" spans="1:2">
      <c r="A171"/>
      <c r="B171" s="326"/>
    </row>
    <row r="172" spans="1:2">
      <c r="A172"/>
      <c r="B172" s="326"/>
    </row>
    <row r="173" spans="1:2">
      <c r="A173"/>
      <c r="B173" s="326"/>
    </row>
    <row r="174" spans="1:2">
      <c r="A174"/>
      <c r="B174" s="326"/>
    </row>
    <row r="175" spans="1:2">
      <c r="A175"/>
      <c r="B175" s="326"/>
    </row>
    <row r="176" spans="1:2">
      <c r="A176"/>
      <c r="B176" s="326"/>
    </row>
    <row r="177" spans="1:2">
      <c r="A177"/>
      <c r="B177" s="326"/>
    </row>
    <row r="178" spans="1:2">
      <c r="A178"/>
      <c r="B178" s="326"/>
    </row>
    <row r="179" spans="1:2">
      <c r="A179"/>
      <c r="B179" s="326"/>
    </row>
    <row r="180" spans="1:2">
      <c r="A180"/>
      <c r="B180" s="326"/>
    </row>
    <row r="181" spans="1:2">
      <c r="A181"/>
      <c r="B181" s="326"/>
    </row>
    <row r="182" spans="1:2">
      <c r="A182"/>
      <c r="B182" s="326"/>
    </row>
    <row r="183" spans="1:2">
      <c r="A183"/>
      <c r="B183" s="326"/>
    </row>
    <row r="184" spans="1:2">
      <c r="A184"/>
      <c r="B184" s="326"/>
    </row>
    <row r="185" spans="1:2">
      <c r="A185"/>
      <c r="B185" s="326"/>
    </row>
    <row r="186" spans="1:2">
      <c r="A186"/>
      <c r="B186" s="326"/>
    </row>
    <row r="187" spans="1:2">
      <c r="A187"/>
      <c r="B187" s="326"/>
    </row>
    <row r="188" spans="1:2">
      <c r="A188"/>
      <c r="B188" s="326"/>
    </row>
    <row r="189" spans="1:2">
      <c r="A189"/>
      <c r="B189" s="326"/>
    </row>
    <row r="190" spans="1:2">
      <c r="A190"/>
      <c r="B190" s="326"/>
    </row>
    <row r="191" spans="1:2">
      <c r="A191"/>
      <c r="B191" s="326"/>
    </row>
    <row r="192" spans="1:2">
      <c r="A192"/>
      <c r="B192" s="326"/>
    </row>
    <row r="193" spans="1:2">
      <c r="A193"/>
      <c r="B193" s="326"/>
    </row>
    <row r="194" spans="1:2">
      <c r="A194"/>
      <c r="B194" s="326"/>
    </row>
    <row r="195" spans="1:2">
      <c r="A195"/>
      <c r="B195" s="326"/>
    </row>
    <row r="196" spans="1:2">
      <c r="A196"/>
      <c r="B196" s="326"/>
    </row>
    <row r="197" spans="1:2">
      <c r="A197"/>
      <c r="B197" s="326"/>
    </row>
    <row r="198" spans="1:2">
      <c r="A198"/>
      <c r="B198" s="326"/>
    </row>
    <row r="199" spans="1:2">
      <c r="A199"/>
      <c r="B199" s="326"/>
    </row>
    <row r="200" spans="1:2">
      <c r="A200"/>
      <c r="B200" s="326"/>
    </row>
    <row r="201" spans="1:2">
      <c r="A201"/>
      <c r="B201" s="326"/>
    </row>
    <row r="202" spans="1:2">
      <c r="A202"/>
      <c r="B202" s="326"/>
    </row>
    <row r="203" spans="1:2">
      <c r="A203"/>
      <c r="B203" s="326"/>
    </row>
    <row r="204" spans="1:2">
      <c r="A204"/>
      <c r="B204" s="326"/>
    </row>
    <row r="205" spans="1:2">
      <c r="A205"/>
      <c r="B205" s="326"/>
    </row>
    <row r="206" spans="1:2">
      <c r="A206"/>
      <c r="B206" s="326"/>
    </row>
    <row r="207" spans="1:2">
      <c r="A207"/>
      <c r="B207" s="326"/>
    </row>
    <row r="208" spans="1:2">
      <c r="A208"/>
      <c r="B208" s="326"/>
    </row>
    <row r="209" spans="1:2">
      <c r="A209"/>
      <c r="B209" s="326"/>
    </row>
    <row r="210" spans="1:2">
      <c r="A210"/>
      <c r="B210" s="326"/>
    </row>
    <row r="211" spans="1:2">
      <c r="A211"/>
      <c r="B211" s="326"/>
    </row>
    <row r="212" spans="1:2">
      <c r="A212"/>
      <c r="B212" s="326"/>
    </row>
    <row r="213" spans="1:2">
      <c r="A213"/>
      <c r="B213" s="326"/>
    </row>
    <row r="214" spans="1:2">
      <c r="A214"/>
      <c r="B214" s="326"/>
    </row>
    <row r="215" spans="1:2">
      <c r="A215"/>
      <c r="B215" s="326"/>
    </row>
    <row r="216" spans="1:2">
      <c r="A216"/>
      <c r="B216" s="326"/>
    </row>
    <row r="217" spans="1:2">
      <c r="A217"/>
      <c r="B217" s="326"/>
    </row>
    <row r="218" spans="1:2">
      <c r="A218"/>
      <c r="B218" s="326"/>
    </row>
    <row r="219" spans="1:2">
      <c r="A219"/>
      <c r="B219" s="326"/>
    </row>
    <row r="220" spans="1:2">
      <c r="A220"/>
      <c r="B220" s="326"/>
    </row>
    <row r="221" spans="1:2">
      <c r="A221"/>
      <c r="B221" s="326"/>
    </row>
    <row r="222" spans="1:2">
      <c r="A222"/>
      <c r="B222" s="326"/>
    </row>
    <row r="223" spans="1:2">
      <c r="A223"/>
      <c r="B223" s="326"/>
    </row>
    <row r="224" spans="1:2">
      <c r="A224"/>
      <c r="B224" s="326"/>
    </row>
    <row r="225" spans="1:2">
      <c r="A225"/>
      <c r="B225" s="326"/>
    </row>
    <row r="226" spans="1:2">
      <c r="A226"/>
      <c r="B226" s="326"/>
    </row>
    <row r="227" spans="1:2">
      <c r="A227"/>
      <c r="B227" s="326"/>
    </row>
    <row r="228" spans="1:2">
      <c r="A228"/>
      <c r="B228" s="326"/>
    </row>
    <row r="229" spans="1:2">
      <c r="A229"/>
      <c r="B229" s="326"/>
    </row>
    <row r="230" spans="1:2">
      <c r="A230"/>
      <c r="B230" s="326"/>
    </row>
    <row r="231" spans="1:2">
      <c r="A231"/>
      <c r="B231" s="326"/>
    </row>
    <row r="232" spans="1:2">
      <c r="A232"/>
      <c r="B232" s="326"/>
    </row>
    <row r="233" spans="1:2">
      <c r="A233"/>
      <c r="B233" s="326"/>
    </row>
    <row r="234" spans="1:2">
      <c r="A234"/>
      <c r="B234" s="326"/>
    </row>
    <row r="235" spans="1:2">
      <c r="A235"/>
      <c r="B235" s="326"/>
    </row>
    <row r="236" spans="1:2">
      <c r="A236"/>
      <c r="B236" s="326"/>
    </row>
    <row r="237" spans="1:2">
      <c r="A237"/>
      <c r="B237" s="326"/>
    </row>
    <row r="238" spans="1:2">
      <c r="B238" s="326"/>
    </row>
    <row r="239" spans="1:2">
      <c r="A239"/>
      <c r="B239" s="326"/>
    </row>
    <row r="240" spans="1:2">
      <c r="A240"/>
      <c r="B240" s="326"/>
    </row>
    <row r="241" spans="1:2">
      <c r="A241"/>
      <c r="B241" s="326"/>
    </row>
    <row r="242" spans="1:2">
      <c r="A242"/>
      <c r="B242" s="326"/>
    </row>
    <row r="243" spans="1:2">
      <c r="A243"/>
      <c r="B243" s="326"/>
    </row>
    <row r="244" spans="1:2">
      <c r="A244"/>
      <c r="B244" s="326"/>
    </row>
    <row r="245" spans="1:2">
      <c r="B245" s="326"/>
    </row>
    <row r="246" spans="1:2">
      <c r="A246"/>
      <c r="B246" s="326"/>
    </row>
    <row r="247" spans="1:2">
      <c r="A247"/>
      <c r="B247" s="326"/>
    </row>
    <row r="248" spans="1:2">
      <c r="A248"/>
      <c r="B248" s="326"/>
    </row>
    <row r="249" spans="1:2">
      <c r="A249"/>
      <c r="B249" s="326"/>
    </row>
    <row r="250" spans="1:2">
      <c r="A250"/>
      <c r="B250" s="326"/>
    </row>
    <row r="251" spans="1:2">
      <c r="A251"/>
      <c r="B251" s="326"/>
    </row>
    <row r="252" spans="1:2">
      <c r="A252"/>
      <c r="B252" s="326"/>
    </row>
    <row r="253" spans="1:2">
      <c r="A253"/>
      <c r="B253" s="326"/>
    </row>
    <row r="254" spans="1:2">
      <c r="A254"/>
      <c r="B254" s="326"/>
    </row>
    <row r="255" spans="1:2">
      <c r="A255"/>
      <c r="B255" s="326"/>
    </row>
    <row r="256" spans="1:2">
      <c r="A256"/>
      <c r="B256" s="326"/>
    </row>
    <row r="257" spans="1:2">
      <c r="A257"/>
      <c r="B257" s="326"/>
    </row>
    <row r="258" spans="1:2">
      <c r="A258"/>
      <c r="B258" s="326"/>
    </row>
    <row r="259" spans="1:2">
      <c r="A259"/>
      <c r="B259" s="326"/>
    </row>
    <row r="260" spans="1:2">
      <c r="A260"/>
      <c r="B260" s="326"/>
    </row>
    <row r="261" spans="1:2">
      <c r="A261"/>
      <c r="B261" s="326"/>
    </row>
    <row r="262" spans="1:2">
      <c r="A262"/>
      <c r="B262" s="326"/>
    </row>
    <row r="263" spans="1:2">
      <c r="A263"/>
      <c r="B263" s="326"/>
    </row>
    <row r="264" spans="1:2">
      <c r="A264"/>
      <c r="B264" s="326"/>
    </row>
    <row r="265" spans="1:2">
      <c r="A265"/>
      <c r="B265" s="326"/>
    </row>
    <row r="266" spans="1:2">
      <c r="A266"/>
      <c r="B266" s="326"/>
    </row>
    <row r="267" spans="1:2">
      <c r="A267"/>
      <c r="B267" s="326"/>
    </row>
    <row r="268" spans="1:2">
      <c r="A268"/>
      <c r="B268" s="326"/>
    </row>
    <row r="269" spans="1:2">
      <c r="A269"/>
      <c r="B269" s="326"/>
    </row>
    <row r="270" spans="1:2">
      <c r="A270"/>
      <c r="B270" s="326"/>
    </row>
    <row r="271" spans="1:2">
      <c r="A271"/>
      <c r="B271" s="326"/>
    </row>
    <row r="272" spans="1:2">
      <c r="A272"/>
      <c r="B272" s="326"/>
    </row>
    <row r="273" spans="1:2">
      <c r="A273"/>
      <c r="B273" s="326"/>
    </row>
    <row r="274" spans="1:2">
      <c r="A274"/>
      <c r="B274" s="326"/>
    </row>
    <row r="275" spans="1:2">
      <c r="A275"/>
      <c r="B275" s="326"/>
    </row>
    <row r="276" spans="1:2">
      <c r="A276"/>
      <c r="B276" s="326"/>
    </row>
    <row r="277" spans="1:2">
      <c r="A277"/>
      <c r="B277" s="326"/>
    </row>
    <row r="278" spans="1:2">
      <c r="A278"/>
      <c r="B278" s="326"/>
    </row>
    <row r="279" spans="1:2">
      <c r="A279"/>
      <c r="B279" s="326"/>
    </row>
    <row r="280" spans="1:2">
      <c r="A280"/>
      <c r="B280" s="326"/>
    </row>
    <row r="281" spans="1:2">
      <c r="A281"/>
      <c r="B281" s="326"/>
    </row>
    <row r="282" spans="1:2">
      <c r="A282"/>
      <c r="B282" s="326"/>
    </row>
    <row r="283" spans="1:2">
      <c r="A283"/>
      <c r="B283" s="326"/>
    </row>
    <row r="284" spans="1:2">
      <c r="A284"/>
      <c r="B284" s="326"/>
    </row>
    <row r="285" spans="1:2">
      <c r="A285"/>
      <c r="B285" s="326"/>
    </row>
    <row r="286" spans="1:2">
      <c r="A286"/>
      <c r="B286" s="326"/>
    </row>
    <row r="287" spans="1:2">
      <c r="A287"/>
      <c r="B287" s="326"/>
    </row>
    <row r="288" spans="1:2">
      <c r="A288"/>
      <c r="B288" s="326"/>
    </row>
    <row r="289" spans="1:10">
      <c r="A289"/>
      <c r="B289" s="326"/>
    </row>
    <row r="290" spans="1:10">
      <c r="A290"/>
      <c r="B290" s="326"/>
    </row>
    <row r="291" spans="1:10">
      <c r="A291"/>
      <c r="B291" s="326"/>
    </row>
    <row r="292" spans="1:10">
      <c r="A292"/>
      <c r="B292" s="326"/>
    </row>
    <row r="293" spans="1:10">
      <c r="A293"/>
      <c r="B293" s="326"/>
    </row>
    <row r="294" spans="1:10">
      <c r="A294"/>
      <c r="B294" s="326"/>
    </row>
    <row r="295" spans="1:10">
      <c r="A295"/>
      <c r="B295" s="326"/>
      <c r="C295" s="330"/>
    </row>
    <row r="296" spans="1:10">
      <c r="A296"/>
      <c r="B296" s="326"/>
    </row>
    <row r="297" spans="1:10">
      <c r="A297"/>
      <c r="B297" s="326"/>
    </row>
    <row r="298" spans="1:10">
      <c r="A298"/>
      <c r="B298" s="326"/>
    </row>
    <row r="299" spans="1:10">
      <c r="A299"/>
      <c r="B299" s="326"/>
    </row>
    <row r="300" spans="1:10">
      <c r="A300"/>
      <c r="B300" s="326"/>
    </row>
    <row r="301" spans="1:10">
      <c r="A301"/>
      <c r="B301" s="326"/>
    </row>
    <row r="302" spans="1:10" ht="15.75">
      <c r="A302"/>
      <c r="B302" s="326"/>
      <c r="J302" s="329"/>
    </row>
    <row r="303" spans="1:10" ht="15.75">
      <c r="A303"/>
      <c r="B303" s="326"/>
      <c r="J303" s="329"/>
    </row>
    <row r="304" spans="1:10" ht="15.75">
      <c r="A304"/>
      <c r="B304" s="326"/>
      <c r="J304" s="329"/>
    </row>
    <row r="305" spans="1:12" ht="15.75">
      <c r="A305"/>
      <c r="B305" s="326"/>
      <c r="J305" s="329"/>
    </row>
    <row r="306" spans="1:12" ht="15.75">
      <c r="A306"/>
      <c r="B306" s="326"/>
      <c r="J306" s="329"/>
    </row>
    <row r="307" spans="1:12" ht="15.75">
      <c r="A307"/>
      <c r="B307" s="326"/>
      <c r="J307" s="329"/>
    </row>
    <row r="308" spans="1:12" ht="15.75">
      <c r="A308"/>
      <c r="B308" s="326"/>
      <c r="J308" s="329"/>
    </row>
    <row r="309" spans="1:12" ht="15.75">
      <c r="A309"/>
      <c r="B309" s="326"/>
      <c r="J309" s="329"/>
    </row>
    <row r="310" spans="1:12" ht="15.75">
      <c r="A310"/>
      <c r="B310" s="326"/>
      <c r="J310" s="329"/>
    </row>
    <row r="311" spans="1:12" ht="15.75">
      <c r="A311"/>
      <c r="B311" s="326"/>
      <c r="J311" s="329"/>
    </row>
    <row r="312" spans="1:12" ht="15.75">
      <c r="A312"/>
      <c r="B312" s="326"/>
      <c r="J312" s="329"/>
    </row>
    <row r="313" spans="1:12" ht="15.75">
      <c r="A313"/>
      <c r="B313" s="326"/>
      <c r="J313" s="329"/>
    </row>
    <row r="314" spans="1:12" ht="15.75">
      <c r="A314"/>
      <c r="B314" s="326"/>
      <c r="J314" s="329"/>
    </row>
    <row r="315" spans="1:12" ht="15.75">
      <c r="A315"/>
      <c r="B315" s="326"/>
      <c r="J315" s="329"/>
      <c r="L315" s="322"/>
    </row>
    <row r="316" spans="1:12" ht="15.75">
      <c r="A316"/>
      <c r="B316" s="326"/>
      <c r="J316" s="329"/>
      <c r="L316" s="322"/>
    </row>
    <row r="317" spans="1:12" ht="15.75">
      <c r="A317"/>
      <c r="B317" s="326"/>
      <c r="J317" s="329"/>
    </row>
    <row r="318" spans="1:12" ht="15.75">
      <c r="A318"/>
      <c r="B318" s="326"/>
      <c r="J318" s="329"/>
    </row>
    <row r="319" spans="1:12" ht="15.75">
      <c r="A319"/>
      <c r="B319" s="326"/>
      <c r="J319" s="329"/>
    </row>
    <row r="320" spans="1:12" ht="15.75">
      <c r="A320"/>
      <c r="B320" s="326"/>
      <c r="J320" s="329"/>
      <c r="L320" s="322"/>
    </row>
    <row r="321" spans="1:12" ht="15.75">
      <c r="A321"/>
      <c r="B321" s="326"/>
      <c r="J321" s="329"/>
    </row>
    <row r="322" spans="1:12" ht="15.75">
      <c r="A322"/>
      <c r="B322" s="326"/>
      <c r="J322" s="329"/>
    </row>
    <row r="323" spans="1:12" ht="15.75">
      <c r="A323"/>
      <c r="B323" s="326"/>
      <c r="J323" s="329"/>
    </row>
    <row r="324" spans="1:12" ht="15.75">
      <c r="A324"/>
      <c r="B324" s="326"/>
      <c r="J324" s="329"/>
    </row>
    <row r="325" spans="1:12" ht="15.75">
      <c r="A325"/>
      <c r="B325" s="326"/>
      <c r="J325" s="329"/>
      <c r="L325" s="322"/>
    </row>
    <row r="326" spans="1:12" ht="15.75">
      <c r="A326"/>
      <c r="B326" s="326"/>
      <c r="J326" s="329"/>
    </row>
    <row r="327" spans="1:12" ht="15.75">
      <c r="A327"/>
      <c r="B327" s="326"/>
      <c r="J327" s="329"/>
    </row>
    <row r="328" spans="1:12" ht="15.75">
      <c r="A328"/>
      <c r="B328" s="326"/>
      <c r="J328" s="329"/>
    </row>
    <row r="329" spans="1:12" ht="15.75">
      <c r="A329"/>
      <c r="B329" s="326"/>
      <c r="J329" s="329"/>
    </row>
    <row r="330" spans="1:12" ht="15.75">
      <c r="A330"/>
      <c r="B330" s="326"/>
      <c r="J330" s="329"/>
    </row>
    <row r="331" spans="1:12" ht="15.75">
      <c r="A331"/>
      <c r="B331" s="326"/>
      <c r="J331" s="329"/>
    </row>
    <row r="332" spans="1:12" ht="15.75">
      <c r="A332"/>
      <c r="B332" s="326"/>
      <c r="J332" s="329"/>
    </row>
    <row r="333" spans="1:12" ht="15.75">
      <c r="A333"/>
      <c r="B333" s="326"/>
      <c r="J333" s="329"/>
    </row>
    <row r="334" spans="1:12" ht="15.75">
      <c r="A334"/>
      <c r="B334" s="326"/>
      <c r="J334" s="329"/>
    </row>
    <row r="335" spans="1:12" ht="15.75">
      <c r="A335"/>
      <c r="B335" s="326"/>
      <c r="G335" s="328"/>
      <c r="J335" s="329"/>
    </row>
    <row r="336" spans="1:12" ht="15.75">
      <c r="A336"/>
      <c r="B336" s="326"/>
      <c r="J336" s="329"/>
      <c r="L336" s="322"/>
    </row>
    <row r="337" spans="1:12" ht="15.75">
      <c r="A337"/>
      <c r="B337" s="326"/>
      <c r="J337" s="329"/>
      <c r="L337" s="322"/>
    </row>
    <row r="338" spans="1:12" ht="15.75">
      <c r="A338"/>
      <c r="B338" s="326"/>
      <c r="J338" s="329"/>
    </row>
    <row r="339" spans="1:12" ht="15.75">
      <c r="A339"/>
      <c r="B339" s="326"/>
      <c r="J339" s="329"/>
    </row>
    <row r="340" spans="1:12" ht="15.75">
      <c r="A340"/>
      <c r="B340" s="326"/>
      <c r="J340" s="329"/>
    </row>
    <row r="341" spans="1:12" ht="15.75">
      <c r="A341"/>
      <c r="B341" s="326"/>
      <c r="J341" s="329"/>
    </row>
    <row r="342" spans="1:12" ht="15.75">
      <c r="A342"/>
      <c r="B342" s="326"/>
      <c r="J342" s="329"/>
    </row>
    <row r="343" spans="1:12" ht="15.75">
      <c r="A343"/>
      <c r="B343" s="326"/>
      <c r="J343" s="329"/>
      <c r="L343" s="322"/>
    </row>
    <row r="344" spans="1:12" ht="15.75">
      <c r="A344"/>
      <c r="B344" s="326"/>
      <c r="J344" s="329"/>
    </row>
    <row r="345" spans="1:12" ht="15.75">
      <c r="A345"/>
      <c r="B345" s="326"/>
      <c r="J345" s="329"/>
    </row>
    <row r="346" spans="1:12" ht="15.75">
      <c r="A346"/>
      <c r="B346" s="326"/>
      <c r="J346" s="329"/>
    </row>
    <row r="347" spans="1:12" ht="15.75">
      <c r="A347"/>
      <c r="B347" s="326"/>
      <c r="J347" s="329"/>
    </row>
    <row r="348" spans="1:12" ht="15.75">
      <c r="A348"/>
      <c r="B348" s="326"/>
      <c r="J348" s="329"/>
    </row>
    <row r="349" spans="1:12" ht="15.75">
      <c r="A349"/>
      <c r="B349" s="326"/>
      <c r="J349" s="329"/>
    </row>
    <row r="350" spans="1:12" ht="15.75">
      <c r="A350"/>
      <c r="B350" s="326"/>
      <c r="J350" s="329"/>
    </row>
    <row r="351" spans="1:12" ht="15.75">
      <c r="A351"/>
      <c r="B351" s="326"/>
      <c r="J351" s="329"/>
    </row>
    <row r="352" spans="1:12" ht="15.75">
      <c r="A352"/>
      <c r="B352" s="326"/>
      <c r="J352" s="329"/>
    </row>
    <row r="353" spans="1:12" ht="15.75">
      <c r="A353"/>
      <c r="B353" s="326"/>
      <c r="J353" s="329"/>
    </row>
    <row r="354" spans="1:12" ht="15.75">
      <c r="A354"/>
      <c r="B354" s="326"/>
      <c r="J354" s="329"/>
    </row>
    <row r="355" spans="1:12" ht="15.75">
      <c r="A355"/>
      <c r="B355" s="326"/>
      <c r="J355" s="329"/>
    </row>
    <row r="356" spans="1:12" ht="15.75">
      <c r="A356"/>
      <c r="B356" s="326"/>
      <c r="J356" s="329"/>
    </row>
    <row r="357" spans="1:12" ht="15.75">
      <c r="A357"/>
      <c r="B357" s="326"/>
      <c r="J357" s="329"/>
    </row>
    <row r="358" spans="1:12" ht="15.75">
      <c r="A358"/>
      <c r="B358" s="326"/>
      <c r="J358" s="329"/>
    </row>
    <row r="359" spans="1:12" ht="15.75">
      <c r="A359"/>
      <c r="B359" s="326"/>
      <c r="J359" s="329"/>
    </row>
    <row r="360" spans="1:12" ht="15.75">
      <c r="A360"/>
      <c r="B360" s="326"/>
      <c r="J360" s="329"/>
      <c r="L360" s="322"/>
    </row>
    <row r="361" spans="1:12" ht="15.75">
      <c r="A361"/>
      <c r="B361" s="326"/>
      <c r="J361" s="329"/>
    </row>
    <row r="362" spans="1:12" ht="15.75">
      <c r="A362"/>
      <c r="B362" s="326"/>
      <c r="J362" s="329"/>
    </row>
    <row r="363" spans="1:12" ht="15.75">
      <c r="A363"/>
      <c r="B363" s="326"/>
      <c r="J363" s="329"/>
    </row>
    <row r="364" spans="1:12" ht="15.75">
      <c r="A364"/>
      <c r="B364" s="326"/>
      <c r="J364" s="329"/>
    </row>
    <row r="365" spans="1:12" ht="15.75">
      <c r="A365"/>
      <c r="B365" s="326"/>
      <c r="J365" s="329"/>
    </row>
    <row r="366" spans="1:12" ht="15.75">
      <c r="A366"/>
      <c r="B366" s="326"/>
      <c r="J366" s="329"/>
    </row>
    <row r="367" spans="1:12" ht="15.75">
      <c r="A367"/>
      <c r="B367" s="326"/>
      <c r="J367" s="329"/>
    </row>
    <row r="368" spans="1:12" ht="15.75">
      <c r="A368"/>
      <c r="B368" s="326"/>
      <c r="J368" s="329"/>
    </row>
    <row r="369" spans="1:12" ht="15.75">
      <c r="A369"/>
      <c r="B369" s="326"/>
      <c r="J369" s="329"/>
    </row>
    <row r="370" spans="1:12" ht="15.75">
      <c r="A370"/>
      <c r="B370" s="326"/>
      <c r="J370" s="329"/>
    </row>
    <row r="371" spans="1:12" ht="15.75">
      <c r="A371"/>
      <c r="B371" s="326"/>
      <c r="J371" s="329"/>
    </row>
    <row r="372" spans="1:12" ht="15.75">
      <c r="A372"/>
      <c r="B372" s="326"/>
      <c r="J372" s="329"/>
    </row>
    <row r="373" spans="1:12" ht="15.75">
      <c r="A373"/>
      <c r="B373" s="326"/>
      <c r="J373" s="329"/>
      <c r="L373" s="322"/>
    </row>
    <row r="374" spans="1:12">
      <c r="B374" s="326"/>
    </row>
  </sheetData>
  <autoFilter ref="J1:J374" xr:uid="{00000000-0009-0000-0000-000001000000}"/>
  <sortState ref="A2:M374">
    <sortCondition ref="A1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4:O127"/>
  <sheetViews>
    <sheetView workbookViewId="0"/>
    <sheetView workbookViewId="1"/>
  </sheetViews>
  <sheetFormatPr baseColWidth="10" defaultRowHeight="15"/>
  <cols>
    <col min="1" max="2" width="10" customWidth="1"/>
    <col min="3" max="3" width="54.7109375" customWidth="1"/>
    <col min="4" max="4" width="6.5703125" bestFit="1" customWidth="1"/>
    <col min="5" max="5" width="20" style="464" customWidth="1"/>
    <col min="6" max="6" width="20" style="348" customWidth="1"/>
    <col min="7" max="7" width="8.7109375" customWidth="1"/>
    <col min="8" max="9" width="7.85546875" customWidth="1"/>
    <col min="10" max="10" width="24.140625" customWidth="1"/>
    <col min="11" max="11" width="0" hidden="1" customWidth="1"/>
    <col min="12" max="12" width="18" style="459" customWidth="1"/>
    <col min="13" max="13" width="12.85546875" bestFit="1" customWidth="1"/>
    <col min="15" max="15" width="12.85546875" bestFit="1" customWidth="1"/>
    <col min="17" max="17" width="11.85546875" bestFit="1" customWidth="1"/>
  </cols>
  <sheetData>
    <row r="4" spans="1:12" ht="15.75" thickBot="1"/>
    <row r="5" spans="1:12" ht="32.25" thickBot="1">
      <c r="A5" s="1" t="s">
        <v>0</v>
      </c>
      <c r="B5" s="347" t="s">
        <v>28</v>
      </c>
      <c r="C5" s="347" t="s">
        <v>285</v>
      </c>
      <c r="D5" s="346"/>
      <c r="E5" s="465" t="s">
        <v>286</v>
      </c>
      <c r="F5" s="368"/>
      <c r="H5" s="3" t="s">
        <v>0</v>
      </c>
      <c r="I5" s="4"/>
      <c r="J5" s="4" t="s">
        <v>2</v>
      </c>
      <c r="K5" s="2"/>
      <c r="L5" s="460" t="s">
        <v>302</v>
      </c>
    </row>
    <row r="6" spans="1:12" ht="15.75" thickBot="1">
      <c r="A6" s="433"/>
      <c r="B6" s="434"/>
      <c r="C6" s="435"/>
      <c r="D6" s="436"/>
      <c r="E6" s="466"/>
      <c r="F6" s="369"/>
      <c r="H6" s="485"/>
      <c r="I6" s="485"/>
      <c r="J6" s="486"/>
      <c r="K6" s="338"/>
      <c r="L6" s="487"/>
    </row>
    <row r="7" spans="1:12">
      <c r="A7" s="437"/>
      <c r="B7" s="5"/>
      <c r="C7" s="6"/>
      <c r="D7" s="7"/>
      <c r="E7" s="467"/>
      <c r="F7" s="369"/>
      <c r="H7" s="477"/>
      <c r="I7" s="527"/>
      <c r="J7" s="478"/>
      <c r="K7" s="435"/>
      <c r="L7" s="479"/>
    </row>
    <row r="8" spans="1:12">
      <c r="A8" s="437"/>
      <c r="B8" s="5"/>
      <c r="C8" s="6"/>
      <c r="D8" s="7"/>
      <c r="E8" s="467"/>
      <c r="F8" s="369"/>
      <c r="H8" s="480"/>
      <c r="I8" s="528"/>
      <c r="J8" s="8"/>
      <c r="K8" s="6"/>
      <c r="L8" s="481"/>
    </row>
    <row r="9" spans="1:12">
      <c r="A9" s="437"/>
      <c r="B9" s="5"/>
      <c r="C9" s="6"/>
      <c r="D9" s="7"/>
      <c r="E9" s="467"/>
      <c r="F9" s="369"/>
      <c r="H9" s="480"/>
      <c r="I9" s="528"/>
      <c r="J9" s="8"/>
      <c r="K9" s="6"/>
      <c r="L9" s="481"/>
    </row>
    <row r="10" spans="1:12">
      <c r="A10" s="437"/>
      <c r="B10" s="5"/>
      <c r="C10" s="6"/>
      <c r="D10" s="7"/>
      <c r="E10" s="467"/>
      <c r="F10" s="369"/>
      <c r="H10" s="480"/>
      <c r="I10" s="528"/>
      <c r="J10" s="8"/>
      <c r="K10" s="6"/>
      <c r="L10" s="481"/>
    </row>
    <row r="11" spans="1:12">
      <c r="A11" s="437"/>
      <c r="B11" s="5"/>
      <c r="C11" s="6"/>
      <c r="D11" s="7"/>
      <c r="E11" s="467"/>
      <c r="F11" s="369"/>
      <c r="H11" s="480"/>
      <c r="I11" s="528"/>
      <c r="J11" s="8"/>
      <c r="K11" s="6"/>
      <c r="L11" s="481"/>
    </row>
    <row r="12" spans="1:12">
      <c r="A12" s="437"/>
      <c r="B12" s="5"/>
      <c r="C12" s="6"/>
      <c r="D12" s="7"/>
      <c r="E12" s="467"/>
      <c r="F12" s="369"/>
      <c r="H12" s="480"/>
      <c r="I12" s="528"/>
      <c r="J12" s="8"/>
      <c r="K12" s="6"/>
      <c r="L12" s="481"/>
    </row>
    <row r="13" spans="1:12">
      <c r="A13" s="437"/>
      <c r="B13" s="5"/>
      <c r="C13" s="6"/>
      <c r="D13" s="7"/>
      <c r="E13" s="467"/>
      <c r="F13" s="369"/>
      <c r="H13" s="480"/>
      <c r="I13" s="528"/>
      <c r="J13" s="8"/>
      <c r="K13" s="6"/>
      <c r="L13" s="481"/>
    </row>
    <row r="14" spans="1:12">
      <c r="A14" s="437"/>
      <c r="B14" s="5"/>
      <c r="C14" s="6"/>
      <c r="D14" s="7"/>
      <c r="E14" s="467"/>
      <c r="F14" s="369"/>
      <c r="H14" s="480"/>
      <c r="I14" s="528"/>
      <c r="J14" s="8"/>
      <c r="K14" s="6"/>
      <c r="L14" s="481"/>
    </row>
    <row r="15" spans="1:12">
      <c r="A15" s="437"/>
      <c r="B15" s="5"/>
      <c r="C15" s="6"/>
      <c r="D15" s="7"/>
      <c r="E15" s="467"/>
      <c r="F15" s="369"/>
      <c r="H15" s="480"/>
      <c r="I15" s="528"/>
      <c r="J15" s="8"/>
      <c r="K15" s="6"/>
      <c r="L15" s="481"/>
    </row>
    <row r="16" spans="1:12">
      <c r="A16" s="437"/>
      <c r="B16" s="5"/>
      <c r="C16" s="6"/>
      <c r="D16" s="7"/>
      <c r="E16" s="467"/>
      <c r="F16" s="369"/>
      <c r="H16" s="480"/>
      <c r="I16" s="528"/>
      <c r="J16" s="8"/>
      <c r="K16" s="6"/>
      <c r="L16" s="481"/>
    </row>
    <row r="17" spans="1:12">
      <c r="A17" s="437"/>
      <c r="B17" s="5"/>
      <c r="C17" s="6"/>
      <c r="D17" s="7"/>
      <c r="E17" s="467"/>
      <c r="F17" s="369"/>
      <c r="H17" s="480"/>
      <c r="I17" s="528"/>
      <c r="J17" s="8"/>
      <c r="K17" s="6"/>
      <c r="L17" s="481"/>
    </row>
    <row r="18" spans="1:12">
      <c r="A18" s="437"/>
      <c r="B18" s="5"/>
      <c r="C18" s="6"/>
      <c r="D18" s="7"/>
      <c r="E18" s="467"/>
      <c r="F18" s="369"/>
      <c r="H18" s="480"/>
      <c r="I18" s="528"/>
      <c r="J18" s="8"/>
      <c r="K18" s="6"/>
      <c r="L18" s="481"/>
    </row>
    <row r="19" spans="1:12">
      <c r="A19" s="437"/>
      <c r="B19" s="5"/>
      <c r="C19" s="6"/>
      <c r="D19" s="7"/>
      <c r="E19" s="467"/>
      <c r="F19" s="369"/>
      <c r="H19" s="480"/>
      <c r="I19" s="528"/>
      <c r="J19" s="8"/>
      <c r="K19" s="6"/>
      <c r="L19" s="481"/>
    </row>
    <row r="20" spans="1:12">
      <c r="A20" s="437"/>
      <c r="B20" s="5"/>
      <c r="C20" s="6"/>
      <c r="D20" s="7"/>
      <c r="E20" s="467"/>
      <c r="F20" s="369"/>
      <c r="H20" s="480"/>
      <c r="I20" s="528"/>
      <c r="J20" s="8"/>
      <c r="K20" s="6"/>
      <c r="L20" s="481"/>
    </row>
    <row r="21" spans="1:12">
      <c r="A21" s="437"/>
      <c r="B21" s="5"/>
      <c r="C21" s="6"/>
      <c r="D21" s="7"/>
      <c r="E21" s="467"/>
      <c r="F21" s="369"/>
      <c r="H21" s="480"/>
      <c r="I21" s="528"/>
      <c r="J21" s="8"/>
      <c r="K21" s="6"/>
      <c r="L21" s="481"/>
    </row>
    <row r="22" spans="1:12">
      <c r="A22" s="437"/>
      <c r="B22" s="5"/>
      <c r="C22" s="6"/>
      <c r="D22" s="7"/>
      <c r="E22" s="467"/>
      <c r="F22" s="369"/>
      <c r="H22" s="480"/>
      <c r="I22" s="528"/>
      <c r="J22" s="8"/>
      <c r="K22" s="6"/>
      <c r="L22" s="481"/>
    </row>
    <row r="23" spans="1:12">
      <c r="A23" s="437"/>
      <c r="B23" s="5"/>
      <c r="C23" s="6"/>
      <c r="D23" s="7"/>
      <c r="E23" s="467"/>
      <c r="F23" s="369"/>
      <c r="H23" s="480"/>
      <c r="I23" s="528"/>
      <c r="J23" s="8"/>
      <c r="K23" s="6"/>
      <c r="L23" s="481"/>
    </row>
    <row r="24" spans="1:12">
      <c r="A24" s="437"/>
      <c r="B24" s="5"/>
      <c r="C24" s="6"/>
      <c r="D24" s="7"/>
      <c r="E24" s="467"/>
      <c r="F24" s="369"/>
      <c r="H24" s="480"/>
      <c r="I24" s="528"/>
      <c r="J24" s="8"/>
      <c r="K24" s="6"/>
      <c r="L24" s="481"/>
    </row>
    <row r="25" spans="1:12">
      <c r="A25" s="437"/>
      <c r="B25" s="5"/>
      <c r="C25" s="6"/>
      <c r="D25" s="7"/>
      <c r="E25" s="467"/>
      <c r="F25" s="369"/>
      <c r="H25" s="480"/>
      <c r="I25" s="528"/>
      <c r="J25" s="8"/>
      <c r="K25" s="6"/>
      <c r="L25" s="481"/>
    </row>
    <row r="26" spans="1:12" ht="15.75" thickBot="1">
      <c r="A26" s="437"/>
      <c r="B26" s="5"/>
      <c r="C26" s="6"/>
      <c r="D26" s="7"/>
      <c r="E26" s="467"/>
      <c r="F26" s="369"/>
      <c r="H26" s="482"/>
      <c r="I26" s="529"/>
      <c r="J26" s="483"/>
      <c r="K26" s="76"/>
      <c r="L26" s="484"/>
    </row>
    <row r="27" spans="1:12">
      <c r="A27" s="437"/>
      <c r="B27" s="5"/>
      <c r="C27" s="6"/>
      <c r="D27" s="7"/>
      <c r="E27" s="467"/>
      <c r="F27" s="369"/>
      <c r="G27" s="10"/>
      <c r="H27" s="10"/>
      <c r="I27" s="10"/>
      <c r="J27" s="10"/>
      <c r="K27" s="10"/>
      <c r="L27" s="10"/>
    </row>
    <row r="28" spans="1:12">
      <c r="A28" s="437"/>
      <c r="B28" s="5"/>
      <c r="C28" s="6"/>
      <c r="D28" s="7"/>
      <c r="E28" s="467"/>
      <c r="F28" s="369"/>
      <c r="G28" s="10"/>
      <c r="H28" s="10"/>
      <c r="I28" s="10"/>
      <c r="J28" s="10"/>
      <c r="K28" s="10"/>
      <c r="L28" s="10"/>
    </row>
    <row r="29" spans="1:12">
      <c r="A29" s="437"/>
      <c r="B29" s="5"/>
      <c r="C29" s="6"/>
      <c r="D29" s="7"/>
      <c r="E29" s="467"/>
      <c r="F29" s="369"/>
      <c r="G29" s="10"/>
      <c r="H29" s="10"/>
      <c r="I29" s="10"/>
      <c r="J29" s="10"/>
      <c r="K29" s="10"/>
      <c r="L29" s="10"/>
    </row>
    <row r="30" spans="1:12">
      <c r="A30" s="437"/>
      <c r="B30" s="5"/>
      <c r="C30" s="6"/>
      <c r="D30" s="7"/>
      <c r="E30" s="467"/>
      <c r="F30" s="369"/>
      <c r="G30" s="10"/>
      <c r="H30" s="10"/>
      <c r="I30" s="10"/>
      <c r="J30" s="10"/>
      <c r="K30" s="10"/>
      <c r="L30" s="10"/>
    </row>
    <row r="31" spans="1:12">
      <c r="A31" s="437"/>
      <c r="B31" s="5"/>
      <c r="C31" s="6"/>
      <c r="D31" s="7"/>
      <c r="E31" s="467"/>
      <c r="F31" s="369"/>
      <c r="L31"/>
    </row>
    <row r="32" spans="1:12">
      <c r="A32" s="437"/>
      <c r="B32" s="5"/>
      <c r="C32" s="6"/>
      <c r="D32" s="7"/>
      <c r="E32" s="467"/>
      <c r="F32" s="369"/>
      <c r="G32" s="10"/>
      <c r="H32" s="10"/>
      <c r="I32" s="10"/>
      <c r="J32" s="10"/>
      <c r="K32" s="10"/>
      <c r="L32" s="10"/>
    </row>
    <row r="33" spans="1:15">
      <c r="A33" s="437"/>
      <c r="B33" s="5"/>
      <c r="C33" s="6"/>
      <c r="D33" s="7"/>
      <c r="E33" s="467"/>
      <c r="F33" s="369"/>
      <c r="L33"/>
    </row>
    <row r="34" spans="1:15">
      <c r="A34" s="437"/>
      <c r="B34" s="5"/>
      <c r="C34" s="6"/>
      <c r="D34" s="7"/>
      <c r="E34" s="467"/>
      <c r="F34" s="369"/>
      <c r="L34"/>
    </row>
    <row r="35" spans="1:15">
      <c r="A35" s="437"/>
      <c r="B35" s="5"/>
      <c r="C35" s="6"/>
      <c r="D35" s="7"/>
      <c r="E35" s="467"/>
      <c r="F35" s="369"/>
      <c r="L35"/>
    </row>
    <row r="36" spans="1:15">
      <c r="A36" s="437"/>
      <c r="B36" s="5"/>
      <c r="C36" s="6"/>
      <c r="D36" s="7"/>
      <c r="E36" s="467"/>
      <c r="F36" s="369"/>
      <c r="G36" s="11"/>
      <c r="H36" s="11"/>
      <c r="I36" s="11"/>
      <c r="J36" s="11"/>
      <c r="K36" s="11"/>
      <c r="L36" s="11"/>
    </row>
    <row r="37" spans="1:15">
      <c r="A37" s="437"/>
      <c r="B37" s="5"/>
      <c r="C37" s="6"/>
      <c r="D37" s="7"/>
      <c r="E37" s="467"/>
      <c r="F37" s="369"/>
      <c r="L37"/>
    </row>
    <row r="38" spans="1:15">
      <c r="A38" s="437"/>
      <c r="B38" s="5"/>
      <c r="C38" s="6"/>
      <c r="D38" s="7"/>
      <c r="E38" s="467"/>
      <c r="F38" s="369"/>
      <c r="G38" s="11"/>
      <c r="H38" s="11"/>
      <c r="I38" s="11"/>
      <c r="J38" s="11"/>
      <c r="K38" s="11"/>
      <c r="L38" s="11"/>
    </row>
    <row r="39" spans="1:15">
      <c r="A39" s="437"/>
      <c r="B39" s="5"/>
      <c r="C39" s="6"/>
      <c r="D39" s="7"/>
      <c r="E39" s="467"/>
      <c r="F39" s="369"/>
      <c r="L39"/>
    </row>
    <row r="40" spans="1:15">
      <c r="A40" s="437"/>
      <c r="B40" s="5"/>
      <c r="C40" s="6"/>
      <c r="D40" s="7"/>
      <c r="E40" s="467"/>
      <c r="F40" s="369"/>
      <c r="L40"/>
    </row>
    <row r="41" spans="1:15" ht="15.75" thickBot="1">
      <c r="A41" s="438"/>
      <c r="B41" s="439"/>
      <c r="C41" s="76"/>
      <c r="D41" s="440"/>
      <c r="E41" s="468"/>
      <c r="F41" s="369"/>
      <c r="L41"/>
    </row>
    <row r="42" spans="1:15" ht="15.75" thickBot="1">
      <c r="A42" s="441"/>
      <c r="B42" s="441"/>
      <c r="C42" s="442"/>
      <c r="D42" s="443"/>
      <c r="E42" s="469"/>
      <c r="F42" s="369"/>
      <c r="L42"/>
    </row>
    <row r="43" spans="1:15">
      <c r="A43" s="444"/>
      <c r="B43" s="445"/>
      <c r="C43" s="446"/>
      <c r="D43" s="447"/>
      <c r="E43" s="470"/>
      <c r="F43" s="369"/>
      <c r="L43"/>
    </row>
    <row r="44" spans="1:15">
      <c r="A44" s="448"/>
      <c r="B44" s="449"/>
      <c r="C44" s="450"/>
      <c r="D44" s="451"/>
      <c r="E44" s="471"/>
      <c r="F44" s="369"/>
      <c r="L44"/>
    </row>
    <row r="45" spans="1:15">
      <c r="A45" s="448"/>
      <c r="B45" s="449"/>
      <c r="C45" s="450"/>
      <c r="D45" s="451"/>
      <c r="E45" s="471"/>
      <c r="F45" s="369"/>
      <c r="L45"/>
    </row>
    <row r="46" spans="1:15">
      <c r="A46" s="448"/>
      <c r="B46" s="449"/>
      <c r="C46" s="450"/>
      <c r="D46" s="451"/>
      <c r="E46" s="471"/>
      <c r="F46" s="369"/>
      <c r="L46"/>
      <c r="O46">
        <v>0</v>
      </c>
    </row>
    <row r="47" spans="1:15">
      <c r="A47" s="448"/>
      <c r="B47" s="449"/>
      <c r="C47" s="450"/>
      <c r="D47" s="451"/>
      <c r="E47" s="471"/>
      <c r="F47" s="369"/>
      <c r="L47"/>
    </row>
    <row r="48" spans="1:15" ht="18.75" customHeight="1" thickBot="1">
      <c r="A48" s="448"/>
      <c r="B48" s="449"/>
      <c r="C48" s="450"/>
      <c r="D48" s="451"/>
      <c r="E48" s="471"/>
      <c r="F48" s="369"/>
      <c r="L48"/>
    </row>
    <row r="49" spans="1:12" ht="18.75" customHeight="1" thickBot="1">
      <c r="A49" s="448"/>
      <c r="B49" s="449"/>
      <c r="C49" s="450"/>
      <c r="D49" s="451"/>
      <c r="E49" s="471"/>
      <c r="F49" s="369"/>
      <c r="J49" s="13" t="s">
        <v>4</v>
      </c>
      <c r="K49" s="14"/>
      <c r="L49" s="461">
        <f>L48-E80</f>
        <v>0</v>
      </c>
    </row>
    <row r="50" spans="1:12" ht="15.75">
      <c r="A50" s="448"/>
      <c r="B50" s="449"/>
      <c r="C50" s="450"/>
      <c r="D50" s="451"/>
      <c r="E50" s="471"/>
      <c r="F50" s="369"/>
      <c r="J50" s="15"/>
      <c r="L50" s="461"/>
    </row>
    <row r="51" spans="1:12">
      <c r="A51" s="448"/>
      <c r="B51" s="449"/>
      <c r="C51" s="450"/>
      <c r="D51" s="451"/>
      <c r="E51" s="471"/>
      <c r="F51" s="369"/>
    </row>
    <row r="52" spans="1:12">
      <c r="A52" s="448"/>
      <c r="B52" s="449"/>
      <c r="C52" s="450"/>
      <c r="D52" s="451"/>
      <c r="E52" s="471"/>
      <c r="F52" s="369"/>
      <c r="L52" s="459">
        <f>+L48-L33-L34-L35-L36-L37</f>
        <v>0</v>
      </c>
    </row>
    <row r="53" spans="1:12" ht="15.75" thickBot="1">
      <c r="A53" s="452"/>
      <c r="B53" s="453"/>
      <c r="C53" s="454"/>
      <c r="D53" s="455"/>
      <c r="E53" s="472"/>
      <c r="F53" s="369"/>
    </row>
    <row r="54" spans="1:12" ht="15.75" thickBot="1">
      <c r="A54" s="441"/>
      <c r="B54" s="441"/>
      <c r="C54" s="442"/>
      <c r="D54" s="443"/>
      <c r="E54" s="469"/>
      <c r="F54" s="369"/>
    </row>
    <row r="55" spans="1:12">
      <c r="A55" s="433"/>
      <c r="B55" s="434"/>
      <c r="C55" s="435"/>
      <c r="D55" s="436"/>
      <c r="E55" s="466"/>
      <c r="F55" s="369"/>
    </row>
    <row r="56" spans="1:12">
      <c r="A56" s="437"/>
      <c r="B56" s="5"/>
      <c r="C56" s="6"/>
      <c r="D56" s="7"/>
      <c r="E56" s="467"/>
      <c r="F56" s="369"/>
    </row>
    <row r="57" spans="1:12">
      <c r="A57" s="437"/>
      <c r="B57" s="5"/>
      <c r="C57" s="6"/>
      <c r="D57" s="7"/>
      <c r="E57" s="467"/>
      <c r="F57" s="369"/>
    </row>
    <row r="58" spans="1:12">
      <c r="A58" s="437"/>
      <c r="B58" s="5"/>
      <c r="C58" s="6"/>
      <c r="D58" s="7"/>
      <c r="E58" s="467"/>
      <c r="F58" s="369"/>
      <c r="H58" s="456">
        <v>740</v>
      </c>
      <c r="I58" s="456"/>
      <c r="J58" s="6"/>
      <c r="K58" s="6"/>
      <c r="L58" s="462">
        <f t="shared" ref="L58:L66" si="0">SUMIF($H$5:$H$46,H58,$L$5:$L$46)</f>
        <v>0</v>
      </c>
    </row>
    <row r="59" spans="1:12" ht="15.75">
      <c r="A59" s="437"/>
      <c r="B59" s="5"/>
      <c r="C59" s="6"/>
      <c r="D59" s="7"/>
      <c r="E59" s="467"/>
      <c r="F59" s="349"/>
      <c r="H59" s="456">
        <v>756</v>
      </c>
      <c r="I59" s="456"/>
      <c r="J59" s="6"/>
      <c r="K59" s="6"/>
      <c r="L59" s="462">
        <f t="shared" si="0"/>
        <v>0</v>
      </c>
    </row>
    <row r="60" spans="1:12">
      <c r="A60" s="437"/>
      <c r="B60" s="5"/>
      <c r="C60" s="6"/>
      <c r="D60" s="7"/>
      <c r="E60" s="467"/>
      <c r="H60" s="456">
        <v>758</v>
      </c>
      <c r="I60" s="456"/>
      <c r="J60" s="6"/>
      <c r="K60" s="6"/>
      <c r="L60" s="462">
        <f t="shared" si="0"/>
        <v>0</v>
      </c>
    </row>
    <row r="61" spans="1:12">
      <c r="A61" s="437"/>
      <c r="B61" s="5"/>
      <c r="C61" s="6"/>
      <c r="D61" s="7"/>
      <c r="E61" s="467"/>
      <c r="G61" s="11"/>
      <c r="H61" s="456">
        <v>860</v>
      </c>
      <c r="I61" s="456"/>
      <c r="J61" s="6"/>
      <c r="K61" s="6"/>
      <c r="L61" s="462">
        <f t="shared" si="0"/>
        <v>0</v>
      </c>
    </row>
    <row r="62" spans="1:12" ht="15" customHeight="1">
      <c r="A62" s="437"/>
      <c r="B62" s="5"/>
      <c r="C62" s="6"/>
      <c r="D62" s="7"/>
      <c r="E62" s="467"/>
      <c r="H62" s="457" t="s">
        <v>331</v>
      </c>
      <c r="I62" s="457"/>
      <c r="J62" s="412"/>
      <c r="K62" s="412"/>
      <c r="L62" s="463">
        <f t="shared" si="0"/>
        <v>0</v>
      </c>
    </row>
    <row r="63" spans="1:12" ht="15.75">
      <c r="A63" s="437"/>
      <c r="B63" s="5"/>
      <c r="C63" s="6"/>
      <c r="D63" s="7"/>
      <c r="E63" s="467"/>
      <c r="F63" s="476">
        <f>SUM(E55:E75)</f>
        <v>0</v>
      </c>
      <c r="H63" s="457" t="s">
        <v>329</v>
      </c>
      <c r="I63" s="457"/>
      <c r="J63" s="412"/>
      <c r="K63" s="412"/>
      <c r="L63" s="463">
        <f t="shared" si="0"/>
        <v>0</v>
      </c>
    </row>
    <row r="64" spans="1:12" ht="15.75">
      <c r="A64" s="437"/>
      <c r="B64" s="5"/>
      <c r="C64" s="6"/>
      <c r="D64" s="7"/>
      <c r="E64" s="467"/>
      <c r="H64" s="457" t="s">
        <v>330</v>
      </c>
      <c r="I64" s="457"/>
      <c r="J64" s="412"/>
      <c r="K64" s="412"/>
      <c r="L64" s="463">
        <f t="shared" si="0"/>
        <v>0</v>
      </c>
    </row>
    <row r="65" spans="1:12" ht="15.75">
      <c r="A65" s="437"/>
      <c r="B65" s="5"/>
      <c r="C65" s="6"/>
      <c r="D65" s="7"/>
      <c r="E65" s="467"/>
      <c r="H65" s="457" t="s">
        <v>341</v>
      </c>
      <c r="I65" s="457"/>
      <c r="J65" s="412"/>
      <c r="K65" s="412"/>
      <c r="L65" s="463">
        <f t="shared" si="0"/>
        <v>0</v>
      </c>
    </row>
    <row r="66" spans="1:12" ht="15.75">
      <c r="A66" s="437"/>
      <c r="B66" s="5"/>
      <c r="C66" s="6"/>
      <c r="D66" s="7"/>
      <c r="E66" s="467"/>
      <c r="H66" s="457" t="s">
        <v>327</v>
      </c>
      <c r="I66" s="457"/>
      <c r="J66" s="412"/>
      <c r="K66" s="412"/>
      <c r="L66" s="463">
        <f t="shared" si="0"/>
        <v>0</v>
      </c>
    </row>
    <row r="67" spans="1:12">
      <c r="A67" s="437"/>
      <c r="B67" s="5"/>
      <c r="C67" s="6"/>
      <c r="D67" s="7"/>
      <c r="E67" s="467"/>
    </row>
    <row r="68" spans="1:12">
      <c r="A68" s="437"/>
      <c r="B68" s="5"/>
      <c r="C68" s="6"/>
      <c r="D68" s="7"/>
      <c r="E68" s="467"/>
      <c r="L68" s="459">
        <f>SUM(L58:L67)</f>
        <v>0</v>
      </c>
    </row>
    <row r="69" spans="1:12">
      <c r="A69" s="437"/>
      <c r="B69" s="5"/>
      <c r="C69" s="6"/>
      <c r="D69" s="7"/>
      <c r="E69" s="467"/>
      <c r="L69" s="459">
        <f>+L68-L48</f>
        <v>0</v>
      </c>
    </row>
    <row r="70" spans="1:12">
      <c r="A70" s="437"/>
      <c r="B70" s="5"/>
      <c r="C70" s="6"/>
      <c r="D70" s="7"/>
      <c r="E70" s="467"/>
    </row>
    <row r="71" spans="1:12">
      <c r="A71" s="437"/>
      <c r="B71" s="5"/>
      <c r="C71" s="6"/>
      <c r="D71" s="7"/>
      <c r="E71" s="467"/>
    </row>
    <row r="72" spans="1:12">
      <c r="A72" s="437"/>
      <c r="B72" s="5"/>
      <c r="C72" s="6"/>
      <c r="D72" s="7"/>
      <c r="E72" s="467"/>
    </row>
    <row r="73" spans="1:12">
      <c r="A73" s="437"/>
      <c r="B73" s="5"/>
      <c r="C73" s="6"/>
      <c r="D73" s="7"/>
      <c r="E73" s="467"/>
    </row>
    <row r="74" spans="1:12">
      <c r="A74" s="437"/>
      <c r="B74" s="5"/>
      <c r="C74" s="6"/>
      <c r="D74" s="7"/>
      <c r="E74" s="467"/>
    </row>
    <row r="75" spans="1:12" ht="15.75" thickBot="1">
      <c r="A75" s="438"/>
      <c r="B75" s="439"/>
      <c r="C75" s="76"/>
      <c r="D75" s="440"/>
      <c r="E75" s="468"/>
    </row>
    <row r="76" spans="1:12">
      <c r="A76" s="430"/>
      <c r="B76" s="430"/>
      <c r="C76" s="431"/>
      <c r="D76" s="432"/>
      <c r="E76" s="473"/>
    </row>
    <row r="77" spans="1:12">
      <c r="A77" s="5"/>
      <c r="B77" s="5"/>
      <c r="C77" s="6"/>
      <c r="D77" s="7"/>
      <c r="E77" s="474"/>
    </row>
    <row r="78" spans="1:12">
      <c r="A78" s="5"/>
      <c r="B78" s="5"/>
      <c r="C78" s="6"/>
      <c r="D78" s="7"/>
      <c r="E78" s="474"/>
      <c r="G78" s="16"/>
    </row>
    <row r="79" spans="1:12">
      <c r="A79" s="5"/>
      <c r="B79" s="5"/>
      <c r="C79" s="6"/>
      <c r="D79" s="7"/>
      <c r="E79" s="474"/>
    </row>
    <row r="80" spans="1:12" ht="15.75">
      <c r="E80" s="475">
        <f>SUM(E6:E79)</f>
        <v>0</v>
      </c>
    </row>
    <row r="82" spans="3:7">
      <c r="C82" s="322" t="s">
        <v>337</v>
      </c>
      <c r="E82" s="464">
        <f>E77+E49-Salaires!E18</f>
        <v>-444040</v>
      </c>
      <c r="G82" s="10"/>
    </row>
    <row r="87" spans="3:7" ht="18.75" customHeight="1"/>
    <row r="88" spans="3:7" ht="18.75" customHeight="1"/>
    <row r="91" spans="3:7" ht="18.75" customHeight="1"/>
    <row r="94" spans="3:7">
      <c r="G94" s="10"/>
    </row>
    <row r="97" spans="7:10">
      <c r="G97" s="11"/>
    </row>
    <row r="98" spans="7:10">
      <c r="G98" s="18"/>
    </row>
    <row r="100" spans="7:10">
      <c r="G100" s="10"/>
    </row>
    <row r="111" spans="7:10">
      <c r="J111" s="10"/>
    </row>
    <row r="112" spans="7:10">
      <c r="H112" s="17"/>
      <c r="I112" s="17"/>
      <c r="J112" s="10"/>
    </row>
    <row r="115" spans="8:9">
      <c r="H115" s="18"/>
      <c r="I115" s="18"/>
    </row>
    <row r="127" spans="8:9">
      <c r="H127" s="17"/>
      <c r="I127" s="17"/>
    </row>
  </sheetData>
  <sortState ref="H60:H94">
    <sortCondition ref="H60"/>
  </sortState>
  <pageMargins left="0" right="0" top="0.74803149606299213" bottom="0.74803149606299213" header="0.31496062992125984" footer="0.31496062992125984"/>
  <pageSetup paperSize="8" scale="7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FFC000"/>
    <pageSetUpPr fitToPage="1"/>
  </sheetPr>
  <dimension ref="A2:AE93"/>
  <sheetViews>
    <sheetView workbookViewId="0"/>
    <sheetView workbookViewId="1"/>
  </sheetViews>
  <sheetFormatPr baseColWidth="10" defaultRowHeight="15"/>
  <cols>
    <col min="1" max="2" width="13" customWidth="1"/>
    <col min="3" max="3" width="47.85546875" customWidth="1"/>
    <col min="4" max="4" width="17" hidden="1" customWidth="1"/>
    <col min="5" max="5" width="20" customWidth="1"/>
    <col min="6" max="6" width="18.140625" bestFit="1" customWidth="1"/>
    <col min="7" max="7" width="14.7109375" bestFit="1" customWidth="1"/>
    <col min="8" max="8" width="13.42578125" bestFit="1" customWidth="1"/>
    <col min="9" max="9" width="12.85546875" customWidth="1"/>
    <col min="10" max="10" width="13.7109375" customWidth="1"/>
    <col min="11" max="11" width="13.5703125" bestFit="1" customWidth="1"/>
    <col min="12" max="12" width="11.85546875" customWidth="1"/>
    <col min="13" max="13" width="12.140625" bestFit="1" customWidth="1"/>
    <col min="14" max="14" width="13" bestFit="1" customWidth="1"/>
    <col min="15" max="15" width="13" customWidth="1"/>
    <col min="16" max="16" width="13" bestFit="1" customWidth="1"/>
    <col min="17" max="17" width="14.85546875" customWidth="1"/>
    <col min="18" max="18" width="12.140625" bestFit="1" customWidth="1"/>
    <col min="19" max="19" width="11.85546875" customWidth="1"/>
    <col min="20" max="20" width="12.140625" bestFit="1" customWidth="1"/>
    <col min="21" max="21" width="12.7109375" customWidth="1"/>
    <col min="22" max="22" width="13.42578125" bestFit="1" customWidth="1"/>
    <col min="23" max="23" width="14.28515625" customWidth="1"/>
    <col min="24" max="24" width="14.42578125" customWidth="1"/>
    <col min="25" max="25" width="12.140625" bestFit="1" customWidth="1"/>
    <col min="26" max="26" width="15.85546875" customWidth="1"/>
    <col min="27" max="28" width="13.5703125" customWidth="1"/>
    <col min="29" max="29" width="14.140625" customWidth="1"/>
    <col min="30" max="30" width="14.42578125" bestFit="1" customWidth="1"/>
    <col min="31" max="31" width="14" customWidth="1"/>
    <col min="32" max="32" width="12.85546875" bestFit="1" customWidth="1"/>
  </cols>
  <sheetData>
    <row r="2" spans="1:31">
      <c r="G2" t="s">
        <v>219</v>
      </c>
      <c r="H2" s="333" t="s">
        <v>255</v>
      </c>
      <c r="I2" s="333" t="s">
        <v>218</v>
      </c>
      <c r="J2" s="333" t="s">
        <v>287</v>
      </c>
      <c r="K2" s="333" t="s">
        <v>259</v>
      </c>
      <c r="L2" s="333" t="s">
        <v>260</v>
      </c>
      <c r="M2" s="333" t="s">
        <v>257</v>
      </c>
      <c r="N2" s="333" t="s">
        <v>301</v>
      </c>
      <c r="O2" s="333" t="s">
        <v>303</v>
      </c>
      <c r="P2" s="333" t="s">
        <v>261</v>
      </c>
      <c r="Q2" s="333" t="s">
        <v>262</v>
      </c>
      <c r="R2" s="333" t="s">
        <v>263</v>
      </c>
      <c r="S2" s="333" t="s">
        <v>268</v>
      </c>
      <c r="T2" s="333" t="s">
        <v>269</v>
      </c>
      <c r="U2" s="333" t="s">
        <v>270</v>
      </c>
      <c r="V2" s="333" t="s">
        <v>271</v>
      </c>
      <c r="W2" s="333" t="s">
        <v>143</v>
      </c>
      <c r="X2" s="333" t="s">
        <v>133</v>
      </c>
      <c r="Y2" s="333" t="s">
        <v>272</v>
      </c>
      <c r="Z2" s="333" t="s">
        <v>254</v>
      </c>
    </row>
    <row r="3" spans="1:31" ht="31.5">
      <c r="A3" s="47" t="s">
        <v>0</v>
      </c>
      <c r="B3" s="47"/>
      <c r="C3" s="47" t="s">
        <v>1</v>
      </c>
      <c r="D3" s="6"/>
      <c r="E3" s="48" t="s">
        <v>305</v>
      </c>
      <c r="F3" s="8" t="s">
        <v>306</v>
      </c>
      <c r="G3" s="410" t="s">
        <v>26</v>
      </c>
      <c r="H3" s="331" t="s">
        <v>252</v>
      </c>
      <c r="I3" s="331" t="s">
        <v>253</v>
      </c>
      <c r="J3" s="336" t="s">
        <v>273</v>
      </c>
      <c r="K3" s="12" t="s">
        <v>439</v>
      </c>
      <c r="L3" s="12" t="s">
        <v>440</v>
      </c>
      <c r="M3" s="12" t="s">
        <v>441</v>
      </c>
      <c r="N3" s="12" t="s">
        <v>449</v>
      </c>
      <c r="O3" s="12" t="s">
        <v>448</v>
      </c>
      <c r="P3" s="12" t="s">
        <v>442</v>
      </c>
      <c r="Q3" s="12" t="s">
        <v>443</v>
      </c>
      <c r="R3" s="12" t="s">
        <v>444</v>
      </c>
      <c r="S3" s="12" t="s">
        <v>445</v>
      </c>
      <c r="T3" s="12" t="s">
        <v>447</v>
      </c>
      <c r="U3" s="12" t="s">
        <v>446</v>
      </c>
      <c r="V3" s="335">
        <f>+AGENDA!A14</f>
        <v>0</v>
      </c>
      <c r="W3" s="335">
        <f>+AGENDA!A15</f>
        <v>0</v>
      </c>
      <c r="X3" s="335">
        <f>+AGENDA!A16</f>
        <v>0</v>
      </c>
      <c r="Y3" s="335">
        <f>+AGENDA!A17</f>
        <v>0</v>
      </c>
      <c r="Z3" s="332" t="s">
        <v>254</v>
      </c>
      <c r="AA3" s="49" t="s">
        <v>347</v>
      </c>
      <c r="AB3" s="49"/>
      <c r="AC3" s="49" t="s">
        <v>12</v>
      </c>
      <c r="AD3" s="50" t="s">
        <v>25</v>
      </c>
      <c r="AE3" s="50" t="s">
        <v>86</v>
      </c>
    </row>
    <row r="4" spans="1:31" ht="15.75">
      <c r="A4" s="51" t="s">
        <v>27</v>
      </c>
      <c r="B4" s="51"/>
      <c r="C4" s="51"/>
      <c r="D4" s="193"/>
      <c r="E4" s="195"/>
      <c r="F4" s="46"/>
      <c r="G4" s="410"/>
      <c r="H4" s="52">
        <f>Salaires!F19</f>
        <v>0.13250000000000001</v>
      </c>
      <c r="I4" s="52">
        <f>Salaires!G19</f>
        <v>0.29249999999999998</v>
      </c>
      <c r="J4" s="52">
        <f>Salaires!H19</f>
        <v>0.57499999999999996</v>
      </c>
      <c r="K4" s="52">
        <f>Salaires!I19</f>
        <v>4.5652173913043478E-2</v>
      </c>
      <c r="L4" s="52">
        <f>Salaires!J19</f>
        <v>2.8260869565217395E-2</v>
      </c>
      <c r="M4" s="52">
        <f>Salaires!K19</f>
        <v>3.0434782608695657E-2</v>
      </c>
      <c r="N4" s="52">
        <f>Salaires!L19</f>
        <v>2.6086956521739132E-2</v>
      </c>
      <c r="O4" s="52">
        <f>Salaires!M19</f>
        <v>4.3478260869565223E-2</v>
      </c>
      <c r="P4" s="52">
        <f>Salaires!N19</f>
        <v>5.6521739130434789E-2</v>
      </c>
      <c r="Q4" s="52">
        <f>Salaires!O19</f>
        <v>4.1304347826086968E-2</v>
      </c>
      <c r="R4" s="52">
        <f>Salaires!P19</f>
        <v>3.4782608695652174E-2</v>
      </c>
      <c r="S4" s="52">
        <f>Salaires!S19</f>
        <v>0</v>
      </c>
      <c r="T4" s="52">
        <f>Salaires!Q19</f>
        <v>4.7826086956521748E-2</v>
      </c>
      <c r="U4" s="52">
        <f>Salaires!R19</f>
        <v>6.0869565217391314E-2</v>
      </c>
      <c r="V4" s="52">
        <f>Salaires!T19</f>
        <v>1.9565217391304349E-2</v>
      </c>
      <c r="W4" s="52">
        <f>Salaires!U19</f>
        <v>3.4782608695652181E-2</v>
      </c>
      <c r="X4" s="52">
        <f>Salaires!V19</f>
        <v>4.7826086956521748E-2</v>
      </c>
      <c r="Y4" s="52">
        <f>Salaires!W19</f>
        <v>5.4347826086956527E-2</v>
      </c>
      <c r="Z4" s="52">
        <f>Salaires!X19</f>
        <v>0.42826086956521742</v>
      </c>
      <c r="AA4" s="551"/>
      <c r="AB4" s="551"/>
      <c r="AC4" s="551" t="e">
        <f>Salaires!#REF!</f>
        <v>#REF!</v>
      </c>
      <c r="AD4" s="551"/>
    </row>
    <row r="5" spans="1:31">
      <c r="A5" s="5">
        <v>604</v>
      </c>
      <c r="B5" s="5"/>
      <c r="C5" s="6" t="s">
        <v>40</v>
      </c>
      <c r="D5" s="194"/>
      <c r="E5" s="557" t="e">
        <f>SUMIF(#REF!,$A5,#REF!)</f>
        <v>#REF!</v>
      </c>
      <c r="F5" s="539"/>
      <c r="G5" s="540" t="e">
        <f t="shared" ref="G5:G31" si="0">E5</f>
        <v>#REF!</v>
      </c>
      <c r="H5" s="539" t="e">
        <f t="shared" ref="H5:H26" si="1">G5*$H$4</f>
        <v>#REF!</v>
      </c>
      <c r="I5" s="539" t="e">
        <f>G5*$I$4</f>
        <v>#REF!</v>
      </c>
      <c r="J5" s="539" t="e">
        <f>G5*$J$4</f>
        <v>#REF!</v>
      </c>
      <c r="K5" s="539" t="e">
        <f t="shared" ref="K5:K26" si="2">J5*$K$4</f>
        <v>#REF!</v>
      </c>
      <c r="L5" s="539" t="e">
        <f>J5*$L$4</f>
        <v>#REF!</v>
      </c>
      <c r="M5" s="539" t="e">
        <f>J5*$M$4</f>
        <v>#REF!</v>
      </c>
      <c r="N5" s="539" t="e">
        <f t="shared" ref="N5:N26" si="3">J5*$N$4</f>
        <v>#REF!</v>
      </c>
      <c r="O5" s="539" t="e">
        <f t="shared" ref="O5:O26" si="4">J5*$O$4</f>
        <v>#REF!</v>
      </c>
      <c r="P5" s="539" t="e">
        <f t="shared" ref="P5:P26" si="5">J5*$P$4</f>
        <v>#REF!</v>
      </c>
      <c r="Q5" s="539" t="e">
        <f t="shared" ref="Q5:Q26" si="6">J5*$Q$4</f>
        <v>#REF!</v>
      </c>
      <c r="R5" s="539" t="e">
        <f t="shared" ref="R5:R26" si="7">J5*$R$4</f>
        <v>#REF!</v>
      </c>
      <c r="S5" s="539" t="e">
        <f t="shared" ref="S5:S26" si="8">J5*$S$4</f>
        <v>#REF!</v>
      </c>
      <c r="T5" s="539" t="e">
        <f t="shared" ref="T5:T26" si="9">J5*$T$4</f>
        <v>#REF!</v>
      </c>
      <c r="U5" s="539" t="e">
        <f t="shared" ref="U5:U26" si="10">J5*$U$4</f>
        <v>#REF!</v>
      </c>
      <c r="V5" s="539" t="e">
        <f t="shared" ref="V5:V26" si="11">J5*$V$4</f>
        <v>#REF!</v>
      </c>
      <c r="W5" s="539" t="e">
        <f t="shared" ref="W5:W26" si="12">J5*$W$4</f>
        <v>#REF!</v>
      </c>
      <c r="X5" s="539" t="e">
        <f t="shared" ref="X5:X26" si="13">J5*$X$4</f>
        <v>#REF!</v>
      </c>
      <c r="Y5" s="539" t="e">
        <f t="shared" ref="Y5:Y26" si="14">J5*$Y$4</f>
        <v>#REF!</v>
      </c>
      <c r="Z5" s="541" t="e">
        <f t="shared" ref="Z5:Z26" si="15">J5*$Z$4</f>
        <v>#REF!</v>
      </c>
      <c r="AA5" s="539"/>
      <c r="AB5" s="539"/>
      <c r="AC5" s="539" t="e">
        <f>G5*$AC$4</f>
        <v>#REF!</v>
      </c>
      <c r="AD5" s="539" t="e">
        <f>E5-H5-I5-J5-AC5-AA5</f>
        <v>#REF!</v>
      </c>
      <c r="AE5" s="53" t="e">
        <f>J5-SUM(K5:AA5)</f>
        <v>#REF!</v>
      </c>
    </row>
    <row r="6" spans="1:31">
      <c r="A6" s="5">
        <v>605</v>
      </c>
      <c r="B6" s="5"/>
      <c r="C6" s="6" t="s">
        <v>41</v>
      </c>
      <c r="D6" s="194"/>
      <c r="E6" s="557" t="e">
        <f>SUMIF(#REF!,$A6,#REF!)</f>
        <v>#REF!</v>
      </c>
      <c r="F6" s="539"/>
      <c r="G6" s="540" t="e">
        <f t="shared" si="0"/>
        <v>#REF!</v>
      </c>
      <c r="H6" s="539" t="e">
        <f t="shared" si="1"/>
        <v>#REF!</v>
      </c>
      <c r="I6" s="539" t="e">
        <f t="shared" ref="I6:I81" si="16">G6*$I$4</f>
        <v>#REF!</v>
      </c>
      <c r="J6" s="539" t="e">
        <f t="shared" ref="J6:J81" si="17">G6*$J$4</f>
        <v>#REF!</v>
      </c>
      <c r="K6" s="539" t="e">
        <f t="shared" si="2"/>
        <v>#REF!</v>
      </c>
      <c r="L6" s="539" t="e">
        <f t="shared" ref="L6:L81" si="18">J6*$L$4</f>
        <v>#REF!</v>
      </c>
      <c r="M6" s="539" t="e">
        <f t="shared" ref="M6:M81" si="19">J6*$M$4</f>
        <v>#REF!</v>
      </c>
      <c r="N6" s="539" t="e">
        <f t="shared" si="3"/>
        <v>#REF!</v>
      </c>
      <c r="O6" s="539" t="e">
        <f t="shared" si="4"/>
        <v>#REF!</v>
      </c>
      <c r="P6" s="539" t="e">
        <f t="shared" si="5"/>
        <v>#REF!</v>
      </c>
      <c r="Q6" s="539" t="e">
        <f t="shared" si="6"/>
        <v>#REF!</v>
      </c>
      <c r="R6" s="539" t="e">
        <f t="shared" si="7"/>
        <v>#REF!</v>
      </c>
      <c r="S6" s="539" t="e">
        <f t="shared" si="8"/>
        <v>#REF!</v>
      </c>
      <c r="T6" s="539" t="e">
        <f t="shared" si="9"/>
        <v>#REF!</v>
      </c>
      <c r="U6" s="539" t="e">
        <f t="shared" si="10"/>
        <v>#REF!</v>
      </c>
      <c r="V6" s="539" t="e">
        <f t="shared" si="11"/>
        <v>#REF!</v>
      </c>
      <c r="W6" s="539" t="e">
        <f t="shared" si="12"/>
        <v>#REF!</v>
      </c>
      <c r="X6" s="539" t="e">
        <f t="shared" si="13"/>
        <v>#REF!</v>
      </c>
      <c r="Y6" s="539" t="e">
        <f t="shared" si="14"/>
        <v>#REF!</v>
      </c>
      <c r="Z6" s="541" t="e">
        <f t="shared" si="15"/>
        <v>#REF!</v>
      </c>
      <c r="AA6" s="539"/>
      <c r="AB6" s="539"/>
      <c r="AC6" s="539"/>
      <c r="AD6" s="539" t="e">
        <f>E6-H6-I6-J6-AC6-AA6</f>
        <v>#REF!</v>
      </c>
      <c r="AE6" s="53" t="e">
        <f>J6-SUM(K6:AA6)</f>
        <v>#REF!</v>
      </c>
    </row>
    <row r="7" spans="1:31">
      <c r="A7" s="5">
        <v>606</v>
      </c>
      <c r="B7" s="5"/>
      <c r="C7" s="6" t="s">
        <v>42</v>
      </c>
      <c r="D7" s="194"/>
      <c r="E7" s="557" t="e">
        <f>SUMIF(#REF!,$A7,#REF!)</f>
        <v>#REF!</v>
      </c>
      <c r="F7" s="539"/>
      <c r="G7" s="540" t="e">
        <f t="shared" si="0"/>
        <v>#REF!</v>
      </c>
      <c r="H7" s="539" t="e">
        <f t="shared" si="1"/>
        <v>#REF!</v>
      </c>
      <c r="I7" s="539" t="e">
        <f t="shared" si="16"/>
        <v>#REF!</v>
      </c>
      <c r="J7" s="539" t="e">
        <f t="shared" si="17"/>
        <v>#REF!</v>
      </c>
      <c r="K7" s="539" t="e">
        <f t="shared" si="2"/>
        <v>#REF!</v>
      </c>
      <c r="L7" s="539" t="e">
        <f t="shared" si="18"/>
        <v>#REF!</v>
      </c>
      <c r="M7" s="539" t="e">
        <f t="shared" si="19"/>
        <v>#REF!</v>
      </c>
      <c r="N7" s="539" t="e">
        <f t="shared" si="3"/>
        <v>#REF!</v>
      </c>
      <c r="O7" s="539" t="e">
        <f t="shared" si="4"/>
        <v>#REF!</v>
      </c>
      <c r="P7" s="539" t="e">
        <f t="shared" si="5"/>
        <v>#REF!</v>
      </c>
      <c r="Q7" s="539" t="e">
        <f t="shared" si="6"/>
        <v>#REF!</v>
      </c>
      <c r="R7" s="539" t="e">
        <f t="shared" si="7"/>
        <v>#REF!</v>
      </c>
      <c r="S7" s="539" t="e">
        <f t="shared" si="8"/>
        <v>#REF!</v>
      </c>
      <c r="T7" s="539" t="e">
        <f t="shared" si="9"/>
        <v>#REF!</v>
      </c>
      <c r="U7" s="539" t="e">
        <f t="shared" si="10"/>
        <v>#REF!</v>
      </c>
      <c r="V7" s="539" t="e">
        <f t="shared" si="11"/>
        <v>#REF!</v>
      </c>
      <c r="W7" s="539" t="e">
        <f t="shared" si="12"/>
        <v>#REF!</v>
      </c>
      <c r="X7" s="539" t="e">
        <f t="shared" si="13"/>
        <v>#REF!</v>
      </c>
      <c r="Y7" s="539" t="e">
        <f t="shared" si="14"/>
        <v>#REF!</v>
      </c>
      <c r="Z7" s="541" t="e">
        <f t="shared" si="15"/>
        <v>#REF!</v>
      </c>
      <c r="AA7" s="539"/>
      <c r="AB7" s="539"/>
      <c r="AC7" s="539" t="e">
        <f>G7*$AC$4</f>
        <v>#REF!</v>
      </c>
      <c r="AD7" s="539" t="e">
        <f>E7-H7-I7-J7-AC7-AA7</f>
        <v>#REF!</v>
      </c>
      <c r="AE7" s="53" t="e">
        <f>J7-SUM(K7:AA7)</f>
        <v>#REF!</v>
      </c>
    </row>
    <row r="8" spans="1:31">
      <c r="A8" s="5">
        <v>607</v>
      </c>
      <c r="B8" s="5"/>
      <c r="C8" s="6" t="s">
        <v>43</v>
      </c>
      <c r="D8" s="194"/>
      <c r="E8" s="557" t="e">
        <f>SUMIF(#REF!,$A8,#REF!)</f>
        <v>#REF!</v>
      </c>
      <c r="F8" s="539"/>
      <c r="G8" s="540" t="e">
        <f t="shared" si="0"/>
        <v>#REF!</v>
      </c>
      <c r="H8" s="539" t="e">
        <f t="shared" si="1"/>
        <v>#REF!</v>
      </c>
      <c r="I8" s="539" t="e">
        <f t="shared" si="16"/>
        <v>#REF!</v>
      </c>
      <c r="J8" s="539" t="e">
        <f t="shared" si="17"/>
        <v>#REF!</v>
      </c>
      <c r="K8" s="539" t="e">
        <f t="shared" si="2"/>
        <v>#REF!</v>
      </c>
      <c r="L8" s="539" t="e">
        <f t="shared" si="18"/>
        <v>#REF!</v>
      </c>
      <c r="M8" s="539" t="e">
        <f t="shared" si="19"/>
        <v>#REF!</v>
      </c>
      <c r="N8" s="539" t="e">
        <f t="shared" si="3"/>
        <v>#REF!</v>
      </c>
      <c r="O8" s="539" t="e">
        <f t="shared" si="4"/>
        <v>#REF!</v>
      </c>
      <c r="P8" s="539" t="e">
        <f t="shared" si="5"/>
        <v>#REF!</v>
      </c>
      <c r="Q8" s="539" t="e">
        <f t="shared" si="6"/>
        <v>#REF!</v>
      </c>
      <c r="R8" s="539" t="e">
        <f t="shared" si="7"/>
        <v>#REF!</v>
      </c>
      <c r="S8" s="539" t="e">
        <f t="shared" si="8"/>
        <v>#REF!</v>
      </c>
      <c r="T8" s="539" t="e">
        <f t="shared" si="9"/>
        <v>#REF!</v>
      </c>
      <c r="U8" s="539" t="e">
        <f t="shared" si="10"/>
        <v>#REF!</v>
      </c>
      <c r="V8" s="539" t="e">
        <f t="shared" si="11"/>
        <v>#REF!</v>
      </c>
      <c r="W8" s="539" t="e">
        <f t="shared" si="12"/>
        <v>#REF!</v>
      </c>
      <c r="X8" s="539" t="e">
        <f t="shared" si="13"/>
        <v>#REF!</v>
      </c>
      <c r="Y8" s="539" t="e">
        <f t="shared" si="14"/>
        <v>#REF!</v>
      </c>
      <c r="Z8" s="541" t="e">
        <f t="shared" si="15"/>
        <v>#REF!</v>
      </c>
      <c r="AA8" s="539"/>
      <c r="AB8" s="539"/>
      <c r="AC8" s="539"/>
      <c r="AD8" s="539" t="e">
        <f>E8-H8-I8-J8-AC8-AA8</f>
        <v>#REF!</v>
      </c>
      <c r="AE8" s="53" t="e">
        <f>J8-SUM(K8:AA8)</f>
        <v>#REF!</v>
      </c>
    </row>
    <row r="9" spans="1:31">
      <c r="A9" s="5">
        <v>611</v>
      </c>
      <c r="B9" s="5"/>
      <c r="C9" s="6" t="s">
        <v>44</v>
      </c>
      <c r="D9" s="194"/>
      <c r="E9" s="557" t="e">
        <f>SUMIF(#REF!,$A9,#REF!)</f>
        <v>#REF!</v>
      </c>
      <c r="F9" s="539"/>
      <c r="G9" s="540" t="e">
        <f t="shared" si="0"/>
        <v>#REF!</v>
      </c>
      <c r="H9" s="539" t="e">
        <f t="shared" si="1"/>
        <v>#REF!</v>
      </c>
      <c r="I9" s="539" t="e">
        <f t="shared" ref="I9" si="20">G9*$I$4</f>
        <v>#REF!</v>
      </c>
      <c r="J9" s="539" t="e">
        <f t="shared" ref="J9" si="21">G9*$J$4</f>
        <v>#REF!</v>
      </c>
      <c r="K9" s="539" t="e">
        <f t="shared" si="2"/>
        <v>#REF!</v>
      </c>
      <c r="L9" s="539" t="e">
        <f t="shared" ref="L9" si="22">J9*$L$4</f>
        <v>#REF!</v>
      </c>
      <c r="M9" s="539" t="e">
        <f t="shared" ref="M9" si="23">J9*$M$4</f>
        <v>#REF!</v>
      </c>
      <c r="N9" s="539" t="e">
        <f t="shared" si="3"/>
        <v>#REF!</v>
      </c>
      <c r="O9" s="539" t="e">
        <f t="shared" si="4"/>
        <v>#REF!</v>
      </c>
      <c r="P9" s="539" t="e">
        <f t="shared" si="5"/>
        <v>#REF!</v>
      </c>
      <c r="Q9" s="539" t="e">
        <f t="shared" si="6"/>
        <v>#REF!</v>
      </c>
      <c r="R9" s="539" t="e">
        <f t="shared" si="7"/>
        <v>#REF!</v>
      </c>
      <c r="S9" s="539" t="e">
        <f t="shared" si="8"/>
        <v>#REF!</v>
      </c>
      <c r="T9" s="539" t="e">
        <f t="shared" si="9"/>
        <v>#REF!</v>
      </c>
      <c r="U9" s="539" t="e">
        <f t="shared" si="10"/>
        <v>#REF!</v>
      </c>
      <c r="V9" s="539" t="e">
        <f t="shared" si="11"/>
        <v>#REF!</v>
      </c>
      <c r="W9" s="539" t="e">
        <f t="shared" si="12"/>
        <v>#REF!</v>
      </c>
      <c r="X9" s="539" t="e">
        <f t="shared" si="13"/>
        <v>#REF!</v>
      </c>
      <c r="Y9" s="539" t="e">
        <f t="shared" si="14"/>
        <v>#REF!</v>
      </c>
      <c r="Z9" s="541" t="e">
        <f t="shared" si="15"/>
        <v>#REF!</v>
      </c>
      <c r="AA9" s="539"/>
      <c r="AB9" s="539"/>
      <c r="AC9" s="539"/>
      <c r="AD9" s="539"/>
      <c r="AE9" s="53"/>
    </row>
    <row r="10" spans="1:31">
      <c r="A10" s="5">
        <v>612</v>
      </c>
      <c r="B10" s="5"/>
      <c r="C10" s="6" t="s">
        <v>411</v>
      </c>
      <c r="D10" s="194"/>
      <c r="E10" s="557" t="e">
        <f>SUMIF(#REF!,$A10,#REF!)</f>
        <v>#REF!</v>
      </c>
      <c r="F10" s="539"/>
      <c r="G10" s="540" t="e">
        <f t="shared" si="0"/>
        <v>#REF!</v>
      </c>
      <c r="H10" s="539" t="e">
        <f t="shared" si="1"/>
        <v>#REF!</v>
      </c>
      <c r="I10" s="539" t="e">
        <f t="shared" si="16"/>
        <v>#REF!</v>
      </c>
      <c r="J10" s="539" t="e">
        <f t="shared" si="17"/>
        <v>#REF!</v>
      </c>
      <c r="K10" s="539" t="e">
        <f t="shared" si="2"/>
        <v>#REF!</v>
      </c>
      <c r="L10" s="539" t="e">
        <f t="shared" si="18"/>
        <v>#REF!</v>
      </c>
      <c r="M10" s="539" t="e">
        <f t="shared" si="19"/>
        <v>#REF!</v>
      </c>
      <c r="N10" s="539" t="e">
        <f t="shared" si="3"/>
        <v>#REF!</v>
      </c>
      <c r="O10" s="539" t="e">
        <f t="shared" si="4"/>
        <v>#REF!</v>
      </c>
      <c r="P10" s="539" t="e">
        <f t="shared" si="5"/>
        <v>#REF!</v>
      </c>
      <c r="Q10" s="539" t="e">
        <f t="shared" si="6"/>
        <v>#REF!</v>
      </c>
      <c r="R10" s="539" t="e">
        <f t="shared" si="7"/>
        <v>#REF!</v>
      </c>
      <c r="S10" s="539" t="e">
        <f t="shared" si="8"/>
        <v>#REF!</v>
      </c>
      <c r="T10" s="539" t="e">
        <f t="shared" si="9"/>
        <v>#REF!</v>
      </c>
      <c r="U10" s="539" t="e">
        <f t="shared" si="10"/>
        <v>#REF!</v>
      </c>
      <c r="V10" s="539" t="e">
        <f t="shared" si="11"/>
        <v>#REF!</v>
      </c>
      <c r="W10" s="539" t="e">
        <f t="shared" si="12"/>
        <v>#REF!</v>
      </c>
      <c r="X10" s="539" t="e">
        <f t="shared" si="13"/>
        <v>#REF!</v>
      </c>
      <c r="Y10" s="539" t="e">
        <f t="shared" si="14"/>
        <v>#REF!</v>
      </c>
      <c r="Z10" s="541" t="e">
        <f t="shared" si="15"/>
        <v>#REF!</v>
      </c>
      <c r="AA10" s="539"/>
      <c r="AB10" s="539"/>
      <c r="AC10" s="539" t="e">
        <f>G10*$AC$4</f>
        <v>#REF!</v>
      </c>
      <c r="AD10" s="539" t="e">
        <f t="shared" ref="AD10:AD28" si="24">E10-H10-I10-J10-AC10-AA10</f>
        <v>#REF!</v>
      </c>
      <c r="AE10" s="53" t="e">
        <f>J10-SUM(K10:AA10)</f>
        <v>#REF!</v>
      </c>
    </row>
    <row r="11" spans="1:31">
      <c r="A11" s="5">
        <v>613</v>
      </c>
      <c r="B11" s="5"/>
      <c r="C11" s="6" t="s">
        <v>412</v>
      </c>
      <c r="D11" s="194"/>
      <c r="E11" s="557" t="e">
        <f>SUMIF(#REF!,$A11,#REF!)</f>
        <v>#REF!</v>
      </c>
      <c r="F11" s="539"/>
      <c r="G11" s="540" t="e">
        <f t="shared" si="0"/>
        <v>#REF!</v>
      </c>
      <c r="H11" s="539" t="e">
        <f t="shared" si="1"/>
        <v>#REF!</v>
      </c>
      <c r="I11" s="539" t="e">
        <f t="shared" si="16"/>
        <v>#REF!</v>
      </c>
      <c r="J11" s="539" t="e">
        <f t="shared" si="17"/>
        <v>#REF!</v>
      </c>
      <c r="K11" s="539" t="e">
        <f t="shared" si="2"/>
        <v>#REF!</v>
      </c>
      <c r="L11" s="539" t="e">
        <f t="shared" si="18"/>
        <v>#REF!</v>
      </c>
      <c r="M11" s="539" t="e">
        <f t="shared" si="19"/>
        <v>#REF!</v>
      </c>
      <c r="N11" s="539" t="e">
        <f t="shared" si="3"/>
        <v>#REF!</v>
      </c>
      <c r="O11" s="539" t="e">
        <f t="shared" si="4"/>
        <v>#REF!</v>
      </c>
      <c r="P11" s="539" t="e">
        <f t="shared" si="5"/>
        <v>#REF!</v>
      </c>
      <c r="Q11" s="539" t="e">
        <f t="shared" si="6"/>
        <v>#REF!</v>
      </c>
      <c r="R11" s="539" t="e">
        <f t="shared" si="7"/>
        <v>#REF!</v>
      </c>
      <c r="S11" s="539" t="e">
        <f t="shared" si="8"/>
        <v>#REF!</v>
      </c>
      <c r="T11" s="539" t="e">
        <f t="shared" si="9"/>
        <v>#REF!</v>
      </c>
      <c r="U11" s="539" t="e">
        <f t="shared" si="10"/>
        <v>#REF!</v>
      </c>
      <c r="V11" s="539" t="e">
        <f t="shared" si="11"/>
        <v>#REF!</v>
      </c>
      <c r="W11" s="539" t="e">
        <f t="shared" si="12"/>
        <v>#REF!</v>
      </c>
      <c r="X11" s="539" t="e">
        <f t="shared" si="13"/>
        <v>#REF!</v>
      </c>
      <c r="Y11" s="539" t="e">
        <f t="shared" si="14"/>
        <v>#REF!</v>
      </c>
      <c r="Z11" s="541" t="e">
        <f t="shared" si="15"/>
        <v>#REF!</v>
      </c>
      <c r="AA11" s="539"/>
      <c r="AB11" s="539"/>
      <c r="AC11" s="539"/>
      <c r="AD11" s="539" t="e">
        <f t="shared" si="24"/>
        <v>#REF!</v>
      </c>
      <c r="AE11" s="53" t="e">
        <f t="shared" ref="AE11:AE25" si="25">J11-SUM(K11:AA11)</f>
        <v>#REF!</v>
      </c>
    </row>
    <row r="12" spans="1:31">
      <c r="A12" s="5">
        <v>614</v>
      </c>
      <c r="B12" s="5"/>
      <c r="C12" s="6" t="s">
        <v>413</v>
      </c>
      <c r="D12" s="194"/>
      <c r="E12" s="557" t="e">
        <f>SUMIF(#REF!,$A12,#REF!)</f>
        <v>#REF!</v>
      </c>
      <c r="F12" s="539"/>
      <c r="G12" s="540" t="e">
        <f t="shared" si="0"/>
        <v>#REF!</v>
      </c>
      <c r="H12" s="539" t="e">
        <f t="shared" si="1"/>
        <v>#REF!</v>
      </c>
      <c r="I12" s="539" t="e">
        <f t="shared" si="16"/>
        <v>#REF!</v>
      </c>
      <c r="J12" s="539" t="e">
        <f t="shared" si="17"/>
        <v>#REF!</v>
      </c>
      <c r="K12" s="539" t="e">
        <f t="shared" si="2"/>
        <v>#REF!</v>
      </c>
      <c r="L12" s="539" t="e">
        <f t="shared" si="18"/>
        <v>#REF!</v>
      </c>
      <c r="M12" s="539" t="e">
        <f t="shared" si="19"/>
        <v>#REF!</v>
      </c>
      <c r="N12" s="539" t="e">
        <f t="shared" si="3"/>
        <v>#REF!</v>
      </c>
      <c r="O12" s="539" t="e">
        <f t="shared" si="4"/>
        <v>#REF!</v>
      </c>
      <c r="P12" s="539" t="e">
        <f t="shared" si="5"/>
        <v>#REF!</v>
      </c>
      <c r="Q12" s="539" t="e">
        <f t="shared" si="6"/>
        <v>#REF!</v>
      </c>
      <c r="R12" s="539" t="e">
        <f t="shared" si="7"/>
        <v>#REF!</v>
      </c>
      <c r="S12" s="539" t="e">
        <f t="shared" si="8"/>
        <v>#REF!</v>
      </c>
      <c r="T12" s="539" t="e">
        <f t="shared" si="9"/>
        <v>#REF!</v>
      </c>
      <c r="U12" s="539" t="e">
        <f t="shared" si="10"/>
        <v>#REF!</v>
      </c>
      <c r="V12" s="539" t="e">
        <f t="shared" si="11"/>
        <v>#REF!</v>
      </c>
      <c r="W12" s="539" t="e">
        <f t="shared" si="12"/>
        <v>#REF!</v>
      </c>
      <c r="X12" s="539" t="e">
        <f t="shared" si="13"/>
        <v>#REF!</v>
      </c>
      <c r="Y12" s="539" t="e">
        <f t="shared" si="14"/>
        <v>#REF!</v>
      </c>
      <c r="Z12" s="541" t="e">
        <f t="shared" si="15"/>
        <v>#REF!</v>
      </c>
      <c r="AA12" s="539"/>
      <c r="AB12" s="539"/>
      <c r="AC12" s="539" t="e">
        <f>G12*$AC$4</f>
        <v>#REF!</v>
      </c>
      <c r="AD12" s="539" t="e">
        <f t="shared" si="24"/>
        <v>#REF!</v>
      </c>
      <c r="AE12" s="53" t="e">
        <f t="shared" si="25"/>
        <v>#REF!</v>
      </c>
    </row>
    <row r="13" spans="1:31">
      <c r="A13" s="5">
        <v>615</v>
      </c>
      <c r="B13" s="5"/>
      <c r="C13" s="6" t="s">
        <v>414</v>
      </c>
      <c r="D13" s="194"/>
      <c r="E13" s="557" t="e">
        <f>SUMIF(#REF!,$A13,#REF!)</f>
        <v>#REF!</v>
      </c>
      <c r="F13" s="539"/>
      <c r="G13" s="540" t="e">
        <f t="shared" si="0"/>
        <v>#REF!</v>
      </c>
      <c r="H13" s="539" t="e">
        <f t="shared" si="1"/>
        <v>#REF!</v>
      </c>
      <c r="I13" s="539" t="e">
        <f t="shared" si="16"/>
        <v>#REF!</v>
      </c>
      <c r="J13" s="539" t="e">
        <f t="shared" si="17"/>
        <v>#REF!</v>
      </c>
      <c r="K13" s="539" t="e">
        <f t="shared" si="2"/>
        <v>#REF!</v>
      </c>
      <c r="L13" s="539" t="e">
        <f t="shared" si="18"/>
        <v>#REF!</v>
      </c>
      <c r="M13" s="539" t="e">
        <f t="shared" si="19"/>
        <v>#REF!</v>
      </c>
      <c r="N13" s="539" t="e">
        <f t="shared" si="3"/>
        <v>#REF!</v>
      </c>
      <c r="O13" s="539" t="e">
        <f t="shared" si="4"/>
        <v>#REF!</v>
      </c>
      <c r="P13" s="539" t="e">
        <f t="shared" si="5"/>
        <v>#REF!</v>
      </c>
      <c r="Q13" s="539" t="e">
        <f t="shared" si="6"/>
        <v>#REF!</v>
      </c>
      <c r="R13" s="539" t="e">
        <f t="shared" si="7"/>
        <v>#REF!</v>
      </c>
      <c r="S13" s="539" t="e">
        <f t="shared" si="8"/>
        <v>#REF!</v>
      </c>
      <c r="T13" s="539" t="e">
        <f t="shared" si="9"/>
        <v>#REF!</v>
      </c>
      <c r="U13" s="539" t="e">
        <f t="shared" si="10"/>
        <v>#REF!</v>
      </c>
      <c r="V13" s="539" t="e">
        <f t="shared" si="11"/>
        <v>#REF!</v>
      </c>
      <c r="W13" s="539" t="e">
        <f t="shared" si="12"/>
        <v>#REF!</v>
      </c>
      <c r="X13" s="539" t="e">
        <f t="shared" si="13"/>
        <v>#REF!</v>
      </c>
      <c r="Y13" s="539" t="e">
        <f t="shared" si="14"/>
        <v>#REF!</v>
      </c>
      <c r="Z13" s="541" t="e">
        <f t="shared" si="15"/>
        <v>#REF!</v>
      </c>
      <c r="AA13" s="539"/>
      <c r="AB13" s="539"/>
      <c r="AC13" s="539"/>
      <c r="AD13" s="539" t="e">
        <f t="shared" si="24"/>
        <v>#REF!</v>
      </c>
      <c r="AE13" s="53" t="e">
        <f t="shared" si="25"/>
        <v>#REF!</v>
      </c>
    </row>
    <row r="14" spans="1:31">
      <c r="A14" s="5">
        <v>616</v>
      </c>
      <c r="B14" s="5"/>
      <c r="C14" s="6" t="s">
        <v>415</v>
      </c>
      <c r="D14" s="194"/>
      <c r="E14" s="557" t="e">
        <f>SUMIF(#REF!,$A14,#REF!)</f>
        <v>#REF!</v>
      </c>
      <c r="F14" s="539"/>
      <c r="G14" s="540" t="e">
        <f t="shared" si="0"/>
        <v>#REF!</v>
      </c>
      <c r="H14" s="539" t="e">
        <f t="shared" si="1"/>
        <v>#REF!</v>
      </c>
      <c r="I14" s="539" t="e">
        <f t="shared" si="16"/>
        <v>#REF!</v>
      </c>
      <c r="J14" s="539" t="e">
        <f t="shared" si="17"/>
        <v>#REF!</v>
      </c>
      <c r="K14" s="539" t="e">
        <f t="shared" si="2"/>
        <v>#REF!</v>
      </c>
      <c r="L14" s="539" t="e">
        <f t="shared" si="18"/>
        <v>#REF!</v>
      </c>
      <c r="M14" s="539" t="e">
        <f t="shared" si="19"/>
        <v>#REF!</v>
      </c>
      <c r="N14" s="539" t="e">
        <f t="shared" si="3"/>
        <v>#REF!</v>
      </c>
      <c r="O14" s="539" t="e">
        <f t="shared" si="4"/>
        <v>#REF!</v>
      </c>
      <c r="P14" s="539" t="e">
        <f t="shared" si="5"/>
        <v>#REF!</v>
      </c>
      <c r="Q14" s="539" t="e">
        <f t="shared" si="6"/>
        <v>#REF!</v>
      </c>
      <c r="R14" s="539" t="e">
        <f t="shared" si="7"/>
        <v>#REF!</v>
      </c>
      <c r="S14" s="539" t="e">
        <f t="shared" si="8"/>
        <v>#REF!</v>
      </c>
      <c r="T14" s="539" t="e">
        <f t="shared" si="9"/>
        <v>#REF!</v>
      </c>
      <c r="U14" s="539" t="e">
        <f t="shared" si="10"/>
        <v>#REF!</v>
      </c>
      <c r="V14" s="539" t="e">
        <f t="shared" si="11"/>
        <v>#REF!</v>
      </c>
      <c r="W14" s="539" t="e">
        <f t="shared" si="12"/>
        <v>#REF!</v>
      </c>
      <c r="X14" s="539" t="e">
        <f t="shared" si="13"/>
        <v>#REF!</v>
      </c>
      <c r="Y14" s="539" t="e">
        <f t="shared" si="14"/>
        <v>#REF!</v>
      </c>
      <c r="Z14" s="541" t="e">
        <f t="shared" si="15"/>
        <v>#REF!</v>
      </c>
      <c r="AA14" s="539"/>
      <c r="AB14" s="539"/>
      <c r="AC14" s="539" t="e">
        <f t="shared" ref="AC14:AC46" si="26">G14*$AC$4</f>
        <v>#REF!</v>
      </c>
      <c r="AD14" s="539" t="e">
        <f t="shared" si="24"/>
        <v>#REF!</v>
      </c>
      <c r="AE14" s="53" t="e">
        <f t="shared" si="25"/>
        <v>#REF!</v>
      </c>
    </row>
    <row r="15" spans="1:31">
      <c r="A15" s="5">
        <v>617</v>
      </c>
      <c r="B15" s="5"/>
      <c r="C15" s="6" t="s">
        <v>416</v>
      </c>
      <c r="D15" s="194"/>
      <c r="E15" s="557" t="e">
        <f>SUMIF(#REF!,$A15,#REF!)</f>
        <v>#REF!</v>
      </c>
      <c r="F15" s="539"/>
      <c r="G15" s="540" t="e">
        <f t="shared" si="0"/>
        <v>#REF!</v>
      </c>
      <c r="H15" s="539" t="e">
        <f t="shared" si="1"/>
        <v>#REF!</v>
      </c>
      <c r="I15" s="539" t="e">
        <f t="shared" si="16"/>
        <v>#REF!</v>
      </c>
      <c r="J15" s="539" t="e">
        <f t="shared" si="17"/>
        <v>#REF!</v>
      </c>
      <c r="K15" s="539" t="e">
        <f t="shared" si="2"/>
        <v>#REF!</v>
      </c>
      <c r="L15" s="539" t="e">
        <f t="shared" si="18"/>
        <v>#REF!</v>
      </c>
      <c r="M15" s="539" t="e">
        <f t="shared" si="19"/>
        <v>#REF!</v>
      </c>
      <c r="N15" s="539" t="e">
        <f t="shared" si="3"/>
        <v>#REF!</v>
      </c>
      <c r="O15" s="539" t="e">
        <f t="shared" si="4"/>
        <v>#REF!</v>
      </c>
      <c r="P15" s="539" t="e">
        <f t="shared" si="5"/>
        <v>#REF!</v>
      </c>
      <c r="Q15" s="539" t="e">
        <f t="shared" si="6"/>
        <v>#REF!</v>
      </c>
      <c r="R15" s="539" t="e">
        <f t="shared" si="7"/>
        <v>#REF!</v>
      </c>
      <c r="S15" s="539" t="e">
        <f t="shared" si="8"/>
        <v>#REF!</v>
      </c>
      <c r="T15" s="539" t="e">
        <f t="shared" si="9"/>
        <v>#REF!</v>
      </c>
      <c r="U15" s="539" t="e">
        <f t="shared" si="10"/>
        <v>#REF!</v>
      </c>
      <c r="V15" s="539" t="e">
        <f t="shared" si="11"/>
        <v>#REF!</v>
      </c>
      <c r="W15" s="539" t="e">
        <f t="shared" si="12"/>
        <v>#REF!</v>
      </c>
      <c r="X15" s="539" t="e">
        <f t="shared" si="13"/>
        <v>#REF!</v>
      </c>
      <c r="Y15" s="539" t="e">
        <f t="shared" si="14"/>
        <v>#REF!</v>
      </c>
      <c r="Z15" s="541" t="e">
        <f t="shared" si="15"/>
        <v>#REF!</v>
      </c>
      <c r="AA15" s="539"/>
      <c r="AB15" s="539"/>
      <c r="AC15" s="539" t="e">
        <f t="shared" si="26"/>
        <v>#REF!</v>
      </c>
      <c r="AD15" s="539" t="e">
        <f t="shared" si="24"/>
        <v>#REF!</v>
      </c>
      <c r="AE15" s="53" t="e">
        <f t="shared" si="25"/>
        <v>#REF!</v>
      </c>
    </row>
    <row r="16" spans="1:31">
      <c r="A16" s="5">
        <v>618</v>
      </c>
      <c r="B16" s="5"/>
      <c r="C16" s="6" t="s">
        <v>46</v>
      </c>
      <c r="D16" s="194"/>
      <c r="E16" s="557" t="e">
        <f>SUMIF(#REF!,$A16,#REF!)</f>
        <v>#REF!</v>
      </c>
      <c r="F16" s="539"/>
      <c r="G16" s="540" t="e">
        <f t="shared" si="0"/>
        <v>#REF!</v>
      </c>
      <c r="H16" s="539" t="e">
        <f t="shared" si="1"/>
        <v>#REF!</v>
      </c>
      <c r="I16" s="539" t="e">
        <f t="shared" si="16"/>
        <v>#REF!</v>
      </c>
      <c r="J16" s="539" t="e">
        <f t="shared" si="17"/>
        <v>#REF!</v>
      </c>
      <c r="K16" s="539" t="e">
        <f t="shared" si="2"/>
        <v>#REF!</v>
      </c>
      <c r="L16" s="539" t="e">
        <f t="shared" si="18"/>
        <v>#REF!</v>
      </c>
      <c r="M16" s="539" t="e">
        <f t="shared" si="19"/>
        <v>#REF!</v>
      </c>
      <c r="N16" s="539" t="e">
        <f t="shared" si="3"/>
        <v>#REF!</v>
      </c>
      <c r="O16" s="539" t="e">
        <f t="shared" si="4"/>
        <v>#REF!</v>
      </c>
      <c r="P16" s="539" t="e">
        <f t="shared" si="5"/>
        <v>#REF!</v>
      </c>
      <c r="Q16" s="539" t="e">
        <f t="shared" si="6"/>
        <v>#REF!</v>
      </c>
      <c r="R16" s="539" t="e">
        <f t="shared" si="7"/>
        <v>#REF!</v>
      </c>
      <c r="S16" s="539" t="e">
        <f t="shared" si="8"/>
        <v>#REF!</v>
      </c>
      <c r="T16" s="539" t="e">
        <f t="shared" si="9"/>
        <v>#REF!</v>
      </c>
      <c r="U16" s="539" t="e">
        <f t="shared" si="10"/>
        <v>#REF!</v>
      </c>
      <c r="V16" s="539" t="e">
        <f t="shared" si="11"/>
        <v>#REF!</v>
      </c>
      <c r="W16" s="539" t="e">
        <f t="shared" si="12"/>
        <v>#REF!</v>
      </c>
      <c r="X16" s="539" t="e">
        <f t="shared" si="13"/>
        <v>#REF!</v>
      </c>
      <c r="Y16" s="539" t="e">
        <f t="shared" si="14"/>
        <v>#REF!</v>
      </c>
      <c r="Z16" s="541" t="e">
        <f t="shared" si="15"/>
        <v>#REF!</v>
      </c>
      <c r="AA16" s="539"/>
      <c r="AB16" s="539"/>
      <c r="AC16" s="539" t="e">
        <f t="shared" si="26"/>
        <v>#REF!</v>
      </c>
      <c r="AD16" s="539" t="e">
        <f t="shared" si="24"/>
        <v>#REF!</v>
      </c>
      <c r="AE16" s="53" t="e">
        <f t="shared" si="25"/>
        <v>#REF!</v>
      </c>
    </row>
    <row r="17" spans="1:31">
      <c r="A17" s="5">
        <v>621</v>
      </c>
      <c r="B17" s="5"/>
      <c r="C17" s="6" t="s">
        <v>5</v>
      </c>
      <c r="D17" s="194"/>
      <c r="E17" s="557" t="e">
        <f>SUMIF(#REF!,$A17,#REF!)</f>
        <v>#REF!</v>
      </c>
      <c r="F17" s="539"/>
      <c r="G17" s="540" t="e">
        <f t="shared" si="0"/>
        <v>#REF!</v>
      </c>
      <c r="H17" s="539" t="e">
        <f t="shared" si="1"/>
        <v>#REF!</v>
      </c>
      <c r="I17" s="539" t="e">
        <f t="shared" si="16"/>
        <v>#REF!</v>
      </c>
      <c r="J17" s="539" t="e">
        <f t="shared" si="17"/>
        <v>#REF!</v>
      </c>
      <c r="K17" s="539" t="e">
        <f t="shared" si="2"/>
        <v>#REF!</v>
      </c>
      <c r="L17" s="539" t="e">
        <f t="shared" si="18"/>
        <v>#REF!</v>
      </c>
      <c r="M17" s="539" t="e">
        <f t="shared" si="19"/>
        <v>#REF!</v>
      </c>
      <c r="N17" s="539" t="e">
        <f t="shared" si="3"/>
        <v>#REF!</v>
      </c>
      <c r="O17" s="539" t="e">
        <f t="shared" si="4"/>
        <v>#REF!</v>
      </c>
      <c r="P17" s="539" t="e">
        <f t="shared" si="5"/>
        <v>#REF!</v>
      </c>
      <c r="Q17" s="539" t="e">
        <f t="shared" si="6"/>
        <v>#REF!</v>
      </c>
      <c r="R17" s="539" t="e">
        <f t="shared" si="7"/>
        <v>#REF!</v>
      </c>
      <c r="S17" s="539" t="e">
        <f t="shared" si="8"/>
        <v>#REF!</v>
      </c>
      <c r="T17" s="539" t="e">
        <f t="shared" si="9"/>
        <v>#REF!</v>
      </c>
      <c r="U17" s="539" t="e">
        <f t="shared" si="10"/>
        <v>#REF!</v>
      </c>
      <c r="V17" s="539" t="e">
        <f t="shared" si="11"/>
        <v>#REF!</v>
      </c>
      <c r="W17" s="539" t="e">
        <f t="shared" si="12"/>
        <v>#REF!</v>
      </c>
      <c r="X17" s="539" t="e">
        <f t="shared" si="13"/>
        <v>#REF!</v>
      </c>
      <c r="Y17" s="539" t="e">
        <f t="shared" si="14"/>
        <v>#REF!</v>
      </c>
      <c r="Z17" s="541" t="e">
        <f t="shared" si="15"/>
        <v>#REF!</v>
      </c>
      <c r="AA17" s="539"/>
      <c r="AB17" s="539"/>
      <c r="AC17" s="539" t="e">
        <f t="shared" si="26"/>
        <v>#REF!</v>
      </c>
      <c r="AD17" s="539" t="e">
        <f t="shared" si="24"/>
        <v>#REF!</v>
      </c>
      <c r="AE17" s="53" t="e">
        <f t="shared" si="25"/>
        <v>#REF!</v>
      </c>
    </row>
    <row r="18" spans="1:31">
      <c r="A18" s="5">
        <v>622</v>
      </c>
      <c r="B18" s="5"/>
      <c r="C18" s="6" t="s">
        <v>47</v>
      </c>
      <c r="D18" s="194"/>
      <c r="E18" s="557" t="e">
        <f>SUMIF(#REF!,$A18,#REF!)</f>
        <v>#REF!</v>
      </c>
      <c r="F18" s="539"/>
      <c r="G18" s="540" t="e">
        <f t="shared" si="0"/>
        <v>#REF!</v>
      </c>
      <c r="H18" s="539" t="e">
        <f t="shared" si="1"/>
        <v>#REF!</v>
      </c>
      <c r="I18" s="539" t="e">
        <f t="shared" si="16"/>
        <v>#REF!</v>
      </c>
      <c r="J18" s="539" t="e">
        <f t="shared" si="17"/>
        <v>#REF!</v>
      </c>
      <c r="K18" s="539" t="e">
        <f t="shared" si="2"/>
        <v>#REF!</v>
      </c>
      <c r="L18" s="539" t="e">
        <f t="shared" si="18"/>
        <v>#REF!</v>
      </c>
      <c r="M18" s="539" t="e">
        <f t="shared" si="19"/>
        <v>#REF!</v>
      </c>
      <c r="N18" s="539" t="e">
        <f t="shared" si="3"/>
        <v>#REF!</v>
      </c>
      <c r="O18" s="539" t="e">
        <f t="shared" si="4"/>
        <v>#REF!</v>
      </c>
      <c r="P18" s="539" t="e">
        <f t="shared" si="5"/>
        <v>#REF!</v>
      </c>
      <c r="Q18" s="539" t="e">
        <f t="shared" si="6"/>
        <v>#REF!</v>
      </c>
      <c r="R18" s="539" t="e">
        <f t="shared" si="7"/>
        <v>#REF!</v>
      </c>
      <c r="S18" s="539" t="e">
        <f t="shared" si="8"/>
        <v>#REF!</v>
      </c>
      <c r="T18" s="539" t="e">
        <f t="shared" si="9"/>
        <v>#REF!</v>
      </c>
      <c r="U18" s="539" t="e">
        <f t="shared" si="10"/>
        <v>#REF!</v>
      </c>
      <c r="V18" s="539" t="e">
        <f t="shared" si="11"/>
        <v>#REF!</v>
      </c>
      <c r="W18" s="539" t="e">
        <f t="shared" si="12"/>
        <v>#REF!</v>
      </c>
      <c r="X18" s="539" t="e">
        <f t="shared" si="13"/>
        <v>#REF!</v>
      </c>
      <c r="Y18" s="539" t="e">
        <f t="shared" si="14"/>
        <v>#REF!</v>
      </c>
      <c r="Z18" s="541" t="e">
        <f t="shared" si="15"/>
        <v>#REF!</v>
      </c>
      <c r="AA18" s="539"/>
      <c r="AB18" s="539"/>
      <c r="AC18" s="539" t="e">
        <f t="shared" si="26"/>
        <v>#REF!</v>
      </c>
      <c r="AD18" s="539" t="e">
        <f t="shared" si="24"/>
        <v>#REF!</v>
      </c>
      <c r="AE18" s="53" t="e">
        <f t="shared" si="25"/>
        <v>#REF!</v>
      </c>
    </row>
    <row r="19" spans="1:31">
      <c r="A19" s="5">
        <v>623</v>
      </c>
      <c r="B19" s="5"/>
      <c r="C19" s="6" t="s">
        <v>48</v>
      </c>
      <c r="D19" s="194"/>
      <c r="E19" s="557" t="e">
        <f>SUMIF(#REF!,$A19,#REF!)</f>
        <v>#REF!</v>
      </c>
      <c r="F19" s="539"/>
      <c r="G19" s="540" t="e">
        <f t="shared" si="0"/>
        <v>#REF!</v>
      </c>
      <c r="H19" s="539" t="e">
        <f t="shared" si="1"/>
        <v>#REF!</v>
      </c>
      <c r="I19" s="539" t="e">
        <f t="shared" si="16"/>
        <v>#REF!</v>
      </c>
      <c r="J19" s="539" t="e">
        <f t="shared" si="17"/>
        <v>#REF!</v>
      </c>
      <c r="K19" s="539" t="e">
        <f t="shared" si="2"/>
        <v>#REF!</v>
      </c>
      <c r="L19" s="539" t="e">
        <f t="shared" si="18"/>
        <v>#REF!</v>
      </c>
      <c r="M19" s="539" t="e">
        <f t="shared" si="19"/>
        <v>#REF!</v>
      </c>
      <c r="N19" s="539" t="e">
        <f t="shared" si="3"/>
        <v>#REF!</v>
      </c>
      <c r="O19" s="539" t="e">
        <f t="shared" si="4"/>
        <v>#REF!</v>
      </c>
      <c r="P19" s="539" t="e">
        <f t="shared" si="5"/>
        <v>#REF!</v>
      </c>
      <c r="Q19" s="539" t="e">
        <f t="shared" si="6"/>
        <v>#REF!</v>
      </c>
      <c r="R19" s="539" t="e">
        <f t="shared" si="7"/>
        <v>#REF!</v>
      </c>
      <c r="S19" s="539" t="e">
        <f t="shared" si="8"/>
        <v>#REF!</v>
      </c>
      <c r="T19" s="539" t="e">
        <f t="shared" si="9"/>
        <v>#REF!</v>
      </c>
      <c r="U19" s="539" t="e">
        <f t="shared" si="10"/>
        <v>#REF!</v>
      </c>
      <c r="V19" s="539" t="e">
        <f t="shared" si="11"/>
        <v>#REF!</v>
      </c>
      <c r="W19" s="539" t="e">
        <f t="shared" si="12"/>
        <v>#REF!</v>
      </c>
      <c r="X19" s="539" t="e">
        <f t="shared" si="13"/>
        <v>#REF!</v>
      </c>
      <c r="Y19" s="539" t="e">
        <f t="shared" si="14"/>
        <v>#REF!</v>
      </c>
      <c r="Z19" s="541" t="e">
        <f t="shared" si="15"/>
        <v>#REF!</v>
      </c>
      <c r="AA19" s="539"/>
      <c r="AB19" s="539"/>
      <c r="AC19" s="539" t="e">
        <f t="shared" si="26"/>
        <v>#REF!</v>
      </c>
      <c r="AD19" s="539" t="e">
        <f t="shared" si="24"/>
        <v>#REF!</v>
      </c>
      <c r="AE19" s="53" t="e">
        <f t="shared" si="25"/>
        <v>#REF!</v>
      </c>
    </row>
    <row r="20" spans="1:31">
      <c r="A20" s="5">
        <v>624</v>
      </c>
      <c r="B20" s="5"/>
      <c r="C20" s="6" t="s">
        <v>288</v>
      </c>
      <c r="D20" s="194"/>
      <c r="E20" s="557" t="e">
        <f>SUMIF(#REF!,$A20,#REF!)</f>
        <v>#REF!</v>
      </c>
      <c r="F20" s="539"/>
      <c r="G20" s="540" t="e">
        <f t="shared" si="0"/>
        <v>#REF!</v>
      </c>
      <c r="H20" s="539" t="e">
        <f t="shared" si="1"/>
        <v>#REF!</v>
      </c>
      <c r="I20" s="539" t="e">
        <f t="shared" ref="I20:I26" si="27">G20*$I$4</f>
        <v>#REF!</v>
      </c>
      <c r="J20" s="539" t="e">
        <f t="shared" ref="J20:J26" si="28">G20*$J$4</f>
        <v>#REF!</v>
      </c>
      <c r="K20" s="539" t="e">
        <f t="shared" si="2"/>
        <v>#REF!</v>
      </c>
      <c r="L20" s="539" t="e">
        <f t="shared" ref="L20:L26" si="29">J20*$L$4</f>
        <v>#REF!</v>
      </c>
      <c r="M20" s="539" t="e">
        <f t="shared" ref="M20:M26" si="30">J20*$M$4</f>
        <v>#REF!</v>
      </c>
      <c r="N20" s="539" t="e">
        <f t="shared" si="3"/>
        <v>#REF!</v>
      </c>
      <c r="O20" s="539" t="e">
        <f t="shared" si="4"/>
        <v>#REF!</v>
      </c>
      <c r="P20" s="539" t="e">
        <f t="shared" si="5"/>
        <v>#REF!</v>
      </c>
      <c r="Q20" s="539" t="e">
        <f t="shared" si="6"/>
        <v>#REF!</v>
      </c>
      <c r="R20" s="539" t="e">
        <f t="shared" si="7"/>
        <v>#REF!</v>
      </c>
      <c r="S20" s="539" t="e">
        <f t="shared" si="8"/>
        <v>#REF!</v>
      </c>
      <c r="T20" s="539" t="e">
        <f t="shared" si="9"/>
        <v>#REF!</v>
      </c>
      <c r="U20" s="539" t="e">
        <f t="shared" si="10"/>
        <v>#REF!</v>
      </c>
      <c r="V20" s="539" t="e">
        <f t="shared" si="11"/>
        <v>#REF!</v>
      </c>
      <c r="W20" s="539" t="e">
        <f t="shared" si="12"/>
        <v>#REF!</v>
      </c>
      <c r="X20" s="539" t="e">
        <f t="shared" si="13"/>
        <v>#REF!</v>
      </c>
      <c r="Y20" s="539" t="e">
        <f t="shared" si="14"/>
        <v>#REF!</v>
      </c>
      <c r="Z20" s="541" t="e">
        <f t="shared" si="15"/>
        <v>#REF!</v>
      </c>
      <c r="AA20" s="539"/>
      <c r="AB20" s="539"/>
      <c r="AC20" s="539" t="e">
        <f t="shared" si="26"/>
        <v>#REF!</v>
      </c>
      <c r="AD20" s="539" t="e">
        <f t="shared" si="24"/>
        <v>#REF!</v>
      </c>
      <c r="AE20" s="53" t="e">
        <f t="shared" si="25"/>
        <v>#REF!</v>
      </c>
    </row>
    <row r="21" spans="1:31">
      <c r="A21" s="5">
        <v>625</v>
      </c>
      <c r="B21" s="5"/>
      <c r="C21" s="6" t="s">
        <v>32</v>
      </c>
      <c r="D21" s="194"/>
      <c r="E21" s="557" t="e">
        <f>SUMIF(#REF!,$A21,#REF!)</f>
        <v>#REF!</v>
      </c>
      <c r="F21" s="539"/>
      <c r="G21" s="540" t="e">
        <f t="shared" si="0"/>
        <v>#REF!</v>
      </c>
      <c r="H21" s="539" t="e">
        <f t="shared" si="1"/>
        <v>#REF!</v>
      </c>
      <c r="I21" s="539" t="e">
        <f t="shared" si="27"/>
        <v>#REF!</v>
      </c>
      <c r="J21" s="539" t="e">
        <f t="shared" si="28"/>
        <v>#REF!</v>
      </c>
      <c r="K21" s="539" t="e">
        <f t="shared" si="2"/>
        <v>#REF!</v>
      </c>
      <c r="L21" s="539" t="e">
        <f t="shared" si="29"/>
        <v>#REF!</v>
      </c>
      <c r="M21" s="539" t="e">
        <f t="shared" si="30"/>
        <v>#REF!</v>
      </c>
      <c r="N21" s="539" t="e">
        <f t="shared" si="3"/>
        <v>#REF!</v>
      </c>
      <c r="O21" s="539" t="e">
        <f t="shared" si="4"/>
        <v>#REF!</v>
      </c>
      <c r="P21" s="539" t="e">
        <f t="shared" si="5"/>
        <v>#REF!</v>
      </c>
      <c r="Q21" s="539" t="e">
        <f t="shared" si="6"/>
        <v>#REF!</v>
      </c>
      <c r="R21" s="539" t="e">
        <f t="shared" si="7"/>
        <v>#REF!</v>
      </c>
      <c r="S21" s="539" t="e">
        <f t="shared" si="8"/>
        <v>#REF!</v>
      </c>
      <c r="T21" s="539" t="e">
        <f t="shared" si="9"/>
        <v>#REF!</v>
      </c>
      <c r="U21" s="539" t="e">
        <f t="shared" si="10"/>
        <v>#REF!</v>
      </c>
      <c r="V21" s="539" t="e">
        <f t="shared" si="11"/>
        <v>#REF!</v>
      </c>
      <c r="W21" s="539" t="e">
        <f t="shared" si="12"/>
        <v>#REF!</v>
      </c>
      <c r="X21" s="539" t="e">
        <f t="shared" si="13"/>
        <v>#REF!</v>
      </c>
      <c r="Y21" s="539" t="e">
        <f t="shared" si="14"/>
        <v>#REF!</v>
      </c>
      <c r="Z21" s="541" t="e">
        <f t="shared" si="15"/>
        <v>#REF!</v>
      </c>
      <c r="AA21" s="539"/>
      <c r="AB21" s="539"/>
      <c r="AC21" s="539" t="e">
        <f t="shared" si="26"/>
        <v>#REF!</v>
      </c>
      <c r="AD21" s="539" t="e">
        <f t="shared" si="24"/>
        <v>#REF!</v>
      </c>
      <c r="AE21" s="53" t="e">
        <f t="shared" si="25"/>
        <v>#REF!</v>
      </c>
    </row>
    <row r="22" spans="1:31">
      <c r="A22" s="5">
        <v>626</v>
      </c>
      <c r="B22" s="5"/>
      <c r="C22" s="6" t="s">
        <v>33</v>
      </c>
      <c r="D22" s="194"/>
      <c r="E22" s="557" t="e">
        <f>SUMIF(#REF!,$A22,#REF!)</f>
        <v>#REF!</v>
      </c>
      <c r="F22" s="539"/>
      <c r="G22" s="540" t="e">
        <f t="shared" si="0"/>
        <v>#REF!</v>
      </c>
      <c r="H22" s="539" t="e">
        <f t="shared" si="1"/>
        <v>#REF!</v>
      </c>
      <c r="I22" s="539" t="e">
        <f t="shared" si="27"/>
        <v>#REF!</v>
      </c>
      <c r="J22" s="539" t="e">
        <f t="shared" si="28"/>
        <v>#REF!</v>
      </c>
      <c r="K22" s="539" t="e">
        <f t="shared" si="2"/>
        <v>#REF!</v>
      </c>
      <c r="L22" s="539" t="e">
        <f t="shared" si="29"/>
        <v>#REF!</v>
      </c>
      <c r="M22" s="539" t="e">
        <f t="shared" si="30"/>
        <v>#REF!</v>
      </c>
      <c r="N22" s="539" t="e">
        <f t="shared" si="3"/>
        <v>#REF!</v>
      </c>
      <c r="O22" s="539" t="e">
        <f t="shared" si="4"/>
        <v>#REF!</v>
      </c>
      <c r="P22" s="539" t="e">
        <f t="shared" si="5"/>
        <v>#REF!</v>
      </c>
      <c r="Q22" s="539" t="e">
        <f t="shared" si="6"/>
        <v>#REF!</v>
      </c>
      <c r="R22" s="539" t="e">
        <f t="shared" si="7"/>
        <v>#REF!</v>
      </c>
      <c r="S22" s="539" t="e">
        <f t="shared" si="8"/>
        <v>#REF!</v>
      </c>
      <c r="T22" s="539" t="e">
        <f t="shared" si="9"/>
        <v>#REF!</v>
      </c>
      <c r="U22" s="539" t="e">
        <f t="shared" si="10"/>
        <v>#REF!</v>
      </c>
      <c r="V22" s="539" t="e">
        <f t="shared" si="11"/>
        <v>#REF!</v>
      </c>
      <c r="W22" s="539" t="e">
        <f t="shared" si="12"/>
        <v>#REF!</v>
      </c>
      <c r="X22" s="539" t="e">
        <f t="shared" si="13"/>
        <v>#REF!</v>
      </c>
      <c r="Y22" s="539" t="e">
        <f t="shared" si="14"/>
        <v>#REF!</v>
      </c>
      <c r="Z22" s="541" t="e">
        <f t="shared" si="15"/>
        <v>#REF!</v>
      </c>
      <c r="AA22" s="539"/>
      <c r="AB22" s="539"/>
      <c r="AC22" s="539" t="e">
        <f t="shared" si="26"/>
        <v>#REF!</v>
      </c>
      <c r="AD22" s="539" t="e">
        <f t="shared" si="24"/>
        <v>#REF!</v>
      </c>
      <c r="AE22" s="53" t="e">
        <f t="shared" si="25"/>
        <v>#REF!</v>
      </c>
    </row>
    <row r="23" spans="1:31">
      <c r="A23" s="5">
        <v>627</v>
      </c>
      <c r="B23" s="5"/>
      <c r="C23" s="6" t="s">
        <v>174</v>
      </c>
      <c r="D23" s="194"/>
      <c r="E23" s="557" t="e">
        <f>SUMIF(#REF!,$A23,#REF!)</f>
        <v>#REF!</v>
      </c>
      <c r="F23" s="539"/>
      <c r="G23" s="540" t="e">
        <f t="shared" si="0"/>
        <v>#REF!</v>
      </c>
      <c r="H23" s="539" t="e">
        <f t="shared" si="1"/>
        <v>#REF!</v>
      </c>
      <c r="I23" s="539" t="e">
        <f t="shared" si="27"/>
        <v>#REF!</v>
      </c>
      <c r="J23" s="539" t="e">
        <f t="shared" si="28"/>
        <v>#REF!</v>
      </c>
      <c r="K23" s="539" t="e">
        <f t="shared" si="2"/>
        <v>#REF!</v>
      </c>
      <c r="L23" s="539" t="e">
        <f t="shared" si="29"/>
        <v>#REF!</v>
      </c>
      <c r="M23" s="539" t="e">
        <f t="shared" si="30"/>
        <v>#REF!</v>
      </c>
      <c r="N23" s="539" t="e">
        <f t="shared" si="3"/>
        <v>#REF!</v>
      </c>
      <c r="O23" s="539" t="e">
        <f t="shared" si="4"/>
        <v>#REF!</v>
      </c>
      <c r="P23" s="539" t="e">
        <f t="shared" si="5"/>
        <v>#REF!</v>
      </c>
      <c r="Q23" s="539" t="e">
        <f t="shared" si="6"/>
        <v>#REF!</v>
      </c>
      <c r="R23" s="539" t="e">
        <f t="shared" si="7"/>
        <v>#REF!</v>
      </c>
      <c r="S23" s="539" t="e">
        <f t="shared" si="8"/>
        <v>#REF!</v>
      </c>
      <c r="T23" s="539" t="e">
        <f t="shared" si="9"/>
        <v>#REF!</v>
      </c>
      <c r="U23" s="539" t="e">
        <f t="shared" si="10"/>
        <v>#REF!</v>
      </c>
      <c r="V23" s="539" t="e">
        <f t="shared" si="11"/>
        <v>#REF!</v>
      </c>
      <c r="W23" s="539" t="e">
        <f t="shared" si="12"/>
        <v>#REF!</v>
      </c>
      <c r="X23" s="539" t="e">
        <f t="shared" si="13"/>
        <v>#REF!</v>
      </c>
      <c r="Y23" s="539" t="e">
        <f t="shared" si="14"/>
        <v>#REF!</v>
      </c>
      <c r="Z23" s="541" t="e">
        <f t="shared" si="15"/>
        <v>#REF!</v>
      </c>
      <c r="AA23" s="539"/>
      <c r="AB23" s="539"/>
      <c r="AC23" s="539" t="e">
        <f t="shared" si="26"/>
        <v>#REF!</v>
      </c>
      <c r="AD23" s="539" t="e">
        <f t="shared" si="24"/>
        <v>#REF!</v>
      </c>
      <c r="AE23" s="53" t="e">
        <f t="shared" si="25"/>
        <v>#REF!</v>
      </c>
    </row>
    <row r="24" spans="1:31">
      <c r="A24" s="5">
        <v>628</v>
      </c>
      <c r="B24" s="5"/>
      <c r="C24" s="6" t="s">
        <v>34</v>
      </c>
      <c r="D24" s="194"/>
      <c r="E24" s="557" t="e">
        <f>SUMIF(#REF!,$A24,#REF!)</f>
        <v>#REF!</v>
      </c>
      <c r="F24" s="539"/>
      <c r="G24" s="540" t="e">
        <f t="shared" si="0"/>
        <v>#REF!</v>
      </c>
      <c r="H24" s="539" t="e">
        <f t="shared" si="1"/>
        <v>#REF!</v>
      </c>
      <c r="I24" s="539" t="e">
        <f t="shared" si="27"/>
        <v>#REF!</v>
      </c>
      <c r="J24" s="539" t="e">
        <f t="shared" si="28"/>
        <v>#REF!</v>
      </c>
      <c r="K24" s="539" t="e">
        <f t="shared" si="2"/>
        <v>#REF!</v>
      </c>
      <c r="L24" s="539" t="e">
        <f t="shared" si="29"/>
        <v>#REF!</v>
      </c>
      <c r="M24" s="539" t="e">
        <f t="shared" si="30"/>
        <v>#REF!</v>
      </c>
      <c r="N24" s="539" t="e">
        <f t="shared" si="3"/>
        <v>#REF!</v>
      </c>
      <c r="O24" s="539" t="e">
        <f t="shared" si="4"/>
        <v>#REF!</v>
      </c>
      <c r="P24" s="539" t="e">
        <f t="shared" si="5"/>
        <v>#REF!</v>
      </c>
      <c r="Q24" s="539" t="e">
        <f t="shared" si="6"/>
        <v>#REF!</v>
      </c>
      <c r="R24" s="539" t="e">
        <f t="shared" si="7"/>
        <v>#REF!</v>
      </c>
      <c r="S24" s="539" t="e">
        <f t="shared" si="8"/>
        <v>#REF!</v>
      </c>
      <c r="T24" s="539" t="e">
        <f t="shared" si="9"/>
        <v>#REF!</v>
      </c>
      <c r="U24" s="539" t="e">
        <f t="shared" si="10"/>
        <v>#REF!</v>
      </c>
      <c r="V24" s="539" t="e">
        <f t="shared" si="11"/>
        <v>#REF!</v>
      </c>
      <c r="W24" s="539" t="e">
        <f t="shared" si="12"/>
        <v>#REF!</v>
      </c>
      <c r="X24" s="539" t="e">
        <f t="shared" si="13"/>
        <v>#REF!</v>
      </c>
      <c r="Y24" s="539" t="e">
        <f t="shared" si="14"/>
        <v>#REF!</v>
      </c>
      <c r="Z24" s="541" t="e">
        <f t="shared" si="15"/>
        <v>#REF!</v>
      </c>
      <c r="AA24" s="539"/>
      <c r="AB24" s="539"/>
      <c r="AC24" s="539" t="e">
        <f t="shared" si="26"/>
        <v>#REF!</v>
      </c>
      <c r="AD24" s="539" t="e">
        <f t="shared" si="24"/>
        <v>#REF!</v>
      </c>
      <c r="AE24" s="53" t="e">
        <f t="shared" si="25"/>
        <v>#REF!</v>
      </c>
    </row>
    <row r="25" spans="1:31">
      <c r="A25" s="5">
        <v>631</v>
      </c>
      <c r="B25" s="5"/>
      <c r="C25" s="6" t="s">
        <v>61</v>
      </c>
      <c r="D25" s="194"/>
      <c r="E25" s="557" t="e">
        <f>SUMIF(#REF!,$A25,#REF!)</f>
        <v>#REF!</v>
      </c>
      <c r="F25" s="539"/>
      <c r="G25" s="540" t="e">
        <f t="shared" si="0"/>
        <v>#REF!</v>
      </c>
      <c r="H25" s="539" t="e">
        <f t="shared" si="1"/>
        <v>#REF!</v>
      </c>
      <c r="I25" s="539" t="e">
        <f t="shared" si="27"/>
        <v>#REF!</v>
      </c>
      <c r="J25" s="539" t="e">
        <f t="shared" si="28"/>
        <v>#REF!</v>
      </c>
      <c r="K25" s="539" t="e">
        <f t="shared" si="2"/>
        <v>#REF!</v>
      </c>
      <c r="L25" s="539" t="e">
        <f t="shared" si="29"/>
        <v>#REF!</v>
      </c>
      <c r="M25" s="539" t="e">
        <f t="shared" si="30"/>
        <v>#REF!</v>
      </c>
      <c r="N25" s="539" t="e">
        <f t="shared" si="3"/>
        <v>#REF!</v>
      </c>
      <c r="O25" s="539" t="e">
        <f t="shared" si="4"/>
        <v>#REF!</v>
      </c>
      <c r="P25" s="539" t="e">
        <f t="shared" si="5"/>
        <v>#REF!</v>
      </c>
      <c r="Q25" s="539" t="e">
        <f t="shared" si="6"/>
        <v>#REF!</v>
      </c>
      <c r="R25" s="539" t="e">
        <f t="shared" si="7"/>
        <v>#REF!</v>
      </c>
      <c r="S25" s="539" t="e">
        <f t="shared" si="8"/>
        <v>#REF!</v>
      </c>
      <c r="T25" s="539" t="e">
        <f t="shared" si="9"/>
        <v>#REF!</v>
      </c>
      <c r="U25" s="539" t="e">
        <f t="shared" si="10"/>
        <v>#REF!</v>
      </c>
      <c r="V25" s="539" t="e">
        <f t="shared" si="11"/>
        <v>#REF!</v>
      </c>
      <c r="W25" s="539" t="e">
        <f t="shared" si="12"/>
        <v>#REF!</v>
      </c>
      <c r="X25" s="539" t="e">
        <f t="shared" si="13"/>
        <v>#REF!</v>
      </c>
      <c r="Y25" s="539" t="e">
        <f t="shared" si="14"/>
        <v>#REF!</v>
      </c>
      <c r="Z25" s="541" t="e">
        <f t="shared" si="15"/>
        <v>#REF!</v>
      </c>
      <c r="AA25" s="539"/>
      <c r="AB25" s="539"/>
      <c r="AC25" s="539" t="e">
        <f t="shared" si="26"/>
        <v>#REF!</v>
      </c>
      <c r="AD25" s="539" t="e">
        <f t="shared" si="24"/>
        <v>#REF!</v>
      </c>
      <c r="AE25" s="53" t="e">
        <f t="shared" si="25"/>
        <v>#REF!</v>
      </c>
    </row>
    <row r="26" spans="1:31">
      <c r="A26" s="5">
        <v>635</v>
      </c>
      <c r="B26" s="5"/>
      <c r="C26" s="6" t="s">
        <v>49</v>
      </c>
      <c r="D26" s="194"/>
      <c r="E26" s="557" t="e">
        <f>SUMIF(#REF!,$A26,#REF!)</f>
        <v>#REF!</v>
      </c>
      <c r="F26" s="539"/>
      <c r="G26" s="540" t="e">
        <f t="shared" si="0"/>
        <v>#REF!</v>
      </c>
      <c r="H26" s="539" t="e">
        <f t="shared" si="1"/>
        <v>#REF!</v>
      </c>
      <c r="I26" s="539" t="e">
        <f t="shared" si="27"/>
        <v>#REF!</v>
      </c>
      <c r="J26" s="539" t="e">
        <f t="shared" si="28"/>
        <v>#REF!</v>
      </c>
      <c r="K26" s="539" t="e">
        <f t="shared" si="2"/>
        <v>#REF!</v>
      </c>
      <c r="L26" s="539" t="e">
        <f t="shared" si="29"/>
        <v>#REF!</v>
      </c>
      <c r="M26" s="539" t="e">
        <f t="shared" si="30"/>
        <v>#REF!</v>
      </c>
      <c r="N26" s="539" t="e">
        <f t="shared" si="3"/>
        <v>#REF!</v>
      </c>
      <c r="O26" s="539" t="e">
        <f t="shared" si="4"/>
        <v>#REF!</v>
      </c>
      <c r="P26" s="539" t="e">
        <f t="shared" si="5"/>
        <v>#REF!</v>
      </c>
      <c r="Q26" s="539" t="e">
        <f t="shared" si="6"/>
        <v>#REF!</v>
      </c>
      <c r="R26" s="539" t="e">
        <f t="shared" si="7"/>
        <v>#REF!</v>
      </c>
      <c r="S26" s="539" t="e">
        <f t="shared" si="8"/>
        <v>#REF!</v>
      </c>
      <c r="T26" s="539" t="e">
        <f t="shared" si="9"/>
        <v>#REF!</v>
      </c>
      <c r="U26" s="539" t="e">
        <f t="shared" si="10"/>
        <v>#REF!</v>
      </c>
      <c r="V26" s="539" t="e">
        <f t="shared" si="11"/>
        <v>#REF!</v>
      </c>
      <c r="W26" s="539" t="e">
        <f t="shared" si="12"/>
        <v>#REF!</v>
      </c>
      <c r="X26" s="539" t="e">
        <f t="shared" si="13"/>
        <v>#REF!</v>
      </c>
      <c r="Y26" s="539" t="e">
        <f t="shared" si="14"/>
        <v>#REF!</v>
      </c>
      <c r="Z26" s="541" t="e">
        <f t="shared" si="15"/>
        <v>#REF!</v>
      </c>
      <c r="AA26" s="539"/>
      <c r="AB26" s="539"/>
      <c r="AC26" s="539" t="e">
        <f t="shared" si="26"/>
        <v>#REF!</v>
      </c>
      <c r="AD26" s="539" t="e">
        <f t="shared" si="24"/>
        <v>#REF!</v>
      </c>
      <c r="AE26" s="53"/>
    </row>
    <row r="27" spans="1:31">
      <c r="A27" s="5">
        <v>640</v>
      </c>
      <c r="B27" s="5"/>
      <c r="C27" s="6" t="s">
        <v>417</v>
      </c>
      <c r="D27" s="194"/>
      <c r="E27" s="557" t="e">
        <f>SUMIF(#REF!,$A27,#REF!)</f>
        <v>#REF!</v>
      </c>
      <c r="F27" s="539"/>
      <c r="G27" s="540" t="e">
        <f t="shared" si="0"/>
        <v>#REF!</v>
      </c>
      <c r="H27" s="539"/>
      <c r="I27" s="539" t="e">
        <f>+G27</f>
        <v>#REF!</v>
      </c>
      <c r="J27" s="539"/>
      <c r="K27" s="539"/>
      <c r="L27" s="539"/>
      <c r="M27" s="539"/>
      <c r="N27" s="539"/>
      <c r="O27" s="539"/>
      <c r="P27" s="539"/>
      <c r="Q27" s="539"/>
      <c r="R27" s="539"/>
      <c r="S27" s="539"/>
      <c r="T27" s="539"/>
      <c r="U27" s="539"/>
      <c r="V27" s="539"/>
      <c r="W27" s="539"/>
      <c r="X27" s="539"/>
      <c r="Y27" s="539"/>
      <c r="Z27" s="541"/>
      <c r="AA27" s="539"/>
      <c r="AB27" s="539"/>
      <c r="AC27" s="539" t="e">
        <f t="shared" si="26"/>
        <v>#REF!</v>
      </c>
      <c r="AD27" s="539" t="e">
        <f t="shared" si="24"/>
        <v>#REF!</v>
      </c>
      <c r="AE27" s="53"/>
    </row>
    <row r="28" spans="1:31">
      <c r="A28" s="5">
        <v>645</v>
      </c>
      <c r="B28" s="5"/>
      <c r="C28" s="6" t="s">
        <v>418</v>
      </c>
      <c r="D28" s="194"/>
      <c r="E28" s="557" t="e">
        <f>SUMIF(#REF!,$A28,#REF!)</f>
        <v>#REF!</v>
      </c>
      <c r="F28" s="539"/>
      <c r="G28" s="540" t="e">
        <f t="shared" si="0"/>
        <v>#REF!</v>
      </c>
      <c r="H28" s="539" t="e">
        <f>G28*$H$4</f>
        <v>#REF!</v>
      </c>
      <c r="I28" s="539" t="e">
        <f>G28*$I$4</f>
        <v>#REF!</v>
      </c>
      <c r="J28" s="539" t="e">
        <f>G28*$J$4</f>
        <v>#REF!</v>
      </c>
      <c r="K28" s="539" t="e">
        <f>J28*$K$4</f>
        <v>#REF!</v>
      </c>
      <c r="L28" s="539" t="e">
        <f>J28*$L$4</f>
        <v>#REF!</v>
      </c>
      <c r="M28" s="539" t="e">
        <f>J28*$M$4</f>
        <v>#REF!</v>
      </c>
      <c r="N28" s="539" t="e">
        <f>J28*$N$4</f>
        <v>#REF!</v>
      </c>
      <c r="O28" s="539" t="e">
        <f>J28*$O$4</f>
        <v>#REF!</v>
      </c>
      <c r="P28" s="539" t="e">
        <f>J28*$P$4</f>
        <v>#REF!</v>
      </c>
      <c r="Q28" s="539" t="e">
        <f>J28*$Q$4</f>
        <v>#REF!</v>
      </c>
      <c r="R28" s="539" t="e">
        <f>J28*$R$4</f>
        <v>#REF!</v>
      </c>
      <c r="S28" s="539" t="e">
        <f>J28*$S$4</f>
        <v>#REF!</v>
      </c>
      <c r="T28" s="539" t="e">
        <f>J28*$T$4</f>
        <v>#REF!</v>
      </c>
      <c r="U28" s="539" t="e">
        <f>J28*$U$4</f>
        <v>#REF!</v>
      </c>
      <c r="V28" s="539" t="e">
        <f>J28*$V$4</f>
        <v>#REF!</v>
      </c>
      <c r="W28" s="539" t="e">
        <f>J28*$W$4</f>
        <v>#REF!</v>
      </c>
      <c r="X28" s="539" t="e">
        <f>J28*$X$4</f>
        <v>#REF!</v>
      </c>
      <c r="Y28" s="539" t="e">
        <f>J28*$Y$4</f>
        <v>#REF!</v>
      </c>
      <c r="Z28" s="541" t="e">
        <f>J28*$Z$4</f>
        <v>#REF!</v>
      </c>
      <c r="AA28" s="539"/>
      <c r="AB28" s="539"/>
      <c r="AC28" s="539" t="e">
        <f t="shared" si="26"/>
        <v>#REF!</v>
      </c>
      <c r="AD28" s="539" t="e">
        <f t="shared" si="24"/>
        <v>#REF!</v>
      </c>
      <c r="AE28" s="53"/>
    </row>
    <row r="29" spans="1:31">
      <c r="A29" s="5">
        <v>648</v>
      </c>
      <c r="B29" s="5"/>
      <c r="C29" s="6" t="s">
        <v>421</v>
      </c>
      <c r="D29" s="194"/>
      <c r="E29" s="557" t="e">
        <f>SUMIF(#REF!,$A29,#REF!)</f>
        <v>#REF!</v>
      </c>
      <c r="F29" s="539"/>
      <c r="G29" s="540" t="e">
        <f t="shared" si="0"/>
        <v>#REF!</v>
      </c>
      <c r="H29" s="539" t="e">
        <f>G29*$H$4</f>
        <v>#REF!</v>
      </c>
      <c r="I29" s="539" t="e">
        <f>G29*$I$4</f>
        <v>#REF!</v>
      </c>
      <c r="J29" s="539" t="e">
        <f>G29*$J$4</f>
        <v>#REF!</v>
      </c>
      <c r="K29" s="539" t="e">
        <f>J29*$K$4</f>
        <v>#REF!</v>
      </c>
      <c r="L29" s="539" t="e">
        <f>J29*$L$4</f>
        <v>#REF!</v>
      </c>
      <c r="M29" s="539" t="e">
        <f>J29*$M$4</f>
        <v>#REF!</v>
      </c>
      <c r="N29" s="539" t="e">
        <f>J29*$N$4</f>
        <v>#REF!</v>
      </c>
      <c r="O29" s="539" t="e">
        <f>J29*$O$4</f>
        <v>#REF!</v>
      </c>
      <c r="P29" s="539" t="e">
        <f>J29*$P$4</f>
        <v>#REF!</v>
      </c>
      <c r="Q29" s="539" t="e">
        <f>J29*$Q$4</f>
        <v>#REF!</v>
      </c>
      <c r="R29" s="539" t="e">
        <f>J29*$R$4</f>
        <v>#REF!</v>
      </c>
      <c r="S29" s="539" t="e">
        <f>J29*$S$4</f>
        <v>#REF!</v>
      </c>
      <c r="T29" s="539" t="e">
        <f>J29*$T$4</f>
        <v>#REF!</v>
      </c>
      <c r="U29" s="539" t="e">
        <f>J29*$U$4</f>
        <v>#REF!</v>
      </c>
      <c r="V29" s="539" t="e">
        <f>J29*$V$4</f>
        <v>#REF!</v>
      </c>
      <c r="W29" s="539" t="e">
        <f>J29*$W$4</f>
        <v>#REF!</v>
      </c>
      <c r="X29" s="539" t="e">
        <f>J29*$X$4</f>
        <v>#REF!</v>
      </c>
      <c r="Y29" s="539" t="e">
        <f>J29*$Y$4</f>
        <v>#REF!</v>
      </c>
      <c r="Z29" s="541" t="e">
        <f>J29*$Z$4</f>
        <v>#REF!</v>
      </c>
      <c r="AA29" s="539"/>
      <c r="AB29" s="539"/>
      <c r="AC29" s="539"/>
      <c r="AD29" s="539"/>
      <c r="AE29" s="53"/>
    </row>
    <row r="30" spans="1:31">
      <c r="A30" s="5">
        <v>650</v>
      </c>
      <c r="B30" s="5"/>
      <c r="C30" s="6" t="s">
        <v>419</v>
      </c>
      <c r="D30" s="194"/>
      <c r="E30" s="557" t="e">
        <f>SUMIF(#REF!,$A30,#REF!)</f>
        <v>#REF!</v>
      </c>
      <c r="F30" s="539"/>
      <c r="G30" s="540" t="e">
        <f t="shared" si="0"/>
        <v>#REF!</v>
      </c>
      <c r="H30" s="539" t="e">
        <f>G30*$H$4</f>
        <v>#REF!</v>
      </c>
      <c r="I30" s="539" t="e">
        <f>G30*$I$4</f>
        <v>#REF!</v>
      </c>
      <c r="J30" s="539" t="e">
        <f>G30*$J$4</f>
        <v>#REF!</v>
      </c>
      <c r="K30" s="539" t="e">
        <f>J30*$K$4</f>
        <v>#REF!</v>
      </c>
      <c r="L30" s="539" t="e">
        <f>J30*$L$4</f>
        <v>#REF!</v>
      </c>
      <c r="M30" s="539" t="e">
        <f>J30*$M$4</f>
        <v>#REF!</v>
      </c>
      <c r="N30" s="539" t="e">
        <f>J30*$N$4</f>
        <v>#REF!</v>
      </c>
      <c r="O30" s="539" t="e">
        <f>J30*$O$4</f>
        <v>#REF!</v>
      </c>
      <c r="P30" s="539" t="e">
        <f>J30*$P$4</f>
        <v>#REF!</v>
      </c>
      <c r="Q30" s="539" t="e">
        <f>J30*$Q$4</f>
        <v>#REF!</v>
      </c>
      <c r="R30" s="539" t="e">
        <f>J30*$R$4</f>
        <v>#REF!</v>
      </c>
      <c r="S30" s="539" t="e">
        <f>J30*$S$4</f>
        <v>#REF!</v>
      </c>
      <c r="T30" s="539" t="e">
        <f>J30*$T$4</f>
        <v>#REF!</v>
      </c>
      <c r="U30" s="539" t="e">
        <f>J30*$U$4</f>
        <v>#REF!</v>
      </c>
      <c r="V30" s="539" t="e">
        <f>J30*$V$4</f>
        <v>#REF!</v>
      </c>
      <c r="W30" s="539" t="e">
        <f>J30*$W$4</f>
        <v>#REF!</v>
      </c>
      <c r="X30" s="539" t="e">
        <f>J30*$X$4</f>
        <v>#REF!</v>
      </c>
      <c r="Y30" s="539" t="e">
        <f>J30*$Y$4</f>
        <v>#REF!</v>
      </c>
      <c r="Z30" s="541" t="e">
        <f>J30*$Z$4</f>
        <v>#REF!</v>
      </c>
      <c r="AA30" s="539"/>
      <c r="AB30" s="539"/>
      <c r="AC30" s="539" t="e">
        <f t="shared" si="26"/>
        <v>#REF!</v>
      </c>
      <c r="AD30" s="539" t="e">
        <f t="shared" ref="AD30:AD43" si="31">E30-H30-I30-J30-AC30-AA30</f>
        <v>#REF!</v>
      </c>
      <c r="AE30" s="53"/>
    </row>
    <row r="31" spans="1:31">
      <c r="A31" s="5">
        <v>661</v>
      </c>
      <c r="B31" s="5"/>
      <c r="C31" s="6" t="s">
        <v>420</v>
      </c>
      <c r="D31" s="194"/>
      <c r="E31" s="557" t="e">
        <f>SUMIF(#REF!,$A31,#REF!)</f>
        <v>#REF!</v>
      </c>
      <c r="F31" s="539"/>
      <c r="G31" s="540" t="e">
        <f t="shared" si="0"/>
        <v>#REF!</v>
      </c>
      <c r="H31" s="539" t="e">
        <f>G31*$H$4</f>
        <v>#REF!</v>
      </c>
      <c r="I31" s="539" t="e">
        <f>G31*$I$4</f>
        <v>#REF!</v>
      </c>
      <c r="J31" s="539" t="e">
        <f>G31*$J$4</f>
        <v>#REF!</v>
      </c>
      <c r="K31" s="539" t="e">
        <f>J31*$K$4</f>
        <v>#REF!</v>
      </c>
      <c r="L31" s="539" t="e">
        <f>J31*$L$4</f>
        <v>#REF!</v>
      </c>
      <c r="M31" s="539" t="e">
        <f>J31*$M$4</f>
        <v>#REF!</v>
      </c>
      <c r="N31" s="539" t="e">
        <f>J31*$N$4</f>
        <v>#REF!</v>
      </c>
      <c r="O31" s="539" t="e">
        <f>J31*$O$4</f>
        <v>#REF!</v>
      </c>
      <c r="P31" s="539" t="e">
        <f>J31*$P$4</f>
        <v>#REF!</v>
      </c>
      <c r="Q31" s="539" t="e">
        <f>J31*$Q$4</f>
        <v>#REF!</v>
      </c>
      <c r="R31" s="539" t="e">
        <f>J31*$R$4</f>
        <v>#REF!</v>
      </c>
      <c r="S31" s="539" t="e">
        <f>J31*$S$4</f>
        <v>#REF!</v>
      </c>
      <c r="T31" s="539" t="e">
        <f>J31*$T$4</f>
        <v>#REF!</v>
      </c>
      <c r="U31" s="539" t="e">
        <f>J31*$U$4</f>
        <v>#REF!</v>
      </c>
      <c r="V31" s="539" t="e">
        <f>J31*$V$4</f>
        <v>#REF!</v>
      </c>
      <c r="W31" s="539" t="e">
        <f>J31*$W$4</f>
        <v>#REF!</v>
      </c>
      <c r="X31" s="539" t="e">
        <f>J31*$X$4</f>
        <v>#REF!</v>
      </c>
      <c r="Y31" s="539" t="e">
        <f>J31*$Y$4</f>
        <v>#REF!</v>
      </c>
      <c r="Z31" s="541" t="e">
        <f>J31*$Z$4</f>
        <v>#REF!</v>
      </c>
      <c r="AA31" s="539"/>
      <c r="AB31" s="539"/>
      <c r="AC31" s="539" t="e">
        <f t="shared" si="26"/>
        <v>#REF!</v>
      </c>
      <c r="AD31" s="539" t="e">
        <f t="shared" si="31"/>
        <v>#REF!</v>
      </c>
      <c r="AE31" s="53"/>
    </row>
    <row r="32" spans="1:31">
      <c r="A32" s="5"/>
      <c r="B32" s="5"/>
      <c r="C32" s="6"/>
      <c r="D32" s="194"/>
      <c r="E32" s="557"/>
      <c r="F32" s="539"/>
      <c r="G32" s="540"/>
      <c r="H32" s="539"/>
      <c r="I32" s="539"/>
      <c r="J32" s="539"/>
      <c r="K32" s="539"/>
      <c r="L32" s="539"/>
      <c r="M32" s="539"/>
      <c r="N32" s="539"/>
      <c r="O32" s="539"/>
      <c r="P32" s="539"/>
      <c r="Q32" s="539"/>
      <c r="R32" s="539"/>
      <c r="S32" s="539"/>
      <c r="T32" s="539"/>
      <c r="U32" s="539"/>
      <c r="V32" s="539"/>
      <c r="W32" s="539"/>
      <c r="X32" s="539"/>
      <c r="Y32" s="539"/>
      <c r="Z32" s="541"/>
      <c r="AA32" s="539"/>
      <c r="AB32" s="539"/>
      <c r="AC32" s="539" t="e">
        <f t="shared" si="26"/>
        <v>#REF!</v>
      </c>
      <c r="AD32" s="539" t="e">
        <f t="shared" si="31"/>
        <v>#REF!</v>
      </c>
      <c r="AE32" s="53"/>
    </row>
    <row r="33" spans="1:31">
      <c r="A33" s="5"/>
      <c r="B33" s="5"/>
      <c r="C33" s="6"/>
      <c r="D33" s="194"/>
      <c r="E33" s="557"/>
      <c r="F33" s="539"/>
      <c r="G33" s="540"/>
      <c r="H33" s="539"/>
      <c r="I33" s="539"/>
      <c r="J33" s="539"/>
      <c r="K33" s="539"/>
      <c r="L33" s="539"/>
      <c r="M33" s="539"/>
      <c r="N33" s="539"/>
      <c r="O33" s="539"/>
      <c r="P33" s="539"/>
      <c r="Q33" s="539"/>
      <c r="R33" s="539"/>
      <c r="S33" s="539"/>
      <c r="T33" s="539"/>
      <c r="U33" s="539"/>
      <c r="V33" s="539"/>
      <c r="W33" s="539"/>
      <c r="X33" s="539"/>
      <c r="Y33" s="539"/>
      <c r="Z33" s="541"/>
      <c r="AA33" s="539"/>
      <c r="AB33" s="539"/>
      <c r="AC33" s="539" t="e">
        <f t="shared" si="26"/>
        <v>#REF!</v>
      </c>
      <c r="AD33" s="539" t="e">
        <f t="shared" si="31"/>
        <v>#REF!</v>
      </c>
      <c r="AE33" s="53"/>
    </row>
    <row r="34" spans="1:31">
      <c r="A34" s="5"/>
      <c r="B34" s="5"/>
      <c r="C34" s="6"/>
      <c r="D34" s="194"/>
      <c r="E34" s="557"/>
      <c r="F34" s="539"/>
      <c r="G34" s="540"/>
      <c r="H34" s="539"/>
      <c r="I34" s="539"/>
      <c r="J34" s="539"/>
      <c r="K34" s="539"/>
      <c r="L34" s="539"/>
      <c r="M34" s="539"/>
      <c r="N34" s="539"/>
      <c r="O34" s="539"/>
      <c r="P34" s="539"/>
      <c r="Q34" s="539"/>
      <c r="R34" s="539"/>
      <c r="S34" s="539"/>
      <c r="T34" s="539"/>
      <c r="U34" s="539"/>
      <c r="V34" s="539"/>
      <c r="W34" s="539"/>
      <c r="X34" s="539"/>
      <c r="Y34" s="539"/>
      <c r="Z34" s="541"/>
      <c r="AA34" s="539"/>
      <c r="AB34" s="539"/>
      <c r="AC34" s="539" t="e">
        <f t="shared" si="26"/>
        <v>#REF!</v>
      </c>
      <c r="AD34" s="539" t="e">
        <f t="shared" si="31"/>
        <v>#REF!</v>
      </c>
      <c r="AE34" s="53"/>
    </row>
    <row r="35" spans="1:31">
      <c r="A35" s="5"/>
      <c r="B35" s="5"/>
      <c r="C35" s="6"/>
      <c r="D35" s="194"/>
      <c r="E35" s="557"/>
      <c r="F35" s="539"/>
      <c r="G35" s="540"/>
      <c r="H35" s="539"/>
      <c r="I35" s="539"/>
      <c r="J35" s="539"/>
      <c r="K35" s="539"/>
      <c r="L35" s="539"/>
      <c r="M35" s="539"/>
      <c r="N35" s="539"/>
      <c r="O35" s="539"/>
      <c r="P35" s="539"/>
      <c r="Q35" s="539"/>
      <c r="R35" s="539"/>
      <c r="S35" s="539"/>
      <c r="T35" s="539"/>
      <c r="U35" s="539"/>
      <c r="V35" s="539"/>
      <c r="W35" s="539"/>
      <c r="X35" s="539"/>
      <c r="Y35" s="539"/>
      <c r="Z35" s="541"/>
      <c r="AA35" s="539">
        <f>+E35</f>
        <v>0</v>
      </c>
      <c r="AB35" s="539"/>
      <c r="AC35" s="539" t="e">
        <f t="shared" si="26"/>
        <v>#REF!</v>
      </c>
      <c r="AD35" s="539" t="e">
        <f t="shared" si="31"/>
        <v>#REF!</v>
      </c>
      <c r="AE35" s="53"/>
    </row>
    <row r="36" spans="1:31">
      <c r="A36" s="5"/>
      <c r="B36" s="5"/>
      <c r="C36" s="6"/>
      <c r="D36" s="194"/>
      <c r="E36" s="557"/>
      <c r="F36" s="539"/>
      <c r="G36" s="540"/>
      <c r="H36" s="539"/>
      <c r="I36" s="539"/>
      <c r="J36" s="539"/>
      <c r="K36" s="539"/>
      <c r="L36" s="539"/>
      <c r="M36" s="539"/>
      <c r="N36" s="539"/>
      <c r="O36" s="539"/>
      <c r="P36" s="539"/>
      <c r="Q36" s="539"/>
      <c r="R36" s="539"/>
      <c r="S36" s="539"/>
      <c r="T36" s="539"/>
      <c r="U36" s="539"/>
      <c r="V36" s="539"/>
      <c r="W36" s="539"/>
      <c r="X36" s="539"/>
      <c r="Y36" s="539"/>
      <c r="Z36" s="541"/>
      <c r="AA36" s="539"/>
      <c r="AB36" s="539"/>
      <c r="AC36" s="539" t="e">
        <f t="shared" si="26"/>
        <v>#REF!</v>
      </c>
      <c r="AD36" s="539" t="e">
        <f t="shared" si="31"/>
        <v>#REF!</v>
      </c>
      <c r="AE36" s="53"/>
    </row>
    <row r="37" spans="1:31">
      <c r="A37" s="5"/>
      <c r="B37" s="5"/>
      <c r="C37" s="6"/>
      <c r="D37" s="194"/>
      <c r="E37" s="557"/>
      <c r="F37" s="539"/>
      <c r="G37" s="540"/>
      <c r="H37" s="539"/>
      <c r="I37" s="539"/>
      <c r="J37" s="539"/>
      <c r="K37" s="539"/>
      <c r="L37" s="539"/>
      <c r="M37" s="539"/>
      <c r="N37" s="539"/>
      <c r="O37" s="539"/>
      <c r="P37" s="539"/>
      <c r="Q37" s="539"/>
      <c r="R37" s="539"/>
      <c r="S37" s="539"/>
      <c r="T37" s="539"/>
      <c r="U37" s="539"/>
      <c r="V37" s="539"/>
      <c r="W37" s="539"/>
      <c r="X37" s="539"/>
      <c r="Y37" s="539"/>
      <c r="Z37" s="541"/>
      <c r="AA37" s="539"/>
      <c r="AB37" s="539"/>
      <c r="AC37" s="539" t="e">
        <f t="shared" si="26"/>
        <v>#REF!</v>
      </c>
      <c r="AD37" s="539" t="e">
        <f t="shared" si="31"/>
        <v>#REF!</v>
      </c>
      <c r="AE37" s="53"/>
    </row>
    <row r="38" spans="1:31" ht="15.75">
      <c r="A38" s="5"/>
      <c r="B38" s="5"/>
      <c r="C38" s="6"/>
      <c r="D38" s="194"/>
      <c r="E38" s="557"/>
      <c r="F38" s="539"/>
      <c r="G38" s="540"/>
      <c r="H38" s="628"/>
      <c r="I38" s="629"/>
      <c r="J38" s="629"/>
      <c r="K38" s="628"/>
      <c r="L38" s="629"/>
      <c r="M38" s="629"/>
      <c r="N38" s="629"/>
      <c r="O38" s="629"/>
      <c r="P38" s="629"/>
      <c r="Q38" s="629"/>
      <c r="R38" s="629"/>
      <c r="S38" s="629"/>
      <c r="T38" s="629"/>
      <c r="U38" s="629"/>
      <c r="V38" s="629"/>
      <c r="W38" s="629"/>
      <c r="X38" s="629"/>
      <c r="Y38" s="629"/>
      <c r="Z38" s="630"/>
      <c r="AA38" s="539">
        <f>+E38</f>
        <v>0</v>
      </c>
      <c r="AB38" s="539"/>
      <c r="AC38" s="539" t="e">
        <f t="shared" si="26"/>
        <v>#REF!</v>
      </c>
      <c r="AD38" s="539" t="e">
        <f t="shared" si="31"/>
        <v>#REF!</v>
      </c>
      <c r="AE38" s="53"/>
    </row>
    <row r="39" spans="1:31">
      <c r="A39" s="5"/>
      <c r="B39" s="5"/>
      <c r="C39" s="6"/>
      <c r="D39" s="194"/>
      <c r="E39" s="557"/>
      <c r="F39" s="539"/>
      <c r="G39" s="540"/>
      <c r="H39" s="539"/>
      <c r="I39" s="539"/>
      <c r="J39" s="539"/>
      <c r="K39" s="539"/>
      <c r="L39" s="539"/>
      <c r="M39" s="539"/>
      <c r="N39" s="539"/>
      <c r="O39" s="539"/>
      <c r="P39" s="539"/>
      <c r="Q39" s="539"/>
      <c r="R39" s="539"/>
      <c r="S39" s="539"/>
      <c r="T39" s="539"/>
      <c r="U39" s="539"/>
      <c r="V39" s="539"/>
      <c r="W39" s="539"/>
      <c r="X39" s="539"/>
      <c r="Y39" s="539"/>
      <c r="Z39" s="541"/>
      <c r="AA39" s="539"/>
      <c r="AB39" s="539"/>
      <c r="AC39" s="539" t="e">
        <f t="shared" si="26"/>
        <v>#REF!</v>
      </c>
      <c r="AD39" s="539" t="e">
        <f t="shared" si="31"/>
        <v>#REF!</v>
      </c>
      <c r="AE39" s="53"/>
    </row>
    <row r="40" spans="1:31">
      <c r="A40" s="5"/>
      <c r="B40" s="5"/>
      <c r="C40" s="6"/>
      <c r="D40" s="194"/>
      <c r="E40" s="557"/>
      <c r="F40" s="539"/>
      <c r="G40" s="540"/>
      <c r="H40" s="539"/>
      <c r="I40" s="539"/>
      <c r="J40" s="539"/>
      <c r="K40" s="539"/>
      <c r="L40" s="539"/>
      <c r="M40" s="539"/>
      <c r="N40" s="539"/>
      <c r="O40" s="539"/>
      <c r="P40" s="539"/>
      <c r="Q40" s="539"/>
      <c r="R40" s="539"/>
      <c r="S40" s="539"/>
      <c r="T40" s="539"/>
      <c r="U40" s="539"/>
      <c r="V40" s="539"/>
      <c r="W40" s="539"/>
      <c r="X40" s="539"/>
      <c r="Y40" s="539"/>
      <c r="Z40" s="541"/>
      <c r="AA40" s="539"/>
      <c r="AB40" s="539"/>
      <c r="AC40" s="539" t="e">
        <f t="shared" si="26"/>
        <v>#REF!</v>
      </c>
      <c r="AD40" s="539" t="e">
        <f t="shared" si="31"/>
        <v>#REF!</v>
      </c>
      <c r="AE40" s="53"/>
    </row>
    <row r="41" spans="1:31">
      <c r="A41" s="5"/>
      <c r="B41" s="5"/>
      <c r="C41" s="6"/>
      <c r="D41" s="194"/>
      <c r="E41" s="557"/>
      <c r="F41" s="539"/>
      <c r="G41" s="540"/>
      <c r="H41" s="539"/>
      <c r="I41" s="539"/>
      <c r="J41" s="539"/>
      <c r="K41" s="539"/>
      <c r="L41" s="539"/>
      <c r="M41" s="539"/>
      <c r="N41" s="539"/>
      <c r="O41" s="539"/>
      <c r="P41" s="539"/>
      <c r="Q41" s="539"/>
      <c r="R41" s="539"/>
      <c r="S41" s="539"/>
      <c r="T41" s="539"/>
      <c r="U41" s="539"/>
      <c r="V41" s="539"/>
      <c r="W41" s="539"/>
      <c r="X41" s="539"/>
      <c r="Y41" s="539"/>
      <c r="Z41" s="541"/>
      <c r="AA41" s="539"/>
      <c r="AB41" s="539"/>
      <c r="AC41" s="539" t="e">
        <f t="shared" si="26"/>
        <v>#REF!</v>
      </c>
      <c r="AD41" s="539" t="e">
        <f t="shared" si="31"/>
        <v>#REF!</v>
      </c>
      <c r="AE41" s="53"/>
    </row>
    <row r="42" spans="1:31">
      <c r="A42" s="5"/>
      <c r="B42" s="5"/>
      <c r="C42" s="6"/>
      <c r="D42" s="194"/>
      <c r="E42" s="557"/>
      <c r="F42" s="539"/>
      <c r="G42" s="540"/>
      <c r="H42" s="539"/>
      <c r="I42" s="539"/>
      <c r="J42" s="539"/>
      <c r="K42" s="539"/>
      <c r="L42" s="539"/>
      <c r="M42" s="539"/>
      <c r="N42" s="539"/>
      <c r="O42" s="539"/>
      <c r="P42" s="539"/>
      <c r="Q42" s="539"/>
      <c r="R42" s="539"/>
      <c r="S42" s="539"/>
      <c r="T42" s="539"/>
      <c r="U42" s="539"/>
      <c r="V42" s="539"/>
      <c r="W42" s="539"/>
      <c r="X42" s="539"/>
      <c r="Y42" s="539"/>
      <c r="Z42" s="541"/>
      <c r="AA42" s="539"/>
      <c r="AB42" s="539"/>
      <c r="AC42" s="539" t="e">
        <f>G42*$AC$4</f>
        <v>#REF!</v>
      </c>
      <c r="AD42" s="539" t="e">
        <f t="shared" si="31"/>
        <v>#REF!</v>
      </c>
      <c r="AE42" s="53"/>
    </row>
    <row r="43" spans="1:31">
      <c r="A43" s="5"/>
      <c r="B43" s="5"/>
      <c r="C43" s="6"/>
      <c r="D43" s="194"/>
      <c r="E43" s="557">
        <f>SUMIFS(Dépenses!E80:E115,Dépenses!B80:B115,B43)</f>
        <v>0</v>
      </c>
      <c r="F43" s="539"/>
      <c r="G43" s="540">
        <f t="shared" ref="G43:G64" si="32">E43</f>
        <v>0</v>
      </c>
      <c r="H43" s="539">
        <f t="shared" ref="H43" si="33">G43*$H$4</f>
        <v>0</v>
      </c>
      <c r="I43" s="539">
        <f t="shared" ref="I43" si="34">G43*$I$4</f>
        <v>0</v>
      </c>
      <c r="J43" s="539">
        <f t="shared" ref="J43" si="35">G43*$J$4</f>
        <v>0</v>
      </c>
      <c r="K43" s="539">
        <f t="shared" ref="K43" si="36">J43*$K$4</f>
        <v>0</v>
      </c>
      <c r="L43" s="539">
        <f t="shared" ref="L43" si="37">J43*$L$4</f>
        <v>0</v>
      </c>
      <c r="M43" s="539">
        <f t="shared" ref="M43" si="38">J43*$M$4</f>
        <v>0</v>
      </c>
      <c r="N43" s="539">
        <f>J43*$N$4</f>
        <v>0</v>
      </c>
      <c r="O43" s="539">
        <f>J43*$O$4</f>
        <v>0</v>
      </c>
      <c r="P43" s="539">
        <f>J43*$P$4</f>
        <v>0</v>
      </c>
      <c r="Q43" s="539">
        <f>J43*$Q$4</f>
        <v>0</v>
      </c>
      <c r="R43" s="539">
        <f>J43*$R$4</f>
        <v>0</v>
      </c>
      <c r="S43" s="539">
        <f>J43*$S$4</f>
        <v>0</v>
      </c>
      <c r="T43" s="539">
        <f>J43*$T$4</f>
        <v>0</v>
      </c>
      <c r="U43" s="539">
        <f>J43*$U$4</f>
        <v>0</v>
      </c>
      <c r="V43" s="539">
        <f>J43*$V$4</f>
        <v>0</v>
      </c>
      <c r="W43" s="539">
        <f>J43*$W$4</f>
        <v>0</v>
      </c>
      <c r="X43" s="539">
        <f>J43*$X$4</f>
        <v>0</v>
      </c>
      <c r="Y43" s="539">
        <f>J43*$Y$4</f>
        <v>0</v>
      </c>
      <c r="Z43" s="541">
        <f>J43*$Z$4</f>
        <v>0</v>
      </c>
      <c r="AA43" s="539"/>
      <c r="AB43" s="539"/>
      <c r="AC43" s="539" t="e">
        <f t="shared" si="26"/>
        <v>#REF!</v>
      </c>
      <c r="AD43" s="539" t="e">
        <f t="shared" si="31"/>
        <v>#REF!</v>
      </c>
      <c r="AE43" s="53"/>
    </row>
    <row r="44" spans="1:31" ht="15.75">
      <c r="A44" s="5"/>
      <c r="B44" s="409">
        <v>611</v>
      </c>
      <c r="C44" s="412" t="s">
        <v>348</v>
      </c>
      <c r="D44" s="194"/>
      <c r="E44" s="557">
        <f>+Dépenses!E55</f>
        <v>0</v>
      </c>
      <c r="F44" s="542" t="s">
        <v>255</v>
      </c>
      <c r="G44" s="543">
        <f t="shared" si="32"/>
        <v>0</v>
      </c>
      <c r="H44" s="625">
        <f>+SUMIFS($E$44:$E$64,$F$44:$F$64,#REF!)</f>
        <v>0</v>
      </c>
      <c r="I44" s="625">
        <f>+SUMIFS($E$44:$E$61,$F$44:$F$61,#REF!)</f>
        <v>0</v>
      </c>
      <c r="J44" s="634">
        <f>SUM(K44:Z61)</f>
        <v>0</v>
      </c>
      <c r="K44" s="625">
        <f>+SUMIFS($E$44:$E$64,$F$44:$F$64,#REF!)</f>
        <v>0</v>
      </c>
      <c r="L44" s="625">
        <f>+SUMIFS($E$44:$E$64,$F$44:$F$64,#REF!)</f>
        <v>0</v>
      </c>
      <c r="M44" s="625">
        <f>+SUMIFS($E$44:$E$64,$F$44:$F$64,#REF!)</f>
        <v>0</v>
      </c>
      <c r="N44" s="625">
        <f>+SUMIFS($E$44:$E$64,$F$44:$F$64,#REF!)</f>
        <v>0</v>
      </c>
      <c r="O44" s="625">
        <f>+SUMIFS($E$44:$E$64,$F$44:$F$64,#REF!)</f>
        <v>0</v>
      </c>
      <c r="P44" s="625">
        <f>+SUMIFS($E$44:$E$64,$F$44:$F$64,#REF!)</f>
        <v>0</v>
      </c>
      <c r="Q44" s="625">
        <f>+SUMIFS($E$44:$E$64,$F$44:$F$64,#REF!)</f>
        <v>0</v>
      </c>
      <c r="R44" s="625">
        <f>+SUMIFS($E$44:$E$64,$F$44:$F$64,#REF!)</f>
        <v>0</v>
      </c>
      <c r="S44" s="625">
        <f>+SUMIFS($E$44:$E$64,$F$44:$F$64,#REF!)</f>
        <v>0</v>
      </c>
      <c r="T44" s="625">
        <f>+SUMIFS($E$44:$E$64,$F$44:$F$64,#REF!)</f>
        <v>0</v>
      </c>
      <c r="U44" s="625">
        <f>+SUMIFS($E$44:$E$64,$F$44:$F$64,#REF!)</f>
        <v>0</v>
      </c>
      <c r="V44" s="625">
        <f>+SUMIFS($E$44:$E$64,$F$44:$F$64,#REF!)</f>
        <v>0</v>
      </c>
      <c r="W44" s="625">
        <f>+SUMIFS($E$44:$E$64,$F$44:$F$64,#REF!)</f>
        <v>0</v>
      </c>
      <c r="X44" s="625">
        <f>+SUMIFS($E$44:$E$64,$F$44:$F$64,#REF!)</f>
        <v>0</v>
      </c>
      <c r="Y44" s="625">
        <f>+SUMIFS($E$44:$E$64,$F$44:$F$64,#REF!)</f>
        <v>0</v>
      </c>
      <c r="Z44" s="622">
        <f>+SUMIFS($E$44:$E$64,$F$44:$F$64,#REF!)</f>
        <v>0</v>
      </c>
      <c r="AA44" s="539"/>
      <c r="AB44" s="539"/>
      <c r="AC44" s="539" t="e">
        <f t="shared" si="26"/>
        <v>#REF!</v>
      </c>
      <c r="AD44" s="625">
        <f>SUM(E44:E64)-H44-I44-J44-I62-I64-I63</f>
        <v>0</v>
      </c>
      <c r="AE44" s="53"/>
    </row>
    <row r="45" spans="1:31" ht="15.75">
      <c r="A45" s="5"/>
      <c r="B45" s="409">
        <v>611</v>
      </c>
      <c r="C45" s="412" t="s">
        <v>307</v>
      </c>
      <c r="D45" s="194"/>
      <c r="E45" s="557">
        <f>+Dépenses!E56</f>
        <v>0</v>
      </c>
      <c r="F45" s="542" t="s">
        <v>218</v>
      </c>
      <c r="G45" s="543">
        <f t="shared" si="32"/>
        <v>0</v>
      </c>
      <c r="H45" s="626"/>
      <c r="I45" s="626"/>
      <c r="J45" s="635"/>
      <c r="K45" s="626"/>
      <c r="L45" s="626"/>
      <c r="M45" s="626"/>
      <c r="N45" s="626"/>
      <c r="O45" s="626"/>
      <c r="P45" s="626"/>
      <c r="Q45" s="626"/>
      <c r="R45" s="626"/>
      <c r="S45" s="626"/>
      <c r="T45" s="626"/>
      <c r="U45" s="626"/>
      <c r="V45" s="626"/>
      <c r="W45" s="626"/>
      <c r="X45" s="626"/>
      <c r="Y45" s="626"/>
      <c r="Z45" s="623"/>
      <c r="AA45" s="539"/>
      <c r="AB45" s="539"/>
      <c r="AC45" s="539" t="e">
        <f t="shared" si="26"/>
        <v>#REF!</v>
      </c>
      <c r="AD45" s="626"/>
      <c r="AE45" s="53"/>
    </row>
    <row r="46" spans="1:31" ht="15.75">
      <c r="A46" s="5"/>
      <c r="B46" s="409">
        <v>611</v>
      </c>
      <c r="C46" s="412" t="s">
        <v>307</v>
      </c>
      <c r="D46" s="194"/>
      <c r="E46" s="557">
        <f>+Dépenses!E57</f>
        <v>0</v>
      </c>
      <c r="F46" s="542" t="s">
        <v>254</v>
      </c>
      <c r="G46" s="543">
        <f t="shared" si="32"/>
        <v>0</v>
      </c>
      <c r="H46" s="626"/>
      <c r="I46" s="626"/>
      <c r="J46" s="635"/>
      <c r="K46" s="626"/>
      <c r="L46" s="626"/>
      <c r="M46" s="626"/>
      <c r="N46" s="626"/>
      <c r="O46" s="626"/>
      <c r="P46" s="626"/>
      <c r="Q46" s="626"/>
      <c r="R46" s="626"/>
      <c r="S46" s="626"/>
      <c r="T46" s="626"/>
      <c r="U46" s="626"/>
      <c r="V46" s="626"/>
      <c r="W46" s="626"/>
      <c r="X46" s="626"/>
      <c r="Y46" s="626"/>
      <c r="Z46" s="623"/>
      <c r="AA46" s="539"/>
      <c r="AB46" s="539"/>
      <c r="AC46" s="539" t="e">
        <f t="shared" si="26"/>
        <v>#REF!</v>
      </c>
      <c r="AD46" s="626"/>
      <c r="AE46" s="53"/>
    </row>
    <row r="47" spans="1:31" ht="15.75">
      <c r="A47" s="5"/>
      <c r="B47" s="409">
        <v>611</v>
      </c>
      <c r="C47" s="412" t="s">
        <v>439</v>
      </c>
      <c r="D47" s="194"/>
      <c r="E47" s="557">
        <f>+Dépenses!E58</f>
        <v>0</v>
      </c>
      <c r="F47" s="542" t="s">
        <v>424</v>
      </c>
      <c r="G47" s="543">
        <f t="shared" si="32"/>
        <v>0</v>
      </c>
      <c r="H47" s="626"/>
      <c r="I47" s="626"/>
      <c r="J47" s="635"/>
      <c r="K47" s="626"/>
      <c r="L47" s="626"/>
      <c r="M47" s="626"/>
      <c r="N47" s="626"/>
      <c r="O47" s="626"/>
      <c r="P47" s="626"/>
      <c r="Q47" s="626"/>
      <c r="R47" s="626"/>
      <c r="S47" s="626"/>
      <c r="T47" s="626"/>
      <c r="U47" s="626"/>
      <c r="V47" s="626"/>
      <c r="W47" s="626"/>
      <c r="X47" s="626"/>
      <c r="Y47" s="626"/>
      <c r="Z47" s="623"/>
      <c r="AA47" s="539"/>
      <c r="AB47" s="539"/>
      <c r="AC47" s="539" t="e">
        <f t="shared" ref="AC47:AC81" si="39">G47*$AC$4</f>
        <v>#REF!</v>
      </c>
      <c r="AD47" s="626"/>
      <c r="AE47" s="53"/>
    </row>
    <row r="48" spans="1:31" ht="15.75">
      <c r="A48" s="5"/>
      <c r="B48" s="409">
        <v>611</v>
      </c>
      <c r="C48" s="412" t="s">
        <v>440</v>
      </c>
      <c r="D48" s="194"/>
      <c r="E48" s="557">
        <f>+Dépenses!E59</f>
        <v>0</v>
      </c>
      <c r="F48" s="542" t="s">
        <v>425</v>
      </c>
      <c r="G48" s="543">
        <f t="shared" si="32"/>
        <v>0</v>
      </c>
      <c r="H48" s="626"/>
      <c r="I48" s="626"/>
      <c r="J48" s="635"/>
      <c r="K48" s="626"/>
      <c r="L48" s="626"/>
      <c r="M48" s="626"/>
      <c r="N48" s="626"/>
      <c r="O48" s="626"/>
      <c r="P48" s="626"/>
      <c r="Q48" s="626"/>
      <c r="R48" s="626"/>
      <c r="S48" s="626"/>
      <c r="T48" s="626"/>
      <c r="U48" s="626"/>
      <c r="V48" s="626"/>
      <c r="W48" s="626"/>
      <c r="X48" s="626"/>
      <c r="Y48" s="626"/>
      <c r="Z48" s="623"/>
      <c r="AA48" s="539"/>
      <c r="AB48" s="539"/>
      <c r="AC48" s="539" t="e">
        <f t="shared" ref="AC48:AC58" si="40">G48*$AC$4</f>
        <v>#REF!</v>
      </c>
      <c r="AD48" s="626"/>
      <c r="AE48" s="53"/>
    </row>
    <row r="49" spans="1:31" ht="15.75">
      <c r="A49" s="5"/>
      <c r="B49" s="409">
        <v>611</v>
      </c>
      <c r="C49" s="412" t="s">
        <v>441</v>
      </c>
      <c r="D49" s="194"/>
      <c r="E49" s="557">
        <f>+Dépenses!E60</f>
        <v>0</v>
      </c>
      <c r="F49" s="542" t="s">
        <v>426</v>
      </c>
      <c r="G49" s="543">
        <f t="shared" si="32"/>
        <v>0</v>
      </c>
      <c r="H49" s="626"/>
      <c r="I49" s="626"/>
      <c r="J49" s="635"/>
      <c r="K49" s="626"/>
      <c r="L49" s="626"/>
      <c r="M49" s="626"/>
      <c r="N49" s="626"/>
      <c r="O49" s="626"/>
      <c r="P49" s="626"/>
      <c r="Q49" s="626"/>
      <c r="R49" s="626"/>
      <c r="S49" s="626"/>
      <c r="T49" s="626"/>
      <c r="U49" s="626"/>
      <c r="V49" s="626"/>
      <c r="W49" s="626"/>
      <c r="X49" s="626"/>
      <c r="Y49" s="626"/>
      <c r="Z49" s="623"/>
      <c r="AA49" s="539"/>
      <c r="AB49" s="539"/>
      <c r="AC49" s="539" t="e">
        <f t="shared" si="40"/>
        <v>#REF!</v>
      </c>
      <c r="AD49" s="626"/>
      <c r="AE49" s="53"/>
    </row>
    <row r="50" spans="1:31" ht="15.75">
      <c r="A50" s="5"/>
      <c r="B50" s="409">
        <v>611</v>
      </c>
      <c r="C50" s="412" t="s">
        <v>449</v>
      </c>
      <c r="D50" s="194"/>
      <c r="E50" s="557">
        <f>+Dépenses!E61</f>
        <v>0</v>
      </c>
      <c r="F50" s="542" t="s">
        <v>428</v>
      </c>
      <c r="G50" s="543">
        <f t="shared" si="32"/>
        <v>0</v>
      </c>
      <c r="H50" s="626"/>
      <c r="I50" s="626"/>
      <c r="J50" s="635"/>
      <c r="K50" s="626"/>
      <c r="L50" s="626"/>
      <c r="M50" s="626"/>
      <c r="N50" s="626"/>
      <c r="O50" s="626"/>
      <c r="P50" s="626"/>
      <c r="Q50" s="626"/>
      <c r="R50" s="626"/>
      <c r="S50" s="626"/>
      <c r="T50" s="626"/>
      <c r="U50" s="626"/>
      <c r="V50" s="626"/>
      <c r="W50" s="626"/>
      <c r="X50" s="626"/>
      <c r="Y50" s="626"/>
      <c r="Z50" s="623"/>
      <c r="AA50" s="539"/>
      <c r="AB50" s="539"/>
      <c r="AC50" s="539" t="e">
        <f t="shared" si="40"/>
        <v>#REF!</v>
      </c>
      <c r="AD50" s="626"/>
      <c r="AE50" s="53"/>
    </row>
    <row r="51" spans="1:31" ht="15.75">
      <c r="A51" s="5"/>
      <c r="B51" s="409">
        <v>611</v>
      </c>
      <c r="C51" s="412" t="s">
        <v>448</v>
      </c>
      <c r="D51" s="194"/>
      <c r="E51" s="557">
        <f>+Dépenses!E62</f>
        <v>0</v>
      </c>
      <c r="F51" s="542" t="s">
        <v>430</v>
      </c>
      <c r="G51" s="543">
        <f t="shared" si="32"/>
        <v>0</v>
      </c>
      <c r="H51" s="626"/>
      <c r="I51" s="626"/>
      <c r="J51" s="635"/>
      <c r="K51" s="626"/>
      <c r="L51" s="626"/>
      <c r="M51" s="626"/>
      <c r="N51" s="626"/>
      <c r="O51" s="626"/>
      <c r="P51" s="626"/>
      <c r="Q51" s="626"/>
      <c r="R51" s="626"/>
      <c r="S51" s="626"/>
      <c r="T51" s="626"/>
      <c r="U51" s="626"/>
      <c r="V51" s="626"/>
      <c r="W51" s="626"/>
      <c r="X51" s="626"/>
      <c r="Y51" s="626"/>
      <c r="Z51" s="623"/>
      <c r="AA51" s="539"/>
      <c r="AB51" s="539"/>
      <c r="AC51" s="539" t="e">
        <f t="shared" si="40"/>
        <v>#REF!</v>
      </c>
      <c r="AD51" s="626"/>
      <c r="AE51" s="53"/>
    </row>
    <row r="52" spans="1:31" ht="15.75">
      <c r="A52" s="5"/>
      <c r="B52" s="409">
        <v>611</v>
      </c>
      <c r="C52" s="412" t="s">
        <v>442</v>
      </c>
      <c r="D52" s="194"/>
      <c r="E52" s="557">
        <f>+Dépenses!E63</f>
        <v>0</v>
      </c>
      <c r="F52" s="542" t="s">
        <v>431</v>
      </c>
      <c r="G52" s="543">
        <f t="shared" si="32"/>
        <v>0</v>
      </c>
      <c r="H52" s="626"/>
      <c r="I52" s="626"/>
      <c r="J52" s="635"/>
      <c r="K52" s="626"/>
      <c r="L52" s="626"/>
      <c r="M52" s="626"/>
      <c r="N52" s="626"/>
      <c r="O52" s="626"/>
      <c r="P52" s="626"/>
      <c r="Q52" s="626"/>
      <c r="R52" s="626"/>
      <c r="S52" s="626"/>
      <c r="T52" s="626"/>
      <c r="U52" s="626"/>
      <c r="V52" s="626"/>
      <c r="W52" s="626"/>
      <c r="X52" s="626"/>
      <c r="Y52" s="626"/>
      <c r="Z52" s="623"/>
      <c r="AA52" s="539"/>
      <c r="AB52" s="539"/>
      <c r="AC52" s="539" t="e">
        <f t="shared" si="40"/>
        <v>#REF!</v>
      </c>
      <c r="AD52" s="626"/>
      <c r="AE52" s="53"/>
    </row>
    <row r="53" spans="1:31" ht="15.75">
      <c r="A53" s="5"/>
      <c r="B53" s="409">
        <v>611</v>
      </c>
      <c r="C53" s="412" t="s">
        <v>443</v>
      </c>
      <c r="D53" s="194"/>
      <c r="E53" s="557">
        <f>+Dépenses!E64</f>
        <v>0</v>
      </c>
      <c r="F53" s="542" t="s">
        <v>433</v>
      </c>
      <c r="G53" s="543">
        <f t="shared" si="32"/>
        <v>0</v>
      </c>
      <c r="H53" s="626"/>
      <c r="I53" s="626"/>
      <c r="J53" s="635"/>
      <c r="K53" s="626"/>
      <c r="L53" s="626"/>
      <c r="M53" s="626"/>
      <c r="N53" s="626"/>
      <c r="O53" s="626"/>
      <c r="P53" s="626"/>
      <c r="Q53" s="626"/>
      <c r="R53" s="626"/>
      <c r="S53" s="626"/>
      <c r="T53" s="626"/>
      <c r="U53" s="626"/>
      <c r="V53" s="626"/>
      <c r="W53" s="626"/>
      <c r="X53" s="626"/>
      <c r="Y53" s="626"/>
      <c r="Z53" s="623"/>
      <c r="AA53" s="539"/>
      <c r="AB53" s="539"/>
      <c r="AC53" s="539" t="e">
        <f t="shared" si="40"/>
        <v>#REF!</v>
      </c>
      <c r="AD53" s="626"/>
      <c r="AE53" s="53"/>
    </row>
    <row r="54" spans="1:31" ht="15.75">
      <c r="A54" s="5"/>
      <c r="B54" s="409">
        <v>611</v>
      </c>
      <c r="C54" s="412" t="s">
        <v>444</v>
      </c>
      <c r="D54" s="194"/>
      <c r="E54" s="557">
        <f>+Dépenses!E65</f>
        <v>0</v>
      </c>
      <c r="F54" s="542" t="s">
        <v>435</v>
      </c>
      <c r="G54" s="543">
        <f t="shared" si="32"/>
        <v>0</v>
      </c>
      <c r="H54" s="626"/>
      <c r="I54" s="626"/>
      <c r="J54" s="635"/>
      <c r="K54" s="626"/>
      <c r="L54" s="626"/>
      <c r="M54" s="626"/>
      <c r="N54" s="626"/>
      <c r="O54" s="626"/>
      <c r="P54" s="626"/>
      <c r="Q54" s="626"/>
      <c r="R54" s="626"/>
      <c r="S54" s="626"/>
      <c r="T54" s="626"/>
      <c r="U54" s="626"/>
      <c r="V54" s="626"/>
      <c r="W54" s="626"/>
      <c r="X54" s="626"/>
      <c r="Y54" s="626"/>
      <c r="Z54" s="623"/>
      <c r="AA54" s="539"/>
      <c r="AB54" s="539"/>
      <c r="AC54" s="539" t="e">
        <f t="shared" si="40"/>
        <v>#REF!</v>
      </c>
      <c r="AD54" s="626"/>
      <c r="AE54" s="53"/>
    </row>
    <row r="55" spans="1:31" ht="15.75">
      <c r="A55" s="5"/>
      <c r="B55" s="409">
        <v>611</v>
      </c>
      <c r="C55" s="412" t="s">
        <v>445</v>
      </c>
      <c r="D55" s="194"/>
      <c r="E55" s="557">
        <f>+Dépenses!E66</f>
        <v>0</v>
      </c>
      <c r="F55" s="542" t="s">
        <v>450</v>
      </c>
      <c r="G55" s="543">
        <f t="shared" si="32"/>
        <v>0</v>
      </c>
      <c r="H55" s="626"/>
      <c r="I55" s="626"/>
      <c r="J55" s="635"/>
      <c r="K55" s="626"/>
      <c r="L55" s="626"/>
      <c r="M55" s="626"/>
      <c r="N55" s="626"/>
      <c r="O55" s="626"/>
      <c r="P55" s="626"/>
      <c r="Q55" s="626"/>
      <c r="R55" s="626"/>
      <c r="S55" s="626"/>
      <c r="T55" s="626"/>
      <c r="U55" s="626"/>
      <c r="V55" s="626"/>
      <c r="W55" s="626"/>
      <c r="X55" s="626"/>
      <c r="Y55" s="626"/>
      <c r="Z55" s="623"/>
      <c r="AA55" s="539"/>
      <c r="AB55" s="539"/>
      <c r="AC55" s="539" t="e">
        <f t="shared" si="40"/>
        <v>#REF!</v>
      </c>
      <c r="AD55" s="626"/>
      <c r="AE55" s="53"/>
    </row>
    <row r="56" spans="1:31" ht="15.75">
      <c r="A56" s="5"/>
      <c r="B56" s="409">
        <v>611</v>
      </c>
      <c r="C56" s="412" t="s">
        <v>447</v>
      </c>
      <c r="D56" s="194"/>
      <c r="E56" s="557">
        <f>+Dépenses!E67</f>
        <v>0</v>
      </c>
      <c r="F56" s="542" t="s">
        <v>437</v>
      </c>
      <c r="G56" s="543">
        <f t="shared" si="32"/>
        <v>0</v>
      </c>
      <c r="H56" s="626"/>
      <c r="I56" s="626"/>
      <c r="J56" s="635"/>
      <c r="K56" s="626"/>
      <c r="L56" s="626"/>
      <c r="M56" s="626"/>
      <c r="N56" s="626"/>
      <c r="O56" s="626"/>
      <c r="P56" s="626"/>
      <c r="Q56" s="626"/>
      <c r="R56" s="626"/>
      <c r="S56" s="626"/>
      <c r="T56" s="626"/>
      <c r="U56" s="626"/>
      <c r="V56" s="626"/>
      <c r="W56" s="626"/>
      <c r="X56" s="626"/>
      <c r="Y56" s="626"/>
      <c r="Z56" s="623"/>
      <c r="AA56" s="539"/>
      <c r="AB56" s="539"/>
      <c r="AC56" s="539" t="e">
        <f t="shared" si="40"/>
        <v>#REF!</v>
      </c>
      <c r="AD56" s="626"/>
      <c r="AE56" s="53"/>
    </row>
    <row r="57" spans="1:31" ht="15.75">
      <c r="A57" s="5"/>
      <c r="B57" s="409">
        <v>611</v>
      </c>
      <c r="C57" s="412" t="s">
        <v>446</v>
      </c>
      <c r="D57" s="194"/>
      <c r="E57" s="557">
        <f>+Dépenses!E68</f>
        <v>0</v>
      </c>
      <c r="F57" s="542" t="s">
        <v>438</v>
      </c>
      <c r="G57" s="543">
        <f t="shared" si="32"/>
        <v>0</v>
      </c>
      <c r="H57" s="626"/>
      <c r="I57" s="626"/>
      <c r="J57" s="635"/>
      <c r="K57" s="626"/>
      <c r="L57" s="626"/>
      <c r="M57" s="626"/>
      <c r="N57" s="626"/>
      <c r="O57" s="626"/>
      <c r="P57" s="626"/>
      <c r="Q57" s="626"/>
      <c r="R57" s="626"/>
      <c r="S57" s="626"/>
      <c r="T57" s="626"/>
      <c r="U57" s="626"/>
      <c r="V57" s="626"/>
      <c r="W57" s="626"/>
      <c r="X57" s="626"/>
      <c r="Y57" s="626"/>
      <c r="Z57" s="623"/>
      <c r="AA57" s="539"/>
      <c r="AB57" s="539"/>
      <c r="AC57" s="539" t="e">
        <f t="shared" si="40"/>
        <v>#REF!</v>
      </c>
      <c r="AD57" s="626"/>
      <c r="AE57" s="53"/>
    </row>
    <row r="58" spans="1:31" ht="15.75">
      <c r="A58" s="5"/>
      <c r="B58" s="409"/>
      <c r="C58" s="412"/>
      <c r="D58" s="194"/>
      <c r="E58" s="557">
        <f>+Dépenses!E69</f>
        <v>0</v>
      </c>
      <c r="F58" s="542"/>
      <c r="G58" s="543">
        <f t="shared" si="32"/>
        <v>0</v>
      </c>
      <c r="H58" s="626"/>
      <c r="I58" s="626"/>
      <c r="J58" s="635"/>
      <c r="K58" s="626"/>
      <c r="L58" s="626"/>
      <c r="M58" s="626"/>
      <c r="N58" s="626"/>
      <c r="O58" s="626"/>
      <c r="P58" s="626"/>
      <c r="Q58" s="626"/>
      <c r="R58" s="626"/>
      <c r="S58" s="626"/>
      <c r="T58" s="626"/>
      <c r="U58" s="626"/>
      <c r="V58" s="626"/>
      <c r="W58" s="626"/>
      <c r="X58" s="626"/>
      <c r="Y58" s="626"/>
      <c r="Z58" s="623"/>
      <c r="AA58" s="539"/>
      <c r="AB58" s="539"/>
      <c r="AC58" s="539" t="e">
        <f t="shared" si="40"/>
        <v>#REF!</v>
      </c>
      <c r="AD58" s="626"/>
      <c r="AE58" s="53"/>
    </row>
    <row r="59" spans="1:31" ht="15.75">
      <c r="A59" s="5"/>
      <c r="B59" s="409"/>
      <c r="C59" s="412"/>
      <c r="D59" s="194"/>
      <c r="E59" s="557">
        <f>+Dépenses!E70</f>
        <v>0</v>
      </c>
      <c r="F59" s="542"/>
      <c r="G59" s="543">
        <f t="shared" si="32"/>
        <v>0</v>
      </c>
      <c r="H59" s="626"/>
      <c r="I59" s="626"/>
      <c r="J59" s="635"/>
      <c r="K59" s="626"/>
      <c r="L59" s="626"/>
      <c r="M59" s="626"/>
      <c r="N59" s="626"/>
      <c r="O59" s="626"/>
      <c r="P59" s="626"/>
      <c r="Q59" s="626"/>
      <c r="R59" s="626"/>
      <c r="S59" s="626"/>
      <c r="T59" s="626"/>
      <c r="U59" s="626"/>
      <c r="V59" s="626"/>
      <c r="W59" s="626"/>
      <c r="X59" s="626"/>
      <c r="Y59" s="626"/>
      <c r="Z59" s="623"/>
      <c r="AA59" s="539"/>
      <c r="AB59" s="539"/>
      <c r="AC59" s="539" t="e">
        <f t="shared" si="39"/>
        <v>#REF!</v>
      </c>
      <c r="AD59" s="626"/>
      <c r="AE59" s="53"/>
    </row>
    <row r="60" spans="1:31" ht="15.75">
      <c r="A60" s="5"/>
      <c r="B60" s="409"/>
      <c r="C60" s="412"/>
      <c r="D60" s="194"/>
      <c r="E60" s="557">
        <f>+Dépenses!E71</f>
        <v>0</v>
      </c>
      <c r="F60" s="542"/>
      <c r="G60" s="543">
        <f t="shared" si="32"/>
        <v>0</v>
      </c>
      <c r="H60" s="626"/>
      <c r="I60" s="626"/>
      <c r="J60" s="635"/>
      <c r="K60" s="626"/>
      <c r="L60" s="626"/>
      <c r="M60" s="626"/>
      <c r="N60" s="626"/>
      <c r="O60" s="626"/>
      <c r="P60" s="626"/>
      <c r="Q60" s="626"/>
      <c r="R60" s="626"/>
      <c r="S60" s="626"/>
      <c r="T60" s="626"/>
      <c r="U60" s="626"/>
      <c r="V60" s="626"/>
      <c r="W60" s="626"/>
      <c r="X60" s="626"/>
      <c r="Y60" s="626"/>
      <c r="Z60" s="623"/>
      <c r="AA60" s="539"/>
      <c r="AB60" s="539"/>
      <c r="AC60" s="539" t="e">
        <f t="shared" si="39"/>
        <v>#REF!</v>
      </c>
      <c r="AD60" s="626"/>
      <c r="AE60" s="53"/>
    </row>
    <row r="61" spans="1:31" ht="15.75">
      <c r="A61" s="5"/>
      <c r="B61" s="409"/>
      <c r="C61" s="412"/>
      <c r="D61" s="194"/>
      <c r="E61" s="557">
        <f>+Dépenses!E72</f>
        <v>0</v>
      </c>
      <c r="F61" s="542"/>
      <c r="G61" s="543">
        <f t="shared" si="32"/>
        <v>0</v>
      </c>
      <c r="H61" s="627"/>
      <c r="I61" s="627"/>
      <c r="J61" s="636"/>
      <c r="K61" s="627"/>
      <c r="L61" s="627"/>
      <c r="M61" s="627"/>
      <c r="N61" s="627"/>
      <c r="O61" s="627"/>
      <c r="P61" s="627"/>
      <c r="Q61" s="627"/>
      <c r="R61" s="627"/>
      <c r="S61" s="627"/>
      <c r="T61" s="627"/>
      <c r="U61" s="627"/>
      <c r="V61" s="627"/>
      <c r="W61" s="627"/>
      <c r="X61" s="627"/>
      <c r="Y61" s="627"/>
      <c r="Z61" s="624"/>
      <c r="AA61" s="539"/>
      <c r="AB61" s="539"/>
      <c r="AC61" s="539" t="e">
        <f t="shared" si="39"/>
        <v>#REF!</v>
      </c>
      <c r="AD61" s="627"/>
      <c r="AE61" s="53"/>
    </row>
    <row r="62" spans="1:31" ht="15.75">
      <c r="A62" s="5"/>
      <c r="B62" s="409"/>
      <c r="C62" s="412"/>
      <c r="D62" s="194"/>
      <c r="E62" s="557">
        <f>+Dépenses!E73</f>
        <v>0</v>
      </c>
      <c r="F62" s="542"/>
      <c r="G62" s="543">
        <f t="shared" si="32"/>
        <v>0</v>
      </c>
      <c r="H62" s="544"/>
      <c r="I62" s="544">
        <f>+G62</f>
        <v>0</v>
      </c>
      <c r="J62" s="544"/>
      <c r="K62" s="544"/>
      <c r="L62" s="544"/>
      <c r="M62" s="544"/>
      <c r="N62" s="544"/>
      <c r="O62" s="544"/>
      <c r="P62" s="544"/>
      <c r="Q62" s="544"/>
      <c r="R62" s="544"/>
      <c r="S62" s="544"/>
      <c r="T62" s="544"/>
      <c r="U62" s="544"/>
      <c r="V62" s="544"/>
      <c r="W62" s="544"/>
      <c r="X62" s="544"/>
      <c r="Y62" s="544"/>
      <c r="Z62" s="541"/>
      <c r="AA62" s="539"/>
      <c r="AB62" s="539"/>
      <c r="AC62" s="539" t="e">
        <f t="shared" si="39"/>
        <v>#REF!</v>
      </c>
      <c r="AD62" s="544"/>
      <c r="AE62" s="53"/>
    </row>
    <row r="63" spans="1:31" ht="15.75">
      <c r="A63" s="5"/>
      <c r="B63" s="409"/>
      <c r="C63" s="412"/>
      <c r="D63" s="194"/>
      <c r="E63" s="557">
        <f>+Dépenses!E74</f>
        <v>0</v>
      </c>
      <c r="F63" s="542"/>
      <c r="G63" s="543">
        <f t="shared" si="32"/>
        <v>0</v>
      </c>
      <c r="H63" s="544"/>
      <c r="I63" s="544">
        <f>+E63</f>
        <v>0</v>
      </c>
      <c r="J63" s="544"/>
      <c r="K63" s="544"/>
      <c r="L63" s="544"/>
      <c r="M63" s="544"/>
      <c r="N63" s="544"/>
      <c r="O63" s="544"/>
      <c r="P63" s="544"/>
      <c r="Q63" s="544"/>
      <c r="R63" s="544"/>
      <c r="S63" s="544"/>
      <c r="T63" s="544"/>
      <c r="U63" s="544"/>
      <c r="V63" s="544"/>
      <c r="W63" s="544"/>
      <c r="X63" s="544"/>
      <c r="Y63" s="544"/>
      <c r="Z63" s="541"/>
      <c r="AA63" s="539"/>
      <c r="AB63" s="539"/>
      <c r="AC63" s="539" t="e">
        <f t="shared" si="39"/>
        <v>#REF!</v>
      </c>
      <c r="AD63" s="539" t="e">
        <f>E63-H63-I63-J63-AC63-Z63</f>
        <v>#REF!</v>
      </c>
      <c r="AE63" s="53"/>
    </row>
    <row r="64" spans="1:31" ht="15.75">
      <c r="A64" s="5"/>
      <c r="B64" s="409"/>
      <c r="C64" s="412"/>
      <c r="D64" s="194"/>
      <c r="E64" s="557">
        <f>+Dépenses!E75</f>
        <v>0</v>
      </c>
      <c r="F64" s="542"/>
      <c r="G64" s="543">
        <f t="shared" si="32"/>
        <v>0</v>
      </c>
      <c r="H64" s="544"/>
      <c r="I64" s="544">
        <f>+G64</f>
        <v>0</v>
      </c>
      <c r="J64" s="544"/>
      <c r="K64" s="544"/>
      <c r="L64" s="544"/>
      <c r="M64" s="544"/>
      <c r="N64" s="544"/>
      <c r="O64" s="544"/>
      <c r="P64" s="544"/>
      <c r="Q64" s="544"/>
      <c r="R64" s="544"/>
      <c r="S64" s="544"/>
      <c r="T64" s="544"/>
      <c r="U64" s="544"/>
      <c r="V64" s="544"/>
      <c r="W64" s="544"/>
      <c r="X64" s="544"/>
      <c r="Y64" s="544"/>
      <c r="Z64" s="541"/>
      <c r="AA64" s="539"/>
      <c r="AB64" s="539"/>
      <c r="AC64" s="539" t="e">
        <f t="shared" si="39"/>
        <v>#REF!</v>
      </c>
      <c r="AD64" s="544"/>
      <c r="AE64" s="53"/>
    </row>
    <row r="65" spans="1:31" ht="15.75">
      <c r="A65" s="5"/>
      <c r="B65" s="409"/>
      <c r="C65" s="412"/>
      <c r="D65" s="194"/>
      <c r="E65" s="557"/>
      <c r="F65" s="545"/>
      <c r="G65" s="543"/>
      <c r="H65" s="544"/>
      <c r="I65" s="544"/>
      <c r="J65" s="544"/>
      <c r="K65" s="544"/>
      <c r="L65" s="544">
        <f>+E65</f>
        <v>0</v>
      </c>
      <c r="M65" s="544"/>
      <c r="N65" s="544"/>
      <c r="O65" s="544"/>
      <c r="P65" s="544"/>
      <c r="Q65" s="544"/>
      <c r="R65" s="544"/>
      <c r="S65" s="544"/>
      <c r="T65" s="544"/>
      <c r="U65" s="544"/>
      <c r="V65" s="544"/>
      <c r="W65" s="544"/>
      <c r="X65" s="544"/>
      <c r="Y65" s="544"/>
      <c r="Z65" s="541"/>
      <c r="AA65" s="539"/>
      <c r="AB65" s="539"/>
      <c r="AC65" s="539"/>
      <c r="AD65" s="544"/>
      <c r="AE65" s="53"/>
    </row>
    <row r="66" spans="1:31">
      <c r="A66" s="5">
        <v>611</v>
      </c>
      <c r="B66" s="417">
        <f>Dépenses!A43</f>
        <v>0</v>
      </c>
      <c r="C66" s="418">
        <f>Dépenses!C43</f>
        <v>0</v>
      </c>
      <c r="D66" s="419"/>
      <c r="E66" s="558">
        <f>Dépenses!E43</f>
        <v>0</v>
      </c>
      <c r="F66" s="546" t="s">
        <v>254</v>
      </c>
      <c r="G66" s="540">
        <f t="shared" ref="G66:G78" si="41">E66</f>
        <v>0</v>
      </c>
      <c r="H66" s="539"/>
      <c r="I66" s="539"/>
      <c r="J66" s="539"/>
      <c r="K66" s="539"/>
      <c r="L66" s="539"/>
      <c r="M66" s="539"/>
      <c r="N66" s="539"/>
      <c r="O66" s="539"/>
      <c r="P66" s="539"/>
      <c r="Q66" s="539"/>
      <c r="R66" s="539"/>
      <c r="S66" s="539"/>
      <c r="T66" s="539"/>
      <c r="U66" s="539"/>
      <c r="V66" s="539"/>
      <c r="W66" s="539"/>
      <c r="X66" s="539"/>
      <c r="Y66" s="539"/>
      <c r="Z66" s="541">
        <f>+G66</f>
        <v>0</v>
      </c>
      <c r="AA66" s="539"/>
      <c r="AB66" s="539"/>
      <c r="AC66" s="539" t="e">
        <f t="shared" si="39"/>
        <v>#REF!</v>
      </c>
      <c r="AD66" s="539" t="e">
        <f t="shared" ref="AD66:AD77" si="42">E66-H66-I66-J66-AC66-Z66</f>
        <v>#REF!</v>
      </c>
      <c r="AE66" s="53"/>
    </row>
    <row r="67" spans="1:31">
      <c r="A67" s="5">
        <v>625</v>
      </c>
      <c r="B67" s="417">
        <f>Dépenses!A44</f>
        <v>0</v>
      </c>
      <c r="C67" s="418">
        <f>Dépenses!C44</f>
        <v>0</v>
      </c>
      <c r="D67" s="419"/>
      <c r="E67" s="558">
        <f>Dépenses!E44</f>
        <v>0</v>
      </c>
      <c r="F67" s="546" t="s">
        <v>254</v>
      </c>
      <c r="G67" s="540">
        <f t="shared" si="41"/>
        <v>0</v>
      </c>
      <c r="H67" s="539"/>
      <c r="I67" s="539"/>
      <c r="J67" s="539"/>
      <c r="K67" s="539"/>
      <c r="L67" s="539"/>
      <c r="M67" s="539"/>
      <c r="N67" s="539"/>
      <c r="O67" s="539"/>
      <c r="P67" s="539"/>
      <c r="Q67" s="539"/>
      <c r="R67" s="539"/>
      <c r="S67" s="539"/>
      <c r="T67" s="539"/>
      <c r="U67" s="539"/>
      <c r="V67" s="539"/>
      <c r="W67" s="539"/>
      <c r="X67" s="539"/>
      <c r="Y67" s="539"/>
      <c r="Z67" s="541">
        <f t="shared" ref="Z67:Z76" si="43">+G67</f>
        <v>0</v>
      </c>
      <c r="AA67" s="539"/>
      <c r="AB67" s="539"/>
      <c r="AC67" s="539" t="e">
        <f t="shared" ref="AC67:AC76" si="44">G67*$AC$4</f>
        <v>#REF!</v>
      </c>
      <c r="AD67" s="539" t="e">
        <f t="shared" si="42"/>
        <v>#REF!</v>
      </c>
      <c r="AE67" s="53"/>
    </row>
    <row r="68" spans="1:31">
      <c r="A68" s="5"/>
      <c r="B68" s="417">
        <f>Dépenses!A45</f>
        <v>0</v>
      </c>
      <c r="C68" s="418">
        <f>Dépenses!C45</f>
        <v>0</v>
      </c>
      <c r="D68" s="419"/>
      <c r="E68" s="558">
        <f>Dépenses!E45</f>
        <v>0</v>
      </c>
      <c r="F68" s="546" t="s">
        <v>254</v>
      </c>
      <c r="G68" s="540">
        <f t="shared" si="41"/>
        <v>0</v>
      </c>
      <c r="H68" s="539"/>
      <c r="I68" s="539"/>
      <c r="J68" s="539"/>
      <c r="K68" s="539"/>
      <c r="L68" s="539"/>
      <c r="M68" s="539"/>
      <c r="N68" s="539"/>
      <c r="O68" s="539"/>
      <c r="P68" s="539"/>
      <c r="Q68" s="539"/>
      <c r="R68" s="539"/>
      <c r="S68" s="539"/>
      <c r="T68" s="539"/>
      <c r="U68" s="539"/>
      <c r="V68" s="539"/>
      <c r="W68" s="539"/>
      <c r="X68" s="539"/>
      <c r="Y68" s="539"/>
      <c r="Z68" s="541">
        <f t="shared" si="43"/>
        <v>0</v>
      </c>
      <c r="AA68" s="539"/>
      <c r="AB68" s="539"/>
      <c r="AC68" s="539" t="e">
        <f t="shared" si="44"/>
        <v>#REF!</v>
      </c>
      <c r="AD68" s="539" t="e">
        <f t="shared" si="42"/>
        <v>#REF!</v>
      </c>
      <c r="AE68" s="53"/>
    </row>
    <row r="69" spans="1:31">
      <c r="A69" s="5"/>
      <c r="B69" s="417">
        <f>Dépenses!A46</f>
        <v>0</v>
      </c>
      <c r="C69" s="418">
        <f>Dépenses!C46</f>
        <v>0</v>
      </c>
      <c r="D69" s="419"/>
      <c r="E69" s="558">
        <f>Dépenses!E46</f>
        <v>0</v>
      </c>
      <c r="F69" s="546" t="s">
        <v>254</v>
      </c>
      <c r="G69" s="540">
        <f t="shared" si="41"/>
        <v>0</v>
      </c>
      <c r="H69" s="539"/>
      <c r="I69" s="539"/>
      <c r="J69" s="539"/>
      <c r="K69" s="539"/>
      <c r="L69" s="539"/>
      <c r="M69" s="539"/>
      <c r="N69" s="539"/>
      <c r="O69" s="539"/>
      <c r="P69" s="539"/>
      <c r="Q69" s="539"/>
      <c r="R69" s="539"/>
      <c r="S69" s="539"/>
      <c r="T69" s="539"/>
      <c r="U69" s="539"/>
      <c r="V69" s="539"/>
      <c r="W69" s="539"/>
      <c r="X69" s="539"/>
      <c r="Y69" s="539"/>
      <c r="Z69" s="541">
        <f t="shared" si="43"/>
        <v>0</v>
      </c>
      <c r="AA69" s="539"/>
      <c r="AB69" s="539"/>
      <c r="AC69" s="539" t="e">
        <f t="shared" si="44"/>
        <v>#REF!</v>
      </c>
      <c r="AD69" s="539" t="e">
        <f t="shared" si="42"/>
        <v>#REF!</v>
      </c>
      <c r="AE69" s="53"/>
    </row>
    <row r="70" spans="1:31">
      <c r="A70" s="5"/>
      <c r="B70" s="417">
        <f>Dépenses!A47</f>
        <v>0</v>
      </c>
      <c r="C70" s="418">
        <f>Dépenses!C47</f>
        <v>0</v>
      </c>
      <c r="D70" s="419"/>
      <c r="E70" s="558">
        <f>Dépenses!E47</f>
        <v>0</v>
      </c>
      <c r="F70" s="546" t="s">
        <v>254</v>
      </c>
      <c r="G70" s="540">
        <f t="shared" si="41"/>
        <v>0</v>
      </c>
      <c r="H70" s="539"/>
      <c r="I70" s="539"/>
      <c r="J70" s="539"/>
      <c r="K70" s="539"/>
      <c r="L70" s="539"/>
      <c r="M70" s="539"/>
      <c r="N70" s="539"/>
      <c r="O70" s="539"/>
      <c r="P70" s="539"/>
      <c r="Q70" s="539"/>
      <c r="R70" s="539"/>
      <c r="S70" s="539"/>
      <c r="T70" s="539"/>
      <c r="U70" s="539"/>
      <c r="V70" s="539"/>
      <c r="W70" s="539"/>
      <c r="X70" s="539"/>
      <c r="Y70" s="539"/>
      <c r="Z70" s="541">
        <f t="shared" si="43"/>
        <v>0</v>
      </c>
      <c r="AA70" s="539"/>
      <c r="AB70" s="539"/>
      <c r="AC70" s="539" t="e">
        <f t="shared" si="44"/>
        <v>#REF!</v>
      </c>
      <c r="AD70" s="539" t="e">
        <f t="shared" si="42"/>
        <v>#REF!</v>
      </c>
      <c r="AE70" s="53"/>
    </row>
    <row r="71" spans="1:31">
      <c r="A71" s="5"/>
      <c r="B71" s="417">
        <f>Dépenses!A48</f>
        <v>0</v>
      </c>
      <c r="C71" s="418">
        <f>Dépenses!C48</f>
        <v>0</v>
      </c>
      <c r="D71" s="419"/>
      <c r="E71" s="558">
        <f>Dépenses!E48</f>
        <v>0</v>
      </c>
      <c r="F71" s="546" t="s">
        <v>254</v>
      </c>
      <c r="G71" s="540">
        <f t="shared" si="41"/>
        <v>0</v>
      </c>
      <c r="H71" s="539"/>
      <c r="I71" s="539"/>
      <c r="J71" s="539"/>
      <c r="K71" s="539"/>
      <c r="L71" s="539"/>
      <c r="M71" s="539"/>
      <c r="N71" s="539"/>
      <c r="O71" s="539"/>
      <c r="P71" s="539"/>
      <c r="Q71" s="539"/>
      <c r="R71" s="539"/>
      <c r="S71" s="539"/>
      <c r="T71" s="539"/>
      <c r="U71" s="539"/>
      <c r="V71" s="539"/>
      <c r="W71" s="539"/>
      <c r="X71" s="539"/>
      <c r="Y71" s="539"/>
      <c r="Z71" s="541">
        <f t="shared" si="43"/>
        <v>0</v>
      </c>
      <c r="AA71" s="539"/>
      <c r="AB71" s="539"/>
      <c r="AC71" s="539" t="e">
        <f t="shared" si="44"/>
        <v>#REF!</v>
      </c>
      <c r="AD71" s="539" t="e">
        <f t="shared" si="42"/>
        <v>#REF!</v>
      </c>
      <c r="AE71" s="53"/>
    </row>
    <row r="72" spans="1:31">
      <c r="A72" s="5"/>
      <c r="B72" s="417">
        <f>Dépenses!A49</f>
        <v>0</v>
      </c>
      <c r="C72" s="418">
        <f>Dépenses!C49</f>
        <v>0</v>
      </c>
      <c r="D72" s="419"/>
      <c r="E72" s="558">
        <f>Dépenses!E49</f>
        <v>0</v>
      </c>
      <c r="F72" s="546" t="s">
        <v>254</v>
      </c>
      <c r="G72" s="540">
        <f t="shared" si="41"/>
        <v>0</v>
      </c>
      <c r="H72" s="539"/>
      <c r="I72" s="539"/>
      <c r="J72" s="539"/>
      <c r="K72" s="539"/>
      <c r="L72" s="539"/>
      <c r="M72" s="539"/>
      <c r="N72" s="539"/>
      <c r="O72" s="539"/>
      <c r="P72" s="539"/>
      <c r="Q72" s="539"/>
      <c r="R72" s="539"/>
      <c r="S72" s="539"/>
      <c r="T72" s="539"/>
      <c r="U72" s="539"/>
      <c r="V72" s="539"/>
      <c r="W72" s="539"/>
      <c r="X72" s="539"/>
      <c r="Y72" s="539"/>
      <c r="Z72" s="541">
        <f t="shared" si="43"/>
        <v>0</v>
      </c>
      <c r="AA72" s="539"/>
      <c r="AB72" s="539"/>
      <c r="AC72" s="539" t="e">
        <f t="shared" si="44"/>
        <v>#REF!</v>
      </c>
      <c r="AD72" s="539" t="e">
        <f t="shared" si="42"/>
        <v>#REF!</v>
      </c>
      <c r="AE72" s="53"/>
    </row>
    <row r="73" spans="1:31">
      <c r="A73" s="5"/>
      <c r="B73" s="417">
        <f>Dépenses!A50</f>
        <v>0</v>
      </c>
      <c r="C73" s="418">
        <f>Dépenses!C50</f>
        <v>0</v>
      </c>
      <c r="D73" s="419"/>
      <c r="E73" s="558">
        <f>Dépenses!E50</f>
        <v>0</v>
      </c>
      <c r="F73" s="546" t="s">
        <v>254</v>
      </c>
      <c r="G73" s="540">
        <f t="shared" si="41"/>
        <v>0</v>
      </c>
      <c r="H73" s="539"/>
      <c r="I73" s="539"/>
      <c r="J73" s="539"/>
      <c r="K73" s="539"/>
      <c r="L73" s="539"/>
      <c r="M73" s="539"/>
      <c r="N73" s="539"/>
      <c r="O73" s="539"/>
      <c r="P73" s="539"/>
      <c r="Q73" s="539"/>
      <c r="R73" s="539"/>
      <c r="S73" s="539"/>
      <c r="T73" s="539"/>
      <c r="U73" s="539"/>
      <c r="V73" s="539"/>
      <c r="W73" s="539"/>
      <c r="X73" s="539"/>
      <c r="Y73" s="539"/>
      <c r="Z73" s="541">
        <f t="shared" si="43"/>
        <v>0</v>
      </c>
      <c r="AA73" s="539"/>
      <c r="AB73" s="539"/>
      <c r="AC73" s="539" t="e">
        <f t="shared" si="44"/>
        <v>#REF!</v>
      </c>
      <c r="AD73" s="539" t="e">
        <f t="shared" si="42"/>
        <v>#REF!</v>
      </c>
      <c r="AE73" s="53"/>
    </row>
    <row r="74" spans="1:31">
      <c r="A74" s="5"/>
      <c r="B74" s="417">
        <f>Dépenses!A51</f>
        <v>0</v>
      </c>
      <c r="C74" s="418">
        <f>Dépenses!C51</f>
        <v>0</v>
      </c>
      <c r="D74" s="419"/>
      <c r="E74" s="558">
        <f>Dépenses!E51</f>
        <v>0</v>
      </c>
      <c r="F74" s="546" t="s">
        <v>254</v>
      </c>
      <c r="G74" s="540">
        <f t="shared" si="41"/>
        <v>0</v>
      </c>
      <c r="H74" s="539"/>
      <c r="I74" s="539"/>
      <c r="J74" s="539"/>
      <c r="K74" s="539"/>
      <c r="L74" s="539"/>
      <c r="M74" s="539"/>
      <c r="N74" s="539"/>
      <c r="O74" s="539"/>
      <c r="P74" s="539"/>
      <c r="Q74" s="539"/>
      <c r="R74" s="539"/>
      <c r="S74" s="539"/>
      <c r="T74" s="539"/>
      <c r="U74" s="539"/>
      <c r="V74" s="539"/>
      <c r="W74" s="539"/>
      <c r="X74" s="539"/>
      <c r="Y74" s="539"/>
      <c r="Z74" s="541">
        <f t="shared" si="43"/>
        <v>0</v>
      </c>
      <c r="AA74" s="539"/>
      <c r="AB74" s="539"/>
      <c r="AC74" s="539" t="e">
        <f t="shared" si="44"/>
        <v>#REF!</v>
      </c>
      <c r="AD74" s="539" t="e">
        <f t="shared" si="42"/>
        <v>#REF!</v>
      </c>
      <c r="AE74" s="53"/>
    </row>
    <row r="75" spans="1:31">
      <c r="A75" s="5"/>
      <c r="B75" s="417">
        <f>Dépenses!A52</f>
        <v>0</v>
      </c>
      <c r="C75" s="418">
        <f>Dépenses!C52</f>
        <v>0</v>
      </c>
      <c r="D75" s="419"/>
      <c r="E75" s="558">
        <f>Dépenses!E52</f>
        <v>0</v>
      </c>
      <c r="F75" s="546" t="s">
        <v>254</v>
      </c>
      <c r="G75" s="540">
        <f t="shared" si="41"/>
        <v>0</v>
      </c>
      <c r="H75" s="539"/>
      <c r="I75" s="539"/>
      <c r="J75" s="539"/>
      <c r="K75" s="539"/>
      <c r="L75" s="539"/>
      <c r="M75" s="539"/>
      <c r="N75" s="539"/>
      <c r="O75" s="539"/>
      <c r="P75" s="539"/>
      <c r="Q75" s="539"/>
      <c r="R75" s="539"/>
      <c r="S75" s="539"/>
      <c r="T75" s="539"/>
      <c r="U75" s="539"/>
      <c r="V75" s="539"/>
      <c r="W75" s="539"/>
      <c r="X75" s="539"/>
      <c r="Y75" s="539"/>
      <c r="Z75" s="541">
        <f t="shared" si="43"/>
        <v>0</v>
      </c>
      <c r="AA75" s="539"/>
      <c r="AB75" s="539"/>
      <c r="AC75" s="539" t="e">
        <f t="shared" si="44"/>
        <v>#REF!</v>
      </c>
      <c r="AD75" s="539" t="e">
        <f t="shared" si="42"/>
        <v>#REF!</v>
      </c>
      <c r="AE75" s="53"/>
    </row>
    <row r="76" spans="1:31">
      <c r="A76" s="5"/>
      <c r="B76" s="5"/>
      <c r="C76" s="6"/>
      <c r="D76" s="194"/>
      <c r="E76" s="557"/>
      <c r="F76" s="539"/>
      <c r="G76" s="540">
        <f t="shared" si="41"/>
        <v>0</v>
      </c>
      <c r="H76" s="539"/>
      <c r="I76" s="539"/>
      <c r="J76" s="539"/>
      <c r="K76" s="539"/>
      <c r="L76" s="539"/>
      <c r="M76" s="539"/>
      <c r="N76" s="539"/>
      <c r="O76" s="539"/>
      <c r="P76" s="539"/>
      <c r="Q76" s="539"/>
      <c r="R76" s="539"/>
      <c r="S76" s="539"/>
      <c r="T76" s="539"/>
      <c r="U76" s="539"/>
      <c r="V76" s="539"/>
      <c r="W76" s="539"/>
      <c r="X76" s="539"/>
      <c r="Y76" s="539"/>
      <c r="Z76" s="541">
        <f t="shared" si="43"/>
        <v>0</v>
      </c>
      <c r="AA76" s="539"/>
      <c r="AB76" s="539"/>
      <c r="AC76" s="539" t="e">
        <f t="shared" si="44"/>
        <v>#REF!</v>
      </c>
      <c r="AD76" s="539" t="e">
        <f t="shared" si="42"/>
        <v>#REF!</v>
      </c>
      <c r="AE76" s="53"/>
    </row>
    <row r="77" spans="1:31">
      <c r="A77" s="5"/>
      <c r="B77" s="5"/>
      <c r="C77" s="6"/>
      <c r="D77" s="194"/>
      <c r="E77" s="557"/>
      <c r="F77" s="539"/>
      <c r="G77" s="540">
        <f t="shared" si="41"/>
        <v>0</v>
      </c>
      <c r="H77" s="539"/>
      <c r="I77" s="539"/>
      <c r="J77" s="539"/>
      <c r="K77" s="539"/>
      <c r="L77" s="539"/>
      <c r="M77" s="539"/>
      <c r="N77" s="539"/>
      <c r="O77" s="539"/>
      <c r="P77" s="539"/>
      <c r="Q77" s="539"/>
      <c r="R77" s="539"/>
      <c r="S77" s="539"/>
      <c r="T77" s="539"/>
      <c r="U77" s="539"/>
      <c r="V77" s="539"/>
      <c r="W77" s="539"/>
      <c r="X77" s="539"/>
      <c r="Y77" s="539"/>
      <c r="Z77" s="541">
        <f t="shared" ref="Z77:Z79" si="45">+G77</f>
        <v>0</v>
      </c>
      <c r="AA77" s="539"/>
      <c r="AB77" s="539"/>
      <c r="AC77" s="539" t="e">
        <f t="shared" si="39"/>
        <v>#REF!</v>
      </c>
      <c r="AD77" s="539" t="e">
        <f t="shared" si="42"/>
        <v>#REF!</v>
      </c>
      <c r="AE77" s="53"/>
    </row>
    <row r="78" spans="1:31">
      <c r="A78" s="5">
        <v>860</v>
      </c>
      <c r="B78" s="417">
        <v>860</v>
      </c>
      <c r="C78" s="418" t="s">
        <v>315</v>
      </c>
      <c r="D78" s="419"/>
      <c r="E78" s="558">
        <f>Valo!N19</f>
        <v>66732.5</v>
      </c>
      <c r="F78" s="541"/>
      <c r="G78" s="547">
        <f t="shared" si="41"/>
        <v>66732.5</v>
      </c>
      <c r="H78" s="541" t="e">
        <f>+Valo!#REF!</f>
        <v>#REF!</v>
      </c>
      <c r="I78" s="541" t="e">
        <f>+Valo!#REF!</f>
        <v>#REF!</v>
      </c>
      <c r="J78" s="541"/>
      <c r="K78" s="541"/>
      <c r="L78" s="541"/>
      <c r="M78" s="541"/>
      <c r="N78" s="541"/>
      <c r="O78" s="541"/>
      <c r="P78" s="541"/>
      <c r="Q78" s="541"/>
      <c r="R78" s="541"/>
      <c r="S78" s="541"/>
      <c r="T78" s="541"/>
      <c r="U78" s="541"/>
      <c r="V78" s="541"/>
      <c r="W78" s="541"/>
      <c r="X78" s="541"/>
      <c r="Y78" s="541"/>
      <c r="Z78" s="541"/>
      <c r="AA78" s="539"/>
      <c r="AB78" s="539"/>
      <c r="AC78" s="539" t="e">
        <f t="shared" si="39"/>
        <v>#REF!</v>
      </c>
      <c r="AD78" s="539" t="e">
        <f>E78-H78-I78-J78-AC78-AB78</f>
        <v>#REF!</v>
      </c>
      <c r="AE78" s="53"/>
    </row>
    <row r="79" spans="1:31">
      <c r="A79" s="5"/>
      <c r="B79" s="417"/>
      <c r="C79" s="418"/>
      <c r="D79" s="419"/>
      <c r="E79" s="558"/>
      <c r="F79" s="541"/>
      <c r="G79" s="547"/>
      <c r="H79" s="541"/>
      <c r="I79" s="541">
        <f t="shared" si="16"/>
        <v>0</v>
      </c>
      <c r="J79" s="541">
        <f t="shared" si="17"/>
        <v>0</v>
      </c>
      <c r="K79" s="541">
        <f>J79*$K$4</f>
        <v>0</v>
      </c>
      <c r="L79" s="541">
        <f t="shared" si="18"/>
        <v>0</v>
      </c>
      <c r="M79" s="541">
        <f t="shared" si="19"/>
        <v>0</v>
      </c>
      <c r="N79" s="541">
        <f>J79*$N$4</f>
        <v>0</v>
      </c>
      <c r="O79" s="541">
        <f>K79*$N$4</f>
        <v>0</v>
      </c>
      <c r="P79" s="541">
        <f>J79*$P$4</f>
        <v>0</v>
      </c>
      <c r="Q79" s="541">
        <f>J79*$Q$4</f>
        <v>0</v>
      </c>
      <c r="R79" s="541">
        <f>J79*$R$4</f>
        <v>0</v>
      </c>
      <c r="S79" s="541">
        <f>J79*$S$4</f>
        <v>0</v>
      </c>
      <c r="T79" s="541">
        <f>J79*$T$4</f>
        <v>0</v>
      </c>
      <c r="U79" s="541">
        <f>J79*$U$4</f>
        <v>0</v>
      </c>
      <c r="V79" s="541">
        <f>J79*$V$4</f>
        <v>0</v>
      </c>
      <c r="W79" s="541">
        <f>J79*$W$4</f>
        <v>0</v>
      </c>
      <c r="X79" s="541">
        <f>J79*$X$4</f>
        <v>0</v>
      </c>
      <c r="Y79" s="541">
        <f>J79*$Y$4</f>
        <v>0</v>
      </c>
      <c r="Z79" s="541">
        <f t="shared" si="45"/>
        <v>0</v>
      </c>
      <c r="AA79" s="539"/>
      <c r="AB79" s="539"/>
      <c r="AC79" s="539" t="e">
        <f t="shared" si="39"/>
        <v>#REF!</v>
      </c>
      <c r="AD79" s="539" t="e">
        <f>E79-H79-I79-J79-AC79-AB79-Z79</f>
        <v>#REF!</v>
      </c>
      <c r="AE79" s="53"/>
    </row>
    <row r="80" spans="1:31" ht="15.75">
      <c r="A80" s="5">
        <v>641</v>
      </c>
      <c r="B80" s="406">
        <v>641</v>
      </c>
      <c r="C80" s="407" t="s">
        <v>299</v>
      </c>
      <c r="D80" s="408"/>
      <c r="E80" s="559">
        <f>G80</f>
        <v>296224.59999999998</v>
      </c>
      <c r="F80" s="548"/>
      <c r="G80" s="548">
        <f>Salaires!E18-Salaires!X18</f>
        <v>296224.59999999998</v>
      </c>
      <c r="H80" s="548">
        <f>Salaires!F18</f>
        <v>76094.2</v>
      </c>
      <c r="I80" s="548">
        <f>+Salaires!G18</f>
        <v>87060.800000000003</v>
      </c>
      <c r="J80" s="548">
        <f>SUM(K80:Z80)</f>
        <v>133069.6</v>
      </c>
      <c r="K80" s="548">
        <f>+Salaires!I18</f>
        <v>10207.199999999999</v>
      </c>
      <c r="L80" s="548">
        <f>+Salaires!J18</f>
        <v>6908.5999999999995</v>
      </c>
      <c r="M80" s="548">
        <f>+Salaires!K18</f>
        <v>7452.8</v>
      </c>
      <c r="N80" s="548">
        <f>+Salaires!L18</f>
        <v>6694.4000000000005</v>
      </c>
      <c r="O80" s="548">
        <f>+Salaires!M18</f>
        <v>9346</v>
      </c>
      <c r="P80" s="548">
        <f>+Salaires!N18</f>
        <v>13217.200000000003</v>
      </c>
      <c r="Q80" s="548">
        <f>+Salaires!O18</f>
        <v>9681.8000000000011</v>
      </c>
      <c r="R80" s="548">
        <f>+Salaires!P18</f>
        <v>8654.2000000000007</v>
      </c>
      <c r="S80" s="548">
        <f>+Salaires!Q18</f>
        <v>11088.4</v>
      </c>
      <c r="T80" s="548">
        <f>+Salaires!R18</f>
        <v>13548.6</v>
      </c>
      <c r="U80" s="548">
        <f>+Salaires!S18</f>
        <v>0</v>
      </c>
      <c r="V80" s="548">
        <f>+Salaires!T18</f>
        <v>5263.7999999999993</v>
      </c>
      <c r="W80" s="548">
        <f>+Salaires!U18</f>
        <v>7696.2</v>
      </c>
      <c r="X80" s="548">
        <f>+Salaires!V18</f>
        <v>11088.4</v>
      </c>
      <c r="Y80" s="548">
        <f>+Salaires!W18</f>
        <v>12222.000000000002</v>
      </c>
      <c r="Z80" s="548"/>
      <c r="AA80" s="548"/>
      <c r="AB80" s="548"/>
      <c r="AC80" s="548" t="e">
        <f t="shared" si="39"/>
        <v>#REF!</v>
      </c>
      <c r="AD80" s="548" t="e">
        <f>E80-H80-I80-J80-AC80-AB80</f>
        <v>#REF!</v>
      </c>
      <c r="AE80" s="53"/>
    </row>
    <row r="81" spans="1:31">
      <c r="A81" s="5"/>
      <c r="B81" s="5"/>
      <c r="C81" s="6"/>
      <c r="D81" s="194"/>
      <c r="E81" s="557"/>
      <c r="F81" s="539"/>
      <c r="G81" s="540"/>
      <c r="H81" s="539"/>
      <c r="I81" s="539">
        <f t="shared" si="16"/>
        <v>0</v>
      </c>
      <c r="J81" s="539">
        <f t="shared" si="17"/>
        <v>0</v>
      </c>
      <c r="K81" s="539">
        <f>J81*$K$4</f>
        <v>0</v>
      </c>
      <c r="L81" s="539">
        <f t="shared" si="18"/>
        <v>0</v>
      </c>
      <c r="M81" s="539">
        <f t="shared" si="19"/>
        <v>0</v>
      </c>
      <c r="N81" s="539">
        <f t="shared" ref="N81" si="46">J81*$N$4</f>
        <v>0</v>
      </c>
      <c r="O81" s="539"/>
      <c r="P81" s="539">
        <f>J81*$P$4</f>
        <v>0</v>
      </c>
      <c r="Q81" s="539">
        <f>J81*$Q$4</f>
        <v>0</v>
      </c>
      <c r="R81" s="539">
        <f>J81*$R$4</f>
        <v>0</v>
      </c>
      <c r="S81" s="539">
        <f>J81*$S$4</f>
        <v>0</v>
      </c>
      <c r="T81" s="539">
        <f>J81*$T$4</f>
        <v>0</v>
      </c>
      <c r="U81" s="539">
        <f>J81*$U$4</f>
        <v>0</v>
      </c>
      <c r="V81" s="539">
        <f>J81*$V$4</f>
        <v>0</v>
      </c>
      <c r="W81" s="539">
        <f>J81*$W$4</f>
        <v>0</v>
      </c>
      <c r="X81" s="539">
        <f>J81*$X$4</f>
        <v>0</v>
      </c>
      <c r="Y81" s="539">
        <f>J81*$Y$4</f>
        <v>0</v>
      </c>
      <c r="Z81" s="541">
        <f>J81*$Z$4</f>
        <v>0</v>
      </c>
      <c r="AA81" s="539"/>
      <c r="AB81" s="539"/>
      <c r="AC81" s="539" t="e">
        <f t="shared" si="39"/>
        <v>#REF!</v>
      </c>
      <c r="AD81" s="539" t="e">
        <f>E81-H81-I81-J81-AC81-AB81</f>
        <v>#REF!</v>
      </c>
      <c r="AE81" s="53"/>
    </row>
    <row r="82" spans="1:31">
      <c r="A82" s="5"/>
      <c r="B82" s="5"/>
      <c r="C82" s="6"/>
      <c r="D82" s="194"/>
      <c r="E82" s="557"/>
      <c r="F82" s="539"/>
      <c r="G82" s="540"/>
      <c r="H82" s="539"/>
      <c r="I82" s="539"/>
      <c r="J82" s="539"/>
      <c r="K82" s="539"/>
      <c r="L82" s="539"/>
      <c r="M82" s="539"/>
      <c r="N82" s="539"/>
      <c r="O82" s="539"/>
      <c r="P82" s="539"/>
      <c r="Q82" s="539"/>
      <c r="R82" s="539"/>
      <c r="S82" s="539"/>
      <c r="T82" s="539"/>
      <c r="U82" s="539"/>
      <c r="V82" s="539"/>
      <c r="W82" s="539"/>
      <c r="X82" s="539"/>
      <c r="Y82" s="539"/>
      <c r="Z82" s="541"/>
      <c r="AA82" s="539"/>
      <c r="AB82" s="539"/>
      <c r="AC82" s="539"/>
      <c r="AD82" s="539"/>
      <c r="AE82" s="53"/>
    </row>
    <row r="83" spans="1:31" ht="15.75" thickBot="1">
      <c r="A83" s="337"/>
      <c r="B83" s="337"/>
      <c r="C83" s="338"/>
      <c r="D83" s="339"/>
      <c r="E83" s="560"/>
      <c r="F83" s="549"/>
      <c r="G83" s="540"/>
      <c r="H83" s="549"/>
      <c r="I83" s="549"/>
      <c r="J83" s="549"/>
      <c r="K83" s="549"/>
      <c r="L83" s="549"/>
      <c r="M83" s="549"/>
      <c r="N83" s="549"/>
      <c r="O83" s="549"/>
      <c r="P83" s="549"/>
      <c r="Q83" s="549"/>
      <c r="R83" s="549"/>
      <c r="S83" s="549"/>
      <c r="T83" s="549"/>
      <c r="U83" s="549"/>
      <c r="V83" s="549"/>
      <c r="W83" s="549"/>
      <c r="X83" s="549"/>
      <c r="Y83" s="549"/>
      <c r="Z83" s="550"/>
      <c r="AA83" s="549"/>
      <c r="AB83" s="549"/>
      <c r="AC83" s="549"/>
      <c r="AD83" s="549"/>
      <c r="AE83" s="53"/>
    </row>
    <row r="84" spans="1:31" ht="18" thickBot="1">
      <c r="A84" s="341"/>
      <c r="B84" s="342"/>
      <c r="C84" s="343"/>
      <c r="D84" s="344">
        <f t="shared" ref="D84:AC84" si="47">SUM(D5:D83)</f>
        <v>0</v>
      </c>
      <c r="E84" s="561" t="e">
        <f t="shared" si="47"/>
        <v>#REF!</v>
      </c>
      <c r="F84" s="345">
        <f t="shared" si="47"/>
        <v>0</v>
      </c>
      <c r="G84" s="366" t="e">
        <f t="shared" si="47"/>
        <v>#REF!</v>
      </c>
      <c r="H84" s="366" t="e">
        <f t="shared" si="47"/>
        <v>#REF!</v>
      </c>
      <c r="I84" s="366" t="e">
        <f t="shared" si="47"/>
        <v>#REF!</v>
      </c>
      <c r="J84" s="366" t="e">
        <f>SUM(J5:J83)</f>
        <v>#REF!</v>
      </c>
      <c r="K84" s="366" t="e">
        <f t="shared" si="47"/>
        <v>#REF!</v>
      </c>
      <c r="L84" s="366" t="e">
        <f t="shared" si="47"/>
        <v>#REF!</v>
      </c>
      <c r="M84" s="366" t="e">
        <f t="shared" si="47"/>
        <v>#REF!</v>
      </c>
      <c r="N84" s="366" t="e">
        <f t="shared" si="47"/>
        <v>#REF!</v>
      </c>
      <c r="O84" s="366" t="e">
        <f t="shared" si="47"/>
        <v>#REF!</v>
      </c>
      <c r="P84" s="366" t="e">
        <f t="shared" si="47"/>
        <v>#REF!</v>
      </c>
      <c r="Q84" s="366" t="e">
        <f t="shared" si="47"/>
        <v>#REF!</v>
      </c>
      <c r="R84" s="366" t="e">
        <f t="shared" si="47"/>
        <v>#REF!</v>
      </c>
      <c r="S84" s="366" t="e">
        <f t="shared" si="47"/>
        <v>#REF!</v>
      </c>
      <c r="T84" s="366" t="e">
        <f t="shared" si="47"/>
        <v>#REF!</v>
      </c>
      <c r="U84" s="366" t="e">
        <f t="shared" si="47"/>
        <v>#REF!</v>
      </c>
      <c r="V84" s="366" t="e">
        <f t="shared" si="47"/>
        <v>#REF!</v>
      </c>
      <c r="W84" s="366" t="e">
        <f t="shared" si="47"/>
        <v>#REF!</v>
      </c>
      <c r="X84" s="366" t="e">
        <f t="shared" si="47"/>
        <v>#REF!</v>
      </c>
      <c r="Y84" s="366" t="e">
        <f t="shared" si="47"/>
        <v>#REF!</v>
      </c>
      <c r="Z84" s="366" t="e">
        <f>SUM(Z5:Z83)</f>
        <v>#REF!</v>
      </c>
      <c r="AA84" s="552">
        <f t="shared" si="47"/>
        <v>0</v>
      </c>
      <c r="AB84" s="552">
        <f t="shared" si="47"/>
        <v>0</v>
      </c>
      <c r="AC84" s="552" t="e">
        <f t="shared" si="47"/>
        <v>#REF!</v>
      </c>
      <c r="AD84" s="552" t="e">
        <f>SUM(AD4:AD83)</f>
        <v>#REF!</v>
      </c>
    </row>
    <row r="85" spans="1:31" ht="15.75">
      <c r="D85" s="19"/>
      <c r="E85" s="54" t="e">
        <f>E84-Dépenses!E80</f>
        <v>#REF!</v>
      </c>
      <c r="F85" s="340"/>
      <c r="K85" s="631" t="e">
        <f>SUM(K84:R84)</f>
        <v>#REF!</v>
      </c>
      <c r="L85" s="631"/>
      <c r="M85" s="631"/>
      <c r="N85" s="631"/>
      <c r="O85" s="631"/>
      <c r="P85" s="631"/>
      <c r="Q85" s="631"/>
      <c r="R85" s="631"/>
      <c r="S85" s="632" t="e">
        <f>SUM(S84:Y84)</f>
        <v>#REF!</v>
      </c>
      <c r="T85" s="633"/>
      <c r="U85" s="633"/>
      <c r="V85" s="633"/>
      <c r="W85" s="633"/>
      <c r="X85" s="633"/>
      <c r="Y85" s="633"/>
    </row>
    <row r="86" spans="1:31">
      <c r="D86" s="19"/>
      <c r="E86" s="10"/>
      <c r="H86" s="53"/>
    </row>
    <row r="87" spans="1:31">
      <c r="H87" s="53"/>
      <c r="I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</row>
    <row r="88" spans="1:31">
      <c r="E88" s="53"/>
      <c r="H88" s="53"/>
    </row>
    <row r="89" spans="1:31">
      <c r="AC89" s="53"/>
    </row>
    <row r="90" spans="1:31">
      <c r="H90" s="53"/>
    </row>
    <row r="92" spans="1:31">
      <c r="J92" s="53"/>
      <c r="K92" s="53"/>
      <c r="L92" s="53"/>
    </row>
    <row r="93" spans="1:31">
      <c r="E93" s="53"/>
    </row>
  </sheetData>
  <sortState ref="A5:C31">
    <sortCondition ref="A5"/>
  </sortState>
  <mergeCells count="24">
    <mergeCell ref="H38:J38"/>
    <mergeCell ref="K85:R85"/>
    <mergeCell ref="S85:Y85"/>
    <mergeCell ref="H44:H61"/>
    <mergeCell ref="I44:I61"/>
    <mergeCell ref="J44:J61"/>
    <mergeCell ref="K44:K61"/>
    <mergeCell ref="L44:L61"/>
    <mergeCell ref="M44:M61"/>
    <mergeCell ref="N44:N61"/>
    <mergeCell ref="O44:O61"/>
    <mergeCell ref="Z44:Z61"/>
    <mergeCell ref="Y44:Y61"/>
    <mergeCell ref="K38:Z38"/>
    <mergeCell ref="AD44:AD61"/>
    <mergeCell ref="P44:P61"/>
    <mergeCell ref="Q44:Q61"/>
    <mergeCell ref="X44:X61"/>
    <mergeCell ref="W44:W61"/>
    <mergeCell ref="V44:V61"/>
    <mergeCell ref="U44:U61"/>
    <mergeCell ref="T44:T61"/>
    <mergeCell ref="S44:S61"/>
    <mergeCell ref="R44:R61"/>
  </mergeCells>
  <pageMargins left="0.7" right="0.7" top="0.75" bottom="0.75" header="0.3" footer="0.3"/>
  <pageSetup paperSize="8" scale="43" orientation="landscape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FE344-F6EB-493F-9084-149B22AF8A0D}">
  <sheetPr>
    <tabColor rgb="FF92D050"/>
    <pageSetUpPr fitToPage="1"/>
  </sheetPr>
  <dimension ref="A1:N38"/>
  <sheetViews>
    <sheetView showGridLines="0" tabSelected="1" topLeftCell="E1" workbookViewId="0">
      <selection activeCell="N1" sqref="N1"/>
    </sheetView>
    <sheetView showGridLines="0" tabSelected="1" workbookViewId="1">
      <selection activeCell="N3" sqref="N3"/>
    </sheetView>
  </sheetViews>
  <sheetFormatPr baseColWidth="10" defaultRowHeight="15" outlineLevelCol="1"/>
  <cols>
    <col min="1" max="2" width="4" style="601" customWidth="1" outlineLevel="1"/>
    <col min="3" max="3" width="4" style="600" customWidth="1" outlineLevel="1"/>
    <col min="4" max="4" width="64.7109375" bestFit="1" customWidth="1"/>
    <col min="5" max="5" width="13.42578125" style="597" bestFit="1" customWidth="1"/>
    <col min="6" max="6" width="4.28515625" style="606" customWidth="1"/>
    <col min="7" max="8" width="4" style="601" customWidth="1" outlineLevel="1"/>
    <col min="9" max="9" width="4" style="600" customWidth="1" outlineLevel="1"/>
    <col min="10" max="10" width="51.7109375" bestFit="1" customWidth="1"/>
    <col min="11" max="11" width="13.42578125" style="597" bestFit="1" customWidth="1"/>
    <col min="14" max="14" width="19.28515625" customWidth="1"/>
  </cols>
  <sheetData>
    <row r="1" spans="1:14" ht="18" thickBot="1">
      <c r="D1" s="592" t="s">
        <v>461</v>
      </c>
      <c r="E1" s="595" t="s">
        <v>462</v>
      </c>
      <c r="F1" s="604"/>
      <c r="J1" s="592" t="s">
        <v>463</v>
      </c>
      <c r="K1" s="595" t="s">
        <v>462</v>
      </c>
      <c r="N1" s="616" t="s">
        <v>513</v>
      </c>
    </row>
    <row r="2" spans="1:14" ht="16.5" thickTop="1">
      <c r="A2" s="602"/>
      <c r="B2" s="602"/>
      <c r="C2" s="603"/>
      <c r="D2" s="593" t="s">
        <v>464</v>
      </c>
      <c r="E2" s="596">
        <f>SUM(E3:E6)</f>
        <v>2479.3424999999997</v>
      </c>
      <c r="F2" s="605"/>
      <c r="G2" s="602"/>
      <c r="H2" s="602"/>
      <c r="I2" s="603"/>
      <c r="J2" s="593" t="s">
        <v>465</v>
      </c>
      <c r="K2" s="596">
        <f>SUM(K3:K5)</f>
        <v>0</v>
      </c>
      <c r="N2" t="s">
        <v>523</v>
      </c>
    </row>
    <row r="3" spans="1:14">
      <c r="A3" s="602"/>
      <c r="B3" s="602"/>
      <c r="C3" s="603"/>
      <c r="D3" t="s">
        <v>466</v>
      </c>
      <c r="G3" s="602"/>
      <c r="H3" s="602" t="s">
        <v>330</v>
      </c>
      <c r="I3" s="603">
        <v>758</v>
      </c>
      <c r="J3" t="s">
        <v>52</v>
      </c>
    </row>
    <row r="4" spans="1:14">
      <c r="A4" s="602"/>
      <c r="B4" s="602"/>
      <c r="C4" s="603"/>
      <c r="D4" t="s">
        <v>467</v>
      </c>
      <c r="G4" s="602"/>
      <c r="H4" s="602"/>
      <c r="I4" s="603"/>
      <c r="J4" t="s">
        <v>468</v>
      </c>
    </row>
    <row r="5" spans="1:14">
      <c r="A5" s="602"/>
      <c r="B5" s="602"/>
      <c r="C5" s="603">
        <v>606</v>
      </c>
      <c r="D5" t="s">
        <v>469</v>
      </c>
      <c r="E5" s="597">
        <f>SUMPRODUCT(('Recap dep rec'!$A$4:$A$41=$C5)*('Recap dep rec'!$C$1:$W$1=$N$1)*('Recap dep rec'!$C$4:$W$41))</f>
        <v>2479.3424999999997</v>
      </c>
      <c r="G5" s="602"/>
      <c r="H5" s="602"/>
      <c r="I5" s="603"/>
      <c r="J5" t="s">
        <v>519</v>
      </c>
    </row>
    <row r="6" spans="1:14" ht="15.75">
      <c r="A6" s="602"/>
      <c r="B6" s="602"/>
      <c r="C6" s="603"/>
      <c r="D6" t="s">
        <v>470</v>
      </c>
      <c r="E6" s="597">
        <f>SUMPRODUCT(('Recap dep rec'!$A$4:$A$41=$C6)*('Recap dep rec'!$C$1:$W$1=$N$1)*('Recap dep rec'!$C$4:$W$41))</f>
        <v>0</v>
      </c>
      <c r="G6" s="602"/>
      <c r="H6" s="602"/>
      <c r="I6" s="603"/>
      <c r="J6" s="593" t="s">
        <v>471</v>
      </c>
      <c r="K6" s="596">
        <f>SUM(K7:K24)</f>
        <v>0</v>
      </c>
    </row>
    <row r="7" spans="1:14" ht="15.75">
      <c r="A7" s="602"/>
      <c r="B7" s="602"/>
      <c r="C7" s="603"/>
      <c r="D7" s="593" t="s">
        <v>99</v>
      </c>
      <c r="E7" s="597">
        <f>SUMPRODUCT(('Recap dep rec'!$A$4:$A$41=$C7)*('Recap dep rec'!$C$1:$W$1=$N$1)*('Recap dep rec'!$C$4:$W$41))</f>
        <v>0</v>
      </c>
      <c r="F7" s="605"/>
      <c r="G7" s="602"/>
      <c r="H7" s="602"/>
      <c r="I7" s="603"/>
      <c r="J7" t="s">
        <v>472</v>
      </c>
    </row>
    <row r="8" spans="1:14">
      <c r="A8" s="602"/>
      <c r="B8" s="602"/>
      <c r="C8" s="603">
        <v>611</v>
      </c>
      <c r="D8" t="s">
        <v>44</v>
      </c>
      <c r="E8" s="597">
        <f>SUMPRODUCT(('Recap dep rec'!$A$4:$A$41=$C8)*('Recap dep rec'!$C$1:$W$1=$N$1)*('Recap dep rec'!$C$4:$W$41))</f>
        <v>652705</v>
      </c>
      <c r="G8" s="602"/>
      <c r="H8" s="602"/>
      <c r="I8" s="603"/>
    </row>
    <row r="9" spans="1:14">
      <c r="A9" s="603">
        <v>614</v>
      </c>
      <c r="B9" s="603">
        <v>613</v>
      </c>
      <c r="C9" s="603">
        <v>612</v>
      </c>
      <c r="D9" t="s">
        <v>473</v>
      </c>
      <c r="E9" s="597">
        <f>SUMPRODUCT(('Recap dep rec'!$A$4:$A$41=$C9)*('Recap dep rec'!$C$1:$W$1=$N$1)*('Recap dep rec'!$C$4:$W$41))</f>
        <v>1449</v>
      </c>
      <c r="G9" s="603"/>
      <c r="H9" s="603"/>
      <c r="I9" s="603"/>
    </row>
    <row r="10" spans="1:14">
      <c r="A10" s="602"/>
      <c r="B10" s="602"/>
      <c r="C10" s="603">
        <v>615</v>
      </c>
      <c r="D10" t="s">
        <v>474</v>
      </c>
      <c r="E10" s="597">
        <f>SUMPRODUCT(('Recap dep rec'!$A$4:$A$41=$C10)*('Recap dep rec'!$C$1:$W$1=$N$1)*('Recap dep rec'!$C$4:$W$41))</f>
        <v>4102.9067499999992</v>
      </c>
      <c r="G10" s="602"/>
      <c r="H10" s="602"/>
      <c r="I10" s="603"/>
    </row>
    <row r="11" spans="1:14">
      <c r="A11" s="602"/>
      <c r="B11" s="602"/>
      <c r="C11" s="603">
        <v>616</v>
      </c>
      <c r="D11" t="s">
        <v>415</v>
      </c>
      <c r="E11" s="597">
        <f>SUMPRODUCT(('Recap dep rec'!$A$4:$A$41=$C11)*('Recap dep rec'!$C$1:$W$1=$N$1)*('Recap dep rec'!$C$4:$W$41))</f>
        <v>1161.0471299999999</v>
      </c>
      <c r="G11" s="602"/>
      <c r="H11" s="602"/>
      <c r="I11" s="603" t="s">
        <v>331</v>
      </c>
      <c r="J11" t="s">
        <v>475</v>
      </c>
    </row>
    <row r="12" spans="1:14">
      <c r="A12" s="602"/>
      <c r="B12" s="602"/>
      <c r="C12" s="603">
        <v>617</v>
      </c>
      <c r="D12" t="s">
        <v>476</v>
      </c>
      <c r="E12" s="597">
        <f>SUMPRODUCT(('Recap dep rec'!$A$4:$A$41=$C12)*('Recap dep rec'!$C$1:$W$1=$N$1)*('Recap dep rec'!$C$4:$W$41))</f>
        <v>0</v>
      </c>
      <c r="G12" s="602"/>
      <c r="H12" s="602"/>
      <c r="I12" s="603"/>
    </row>
    <row r="13" spans="1:14">
      <c r="A13" s="602"/>
      <c r="B13" s="602">
        <v>628</v>
      </c>
      <c r="C13" s="603">
        <v>618</v>
      </c>
      <c r="D13" t="s">
        <v>477</v>
      </c>
      <c r="E13" s="597">
        <f>SUMPRODUCT(('Recap dep rec'!$A$4:$A$41=$C13)*('Recap dep rec'!$C$1:$W$1=$N$1)*('Recap dep rec'!$C$4:$W$41))</f>
        <v>4309.9214999999995</v>
      </c>
      <c r="G13" s="602"/>
      <c r="H13" s="602"/>
      <c r="I13" s="603"/>
      <c r="J13" t="s">
        <v>478</v>
      </c>
      <c r="K13" s="597">
        <f>SUMIF('Recap dep rec'!$A$46:$A$60,$I13,'Recap dep rec'!$W$46:$W$60)</f>
        <v>0</v>
      </c>
    </row>
    <row r="14" spans="1:14" ht="15.75">
      <c r="A14" s="602"/>
      <c r="B14" s="602"/>
      <c r="C14" s="603"/>
      <c r="D14" s="593" t="s">
        <v>104</v>
      </c>
      <c r="E14" s="597">
        <f>SUMPRODUCT(('Recap dep rec'!$A$4:$A$41=$C14)*('Recap dep rec'!$C$1:$W$1=$N$1)*('Recap dep rec'!$C$4:$W$41))</f>
        <v>0</v>
      </c>
      <c r="F14" s="605"/>
      <c r="G14" s="602"/>
      <c r="H14" s="602"/>
      <c r="I14" s="603"/>
    </row>
    <row r="15" spans="1:14">
      <c r="A15" s="602"/>
      <c r="B15" s="602"/>
      <c r="C15" s="603">
        <v>622</v>
      </c>
      <c r="D15" t="s">
        <v>479</v>
      </c>
      <c r="E15" s="597">
        <f>SUMPRODUCT(('Recap dep rec'!$A$4:$A$41=$C15)*('Recap dep rec'!$C$1:$W$1=$N$1)*('Recap dep rec'!$C$4:$W$41))</f>
        <v>21717.370899999998</v>
      </c>
      <c r="G15" s="602"/>
      <c r="H15" s="602"/>
      <c r="I15" s="603"/>
      <c r="J15" t="s">
        <v>480</v>
      </c>
    </row>
    <row r="16" spans="1:14">
      <c r="A16" s="602"/>
      <c r="B16" s="602"/>
      <c r="C16" s="603">
        <v>623</v>
      </c>
      <c r="D16" t="s">
        <v>481</v>
      </c>
      <c r="E16" s="597">
        <f>SUMPRODUCT(('Recap dep rec'!$A$4:$A$41=$C16)*('Recap dep rec'!$C$1:$W$1=$N$1)*('Recap dep rec'!$C$4:$W$41))</f>
        <v>38931.717120000001</v>
      </c>
      <c r="G16" s="602"/>
      <c r="H16" s="602"/>
      <c r="I16" s="603"/>
    </row>
    <row r="17" spans="1:11">
      <c r="A17" s="602"/>
      <c r="B17" s="602"/>
      <c r="C17" s="603">
        <v>625</v>
      </c>
      <c r="D17" t="s">
        <v>482</v>
      </c>
      <c r="E17" s="597">
        <f>SUMPRODUCT(('Recap dep rec'!$A$4:$A$41=$C17)*('Recap dep rec'!$C$1:$W$1=$N$1)*('Recap dep rec'!$C$4:$W$41))</f>
        <v>19264.8</v>
      </c>
      <c r="G17" s="602"/>
      <c r="H17" s="602"/>
      <c r="I17" s="603"/>
      <c r="J17" t="s">
        <v>483</v>
      </c>
    </row>
    <row r="18" spans="1:11">
      <c r="A18" s="602"/>
      <c r="B18" s="602">
        <v>624</v>
      </c>
      <c r="C18" s="603">
        <v>626</v>
      </c>
      <c r="D18" t="s">
        <v>484</v>
      </c>
      <c r="E18" s="597">
        <f>SUMPRODUCT(('Recap dep rec'!$A$4:$A$41=$C18)*('Recap dep rec'!$C$1:$W$1=$N$1)*('Recap dep rec'!$C$4:$W$41))</f>
        <v>2579.0358274999999</v>
      </c>
      <c r="G18" s="602"/>
      <c r="H18" s="602"/>
      <c r="I18" s="603"/>
    </row>
    <row r="19" spans="1:11">
      <c r="A19" s="602"/>
      <c r="B19" s="602"/>
      <c r="C19" s="603">
        <v>627</v>
      </c>
      <c r="D19" t="s">
        <v>485</v>
      </c>
      <c r="E19" s="597">
        <f>SUMPRODUCT(('Recap dep rec'!$A$4:$A$41=$C19)*('Recap dep rec'!$C$1:$W$1=$N$1)*('Recap dep rec'!$C$4:$W$41))</f>
        <v>1799.2554999999998</v>
      </c>
      <c r="G19" s="602"/>
      <c r="H19" s="602"/>
      <c r="I19" s="603"/>
    </row>
    <row r="20" spans="1:11" ht="15.75">
      <c r="A20" s="602"/>
      <c r="B20" s="602"/>
      <c r="C20" s="603"/>
      <c r="D20" s="593" t="s">
        <v>486</v>
      </c>
      <c r="E20" s="597">
        <f>SUMPRODUCT(('Recap dep rec'!$A$4:$A$41=$C20)*('Recap dep rec'!$C$1:$W$1=$N$1)*('Recap dep rec'!$C$4:$W$41))</f>
        <v>0</v>
      </c>
      <c r="F20" s="605"/>
      <c r="G20" s="602"/>
      <c r="H20" s="602"/>
      <c r="I20" s="603"/>
      <c r="J20" t="s">
        <v>487</v>
      </c>
    </row>
    <row r="21" spans="1:11">
      <c r="A21" s="602"/>
      <c r="B21" s="602"/>
      <c r="C21" s="603">
        <v>631</v>
      </c>
      <c r="D21" t="s">
        <v>488</v>
      </c>
      <c r="E21" s="597">
        <f>SUMPRODUCT(('Recap dep rec'!$A$4:$A$41=$C21)*('Recap dep rec'!$C$1:$W$1=$N$1)*('Recap dep rec'!$C$4:$W$41))</f>
        <v>0</v>
      </c>
      <c r="G21" s="602"/>
      <c r="H21" s="602"/>
      <c r="I21" s="603"/>
      <c r="J21" t="s">
        <v>489</v>
      </c>
    </row>
    <row r="22" spans="1:11">
      <c r="A22" s="602"/>
      <c r="B22" s="602"/>
      <c r="C22" s="603">
        <v>635</v>
      </c>
      <c r="D22" t="s">
        <v>490</v>
      </c>
      <c r="E22" s="597">
        <f>SUMPRODUCT(('Recap dep rec'!$A$4:$A$41=$C22)*('Recap dep rec'!$C$1:$W$1=$N$1)*('Recap dep rec'!$C$4:$W$41))</f>
        <v>1247.75</v>
      </c>
      <c r="G22" s="602"/>
      <c r="H22" s="602"/>
      <c r="I22" s="603"/>
      <c r="J22" t="s">
        <v>491</v>
      </c>
    </row>
    <row r="23" spans="1:11" ht="15.75">
      <c r="A23" s="602"/>
      <c r="B23" s="602"/>
      <c r="C23" s="603"/>
      <c r="D23" s="593" t="s">
        <v>110</v>
      </c>
      <c r="E23" s="597">
        <f>SUMPRODUCT(('Recap dep rec'!$A$4:$A$41=$C23)*('Recap dep rec'!$C$1:$W$1=$N$1)*('Recap dep rec'!$C$4:$W$41))</f>
        <v>0</v>
      </c>
      <c r="F23" s="605"/>
      <c r="G23" s="602"/>
      <c r="H23" s="602"/>
      <c r="I23" s="603"/>
    </row>
    <row r="24" spans="1:11">
      <c r="A24" s="602"/>
      <c r="B24" s="602"/>
      <c r="C24" s="603">
        <v>641</v>
      </c>
      <c r="D24" t="s">
        <v>492</v>
      </c>
      <c r="E24" s="597">
        <f>SUMPRODUCT(('Recap dep rec'!$A$4:$A$41=$C24)*('Recap dep rec'!$C$1:$W$1=$N$1)*('Recap dep rec'!$C$4:$W$41))</f>
        <v>280885</v>
      </c>
      <c r="G24" s="602"/>
      <c r="H24" s="602"/>
      <c r="I24" s="603"/>
    </row>
    <row r="25" spans="1:11" ht="15.75">
      <c r="A25" s="602"/>
      <c r="B25" s="602"/>
      <c r="C25" s="603"/>
      <c r="D25" t="s">
        <v>418</v>
      </c>
      <c r="E25" s="597">
        <f>SUMPRODUCT(('Recap dep rec'!$A$4:$A$41=$C25)*('Recap dep rec'!$C$1:$W$1=$N$1)*('Recap dep rec'!$C$4:$W$41))</f>
        <v>0</v>
      </c>
      <c r="G25" s="602"/>
      <c r="H25" s="602"/>
      <c r="I25" s="603"/>
      <c r="J25" s="593" t="s">
        <v>493</v>
      </c>
      <c r="K25" s="596">
        <f>SUM(K26:K27)</f>
        <v>0</v>
      </c>
    </row>
    <row r="26" spans="1:11">
      <c r="A26" s="602"/>
      <c r="B26" s="602">
        <v>645</v>
      </c>
      <c r="C26" s="603">
        <v>648</v>
      </c>
      <c r="D26" t="s">
        <v>494</v>
      </c>
      <c r="E26" s="597">
        <f>SUMPRODUCT(('Recap dep rec'!$A$4:$A$41=$C26)*('Recap dep rec'!$C$1:$W$1=$N$1)*('Recap dep rec'!$C$4:$W$41))</f>
        <v>862.49999999999989</v>
      </c>
      <c r="G26" s="602"/>
      <c r="H26" s="602" t="s">
        <v>329</v>
      </c>
      <c r="I26" s="603">
        <v>756</v>
      </c>
      <c r="J26" t="s">
        <v>51</v>
      </c>
    </row>
    <row r="27" spans="1:11" ht="15.75">
      <c r="A27" s="602"/>
      <c r="B27" s="602"/>
      <c r="C27" s="603">
        <v>650</v>
      </c>
      <c r="D27" s="593" t="s">
        <v>37</v>
      </c>
      <c r="E27" s="597">
        <f>SUMPRODUCT(('Recap dep rec'!$A$4:$A$41=$C27)*('Recap dep rec'!$C$1:$W$1=$N$1)*('Recap dep rec'!$C$4:$W$41))</f>
        <v>0</v>
      </c>
      <c r="F27" s="605"/>
      <c r="G27" s="602"/>
      <c r="H27" s="602"/>
      <c r="I27" s="603"/>
      <c r="J27" t="s">
        <v>495</v>
      </c>
      <c r="K27" s="597">
        <f>SUMIF('Recap dep rec'!$A$46:$A$60,$I27,'Recap dep rec'!$V$46:$V$60)</f>
        <v>0</v>
      </c>
    </row>
    <row r="28" spans="1:11" ht="15.75">
      <c r="A28" s="602"/>
      <c r="B28" s="602"/>
      <c r="C28" s="603"/>
      <c r="D28" s="593" t="s">
        <v>496</v>
      </c>
      <c r="E28" s="597">
        <f>SUMPRODUCT(('Recap dep rec'!$A$4:$A$41=$C28)*('Recap dep rec'!$C$1:$W$1=$N$1)*('Recap dep rec'!$C$4:$W$41))</f>
        <v>0</v>
      </c>
      <c r="F28" s="605"/>
      <c r="G28" s="602"/>
      <c r="H28" s="602"/>
      <c r="I28" s="603"/>
      <c r="J28" s="593" t="s">
        <v>497</v>
      </c>
      <c r="K28" s="596"/>
    </row>
    <row r="29" spans="1:11" ht="15.75">
      <c r="A29" s="602"/>
      <c r="B29" s="602"/>
      <c r="C29" s="603"/>
      <c r="D29" s="593" t="s">
        <v>309</v>
      </c>
      <c r="E29" s="597">
        <f>SUMPRODUCT(('Recap dep rec'!$A$4:$A$41=$C29)*('Recap dep rec'!$C$1:$W$1=$N$1)*('Recap dep rec'!$C$4:$W$41))</f>
        <v>0</v>
      </c>
      <c r="F29" s="605"/>
      <c r="G29" s="602"/>
      <c r="H29" s="602"/>
      <c r="I29" s="603"/>
      <c r="J29" s="593" t="s">
        <v>498</v>
      </c>
      <c r="K29" s="596"/>
    </row>
    <row r="30" spans="1:11" ht="15.75">
      <c r="A30" s="602"/>
      <c r="B30" s="602"/>
      <c r="C30" s="603"/>
      <c r="D30" s="593" t="s">
        <v>499</v>
      </c>
      <c r="E30" s="597">
        <f>SUMPRODUCT(('Recap dep rec'!$A$4:$A$41=$C30)*('Recap dep rec'!$C$1:$W$1=$N$1)*('Recap dep rec'!$C$4:$W$41))</f>
        <v>0</v>
      </c>
      <c r="F30" s="605"/>
      <c r="G30" s="602"/>
      <c r="H30" s="602"/>
      <c r="I30" s="603"/>
      <c r="J30" s="593" t="s">
        <v>500</v>
      </c>
      <c r="K30" s="596"/>
    </row>
    <row r="31" spans="1:11" ht="15.75">
      <c r="A31" s="602"/>
      <c r="B31" s="602"/>
      <c r="C31" s="603"/>
      <c r="G31" s="602"/>
      <c r="H31" s="602"/>
      <c r="I31" s="603"/>
      <c r="J31" s="593" t="s">
        <v>501</v>
      </c>
      <c r="K31" s="596"/>
    </row>
    <row r="32" spans="1:11" ht="16.5" thickBot="1">
      <c r="A32" s="602"/>
      <c r="B32" s="602"/>
      <c r="C32" s="603"/>
      <c r="D32" s="594" t="s">
        <v>502</v>
      </c>
      <c r="E32" s="598">
        <f>SUM(E2:E31)/2</f>
        <v>517986.99486375006</v>
      </c>
      <c r="F32" s="607"/>
      <c r="G32" s="602"/>
      <c r="H32" s="602"/>
      <c r="I32" s="603"/>
      <c r="J32" s="594" t="s">
        <v>503</v>
      </c>
      <c r="K32" s="598">
        <f>K25+K6+K2</f>
        <v>0</v>
      </c>
    </row>
    <row r="33" spans="1:11" ht="15.75" thickTop="1">
      <c r="A33" s="602"/>
      <c r="B33" s="602"/>
      <c r="C33" s="603"/>
      <c r="D33" t="s">
        <v>504</v>
      </c>
      <c r="G33" s="602"/>
      <c r="H33" s="602"/>
      <c r="I33" s="603"/>
      <c r="J33" t="s">
        <v>505</v>
      </c>
    </row>
    <row r="34" spans="1:11">
      <c r="A34" s="602"/>
      <c r="B34" s="602"/>
      <c r="C34" s="603"/>
      <c r="D34" t="s">
        <v>506</v>
      </c>
      <c r="G34" s="602"/>
      <c r="H34" s="602"/>
      <c r="I34" s="603"/>
      <c r="J34" t="s">
        <v>5</v>
      </c>
    </row>
    <row r="35" spans="1:11">
      <c r="A35" s="602"/>
      <c r="B35" s="602"/>
      <c r="C35" s="603"/>
      <c r="D35" t="s">
        <v>507</v>
      </c>
      <c r="G35" s="602"/>
      <c r="H35" s="602"/>
      <c r="I35" s="603"/>
      <c r="J35" t="s">
        <v>508</v>
      </c>
    </row>
    <row r="36" spans="1:11">
      <c r="A36" s="602"/>
      <c r="B36" s="602"/>
      <c r="C36" s="603" t="s">
        <v>514</v>
      </c>
      <c r="D36" t="s">
        <v>509</v>
      </c>
      <c r="G36" s="602"/>
      <c r="H36" s="602"/>
      <c r="I36" s="603"/>
      <c r="J36" t="s">
        <v>123</v>
      </c>
    </row>
    <row r="37" spans="1:11" ht="16.5" thickBot="1">
      <c r="A37" s="602"/>
      <c r="B37" s="602"/>
      <c r="C37" s="603"/>
      <c r="D37" s="594" t="s">
        <v>510</v>
      </c>
      <c r="E37" s="598">
        <f>+E36+E32</f>
        <v>517986.99486375006</v>
      </c>
      <c r="F37" s="607"/>
      <c r="G37" s="602"/>
      <c r="H37" s="602"/>
      <c r="I37" s="603"/>
      <c r="J37" s="594" t="s">
        <v>511</v>
      </c>
      <c r="K37" s="598">
        <f>K36+K32</f>
        <v>0</v>
      </c>
    </row>
    <row r="38" spans="1:11" ht="15.75" thickTop="1"/>
  </sheetData>
  <pageMargins left="0.23622047244094491" right="0.23622047244094491" top="0.74803149606299213" bottom="0.74803149606299213" header="0.31496062992125984" footer="0.31496062992125984"/>
  <pageSetup paperSize="9" scale="82" orientation="landscape" r:id="rId1"/>
  <headerFooter>
    <oddHeader>&amp;C&amp;A&amp;R&amp;"2MASS J1808,Gras"&amp;14BUDGET 2020&amp;"-,Normal"&amp;11
&amp;D
&amp;T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B3C4307-C9FD-448E-8615-73FC95FFEE63}">
          <x14:formula1>
            <xm:f>'Recap dep rec'!$D$1:$W$1</xm:f>
          </x14:formula1>
          <xm:sqref>N1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rgb="FFFF0000"/>
    <pageSetUpPr fitToPage="1"/>
  </sheetPr>
  <dimension ref="A1:AF75"/>
  <sheetViews>
    <sheetView showGridLines="0" topLeftCell="M1" workbookViewId="0">
      <selection activeCell="A6" sqref="A6"/>
    </sheetView>
    <sheetView workbookViewId="1">
      <selection sqref="A1:X1048576"/>
    </sheetView>
  </sheetViews>
  <sheetFormatPr baseColWidth="10" defaultColWidth="11.42578125" defaultRowHeight="15" outlineLevelCol="1"/>
  <cols>
    <col min="1" max="1" width="6.42578125" style="652" bestFit="1" customWidth="1"/>
    <col min="2" max="2" width="39.28515625" style="85" bestFit="1" customWidth="1"/>
    <col min="3" max="3" width="17.28515625" style="85" customWidth="1"/>
    <col min="4" max="5" width="9.5703125" style="85" bestFit="1" customWidth="1"/>
    <col min="6" max="6" width="11.42578125" style="85" bestFit="1" customWidth="1"/>
    <col min="7" max="7" width="9.28515625" style="85" customWidth="1"/>
    <col min="8" max="8" width="13.5703125" style="85" customWidth="1"/>
    <col min="9" max="9" width="10.42578125" style="85" customWidth="1"/>
    <col min="10" max="11" width="10.5703125" style="85" customWidth="1"/>
    <col min="12" max="12" width="9.5703125" style="85" customWidth="1"/>
    <col min="13" max="13" width="13" style="85" customWidth="1"/>
    <col min="14" max="14" width="12.85546875" style="85" customWidth="1"/>
    <col min="15" max="15" width="12.7109375" style="85" customWidth="1"/>
    <col min="16" max="16" width="15.140625" style="85" customWidth="1"/>
    <col min="17" max="17" width="9.85546875" style="85" customWidth="1"/>
    <col min="18" max="18" width="12.5703125" style="85" customWidth="1"/>
    <col min="19" max="19" width="10.85546875" style="85" customWidth="1"/>
    <col min="20" max="20" width="9.5703125" style="85" customWidth="1"/>
    <col min="21" max="21" width="10" style="85" customWidth="1"/>
    <col min="22" max="22" width="11.42578125" style="85" bestFit="1" customWidth="1"/>
    <col min="23" max="23" width="18" style="85" customWidth="1"/>
    <col min="24" max="24" width="12.5703125" style="85" customWidth="1"/>
    <col min="25" max="25" width="12.5703125" style="85" hidden="1" customWidth="1" outlineLevel="1"/>
    <col min="26" max="26" width="9.28515625" style="85" hidden="1" customWidth="1" outlineLevel="1"/>
    <col min="27" max="27" width="12.28515625" style="85" hidden="1" customWidth="1" outlineLevel="1"/>
    <col min="28" max="29" width="13.42578125" style="85" hidden="1" customWidth="1" outlineLevel="1"/>
    <col min="30" max="30" width="11.140625" style="85" customWidth="1" collapsed="1"/>
    <col min="31" max="31" width="7.5703125" style="85" bestFit="1" customWidth="1"/>
    <col min="32" max="32" width="13.5703125" style="85" customWidth="1"/>
    <col min="33" max="16384" width="11.42578125" style="85"/>
  </cols>
  <sheetData>
    <row r="1" spans="1:30" s="108" customFormat="1" ht="60.75" customHeight="1" thickTop="1" thickBot="1">
      <c r="A1" s="649"/>
      <c r="B1" s="106"/>
      <c r="C1" s="107" t="s">
        <v>455</v>
      </c>
      <c r="D1" s="331" t="s">
        <v>252</v>
      </c>
      <c r="E1" s="331" t="s">
        <v>253</v>
      </c>
      <c r="F1" s="336" t="s">
        <v>513</v>
      </c>
      <c r="G1" s="334" t="s">
        <v>256</v>
      </c>
      <c r="H1" s="334" t="s">
        <v>432</v>
      </c>
      <c r="I1" s="334" t="s">
        <v>257</v>
      </c>
      <c r="J1" s="334" t="s">
        <v>300</v>
      </c>
      <c r="K1" s="334" t="s">
        <v>304</v>
      </c>
      <c r="L1" s="334" t="s">
        <v>258</v>
      </c>
      <c r="M1" s="334" t="s">
        <v>184</v>
      </c>
      <c r="N1" s="334" t="s">
        <v>434</v>
      </c>
      <c r="O1" s="334" t="s">
        <v>264</v>
      </c>
      <c r="P1" s="334" t="s">
        <v>265</v>
      </c>
      <c r="Q1" s="334" t="s">
        <v>266</v>
      </c>
      <c r="R1" s="334" t="s">
        <v>451</v>
      </c>
      <c r="S1" s="334" t="s">
        <v>143</v>
      </c>
      <c r="T1" s="334" t="s">
        <v>133</v>
      </c>
      <c r="U1" s="334" t="s">
        <v>267</v>
      </c>
      <c r="V1" s="608" t="s">
        <v>512</v>
      </c>
      <c r="W1" s="420" t="s">
        <v>254</v>
      </c>
      <c r="X1" s="213" t="s">
        <v>347</v>
      </c>
      <c r="Y1" s="213"/>
      <c r="Z1" s="107"/>
      <c r="AA1" s="107"/>
      <c r="AB1" s="107"/>
      <c r="AC1" s="107"/>
      <c r="AD1" s="108" t="str">
        <f>Analytique!AD3</f>
        <v>vérif</v>
      </c>
    </row>
    <row r="2" spans="1:30" s="84" customFormat="1" ht="15.75" thickBot="1">
      <c r="A2" s="650"/>
      <c r="B2" s="197" t="s">
        <v>454</v>
      </c>
      <c r="C2" s="198"/>
      <c r="D2" s="565">
        <v>0.13250000000000001</v>
      </c>
      <c r="E2" s="565">
        <v>0.29249999999999998</v>
      </c>
      <c r="F2" s="565">
        <v>0.57499999999999996</v>
      </c>
      <c r="G2" s="565">
        <v>4.5652173913043478E-2</v>
      </c>
      <c r="H2" s="565">
        <v>2.8260869565217395E-2</v>
      </c>
      <c r="I2" s="565">
        <v>3.0434782608695657E-2</v>
      </c>
      <c r="J2" s="565">
        <v>2.6086956521739132E-2</v>
      </c>
      <c r="K2" s="565">
        <v>4.3478260869565223E-2</v>
      </c>
      <c r="L2" s="565">
        <v>5.6521739130434789E-2</v>
      </c>
      <c r="M2" s="565">
        <v>4.1304347826086968E-2</v>
      </c>
      <c r="N2" s="565">
        <v>3.4782608695652174E-2</v>
      </c>
      <c r="O2" s="565">
        <v>4.7826086956521748E-2</v>
      </c>
      <c r="P2" s="565">
        <v>6.0869565217391314E-2</v>
      </c>
      <c r="Q2" s="565">
        <v>0</v>
      </c>
      <c r="R2" s="565">
        <v>1.9565217391304349E-2</v>
      </c>
      <c r="S2" s="565">
        <v>3.4782608695652181E-2</v>
      </c>
      <c r="T2" s="565">
        <v>4.7826086956521748E-2</v>
      </c>
      <c r="U2" s="565">
        <v>5.4347826086956527E-2</v>
      </c>
      <c r="V2" s="565"/>
      <c r="W2" s="566">
        <v>0.42826086956521742</v>
      </c>
      <c r="X2" s="198"/>
      <c r="Y2" s="198"/>
      <c r="Z2" s="199"/>
      <c r="AA2" s="159"/>
      <c r="AB2" s="159"/>
      <c r="AC2" s="159"/>
    </row>
    <row r="3" spans="1:30" s="84" customFormat="1" ht="15.75" thickBot="1">
      <c r="A3" s="650"/>
      <c r="B3" s="197" t="s">
        <v>63</v>
      </c>
      <c r="C3" s="198"/>
      <c r="D3" s="333" t="s">
        <v>255</v>
      </c>
      <c r="E3" s="333" t="s">
        <v>218</v>
      </c>
      <c r="F3" s="333" t="s">
        <v>287</v>
      </c>
      <c r="G3" s="333" t="s">
        <v>423</v>
      </c>
      <c r="H3" s="333" t="s">
        <v>433</v>
      </c>
      <c r="I3" s="333" t="s">
        <v>431</v>
      </c>
      <c r="J3" s="333" t="s">
        <v>459</v>
      </c>
      <c r="K3" s="333" t="s">
        <v>450</v>
      </c>
      <c r="L3" s="333" t="s">
        <v>424</v>
      </c>
      <c r="M3" s="333" t="s">
        <v>425</v>
      </c>
      <c r="N3" s="333" t="s">
        <v>435</v>
      </c>
      <c r="O3" s="333" t="s">
        <v>452</v>
      </c>
      <c r="P3" s="333" t="s">
        <v>430</v>
      </c>
      <c r="Q3" s="333">
        <v>0</v>
      </c>
      <c r="R3" s="333" t="s">
        <v>428</v>
      </c>
      <c r="S3" s="333" t="s">
        <v>438</v>
      </c>
      <c r="T3" s="333" t="s">
        <v>426</v>
      </c>
      <c r="U3" s="333" t="s">
        <v>437</v>
      </c>
      <c r="V3" s="333" t="s">
        <v>512</v>
      </c>
      <c r="W3" s="421" t="s">
        <v>254</v>
      </c>
      <c r="X3" s="198"/>
      <c r="Y3" s="198"/>
      <c r="Z3" s="199"/>
      <c r="AA3" s="159"/>
      <c r="AB3" s="159"/>
      <c r="AC3" s="159"/>
    </row>
    <row r="4" spans="1:30">
      <c r="A4" s="651">
        <v>604</v>
      </c>
      <c r="B4" s="165" t="s">
        <v>40</v>
      </c>
      <c r="C4" s="160">
        <v>0</v>
      </c>
      <c r="D4" s="166">
        <v>0</v>
      </c>
      <c r="E4" s="166">
        <v>0</v>
      </c>
      <c r="F4" s="554">
        <v>0</v>
      </c>
      <c r="G4" s="166">
        <v>0</v>
      </c>
      <c r="H4" s="166">
        <v>0</v>
      </c>
      <c r="I4" s="166">
        <v>0</v>
      </c>
      <c r="J4" s="166">
        <v>0</v>
      </c>
      <c r="K4" s="166">
        <v>0</v>
      </c>
      <c r="L4" s="166">
        <v>0</v>
      </c>
      <c r="M4" s="166">
        <v>0</v>
      </c>
      <c r="N4" s="166">
        <v>0</v>
      </c>
      <c r="O4" s="166">
        <v>0</v>
      </c>
      <c r="P4" s="166">
        <v>0</v>
      </c>
      <c r="Q4" s="166">
        <v>0</v>
      </c>
      <c r="R4" s="166">
        <v>0</v>
      </c>
      <c r="S4" s="166">
        <v>0</v>
      </c>
      <c r="T4" s="166">
        <v>0</v>
      </c>
      <c r="U4" s="166">
        <v>0</v>
      </c>
      <c r="V4" s="609">
        <v>0</v>
      </c>
      <c r="W4" s="422">
        <v>0</v>
      </c>
      <c r="X4" s="167"/>
      <c r="Y4" s="167"/>
      <c r="Z4" s="160"/>
      <c r="AA4" s="160"/>
      <c r="AB4" s="160"/>
      <c r="AC4" s="160"/>
      <c r="AD4" s="495">
        <f t="shared" ref="AD4:AD40" si="0">C4-D4-E4-F4-Z4-Y4-X4</f>
        <v>0</v>
      </c>
    </row>
    <row r="5" spans="1:30">
      <c r="A5" s="652">
        <v>605</v>
      </c>
      <c r="B5" s="91" t="s">
        <v>41</v>
      </c>
      <c r="C5" s="89">
        <v>0</v>
      </c>
      <c r="D5" s="86">
        <v>0</v>
      </c>
      <c r="E5" s="86">
        <v>0</v>
      </c>
      <c r="F5" s="555">
        <v>0</v>
      </c>
      <c r="G5" s="86">
        <v>0</v>
      </c>
      <c r="H5" s="86">
        <v>0</v>
      </c>
      <c r="I5" s="86">
        <v>0</v>
      </c>
      <c r="J5" s="86">
        <v>0</v>
      </c>
      <c r="K5" s="86">
        <v>0</v>
      </c>
      <c r="L5" s="86">
        <v>0</v>
      </c>
      <c r="M5" s="86">
        <v>0</v>
      </c>
      <c r="N5" s="86">
        <v>0</v>
      </c>
      <c r="O5" s="86">
        <v>0</v>
      </c>
      <c r="P5" s="86">
        <v>0</v>
      </c>
      <c r="Q5" s="86">
        <v>0</v>
      </c>
      <c r="R5" s="86">
        <v>0</v>
      </c>
      <c r="S5" s="86">
        <v>0</v>
      </c>
      <c r="T5" s="86">
        <v>0</v>
      </c>
      <c r="U5" s="86">
        <v>0</v>
      </c>
      <c r="V5" s="610">
        <v>0</v>
      </c>
      <c r="W5" s="423">
        <v>0</v>
      </c>
      <c r="X5" s="90"/>
      <c r="Y5" s="90"/>
      <c r="Z5" s="89"/>
      <c r="AA5" s="89"/>
      <c r="AB5" s="89"/>
      <c r="AC5" s="89"/>
      <c r="AD5" s="495">
        <f t="shared" si="0"/>
        <v>0</v>
      </c>
    </row>
    <row r="6" spans="1:30">
      <c r="A6" s="652">
        <v>606</v>
      </c>
      <c r="B6" s="91" t="s">
        <v>458</v>
      </c>
      <c r="C6" s="89">
        <v>4311.8999999999996</v>
      </c>
      <c r="D6" s="86">
        <v>571.32674999999995</v>
      </c>
      <c r="E6" s="86">
        <v>1261.2307499999997</v>
      </c>
      <c r="F6" s="555">
        <v>2479.3424999999997</v>
      </c>
      <c r="G6" s="86">
        <v>113.18737499999999</v>
      </c>
      <c r="H6" s="86">
        <v>70.068375000000003</v>
      </c>
      <c r="I6" s="86">
        <v>75.458250000000007</v>
      </c>
      <c r="J6" s="86">
        <v>64.6785</v>
      </c>
      <c r="K6" s="86">
        <v>107.7975</v>
      </c>
      <c r="L6" s="86">
        <v>140.13675000000001</v>
      </c>
      <c r="M6" s="86">
        <v>102.40762500000002</v>
      </c>
      <c r="N6" s="86">
        <v>86.237999999999985</v>
      </c>
      <c r="O6" s="86">
        <v>118.57725000000001</v>
      </c>
      <c r="P6" s="86">
        <v>150.91650000000001</v>
      </c>
      <c r="Q6" s="86">
        <v>0</v>
      </c>
      <c r="R6" s="86">
        <v>48.508874999999996</v>
      </c>
      <c r="S6" s="86">
        <v>86.238000000000014</v>
      </c>
      <c r="T6" s="86">
        <v>118.57725000000001</v>
      </c>
      <c r="U6" s="86">
        <v>134.74687499999999</v>
      </c>
      <c r="V6" s="610">
        <v>3250.0946249999997</v>
      </c>
      <c r="W6" s="423">
        <v>1061.8053749999999</v>
      </c>
      <c r="X6" s="90"/>
      <c r="Y6" s="90"/>
      <c r="Z6" s="89"/>
      <c r="AA6" s="89"/>
      <c r="AB6" s="89"/>
      <c r="AC6" s="89"/>
      <c r="AD6" s="495">
        <f t="shared" si="0"/>
        <v>0</v>
      </c>
    </row>
    <row r="7" spans="1:30">
      <c r="A7" s="652">
        <v>607</v>
      </c>
      <c r="B7" s="88" t="s">
        <v>43</v>
      </c>
      <c r="C7" s="89">
        <v>0</v>
      </c>
      <c r="D7" s="86">
        <v>0</v>
      </c>
      <c r="E7" s="86">
        <v>0</v>
      </c>
      <c r="F7" s="555">
        <v>0</v>
      </c>
      <c r="G7" s="86">
        <v>0</v>
      </c>
      <c r="H7" s="86">
        <v>0</v>
      </c>
      <c r="I7" s="86">
        <v>0</v>
      </c>
      <c r="J7" s="86">
        <v>0</v>
      </c>
      <c r="K7" s="86">
        <v>0</v>
      </c>
      <c r="L7" s="86">
        <v>0</v>
      </c>
      <c r="M7" s="86">
        <v>0</v>
      </c>
      <c r="N7" s="86">
        <v>0</v>
      </c>
      <c r="O7" s="86">
        <v>0</v>
      </c>
      <c r="P7" s="86">
        <v>0</v>
      </c>
      <c r="Q7" s="86">
        <v>0</v>
      </c>
      <c r="R7" s="86">
        <v>0</v>
      </c>
      <c r="S7" s="86">
        <v>0</v>
      </c>
      <c r="T7" s="86">
        <v>0</v>
      </c>
      <c r="U7" s="86">
        <v>0</v>
      </c>
      <c r="V7" s="610">
        <v>0</v>
      </c>
      <c r="W7" s="423">
        <v>0</v>
      </c>
      <c r="X7" s="90"/>
      <c r="Y7" s="90"/>
      <c r="Z7" s="89"/>
      <c r="AA7" s="89"/>
      <c r="AB7" s="89"/>
      <c r="AC7" s="89"/>
      <c r="AD7" s="495">
        <f t="shared" si="0"/>
        <v>0</v>
      </c>
    </row>
    <row r="8" spans="1:30">
      <c r="A8" s="652">
        <v>611</v>
      </c>
      <c r="B8" s="88" t="s">
        <v>44</v>
      </c>
      <c r="C8" s="89">
        <v>0</v>
      </c>
      <c r="D8" s="86">
        <v>0</v>
      </c>
      <c r="E8" s="86">
        <v>0</v>
      </c>
      <c r="F8" s="555">
        <v>0</v>
      </c>
      <c r="G8" s="86">
        <v>0</v>
      </c>
      <c r="H8" s="86">
        <v>0</v>
      </c>
      <c r="I8" s="86">
        <v>0</v>
      </c>
      <c r="J8" s="86">
        <v>0</v>
      </c>
      <c r="K8" s="86">
        <v>0</v>
      </c>
      <c r="L8" s="86">
        <v>0</v>
      </c>
      <c r="M8" s="86">
        <v>0</v>
      </c>
      <c r="N8" s="86">
        <v>0</v>
      </c>
      <c r="O8" s="86">
        <v>0</v>
      </c>
      <c r="P8" s="86">
        <v>0</v>
      </c>
      <c r="Q8" s="86">
        <v>0</v>
      </c>
      <c r="R8" s="86">
        <v>0</v>
      </c>
      <c r="S8" s="86">
        <v>0</v>
      </c>
      <c r="T8" s="86">
        <v>0</v>
      </c>
      <c r="U8" s="86">
        <v>0</v>
      </c>
      <c r="V8" s="610">
        <v>0</v>
      </c>
      <c r="W8" s="423">
        <v>0</v>
      </c>
      <c r="X8" s="90"/>
      <c r="Y8" s="90"/>
      <c r="Z8" s="89"/>
      <c r="AA8" s="89"/>
      <c r="AB8" s="89"/>
      <c r="AC8" s="89"/>
      <c r="AD8" s="495">
        <f t="shared" si="0"/>
        <v>0</v>
      </c>
    </row>
    <row r="9" spans="1:30">
      <c r="A9" s="652">
        <v>612</v>
      </c>
      <c r="B9" s="88" t="s">
        <v>411</v>
      </c>
      <c r="C9" s="89">
        <v>2520</v>
      </c>
      <c r="D9" s="86">
        <v>333.90000000000003</v>
      </c>
      <c r="E9" s="86">
        <v>737.09999999999991</v>
      </c>
      <c r="F9" s="555">
        <v>1449</v>
      </c>
      <c r="G9" s="86">
        <v>66.150000000000006</v>
      </c>
      <c r="H9" s="86">
        <v>40.950000000000003</v>
      </c>
      <c r="I9" s="86">
        <v>44.100000000000009</v>
      </c>
      <c r="J9" s="86">
        <v>37.800000000000004</v>
      </c>
      <c r="K9" s="86">
        <v>63.000000000000007</v>
      </c>
      <c r="L9" s="86">
        <v>81.900000000000006</v>
      </c>
      <c r="M9" s="86">
        <v>59.850000000000016</v>
      </c>
      <c r="N9" s="86">
        <v>50.4</v>
      </c>
      <c r="O9" s="86">
        <v>69.300000000000011</v>
      </c>
      <c r="P9" s="86">
        <v>88.200000000000017</v>
      </c>
      <c r="Q9" s="86">
        <v>0</v>
      </c>
      <c r="R9" s="86">
        <v>28.35</v>
      </c>
      <c r="S9" s="86">
        <v>50.400000000000013</v>
      </c>
      <c r="T9" s="86">
        <v>69.300000000000011</v>
      </c>
      <c r="U9" s="86">
        <v>78.750000000000014</v>
      </c>
      <c r="V9" s="610">
        <v>1899.45</v>
      </c>
      <c r="W9" s="423">
        <v>620.55000000000007</v>
      </c>
      <c r="X9" s="90"/>
      <c r="Y9" s="90"/>
      <c r="Z9" s="89"/>
      <c r="AA9" s="89"/>
      <c r="AB9" s="89"/>
      <c r="AC9" s="89"/>
      <c r="AD9" s="495">
        <f t="shared" si="0"/>
        <v>0</v>
      </c>
    </row>
    <row r="10" spans="1:30">
      <c r="A10" s="652">
        <v>613</v>
      </c>
      <c r="B10" s="88" t="s">
        <v>45</v>
      </c>
      <c r="C10" s="89">
        <v>29615.321550000001</v>
      </c>
      <c r="D10" s="86">
        <v>3924.0301053750004</v>
      </c>
      <c r="E10" s="86">
        <v>8662.4815533749988</v>
      </c>
      <c r="F10" s="555">
        <v>17028.809891249999</v>
      </c>
      <c r="G10" s="86">
        <v>777.40219068749991</v>
      </c>
      <c r="H10" s="86">
        <v>481.24897518750004</v>
      </c>
      <c r="I10" s="86">
        <v>518.26812712500009</v>
      </c>
      <c r="J10" s="86">
        <v>444.22982325000004</v>
      </c>
      <c r="K10" s="86">
        <v>740.38303875000008</v>
      </c>
      <c r="L10" s="86">
        <v>962.49795037500007</v>
      </c>
      <c r="M10" s="86">
        <v>703.36388681250014</v>
      </c>
      <c r="N10" s="86">
        <v>592.30643099999998</v>
      </c>
      <c r="O10" s="86">
        <v>814.42134262500008</v>
      </c>
      <c r="P10" s="86">
        <v>1036.5362542500002</v>
      </c>
      <c r="Q10" s="86">
        <v>0</v>
      </c>
      <c r="R10" s="86">
        <v>333.17236743749999</v>
      </c>
      <c r="S10" s="86">
        <v>592.30643100000009</v>
      </c>
      <c r="T10" s="86">
        <v>814.42134262500008</v>
      </c>
      <c r="U10" s="86">
        <v>925.47879843750002</v>
      </c>
      <c r="V10" s="610">
        <v>22322.548618312503</v>
      </c>
      <c r="W10" s="423">
        <v>7292.7729316875002</v>
      </c>
      <c r="X10" s="90"/>
      <c r="Y10" s="90"/>
      <c r="Z10" s="89"/>
      <c r="AA10" s="89"/>
      <c r="AB10" s="89"/>
      <c r="AC10" s="89"/>
      <c r="AD10" s="495">
        <f t="shared" si="0"/>
        <v>0</v>
      </c>
    </row>
    <row r="11" spans="1:30">
      <c r="A11" s="652">
        <v>614</v>
      </c>
      <c r="B11" s="88" t="s">
        <v>290</v>
      </c>
      <c r="C11" s="89">
        <v>10438.6</v>
      </c>
      <c r="D11" s="86">
        <v>1383.1145000000001</v>
      </c>
      <c r="E11" s="86">
        <v>3053.2905000000001</v>
      </c>
      <c r="F11" s="555">
        <v>6002.1949999999997</v>
      </c>
      <c r="G11" s="86">
        <v>274.01324999999997</v>
      </c>
      <c r="H11" s="86">
        <v>169.62725</v>
      </c>
      <c r="I11" s="86">
        <v>182.67550000000003</v>
      </c>
      <c r="J11" s="86">
        <v>156.57900000000001</v>
      </c>
      <c r="K11" s="86">
        <v>260.96500000000003</v>
      </c>
      <c r="L11" s="86">
        <v>339.25450000000001</v>
      </c>
      <c r="M11" s="86">
        <v>247.91675000000006</v>
      </c>
      <c r="N11" s="86">
        <v>208.77199999999999</v>
      </c>
      <c r="O11" s="86">
        <v>287.06150000000002</v>
      </c>
      <c r="P11" s="86">
        <v>365.35100000000006</v>
      </c>
      <c r="Q11" s="86">
        <v>0</v>
      </c>
      <c r="R11" s="86">
        <v>117.43425000000001</v>
      </c>
      <c r="S11" s="86">
        <v>208.77200000000005</v>
      </c>
      <c r="T11" s="86">
        <v>287.06150000000002</v>
      </c>
      <c r="U11" s="86">
        <v>326.20625000000001</v>
      </c>
      <c r="V11" s="610">
        <v>7868.0947500000011</v>
      </c>
      <c r="W11" s="423">
        <v>2570.5052500000002</v>
      </c>
      <c r="X11" s="90"/>
      <c r="Y11" s="90"/>
      <c r="Z11" s="89"/>
      <c r="AA11" s="89"/>
      <c r="AB11" s="89"/>
      <c r="AC11" s="89"/>
      <c r="AD11" s="495">
        <f t="shared" si="0"/>
        <v>9.0949470177292824E-13</v>
      </c>
    </row>
    <row r="12" spans="1:30">
      <c r="A12" s="652">
        <v>615</v>
      </c>
      <c r="B12" s="88" t="s">
        <v>29</v>
      </c>
      <c r="C12" s="89">
        <v>7135.49</v>
      </c>
      <c r="D12" s="86">
        <v>945.45242500000006</v>
      </c>
      <c r="E12" s="86">
        <v>2087.1308249999997</v>
      </c>
      <c r="F12" s="555">
        <v>4102.9067499999992</v>
      </c>
      <c r="G12" s="86">
        <v>187.30661249999997</v>
      </c>
      <c r="H12" s="86">
        <v>115.95171249999999</v>
      </c>
      <c r="I12" s="86">
        <v>124.87107499999999</v>
      </c>
      <c r="J12" s="86">
        <v>107.03234999999999</v>
      </c>
      <c r="K12" s="86">
        <v>178.38724999999999</v>
      </c>
      <c r="L12" s="86">
        <v>231.90342499999997</v>
      </c>
      <c r="M12" s="86">
        <v>169.46788750000002</v>
      </c>
      <c r="N12" s="86">
        <v>142.70979999999997</v>
      </c>
      <c r="O12" s="86">
        <v>196.22597500000001</v>
      </c>
      <c r="P12" s="86">
        <v>249.74214999999998</v>
      </c>
      <c r="Q12" s="86">
        <v>0</v>
      </c>
      <c r="R12" s="86">
        <v>80.274262499999992</v>
      </c>
      <c r="S12" s="86">
        <v>142.7098</v>
      </c>
      <c r="T12" s="86">
        <v>196.22597500000001</v>
      </c>
      <c r="U12" s="86">
        <v>222.98406249999996</v>
      </c>
      <c r="V12" s="610">
        <v>5378.3755875000006</v>
      </c>
      <c r="W12" s="423">
        <v>1757.1144124999998</v>
      </c>
      <c r="X12" s="90"/>
      <c r="Y12" s="90"/>
      <c r="Z12" s="89"/>
      <c r="AA12" s="89"/>
      <c r="AB12" s="89"/>
      <c r="AC12" s="89"/>
      <c r="AD12" s="495">
        <f t="shared" si="0"/>
        <v>9.0949470177292824E-13</v>
      </c>
    </row>
    <row r="13" spans="1:30">
      <c r="A13" s="652">
        <v>616</v>
      </c>
      <c r="B13" s="88" t="s">
        <v>30</v>
      </c>
      <c r="C13" s="89">
        <v>2019.2124000000001</v>
      </c>
      <c r="D13" s="86">
        <v>267.54564300000004</v>
      </c>
      <c r="E13" s="86">
        <v>590.61962700000004</v>
      </c>
      <c r="F13" s="555">
        <v>1161.0471299999999</v>
      </c>
      <c r="G13" s="86">
        <v>53.0043255</v>
      </c>
      <c r="H13" s="86">
        <v>32.8122015</v>
      </c>
      <c r="I13" s="86">
        <v>35.336217000000005</v>
      </c>
      <c r="J13" s="86">
        <v>30.288186</v>
      </c>
      <c r="K13" s="86">
        <v>50.480310000000003</v>
      </c>
      <c r="L13" s="86">
        <v>65.624403000000001</v>
      </c>
      <c r="M13" s="86">
        <v>47.956294500000013</v>
      </c>
      <c r="N13" s="86">
        <v>40.384247999999999</v>
      </c>
      <c r="O13" s="86">
        <v>55.528341000000005</v>
      </c>
      <c r="P13" s="86">
        <v>70.67243400000001</v>
      </c>
      <c r="Q13" s="86">
        <v>0</v>
      </c>
      <c r="R13" s="86">
        <v>22.716139500000001</v>
      </c>
      <c r="S13" s="86">
        <v>40.384248000000007</v>
      </c>
      <c r="T13" s="86">
        <v>55.528341000000005</v>
      </c>
      <c r="U13" s="86">
        <v>63.100387500000004</v>
      </c>
      <c r="V13" s="610">
        <v>1521.9813465000002</v>
      </c>
      <c r="W13" s="423">
        <v>497.23105349999997</v>
      </c>
      <c r="X13" s="90"/>
      <c r="Y13" s="90"/>
      <c r="Z13" s="89"/>
      <c r="AA13" s="89"/>
      <c r="AB13" s="89"/>
      <c r="AC13" s="89"/>
      <c r="AD13" s="495">
        <f t="shared" si="0"/>
        <v>0</v>
      </c>
    </row>
    <row r="14" spans="1:30">
      <c r="A14" s="652">
        <v>617</v>
      </c>
      <c r="B14" s="88" t="s">
        <v>31</v>
      </c>
      <c r="C14" s="89">
        <v>0</v>
      </c>
      <c r="D14" s="86">
        <v>0</v>
      </c>
      <c r="E14" s="86">
        <v>0</v>
      </c>
      <c r="F14" s="555">
        <v>0</v>
      </c>
      <c r="G14" s="86">
        <v>0</v>
      </c>
      <c r="H14" s="86">
        <v>0</v>
      </c>
      <c r="I14" s="86">
        <v>0</v>
      </c>
      <c r="J14" s="86">
        <v>0</v>
      </c>
      <c r="K14" s="86">
        <v>0</v>
      </c>
      <c r="L14" s="86">
        <v>0</v>
      </c>
      <c r="M14" s="86">
        <v>0</v>
      </c>
      <c r="N14" s="86">
        <v>0</v>
      </c>
      <c r="O14" s="86">
        <v>0</v>
      </c>
      <c r="P14" s="86">
        <v>0</v>
      </c>
      <c r="Q14" s="86">
        <v>0</v>
      </c>
      <c r="R14" s="86">
        <v>0</v>
      </c>
      <c r="S14" s="86">
        <v>0</v>
      </c>
      <c r="T14" s="86">
        <v>0</v>
      </c>
      <c r="U14" s="86">
        <v>0</v>
      </c>
      <c r="V14" s="610">
        <v>0</v>
      </c>
      <c r="W14" s="423">
        <v>0</v>
      </c>
      <c r="X14" s="90"/>
      <c r="Y14" s="90"/>
      <c r="Z14" s="89"/>
      <c r="AA14" s="89"/>
      <c r="AB14" s="89"/>
      <c r="AC14" s="89"/>
      <c r="AD14" s="495">
        <f t="shared" si="0"/>
        <v>0</v>
      </c>
    </row>
    <row r="15" spans="1:30">
      <c r="A15" s="652">
        <v>618</v>
      </c>
      <c r="B15" s="88" t="s">
        <v>46</v>
      </c>
      <c r="C15" s="89">
        <v>4886.82</v>
      </c>
      <c r="D15" s="86">
        <v>647.50364999999999</v>
      </c>
      <c r="E15" s="86">
        <v>1429.3948499999999</v>
      </c>
      <c r="F15" s="555">
        <v>2809.9214999999995</v>
      </c>
      <c r="G15" s="86">
        <v>128.27902499999999</v>
      </c>
      <c r="H15" s="86">
        <v>79.410824999999988</v>
      </c>
      <c r="I15" s="86">
        <v>85.519350000000003</v>
      </c>
      <c r="J15" s="86">
        <v>73.302299999999988</v>
      </c>
      <c r="K15" s="86">
        <v>122.17049999999999</v>
      </c>
      <c r="L15" s="86">
        <v>158.82164999999998</v>
      </c>
      <c r="M15" s="86">
        <v>116.061975</v>
      </c>
      <c r="N15" s="86">
        <v>97.736399999999989</v>
      </c>
      <c r="O15" s="86">
        <v>134.38755</v>
      </c>
      <c r="P15" s="86">
        <v>171.03870000000001</v>
      </c>
      <c r="Q15" s="86">
        <v>0</v>
      </c>
      <c r="R15" s="86">
        <v>54.976724999999995</v>
      </c>
      <c r="S15" s="86">
        <v>97.736400000000003</v>
      </c>
      <c r="T15" s="86">
        <v>134.38755</v>
      </c>
      <c r="U15" s="86">
        <v>152.71312499999999</v>
      </c>
      <c r="V15" s="610">
        <v>3683.4405749999996</v>
      </c>
      <c r="W15" s="423">
        <v>1203.3794249999999</v>
      </c>
      <c r="X15" s="90"/>
      <c r="Y15" s="90"/>
      <c r="Z15" s="89"/>
      <c r="AA15" s="89"/>
      <c r="AB15" s="89"/>
      <c r="AC15" s="89"/>
      <c r="AD15" s="495">
        <f t="shared" si="0"/>
        <v>9.0949470177292824E-13</v>
      </c>
    </row>
    <row r="16" spans="1:30">
      <c r="A16" s="652">
        <v>621</v>
      </c>
      <c r="B16" s="88" t="s">
        <v>60</v>
      </c>
      <c r="C16" s="89">
        <v>0</v>
      </c>
      <c r="D16" s="86">
        <v>0</v>
      </c>
      <c r="E16" s="86">
        <v>0</v>
      </c>
      <c r="F16" s="555">
        <v>0</v>
      </c>
      <c r="G16" s="86">
        <v>0</v>
      </c>
      <c r="H16" s="86">
        <v>0</v>
      </c>
      <c r="I16" s="86">
        <v>0</v>
      </c>
      <c r="J16" s="86">
        <v>0</v>
      </c>
      <c r="K16" s="86">
        <v>0</v>
      </c>
      <c r="L16" s="86">
        <v>0</v>
      </c>
      <c r="M16" s="86">
        <v>0</v>
      </c>
      <c r="N16" s="86">
        <v>0</v>
      </c>
      <c r="O16" s="86">
        <v>0</v>
      </c>
      <c r="P16" s="86">
        <v>0</v>
      </c>
      <c r="Q16" s="86">
        <v>0</v>
      </c>
      <c r="R16" s="86">
        <v>0</v>
      </c>
      <c r="S16" s="86">
        <v>0</v>
      </c>
      <c r="T16" s="86">
        <v>0</v>
      </c>
      <c r="U16" s="86">
        <v>0</v>
      </c>
      <c r="V16" s="610">
        <v>0</v>
      </c>
      <c r="W16" s="423">
        <v>0</v>
      </c>
      <c r="X16" s="90"/>
      <c r="Y16" s="90"/>
      <c r="Z16" s="89"/>
      <c r="AA16" s="89"/>
      <c r="AB16" s="89"/>
      <c r="AC16" s="89"/>
      <c r="AD16" s="495">
        <f t="shared" si="0"/>
        <v>0</v>
      </c>
    </row>
    <row r="17" spans="1:30">
      <c r="A17" s="652">
        <v>622</v>
      </c>
      <c r="B17" s="88" t="s">
        <v>47</v>
      </c>
      <c r="C17" s="89">
        <v>22986.732</v>
      </c>
      <c r="D17" s="86">
        <v>3045.74199</v>
      </c>
      <c r="E17" s="86">
        <v>6723.6191099999996</v>
      </c>
      <c r="F17" s="555">
        <v>13217.370899999998</v>
      </c>
      <c r="G17" s="86">
        <v>603.40171499999997</v>
      </c>
      <c r="H17" s="86">
        <v>373.53439500000002</v>
      </c>
      <c r="I17" s="86">
        <v>402.26781</v>
      </c>
      <c r="J17" s="86">
        <v>344.80097999999998</v>
      </c>
      <c r="K17" s="86">
        <v>574.66830000000004</v>
      </c>
      <c r="L17" s="86">
        <v>747.06879000000004</v>
      </c>
      <c r="M17" s="86">
        <v>545.93488500000012</v>
      </c>
      <c r="N17" s="86">
        <v>459.73463999999996</v>
      </c>
      <c r="O17" s="86">
        <v>632.13513</v>
      </c>
      <c r="P17" s="86">
        <v>804.53561999999999</v>
      </c>
      <c r="Q17" s="86">
        <v>0</v>
      </c>
      <c r="R17" s="86">
        <v>258.60073499999999</v>
      </c>
      <c r="S17" s="86">
        <v>459.73464000000001</v>
      </c>
      <c r="T17" s="86">
        <v>632.13513</v>
      </c>
      <c r="U17" s="86">
        <v>718.335375</v>
      </c>
      <c r="V17" s="610">
        <v>17326.249244999999</v>
      </c>
      <c r="W17" s="423">
        <v>5660.4827549999991</v>
      </c>
      <c r="X17" s="90"/>
      <c r="Y17" s="90"/>
      <c r="Z17" s="89"/>
      <c r="AA17" s="89"/>
      <c r="AB17" s="89"/>
      <c r="AC17" s="89"/>
      <c r="AD17" s="495">
        <f t="shared" si="0"/>
        <v>3.637978807091713E-12</v>
      </c>
    </row>
    <row r="18" spans="1:30">
      <c r="A18" s="652">
        <v>623</v>
      </c>
      <c r="B18" s="88" t="s">
        <v>48</v>
      </c>
      <c r="C18" s="89">
        <v>41620.3776</v>
      </c>
      <c r="D18" s="86">
        <v>5514.7000320000006</v>
      </c>
      <c r="E18" s="86">
        <v>12173.960448</v>
      </c>
      <c r="F18" s="555">
        <v>23931.717119999998</v>
      </c>
      <c r="G18" s="86">
        <v>1092.5349119999998</v>
      </c>
      <c r="H18" s="86">
        <v>676.33113600000001</v>
      </c>
      <c r="I18" s="86">
        <v>728.35660800000005</v>
      </c>
      <c r="J18" s="86">
        <v>624.30566399999998</v>
      </c>
      <c r="K18" s="86">
        <v>1040.50944</v>
      </c>
      <c r="L18" s="86">
        <v>1352.662272</v>
      </c>
      <c r="M18" s="86">
        <v>988.48396800000012</v>
      </c>
      <c r="N18" s="86">
        <v>832.4075519999999</v>
      </c>
      <c r="O18" s="86">
        <v>1144.5603840000001</v>
      </c>
      <c r="P18" s="86">
        <v>1456.7132160000001</v>
      </c>
      <c r="Q18" s="86">
        <v>0</v>
      </c>
      <c r="R18" s="86">
        <v>468.22924799999998</v>
      </c>
      <c r="S18" s="86">
        <v>832.40755200000012</v>
      </c>
      <c r="T18" s="86">
        <v>1144.5603840000001</v>
      </c>
      <c r="U18" s="86">
        <v>1300.6368</v>
      </c>
      <c r="V18" s="610">
        <v>31371.359616000002</v>
      </c>
      <c r="W18" s="423">
        <v>10249.017984</v>
      </c>
      <c r="X18" s="90"/>
      <c r="Y18" s="90"/>
      <c r="Z18" s="89"/>
      <c r="AA18" s="89"/>
      <c r="AB18" s="89"/>
      <c r="AC18" s="89"/>
      <c r="AD18" s="495">
        <f t="shared" si="0"/>
        <v>3.637978807091713E-12</v>
      </c>
    </row>
    <row r="19" spans="1:30">
      <c r="A19" s="652">
        <v>624</v>
      </c>
      <c r="B19" s="88" t="s">
        <v>288</v>
      </c>
      <c r="C19" s="89">
        <v>50</v>
      </c>
      <c r="D19" s="86">
        <v>6.625</v>
      </c>
      <c r="E19" s="86">
        <v>14.625</v>
      </c>
      <c r="F19" s="555">
        <v>28.749999999999996</v>
      </c>
      <c r="G19" s="86">
        <v>1.3124999999999998</v>
      </c>
      <c r="H19" s="86">
        <v>0.8125</v>
      </c>
      <c r="I19" s="86">
        <v>0.875</v>
      </c>
      <c r="J19" s="86">
        <v>0.75</v>
      </c>
      <c r="K19" s="86">
        <v>1.25</v>
      </c>
      <c r="L19" s="86">
        <v>1.625</v>
      </c>
      <c r="M19" s="86">
        <v>1.1875000000000002</v>
      </c>
      <c r="N19" s="86">
        <v>0.99999999999999989</v>
      </c>
      <c r="O19" s="86">
        <v>1.375</v>
      </c>
      <c r="P19" s="86">
        <v>1.75</v>
      </c>
      <c r="Q19" s="86">
        <v>0</v>
      </c>
      <c r="R19" s="86">
        <v>0.5625</v>
      </c>
      <c r="S19" s="86">
        <v>1</v>
      </c>
      <c r="T19" s="86">
        <v>1.375</v>
      </c>
      <c r="U19" s="86">
        <v>1.5625</v>
      </c>
      <c r="V19" s="610">
        <v>37.6875</v>
      </c>
      <c r="W19" s="423">
        <v>12.3125</v>
      </c>
      <c r="X19" s="90"/>
      <c r="Y19" s="90"/>
      <c r="Z19" s="89"/>
      <c r="AA19" s="89"/>
      <c r="AB19" s="89"/>
      <c r="AC19" s="89"/>
      <c r="AD19" s="495">
        <f t="shared" si="0"/>
        <v>3.5527136788005009E-15</v>
      </c>
    </row>
    <row r="20" spans="1:30">
      <c r="A20" s="652">
        <v>625</v>
      </c>
      <c r="B20" s="88" t="s">
        <v>32</v>
      </c>
      <c r="C20" s="89">
        <v>33504</v>
      </c>
      <c r="D20" s="86">
        <v>4439.2800000000007</v>
      </c>
      <c r="E20" s="86">
        <v>9799.92</v>
      </c>
      <c r="F20" s="555">
        <v>19264.8</v>
      </c>
      <c r="G20" s="86">
        <v>879.48</v>
      </c>
      <c r="H20" s="86">
        <v>544.44000000000005</v>
      </c>
      <c r="I20" s="86">
        <v>586.32000000000005</v>
      </c>
      <c r="J20" s="86">
        <v>502.56</v>
      </c>
      <c r="K20" s="86">
        <v>837.6</v>
      </c>
      <c r="L20" s="86">
        <v>1088.8800000000001</v>
      </c>
      <c r="M20" s="86">
        <v>795.72000000000014</v>
      </c>
      <c r="N20" s="86">
        <v>670.07999999999993</v>
      </c>
      <c r="O20" s="86">
        <v>921.36000000000013</v>
      </c>
      <c r="P20" s="86">
        <v>1172.6400000000001</v>
      </c>
      <c r="Q20" s="86">
        <v>0</v>
      </c>
      <c r="R20" s="86">
        <v>376.92</v>
      </c>
      <c r="S20" s="86">
        <v>670.08000000000015</v>
      </c>
      <c r="T20" s="86">
        <v>921.36000000000013</v>
      </c>
      <c r="U20" s="86">
        <v>1047</v>
      </c>
      <c r="V20" s="610">
        <v>25253.64</v>
      </c>
      <c r="W20" s="423">
        <v>8250.36</v>
      </c>
      <c r="X20" s="90"/>
      <c r="Y20" s="90"/>
      <c r="Z20" s="89"/>
      <c r="AA20" s="89"/>
      <c r="AB20" s="89"/>
      <c r="AC20" s="89"/>
      <c r="AD20" s="495">
        <f t="shared" si="0"/>
        <v>3.637978807091713E-12</v>
      </c>
    </row>
    <row r="21" spans="1:30">
      <c r="A21" s="652">
        <v>626</v>
      </c>
      <c r="B21" s="88" t="s">
        <v>33</v>
      </c>
      <c r="C21" s="89">
        <v>4485.2797</v>
      </c>
      <c r="D21" s="86">
        <v>594.29956025000001</v>
      </c>
      <c r="E21" s="86">
        <v>1311.9443122499999</v>
      </c>
      <c r="F21" s="555">
        <v>2579.0358274999999</v>
      </c>
      <c r="G21" s="86">
        <v>117.738592125</v>
      </c>
      <c r="H21" s="86">
        <v>72.885795125000001</v>
      </c>
      <c r="I21" s="86">
        <v>78.492394750000003</v>
      </c>
      <c r="J21" s="86">
        <v>67.2791955</v>
      </c>
      <c r="K21" s="86">
        <v>112.13199250000001</v>
      </c>
      <c r="L21" s="86">
        <v>145.77159025</v>
      </c>
      <c r="M21" s="86">
        <v>106.52539287500002</v>
      </c>
      <c r="N21" s="86">
        <v>89.705593999999991</v>
      </c>
      <c r="O21" s="86">
        <v>123.34519175000001</v>
      </c>
      <c r="P21" s="86">
        <v>156.98478950000001</v>
      </c>
      <c r="Q21" s="86">
        <v>0</v>
      </c>
      <c r="R21" s="86">
        <v>50.459396625000004</v>
      </c>
      <c r="S21" s="86">
        <v>89.705594000000019</v>
      </c>
      <c r="T21" s="86">
        <v>123.34519175000001</v>
      </c>
      <c r="U21" s="86">
        <v>140.164990625</v>
      </c>
      <c r="V21" s="610">
        <v>3380.7795738750001</v>
      </c>
      <c r="W21" s="423">
        <v>1104.500126125</v>
      </c>
      <c r="X21" s="90"/>
      <c r="Y21" s="90"/>
      <c r="Z21" s="89"/>
      <c r="AA21" s="89"/>
      <c r="AB21" s="89"/>
      <c r="AC21" s="89"/>
      <c r="AD21" s="495">
        <f t="shared" si="0"/>
        <v>0</v>
      </c>
    </row>
    <row r="22" spans="1:30" s="500" customFormat="1">
      <c r="A22" s="653">
        <v>627</v>
      </c>
      <c r="B22" s="88" t="s">
        <v>174</v>
      </c>
      <c r="C22" s="499">
        <v>3129.14</v>
      </c>
      <c r="D22" s="86">
        <v>414.61104999999998</v>
      </c>
      <c r="E22" s="86">
        <v>915.27344999999991</v>
      </c>
      <c r="F22" s="555">
        <v>1799.2554999999998</v>
      </c>
      <c r="G22" s="496">
        <v>82.139924999999991</v>
      </c>
      <c r="H22" s="496">
        <v>50.848525000000002</v>
      </c>
      <c r="I22" s="496">
        <v>54.759950000000003</v>
      </c>
      <c r="J22" s="496">
        <v>46.937099999999994</v>
      </c>
      <c r="K22" s="496">
        <v>78.228499999999997</v>
      </c>
      <c r="L22" s="496">
        <v>101.69705</v>
      </c>
      <c r="M22" s="496">
        <v>74.317075000000017</v>
      </c>
      <c r="N22" s="496">
        <v>62.582799999999992</v>
      </c>
      <c r="O22" s="496">
        <v>86.051349999999999</v>
      </c>
      <c r="P22" s="496">
        <v>109.51990000000001</v>
      </c>
      <c r="Q22" s="496">
        <v>0</v>
      </c>
      <c r="R22" s="496">
        <v>35.202824999999997</v>
      </c>
      <c r="S22" s="496">
        <v>62.582800000000006</v>
      </c>
      <c r="T22" s="496">
        <v>86.051349999999999</v>
      </c>
      <c r="U22" s="496">
        <v>97.785624999999996</v>
      </c>
      <c r="V22" s="610">
        <v>2358.5892749999998</v>
      </c>
      <c r="W22" s="497">
        <v>770.55072499999994</v>
      </c>
      <c r="X22" s="498"/>
      <c r="Y22" s="498"/>
      <c r="Z22" s="499"/>
      <c r="AA22" s="499"/>
      <c r="AB22" s="499"/>
      <c r="AC22" s="499"/>
      <c r="AD22" s="495">
        <f t="shared" si="0"/>
        <v>2.2737367544323206E-13</v>
      </c>
    </row>
    <row r="23" spans="1:30">
      <c r="A23" s="652">
        <v>628</v>
      </c>
      <c r="B23" s="88" t="s">
        <v>34</v>
      </c>
      <c r="C23" s="89">
        <v>10469.33</v>
      </c>
      <c r="D23" s="86">
        <v>1387.1862250000001</v>
      </c>
      <c r="E23" s="86">
        <v>3062.2790249999998</v>
      </c>
      <c r="F23" s="555">
        <v>6019.8647499999997</v>
      </c>
      <c r="G23" s="86">
        <v>274.81991249999999</v>
      </c>
      <c r="H23" s="86">
        <v>170.12661250000002</v>
      </c>
      <c r="I23" s="86">
        <v>183.21327500000001</v>
      </c>
      <c r="J23" s="86">
        <v>157.03995</v>
      </c>
      <c r="K23" s="86">
        <v>261.73325</v>
      </c>
      <c r="L23" s="86">
        <v>340.25322500000004</v>
      </c>
      <c r="M23" s="86">
        <v>248.64658750000007</v>
      </c>
      <c r="N23" s="86">
        <v>209.38659999999999</v>
      </c>
      <c r="O23" s="86">
        <v>287.90657500000003</v>
      </c>
      <c r="P23" s="86">
        <v>366.42655000000002</v>
      </c>
      <c r="Q23" s="86">
        <v>0</v>
      </c>
      <c r="R23" s="86">
        <v>117.77996250000001</v>
      </c>
      <c r="S23" s="86">
        <v>209.38660000000004</v>
      </c>
      <c r="T23" s="86">
        <v>287.90657500000003</v>
      </c>
      <c r="U23" s="86">
        <v>327.1665625</v>
      </c>
      <c r="V23" s="610">
        <v>7891.2574875</v>
      </c>
      <c r="W23" s="423">
        <v>2578.0725124999999</v>
      </c>
      <c r="X23" s="90"/>
      <c r="Y23" s="90"/>
      <c r="Z23" s="89"/>
      <c r="AA23" s="89"/>
      <c r="AB23" s="89"/>
      <c r="AC23" s="89"/>
      <c r="AD23" s="495">
        <f t="shared" si="0"/>
        <v>9.0949470177292824E-13</v>
      </c>
    </row>
    <row r="24" spans="1:30">
      <c r="A24" s="652">
        <v>631</v>
      </c>
      <c r="B24" s="88" t="s">
        <v>61</v>
      </c>
      <c r="C24" s="89">
        <v>0</v>
      </c>
      <c r="D24" s="86">
        <v>0</v>
      </c>
      <c r="E24" s="86">
        <v>0</v>
      </c>
      <c r="F24" s="555">
        <v>0</v>
      </c>
      <c r="G24" s="86">
        <v>0</v>
      </c>
      <c r="H24" s="86">
        <v>0</v>
      </c>
      <c r="I24" s="86">
        <v>0</v>
      </c>
      <c r="J24" s="86">
        <v>0</v>
      </c>
      <c r="K24" s="86">
        <v>0</v>
      </c>
      <c r="L24" s="86">
        <v>0</v>
      </c>
      <c r="M24" s="86">
        <v>0</v>
      </c>
      <c r="N24" s="86">
        <v>0</v>
      </c>
      <c r="O24" s="86">
        <v>0</v>
      </c>
      <c r="P24" s="86">
        <v>0</v>
      </c>
      <c r="Q24" s="86">
        <v>0</v>
      </c>
      <c r="R24" s="86">
        <v>0</v>
      </c>
      <c r="S24" s="86">
        <v>0</v>
      </c>
      <c r="T24" s="86">
        <v>0</v>
      </c>
      <c r="U24" s="86">
        <v>0</v>
      </c>
      <c r="V24" s="610">
        <v>0</v>
      </c>
      <c r="W24" s="423">
        <v>0</v>
      </c>
      <c r="X24" s="90"/>
      <c r="Y24" s="90"/>
      <c r="Z24" s="89"/>
      <c r="AA24" s="89"/>
      <c r="AB24" s="89"/>
      <c r="AC24" s="89"/>
      <c r="AD24" s="495">
        <f t="shared" si="0"/>
        <v>0</v>
      </c>
    </row>
    <row r="25" spans="1:30">
      <c r="A25" s="652">
        <v>635</v>
      </c>
      <c r="B25" s="88" t="s">
        <v>49</v>
      </c>
      <c r="C25" s="89">
        <v>2170</v>
      </c>
      <c r="D25" s="86">
        <v>287.52500000000003</v>
      </c>
      <c r="E25" s="86">
        <v>634.72499999999991</v>
      </c>
      <c r="F25" s="555">
        <v>1247.75</v>
      </c>
      <c r="G25" s="86">
        <v>56.962499999999999</v>
      </c>
      <c r="H25" s="86">
        <v>35.262500000000003</v>
      </c>
      <c r="I25" s="86">
        <v>37.975000000000009</v>
      </c>
      <c r="J25" s="86">
        <v>32.550000000000004</v>
      </c>
      <c r="K25" s="86">
        <v>54.250000000000007</v>
      </c>
      <c r="L25" s="86">
        <v>70.525000000000006</v>
      </c>
      <c r="M25" s="86">
        <v>51.537500000000016</v>
      </c>
      <c r="N25" s="86">
        <v>43.4</v>
      </c>
      <c r="O25" s="86">
        <v>59.675000000000011</v>
      </c>
      <c r="P25" s="86">
        <v>75.950000000000017</v>
      </c>
      <c r="Q25" s="86">
        <v>0</v>
      </c>
      <c r="R25" s="86">
        <v>24.412500000000001</v>
      </c>
      <c r="S25" s="86">
        <v>43.400000000000006</v>
      </c>
      <c r="T25" s="86">
        <v>59.675000000000011</v>
      </c>
      <c r="U25" s="86">
        <v>67.8125</v>
      </c>
      <c r="V25" s="610">
        <v>1635.6375</v>
      </c>
      <c r="W25" s="423">
        <v>534.36250000000007</v>
      </c>
      <c r="X25" s="90"/>
      <c r="Y25" s="90"/>
      <c r="Z25" s="89"/>
      <c r="AA25" s="89"/>
      <c r="AB25" s="89"/>
      <c r="AC25" s="89"/>
      <c r="AD25" s="495">
        <f t="shared" si="0"/>
        <v>0</v>
      </c>
    </row>
    <row r="26" spans="1:30">
      <c r="A26" s="652">
        <v>645</v>
      </c>
      <c r="B26" s="88" t="s">
        <v>36</v>
      </c>
      <c r="C26" s="89">
        <v>606</v>
      </c>
      <c r="D26" s="86">
        <v>80.295000000000002</v>
      </c>
      <c r="E26" s="86">
        <v>177.255</v>
      </c>
      <c r="F26" s="555">
        <v>348.45</v>
      </c>
      <c r="G26" s="86">
        <v>15.907499999999999</v>
      </c>
      <c r="H26" s="86">
        <v>9.8475000000000001</v>
      </c>
      <c r="I26" s="86">
        <v>10.605</v>
      </c>
      <c r="J26" s="86">
        <v>9.09</v>
      </c>
      <c r="K26" s="86">
        <v>15.150000000000002</v>
      </c>
      <c r="L26" s="86">
        <v>19.695</v>
      </c>
      <c r="M26" s="86">
        <v>14.392500000000004</v>
      </c>
      <c r="N26" s="86">
        <v>12.12</v>
      </c>
      <c r="O26" s="86">
        <v>16.665000000000003</v>
      </c>
      <c r="P26" s="86">
        <v>21.21</v>
      </c>
      <c r="Q26" s="86">
        <v>0</v>
      </c>
      <c r="R26" s="86">
        <v>6.8174999999999999</v>
      </c>
      <c r="S26" s="86">
        <v>12.120000000000003</v>
      </c>
      <c r="T26" s="86">
        <v>16.665000000000003</v>
      </c>
      <c r="U26" s="86">
        <v>18.9375</v>
      </c>
      <c r="V26" s="610">
        <v>456.77250000000004</v>
      </c>
      <c r="W26" s="423">
        <v>149.22749999999999</v>
      </c>
      <c r="X26" s="90"/>
      <c r="Y26" s="90"/>
      <c r="Z26" s="89"/>
      <c r="AA26" s="89"/>
      <c r="AB26" s="89"/>
      <c r="AC26" s="89"/>
      <c r="AD26" s="495">
        <f t="shared" si="0"/>
        <v>5.6843418860808015E-14</v>
      </c>
    </row>
    <row r="27" spans="1:30">
      <c r="A27" s="652">
        <v>650</v>
      </c>
      <c r="B27" s="88" t="s">
        <v>37</v>
      </c>
      <c r="C27" s="89">
        <v>0</v>
      </c>
      <c r="D27" s="86">
        <v>0</v>
      </c>
      <c r="E27" s="86">
        <v>0</v>
      </c>
      <c r="F27" s="555">
        <v>0</v>
      </c>
      <c r="G27" s="86">
        <v>0</v>
      </c>
      <c r="H27" s="86">
        <v>0</v>
      </c>
      <c r="I27" s="86">
        <v>0</v>
      </c>
      <c r="J27" s="86">
        <v>0</v>
      </c>
      <c r="K27" s="86">
        <v>0</v>
      </c>
      <c r="L27" s="86">
        <v>0</v>
      </c>
      <c r="M27" s="86">
        <v>0</v>
      </c>
      <c r="N27" s="86">
        <v>0</v>
      </c>
      <c r="O27" s="86">
        <v>0</v>
      </c>
      <c r="P27" s="86">
        <v>0</v>
      </c>
      <c r="Q27" s="86">
        <v>0</v>
      </c>
      <c r="R27" s="86">
        <v>0</v>
      </c>
      <c r="S27" s="86">
        <v>0</v>
      </c>
      <c r="T27" s="86">
        <v>0</v>
      </c>
      <c r="U27" s="86">
        <v>0</v>
      </c>
      <c r="V27" s="610">
        <v>0</v>
      </c>
      <c r="W27" s="423">
        <v>0</v>
      </c>
      <c r="X27" s="90"/>
      <c r="Y27" s="90"/>
      <c r="Z27" s="89"/>
      <c r="AA27" s="89"/>
      <c r="AB27" s="89"/>
      <c r="AC27" s="89"/>
      <c r="AD27" s="495">
        <f t="shared" si="0"/>
        <v>0</v>
      </c>
    </row>
    <row r="28" spans="1:30">
      <c r="A28" s="652">
        <v>648</v>
      </c>
      <c r="B28" s="88" t="s">
        <v>38</v>
      </c>
      <c r="C28" s="89">
        <v>1500</v>
      </c>
      <c r="D28" s="86">
        <v>198.75</v>
      </c>
      <c r="E28" s="86">
        <v>438.75</v>
      </c>
      <c r="F28" s="555">
        <v>862.49999999999989</v>
      </c>
      <c r="G28" s="86">
        <v>39.374999999999993</v>
      </c>
      <c r="H28" s="86">
        <v>24.375</v>
      </c>
      <c r="I28" s="86">
        <v>26.25</v>
      </c>
      <c r="J28" s="86">
        <v>22.5</v>
      </c>
      <c r="K28" s="86">
        <v>37.5</v>
      </c>
      <c r="L28" s="86">
        <v>48.75</v>
      </c>
      <c r="M28" s="86">
        <v>35.625000000000007</v>
      </c>
      <c r="N28" s="86">
        <v>29.999999999999996</v>
      </c>
      <c r="O28" s="86">
        <v>41.25</v>
      </c>
      <c r="P28" s="86">
        <v>52.5</v>
      </c>
      <c r="Q28" s="86">
        <v>0</v>
      </c>
      <c r="R28" s="86">
        <v>16.875</v>
      </c>
      <c r="S28" s="86">
        <v>30.000000000000004</v>
      </c>
      <c r="T28" s="86">
        <v>41.25</v>
      </c>
      <c r="U28" s="86">
        <v>46.875</v>
      </c>
      <c r="V28" s="610">
        <v>1130.625</v>
      </c>
      <c r="W28" s="423">
        <v>369.375</v>
      </c>
      <c r="X28" s="90"/>
      <c r="Y28" s="90"/>
      <c r="Z28" s="89"/>
      <c r="AA28" s="89"/>
      <c r="AB28" s="89"/>
      <c r="AC28" s="89"/>
      <c r="AD28" s="495">
        <f t="shared" si="0"/>
        <v>1.1368683772161603E-13</v>
      </c>
    </row>
    <row r="29" spans="1:30">
      <c r="A29" s="652">
        <v>641</v>
      </c>
      <c r="B29" s="567" t="s">
        <v>35</v>
      </c>
      <c r="C29" s="590">
        <v>444040</v>
      </c>
      <c r="D29" s="568">
        <v>76094.2</v>
      </c>
      <c r="E29" s="568">
        <v>87060.800000000003</v>
      </c>
      <c r="F29" s="555">
        <v>280885</v>
      </c>
      <c r="G29" s="568">
        <v>10207.199999999999</v>
      </c>
      <c r="H29" s="568">
        <v>6908.5999999999995</v>
      </c>
      <c r="I29" s="568">
        <v>7452.8</v>
      </c>
      <c r="J29" s="568">
        <v>6694.4000000000005</v>
      </c>
      <c r="K29" s="568">
        <v>9346</v>
      </c>
      <c r="L29" s="568">
        <v>13217.200000000003</v>
      </c>
      <c r="M29" s="568">
        <v>9681.8000000000011</v>
      </c>
      <c r="N29" s="568">
        <v>8654.2000000000007</v>
      </c>
      <c r="O29" s="568">
        <v>11088.4</v>
      </c>
      <c r="P29" s="568">
        <v>13548.6</v>
      </c>
      <c r="Q29" s="568">
        <v>0</v>
      </c>
      <c r="R29" s="568">
        <v>5263.7999999999993</v>
      </c>
      <c r="S29" s="568">
        <v>7696.2</v>
      </c>
      <c r="T29" s="568">
        <v>11088.4</v>
      </c>
      <c r="U29" s="568">
        <v>12222.000000000002</v>
      </c>
      <c r="V29" s="610">
        <v>296224.59999999998</v>
      </c>
      <c r="W29" s="569">
        <v>147815.40000000002</v>
      </c>
      <c r="X29" s="90"/>
      <c r="Y29" s="90"/>
      <c r="Z29" s="89"/>
      <c r="AA29" s="89"/>
      <c r="AB29" s="89"/>
      <c r="AC29" s="89"/>
      <c r="AD29" s="495">
        <f t="shared" si="0"/>
        <v>0</v>
      </c>
    </row>
    <row r="30" spans="1:30" s="500" customFormat="1">
      <c r="A30" s="653"/>
      <c r="B30" s="88"/>
      <c r="C30" s="499">
        <v>0</v>
      </c>
      <c r="D30" s="496">
        <v>0</v>
      </c>
      <c r="E30" s="496">
        <v>0</v>
      </c>
      <c r="F30" s="555">
        <v>0</v>
      </c>
      <c r="G30" s="496">
        <v>0</v>
      </c>
      <c r="H30" s="496">
        <v>0</v>
      </c>
      <c r="I30" s="496">
        <v>0</v>
      </c>
      <c r="J30" s="496">
        <v>0</v>
      </c>
      <c r="K30" s="496">
        <v>0</v>
      </c>
      <c r="L30" s="496">
        <v>0</v>
      </c>
      <c r="M30" s="496">
        <v>0</v>
      </c>
      <c r="N30" s="496">
        <v>0</v>
      </c>
      <c r="O30" s="496">
        <v>0</v>
      </c>
      <c r="P30" s="496">
        <v>0</v>
      </c>
      <c r="Q30" s="496">
        <v>0</v>
      </c>
      <c r="R30" s="496">
        <v>0</v>
      </c>
      <c r="S30" s="496">
        <v>0</v>
      </c>
      <c r="T30" s="496">
        <v>0</v>
      </c>
      <c r="U30" s="496">
        <v>0</v>
      </c>
      <c r="V30" s="610">
        <v>0</v>
      </c>
      <c r="W30" s="497">
        <v>0</v>
      </c>
      <c r="X30" s="498">
        <v>0</v>
      </c>
      <c r="Y30" s="498"/>
      <c r="Z30" s="499"/>
      <c r="AA30" s="499"/>
      <c r="AB30" s="499"/>
      <c r="AC30" s="499"/>
      <c r="AD30" s="495">
        <f t="shared" si="0"/>
        <v>0</v>
      </c>
    </row>
    <row r="31" spans="1:30" ht="15.75">
      <c r="A31" s="654">
        <v>611</v>
      </c>
      <c r="B31" s="428" t="s">
        <v>456</v>
      </c>
      <c r="C31" s="591">
        <v>652705</v>
      </c>
      <c r="D31" s="571">
        <v>0</v>
      </c>
      <c r="E31" s="571">
        <v>0</v>
      </c>
      <c r="F31" s="555">
        <v>652705</v>
      </c>
      <c r="G31" s="571">
        <v>51230</v>
      </c>
      <c r="H31" s="571">
        <v>10770</v>
      </c>
      <c r="I31" s="571">
        <v>15035</v>
      </c>
      <c r="J31" s="571">
        <v>10000</v>
      </c>
      <c r="K31" s="571">
        <v>12400</v>
      </c>
      <c r="L31" s="571">
        <v>149953</v>
      </c>
      <c r="M31" s="571">
        <v>79350</v>
      </c>
      <c r="N31" s="571">
        <v>16800</v>
      </c>
      <c r="O31" s="571">
        <v>13000</v>
      </c>
      <c r="P31" s="571">
        <v>21200</v>
      </c>
      <c r="Q31" s="571">
        <v>0</v>
      </c>
      <c r="R31" s="571">
        <v>26500</v>
      </c>
      <c r="S31" s="571">
        <v>13450</v>
      </c>
      <c r="T31" s="571">
        <v>116700</v>
      </c>
      <c r="U31" s="571">
        <v>46117</v>
      </c>
      <c r="V31" s="610">
        <v>582505</v>
      </c>
      <c r="W31" s="429">
        <v>70200</v>
      </c>
      <c r="X31" s="416"/>
      <c r="Y31" s="90"/>
      <c r="Z31" s="89"/>
      <c r="AA31" s="89"/>
      <c r="AB31" s="89"/>
      <c r="AC31" s="89"/>
      <c r="AD31" s="495">
        <f t="shared" si="0"/>
        <v>0</v>
      </c>
    </row>
    <row r="32" spans="1:30" ht="15.75">
      <c r="A32" s="654">
        <v>618</v>
      </c>
      <c r="B32" s="428" t="s">
        <v>460</v>
      </c>
      <c r="C32" s="591">
        <v>1500</v>
      </c>
      <c r="D32" s="571">
        <v>0</v>
      </c>
      <c r="E32" s="571">
        <v>0</v>
      </c>
      <c r="F32" s="555">
        <v>1500</v>
      </c>
      <c r="G32" s="571">
        <v>0</v>
      </c>
      <c r="H32" s="571">
        <v>0</v>
      </c>
      <c r="I32" s="571">
        <v>0</v>
      </c>
      <c r="J32" s="571">
        <v>0</v>
      </c>
      <c r="K32" s="571">
        <v>0</v>
      </c>
      <c r="L32" s="571">
        <v>0</v>
      </c>
      <c r="M32" s="571">
        <v>0</v>
      </c>
      <c r="N32" s="571">
        <v>0</v>
      </c>
      <c r="O32" s="571">
        <v>0</v>
      </c>
      <c r="P32" s="571">
        <v>0</v>
      </c>
      <c r="Q32" s="571">
        <v>0</v>
      </c>
      <c r="R32" s="571">
        <v>0</v>
      </c>
      <c r="S32" s="571">
        <v>0</v>
      </c>
      <c r="T32" s="571">
        <v>0</v>
      </c>
      <c r="U32" s="571">
        <v>0</v>
      </c>
      <c r="V32" s="610">
        <v>0</v>
      </c>
      <c r="W32" s="429">
        <v>1500</v>
      </c>
      <c r="X32" s="90"/>
      <c r="Y32" s="90"/>
      <c r="Z32" s="89"/>
      <c r="AA32" s="89"/>
      <c r="AB32" s="89"/>
      <c r="AC32" s="89"/>
      <c r="AD32" s="495">
        <f t="shared" si="0"/>
        <v>0</v>
      </c>
    </row>
    <row r="33" spans="1:32" ht="15.75">
      <c r="A33" s="654">
        <v>622</v>
      </c>
      <c r="B33" s="428" t="s">
        <v>410</v>
      </c>
      <c r="C33" s="591">
        <v>8500</v>
      </c>
      <c r="D33" s="571">
        <v>0</v>
      </c>
      <c r="E33" s="571">
        <v>0</v>
      </c>
      <c r="F33" s="555">
        <v>8500</v>
      </c>
      <c r="G33" s="571">
        <v>0</v>
      </c>
      <c r="H33" s="571">
        <v>0</v>
      </c>
      <c r="I33" s="571">
        <v>0</v>
      </c>
      <c r="J33" s="571">
        <v>0</v>
      </c>
      <c r="K33" s="571">
        <v>0</v>
      </c>
      <c r="L33" s="571">
        <v>0</v>
      </c>
      <c r="M33" s="571">
        <v>0</v>
      </c>
      <c r="N33" s="571">
        <v>0</v>
      </c>
      <c r="O33" s="571">
        <v>0</v>
      </c>
      <c r="P33" s="571">
        <v>0</v>
      </c>
      <c r="Q33" s="571">
        <v>0</v>
      </c>
      <c r="R33" s="571">
        <v>0</v>
      </c>
      <c r="S33" s="571">
        <v>0</v>
      </c>
      <c r="T33" s="571">
        <v>0</v>
      </c>
      <c r="U33" s="571">
        <v>0</v>
      </c>
      <c r="V33" s="610">
        <v>0</v>
      </c>
      <c r="W33" s="429">
        <v>8500</v>
      </c>
      <c r="X33" s="90"/>
      <c r="Y33" s="90"/>
      <c r="Z33" s="89"/>
      <c r="AA33" s="89"/>
      <c r="AB33" s="89"/>
      <c r="AC33" s="89"/>
      <c r="AD33" s="495">
        <f t="shared" si="0"/>
        <v>0</v>
      </c>
    </row>
    <row r="34" spans="1:32" ht="15.75">
      <c r="A34" s="654">
        <v>623</v>
      </c>
      <c r="B34" s="428" t="s">
        <v>48</v>
      </c>
      <c r="C34" s="591">
        <v>15000</v>
      </c>
      <c r="D34" s="571">
        <v>0</v>
      </c>
      <c r="E34" s="571">
        <v>0</v>
      </c>
      <c r="F34" s="555">
        <v>15000</v>
      </c>
      <c r="G34" s="571">
        <v>0</v>
      </c>
      <c r="H34" s="571">
        <v>0</v>
      </c>
      <c r="I34" s="571">
        <v>0</v>
      </c>
      <c r="J34" s="571">
        <v>0</v>
      </c>
      <c r="K34" s="571">
        <v>0</v>
      </c>
      <c r="L34" s="571">
        <v>0</v>
      </c>
      <c r="M34" s="571">
        <v>0</v>
      </c>
      <c r="N34" s="571">
        <v>0</v>
      </c>
      <c r="O34" s="571">
        <v>0</v>
      </c>
      <c r="P34" s="571">
        <v>0</v>
      </c>
      <c r="Q34" s="571">
        <v>0</v>
      </c>
      <c r="R34" s="571">
        <v>0</v>
      </c>
      <c r="S34" s="571">
        <v>0</v>
      </c>
      <c r="T34" s="571">
        <v>0</v>
      </c>
      <c r="U34" s="571">
        <v>0</v>
      </c>
      <c r="V34" s="610">
        <v>0</v>
      </c>
      <c r="W34" s="429">
        <v>15000</v>
      </c>
      <c r="X34" s="90"/>
      <c r="Y34" s="90"/>
      <c r="Z34" s="89"/>
      <c r="AA34" s="89"/>
      <c r="AB34" s="89"/>
      <c r="AC34" s="89"/>
      <c r="AD34" s="495">
        <f t="shared" si="0"/>
        <v>0</v>
      </c>
    </row>
    <row r="35" spans="1:32" ht="15.75">
      <c r="A35" s="654">
        <v>625</v>
      </c>
      <c r="B35" s="428" t="s">
        <v>517</v>
      </c>
      <c r="C35" s="591">
        <v>22444</v>
      </c>
      <c r="D35" s="571">
        <v>22444</v>
      </c>
      <c r="E35" s="571">
        <v>0</v>
      </c>
      <c r="F35" s="555">
        <v>0</v>
      </c>
      <c r="G35" s="571">
        <v>0</v>
      </c>
      <c r="H35" s="571">
        <v>0</v>
      </c>
      <c r="I35" s="571">
        <v>0</v>
      </c>
      <c r="J35" s="571">
        <v>0</v>
      </c>
      <c r="K35" s="571">
        <v>0</v>
      </c>
      <c r="L35" s="571">
        <v>0</v>
      </c>
      <c r="M35" s="571">
        <v>0</v>
      </c>
      <c r="N35" s="571">
        <v>0</v>
      </c>
      <c r="O35" s="571">
        <v>0</v>
      </c>
      <c r="P35" s="571">
        <v>0</v>
      </c>
      <c r="Q35" s="571">
        <v>0</v>
      </c>
      <c r="R35" s="571">
        <v>0</v>
      </c>
      <c r="S35" s="571">
        <v>0</v>
      </c>
      <c r="T35" s="571">
        <v>0</v>
      </c>
      <c r="U35" s="571">
        <v>0</v>
      </c>
      <c r="V35" s="610">
        <v>22444</v>
      </c>
      <c r="W35" s="429">
        <v>0</v>
      </c>
      <c r="X35" s="90"/>
      <c r="Y35" s="90"/>
      <c r="Z35" s="89"/>
      <c r="AA35" s="89"/>
      <c r="AB35" s="89"/>
      <c r="AC35" s="89"/>
      <c r="AD35" s="495">
        <f t="shared" si="0"/>
        <v>0</v>
      </c>
    </row>
    <row r="36" spans="1:32" ht="15.75">
      <c r="A36" s="654">
        <v>0</v>
      </c>
      <c r="B36" s="428"/>
      <c r="C36" s="591">
        <v>0</v>
      </c>
      <c r="D36" s="571">
        <v>0</v>
      </c>
      <c r="E36" s="571">
        <v>0</v>
      </c>
      <c r="F36" s="555">
        <v>0</v>
      </c>
      <c r="G36" s="571">
        <v>0</v>
      </c>
      <c r="H36" s="571">
        <v>0</v>
      </c>
      <c r="I36" s="571">
        <v>0</v>
      </c>
      <c r="J36" s="571">
        <v>0</v>
      </c>
      <c r="K36" s="571">
        <v>0</v>
      </c>
      <c r="L36" s="571">
        <v>0</v>
      </c>
      <c r="M36" s="571">
        <v>0</v>
      </c>
      <c r="N36" s="571">
        <v>0</v>
      </c>
      <c r="O36" s="571">
        <v>0</v>
      </c>
      <c r="P36" s="571">
        <v>0</v>
      </c>
      <c r="Q36" s="571">
        <v>0</v>
      </c>
      <c r="R36" s="571">
        <v>0</v>
      </c>
      <c r="S36" s="571">
        <v>0</v>
      </c>
      <c r="T36" s="571">
        <v>0</v>
      </c>
      <c r="U36" s="571">
        <v>0</v>
      </c>
      <c r="V36" s="610">
        <v>0</v>
      </c>
      <c r="W36" s="429">
        <v>0</v>
      </c>
      <c r="X36" s="90"/>
      <c r="Y36" s="90"/>
      <c r="Z36" s="89"/>
      <c r="AA36" s="89"/>
      <c r="AB36" s="89"/>
      <c r="AC36" s="89"/>
      <c r="AD36" s="495">
        <f t="shared" si="0"/>
        <v>0</v>
      </c>
    </row>
    <row r="37" spans="1:32" ht="15.75">
      <c r="A37" s="654">
        <v>0</v>
      </c>
      <c r="B37" s="428"/>
      <c r="C37" s="591">
        <v>0</v>
      </c>
      <c r="D37" s="571">
        <v>0</v>
      </c>
      <c r="E37" s="571">
        <v>0</v>
      </c>
      <c r="F37" s="555">
        <v>0</v>
      </c>
      <c r="G37" s="571">
        <v>0</v>
      </c>
      <c r="H37" s="571">
        <v>0</v>
      </c>
      <c r="I37" s="571">
        <v>0</v>
      </c>
      <c r="J37" s="571">
        <v>0</v>
      </c>
      <c r="K37" s="571">
        <v>0</v>
      </c>
      <c r="L37" s="571">
        <v>0</v>
      </c>
      <c r="M37" s="571">
        <v>0</v>
      </c>
      <c r="N37" s="571">
        <v>0</v>
      </c>
      <c r="O37" s="571">
        <v>0</v>
      </c>
      <c r="P37" s="571">
        <v>0</v>
      </c>
      <c r="Q37" s="571">
        <v>0</v>
      </c>
      <c r="R37" s="571">
        <v>0</v>
      </c>
      <c r="S37" s="571">
        <v>0</v>
      </c>
      <c r="T37" s="571">
        <v>0</v>
      </c>
      <c r="U37" s="571">
        <v>0</v>
      </c>
      <c r="V37" s="610">
        <v>0</v>
      </c>
      <c r="W37" s="429">
        <v>0</v>
      </c>
      <c r="X37" s="90"/>
      <c r="Y37" s="90"/>
      <c r="Z37" s="89"/>
      <c r="AA37" s="89"/>
      <c r="AB37" s="89"/>
      <c r="AC37" s="89"/>
      <c r="AD37" s="495">
        <f t="shared" si="0"/>
        <v>0</v>
      </c>
    </row>
    <row r="38" spans="1:32" ht="15.75">
      <c r="A38" s="654">
        <v>0</v>
      </c>
      <c r="B38" s="428"/>
      <c r="C38" s="591">
        <v>0</v>
      </c>
      <c r="D38" s="571">
        <v>0</v>
      </c>
      <c r="E38" s="571">
        <v>0</v>
      </c>
      <c r="F38" s="555">
        <v>0</v>
      </c>
      <c r="G38" s="571">
        <v>0</v>
      </c>
      <c r="H38" s="571">
        <v>0</v>
      </c>
      <c r="I38" s="571">
        <v>0</v>
      </c>
      <c r="J38" s="571">
        <v>0</v>
      </c>
      <c r="K38" s="571">
        <v>0</v>
      </c>
      <c r="L38" s="571">
        <v>0</v>
      </c>
      <c r="M38" s="571">
        <v>0</v>
      </c>
      <c r="N38" s="571">
        <v>0</v>
      </c>
      <c r="O38" s="571">
        <v>0</v>
      </c>
      <c r="P38" s="571">
        <v>0</v>
      </c>
      <c r="Q38" s="571">
        <v>0</v>
      </c>
      <c r="R38" s="571">
        <v>0</v>
      </c>
      <c r="S38" s="571">
        <v>0</v>
      </c>
      <c r="T38" s="571">
        <v>0</v>
      </c>
      <c r="U38" s="571">
        <v>0</v>
      </c>
      <c r="V38" s="610">
        <v>0</v>
      </c>
      <c r="W38" s="429">
        <v>0</v>
      </c>
      <c r="X38" s="90"/>
      <c r="Y38" s="90"/>
      <c r="Z38" s="89"/>
      <c r="AA38" s="89"/>
      <c r="AB38" s="89"/>
      <c r="AC38" s="89"/>
      <c r="AD38" s="495">
        <f t="shared" si="0"/>
        <v>0</v>
      </c>
    </row>
    <row r="39" spans="1:32" ht="15.75">
      <c r="A39" s="654">
        <v>0</v>
      </c>
      <c r="B39" s="428"/>
      <c r="C39" s="591">
        <v>0</v>
      </c>
      <c r="D39" s="571">
        <v>0</v>
      </c>
      <c r="E39" s="571">
        <v>0</v>
      </c>
      <c r="F39" s="555">
        <v>0</v>
      </c>
      <c r="G39" s="571">
        <v>0</v>
      </c>
      <c r="H39" s="571">
        <v>0</v>
      </c>
      <c r="I39" s="571">
        <v>0</v>
      </c>
      <c r="J39" s="571">
        <v>0</v>
      </c>
      <c r="K39" s="571">
        <v>0</v>
      </c>
      <c r="L39" s="571">
        <v>0</v>
      </c>
      <c r="M39" s="571">
        <v>0</v>
      </c>
      <c r="N39" s="571">
        <v>0</v>
      </c>
      <c r="O39" s="571">
        <v>0</v>
      </c>
      <c r="P39" s="571">
        <v>0</v>
      </c>
      <c r="Q39" s="571">
        <v>0</v>
      </c>
      <c r="R39" s="571">
        <v>0</v>
      </c>
      <c r="S39" s="571">
        <v>0</v>
      </c>
      <c r="T39" s="571">
        <v>0</v>
      </c>
      <c r="U39" s="571">
        <v>0</v>
      </c>
      <c r="V39" s="610">
        <v>0</v>
      </c>
      <c r="W39" s="429">
        <v>0</v>
      </c>
      <c r="X39" s="90"/>
      <c r="Y39" s="90"/>
      <c r="Z39" s="89"/>
      <c r="AA39" s="89"/>
      <c r="AB39" s="89"/>
      <c r="AC39" s="89"/>
      <c r="AD39" s="495">
        <f t="shared" si="0"/>
        <v>0</v>
      </c>
    </row>
    <row r="40" spans="1:32" ht="15.75">
      <c r="A40" s="654" t="s">
        <v>514</v>
      </c>
      <c r="B40" s="428" t="s">
        <v>318</v>
      </c>
      <c r="C40" s="591">
        <v>20000</v>
      </c>
      <c r="D40" s="571">
        <v>0</v>
      </c>
      <c r="E40" s="571">
        <v>0</v>
      </c>
      <c r="F40" s="555">
        <v>20000</v>
      </c>
      <c r="G40" s="571">
        <v>0</v>
      </c>
      <c r="H40" s="571">
        <v>0</v>
      </c>
      <c r="I40" s="571">
        <v>0</v>
      </c>
      <c r="J40" s="571">
        <v>0</v>
      </c>
      <c r="K40" s="571">
        <v>0</v>
      </c>
      <c r="L40" s="571">
        <v>0</v>
      </c>
      <c r="M40" s="571">
        <v>0</v>
      </c>
      <c r="N40" s="571">
        <v>0</v>
      </c>
      <c r="O40" s="571">
        <v>0</v>
      </c>
      <c r="P40" s="571">
        <v>0</v>
      </c>
      <c r="Q40" s="571">
        <v>0</v>
      </c>
      <c r="R40" s="571">
        <v>0</v>
      </c>
      <c r="S40" s="571">
        <v>0</v>
      </c>
      <c r="T40" s="571">
        <v>0</v>
      </c>
      <c r="U40" s="571">
        <v>0</v>
      </c>
      <c r="V40" s="610">
        <v>0</v>
      </c>
      <c r="W40" s="429">
        <v>20000</v>
      </c>
      <c r="X40" s="90"/>
      <c r="Y40" s="90"/>
      <c r="Z40" s="89"/>
      <c r="AA40" s="89"/>
      <c r="AB40" s="89"/>
      <c r="AC40" s="89"/>
      <c r="AD40" s="495">
        <f t="shared" si="0"/>
        <v>0</v>
      </c>
    </row>
    <row r="41" spans="1:32" ht="16.5" thickBot="1">
      <c r="A41" s="654" t="s">
        <v>515</v>
      </c>
      <c r="B41" s="428" t="s">
        <v>5</v>
      </c>
      <c r="C41" s="591">
        <v>40000</v>
      </c>
      <c r="D41" s="571">
        <v>40000</v>
      </c>
      <c r="E41" s="571">
        <v>0</v>
      </c>
      <c r="F41" s="555">
        <v>40000</v>
      </c>
      <c r="G41" s="571">
        <v>0</v>
      </c>
      <c r="H41" s="571">
        <v>0</v>
      </c>
      <c r="I41" s="571">
        <v>0</v>
      </c>
      <c r="J41" s="571">
        <v>0</v>
      </c>
      <c r="K41" s="571">
        <v>0</v>
      </c>
      <c r="L41" s="571">
        <v>0</v>
      </c>
      <c r="M41" s="571">
        <v>0</v>
      </c>
      <c r="N41" s="571">
        <v>0</v>
      </c>
      <c r="O41" s="571">
        <v>0</v>
      </c>
      <c r="P41" s="571">
        <v>0</v>
      </c>
      <c r="Q41" s="571">
        <v>0</v>
      </c>
      <c r="R41" s="571">
        <v>0</v>
      </c>
      <c r="S41" s="571">
        <v>0</v>
      </c>
      <c r="T41" s="571">
        <v>0</v>
      </c>
      <c r="U41" s="571">
        <v>0</v>
      </c>
      <c r="V41" s="610">
        <v>40000</v>
      </c>
      <c r="W41" s="429">
        <v>0</v>
      </c>
      <c r="X41" s="90"/>
      <c r="Y41" s="90"/>
      <c r="Z41" s="89"/>
      <c r="AA41" s="89"/>
      <c r="AB41" s="89"/>
      <c r="AC41" s="89"/>
      <c r="AD41" s="495">
        <f>C41-D41-E41-F41-Z41-Y41</f>
        <v>-40000</v>
      </c>
    </row>
    <row r="42" spans="1:32" ht="16.5" thickBot="1">
      <c r="B42" s="637"/>
      <c r="C42" s="638"/>
      <c r="D42" s="638"/>
      <c r="E42" s="638"/>
      <c r="F42" s="638"/>
      <c r="G42" s="637">
        <v>449680.4458228125</v>
      </c>
      <c r="H42" s="638"/>
      <c r="I42" s="638"/>
      <c r="J42" s="638"/>
      <c r="K42" s="638"/>
      <c r="L42" s="638"/>
      <c r="M42" s="638"/>
      <c r="N42" s="639"/>
      <c r="O42" s="640">
        <v>325545.25099562504</v>
      </c>
      <c r="P42" s="641"/>
      <c r="Q42" s="641"/>
      <c r="R42" s="641"/>
      <c r="S42" s="641"/>
      <c r="T42" s="641"/>
      <c r="U42" s="641"/>
      <c r="V42" s="599"/>
      <c r="W42" s="424"/>
      <c r="X42" s="93"/>
      <c r="Y42" s="93"/>
      <c r="Z42" s="92"/>
      <c r="AD42" s="495">
        <f>C42-D42-E42-F42-Z42-Y42-X42</f>
        <v>0</v>
      </c>
    </row>
    <row r="43" spans="1:32" ht="15.75" thickBot="1">
      <c r="B43" s="94" t="s">
        <v>50</v>
      </c>
      <c r="C43" s="95">
        <v>1385637.20325</v>
      </c>
      <c r="D43" s="95">
        <v>162580.086930625</v>
      </c>
      <c r="E43" s="95">
        <v>140134.399450625</v>
      </c>
      <c r="F43" s="553">
        <v>1082922.7168687501</v>
      </c>
      <c r="G43" s="95">
        <v>66200.215335312503</v>
      </c>
      <c r="H43" s="95">
        <v>20627.133302812501</v>
      </c>
      <c r="I43" s="95">
        <v>25663.143556875002</v>
      </c>
      <c r="J43" s="95">
        <v>19416.12304875</v>
      </c>
      <c r="K43" s="95">
        <v>26282.205081249998</v>
      </c>
      <c r="L43" s="95">
        <v>169067.26660562499</v>
      </c>
      <c r="M43" s="95">
        <v>93341.194827187501</v>
      </c>
      <c r="N43" s="95">
        <v>29083.164065000001</v>
      </c>
      <c r="O43" s="95">
        <v>29078.225589374997</v>
      </c>
      <c r="P43" s="95">
        <v>41099.287113750004</v>
      </c>
      <c r="Q43" s="95">
        <v>0</v>
      </c>
      <c r="R43" s="95">
        <v>33805.092286562503</v>
      </c>
      <c r="S43" s="95">
        <v>24775.164065000001</v>
      </c>
      <c r="T43" s="95">
        <v>132778.22558937501</v>
      </c>
      <c r="U43" s="94">
        <v>64009.256351562501</v>
      </c>
      <c r="V43" s="611">
        <v>1077940.1831996874</v>
      </c>
      <c r="W43" s="425">
        <v>307697.02005031251</v>
      </c>
      <c r="X43" s="96">
        <v>0</v>
      </c>
      <c r="Y43" s="96">
        <f t="shared" ref="Y43:AC43" si="1">SUM(Y4:Y41)</f>
        <v>0</v>
      </c>
      <c r="Z43" s="95">
        <f t="shared" si="1"/>
        <v>0</v>
      </c>
      <c r="AA43" s="95">
        <f t="shared" si="1"/>
        <v>0</v>
      </c>
      <c r="AB43" s="95">
        <f t="shared" si="1"/>
        <v>0</v>
      </c>
      <c r="AC43" s="95">
        <f t="shared" si="1"/>
        <v>0</v>
      </c>
      <c r="AD43" s="495"/>
    </row>
    <row r="44" spans="1:32" s="87" customFormat="1">
      <c r="A44" s="655"/>
      <c r="B44" s="87" t="s">
        <v>58</v>
      </c>
      <c r="W44" s="426"/>
      <c r="X44" s="87">
        <v>0</v>
      </c>
      <c r="Y44" s="98"/>
      <c r="Z44" s="97"/>
      <c r="AD44" s="495">
        <f>C44-D44-E44-F44-Z44-Y44-X44</f>
        <v>0</v>
      </c>
      <c r="AE44" s="85"/>
      <c r="AF44" s="85"/>
    </row>
    <row r="45" spans="1:32" s="87" customFormat="1" ht="15.75" thickBot="1">
      <c r="A45" s="655"/>
      <c r="W45" s="426"/>
      <c r="Z45" s="98"/>
      <c r="AE45" s="85"/>
      <c r="AF45" s="85"/>
    </row>
    <row r="46" spans="1:32" s="84" customFormat="1" ht="15.75" thickBot="1">
      <c r="A46" s="650"/>
      <c r="B46" s="200" t="s">
        <v>62</v>
      </c>
      <c r="C46" s="201"/>
      <c r="D46" s="414" t="s">
        <v>314</v>
      </c>
      <c r="E46" s="414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427"/>
      <c r="X46" s="201"/>
      <c r="Y46" s="201"/>
      <c r="Z46" s="202"/>
      <c r="AA46" s="161"/>
      <c r="AB46" s="164"/>
      <c r="AC46" s="164"/>
    </row>
    <row r="47" spans="1:32">
      <c r="A47" s="656">
        <v>756</v>
      </c>
      <c r="B47" s="579" t="s">
        <v>51</v>
      </c>
      <c r="C47" s="572">
        <v>108400</v>
      </c>
      <c r="D47" s="413">
        <v>43015</v>
      </c>
      <c r="E47" s="413"/>
      <c r="F47" s="556">
        <v>65385</v>
      </c>
      <c r="G47" s="615">
        <v>592</v>
      </c>
      <c r="H47" s="615">
        <v>590</v>
      </c>
      <c r="I47" s="615">
        <v>590</v>
      </c>
      <c r="J47" s="615">
        <v>590</v>
      </c>
      <c r="K47" s="615">
        <v>590</v>
      </c>
      <c r="L47" s="615">
        <v>590</v>
      </c>
      <c r="M47" s="615">
        <v>590</v>
      </c>
      <c r="N47" s="615">
        <v>590</v>
      </c>
      <c r="O47" s="615">
        <v>590</v>
      </c>
      <c r="P47" s="615">
        <v>590</v>
      </c>
      <c r="Q47" s="615"/>
      <c r="R47" s="615">
        <v>590</v>
      </c>
      <c r="S47" s="615">
        <v>590</v>
      </c>
      <c r="T47" s="615">
        <v>590</v>
      </c>
      <c r="U47" s="615">
        <v>590</v>
      </c>
      <c r="V47" s="612">
        <v>51277</v>
      </c>
      <c r="W47" s="574">
        <v>57123</v>
      </c>
      <c r="X47" s="575"/>
      <c r="Y47" s="100"/>
      <c r="Z47" s="99"/>
      <c r="AA47" s="162"/>
      <c r="AB47" s="99"/>
      <c r="AC47" s="99"/>
      <c r="AD47" s="85">
        <f>C47-D47-E47-F47-Z47-Y47-X47</f>
        <v>0</v>
      </c>
    </row>
    <row r="48" spans="1:32">
      <c r="A48" s="656" t="s">
        <v>329</v>
      </c>
      <c r="B48" s="579" t="s">
        <v>332</v>
      </c>
      <c r="C48" s="572">
        <v>35000</v>
      </c>
      <c r="D48" s="572">
        <v>0</v>
      </c>
      <c r="E48" s="572">
        <v>0</v>
      </c>
      <c r="F48" s="556">
        <v>35000</v>
      </c>
      <c r="G48" s="573">
        <v>0</v>
      </c>
      <c r="H48" s="573">
        <v>0</v>
      </c>
      <c r="I48" s="573">
        <v>0</v>
      </c>
      <c r="J48" s="573">
        <v>0</v>
      </c>
      <c r="K48" s="573">
        <v>0</v>
      </c>
      <c r="L48" s="573">
        <v>0</v>
      </c>
      <c r="M48" s="573">
        <v>0</v>
      </c>
      <c r="N48" s="573">
        <v>0</v>
      </c>
      <c r="O48" s="573">
        <v>0</v>
      </c>
      <c r="P48" s="573">
        <v>0</v>
      </c>
      <c r="Q48" s="573">
        <v>0</v>
      </c>
      <c r="R48" s="573">
        <v>0</v>
      </c>
      <c r="S48" s="573">
        <v>0</v>
      </c>
      <c r="T48" s="573">
        <v>0</v>
      </c>
      <c r="U48" s="573">
        <v>0</v>
      </c>
      <c r="V48" s="612">
        <v>0</v>
      </c>
      <c r="W48" s="574">
        <v>35000</v>
      </c>
      <c r="X48" s="575"/>
      <c r="Y48" s="100"/>
      <c r="Z48" s="99"/>
      <c r="AA48" s="99"/>
      <c r="AB48" s="99"/>
      <c r="AC48" s="99"/>
      <c r="AD48" s="85">
        <f>C48-D48-E48-F48-Z48-Y48-X48</f>
        <v>0</v>
      </c>
    </row>
    <row r="49" spans="1:30">
      <c r="A49" s="656">
        <v>758</v>
      </c>
      <c r="B49" s="579" t="s">
        <v>52</v>
      </c>
      <c r="C49" s="572">
        <v>565430</v>
      </c>
      <c r="D49" s="572">
        <v>0</v>
      </c>
      <c r="E49" s="572">
        <v>0</v>
      </c>
      <c r="F49" s="556">
        <v>565430</v>
      </c>
      <c r="G49" s="573">
        <v>46000</v>
      </c>
      <c r="H49" s="573">
        <v>14300</v>
      </c>
      <c r="I49" s="573">
        <v>15200</v>
      </c>
      <c r="J49" s="573">
        <v>5500</v>
      </c>
      <c r="K49" s="573">
        <v>17940</v>
      </c>
      <c r="L49" s="573">
        <v>126250</v>
      </c>
      <c r="M49" s="573">
        <v>72800</v>
      </c>
      <c r="N49" s="573">
        <v>15920</v>
      </c>
      <c r="O49" s="573">
        <v>17860</v>
      </c>
      <c r="P49" s="573">
        <v>28240</v>
      </c>
      <c r="Q49" s="573">
        <v>0</v>
      </c>
      <c r="R49" s="573">
        <v>19200</v>
      </c>
      <c r="S49" s="573">
        <v>12500</v>
      </c>
      <c r="T49" s="573">
        <v>89420</v>
      </c>
      <c r="U49" s="573">
        <v>48900</v>
      </c>
      <c r="V49" s="612">
        <v>530030</v>
      </c>
      <c r="W49" s="574">
        <v>35400</v>
      </c>
      <c r="X49" s="575"/>
      <c r="Y49" s="100"/>
      <c r="Z49" s="99"/>
      <c r="AA49" s="99"/>
      <c r="AB49" s="99"/>
      <c r="AC49" s="99"/>
      <c r="AD49" s="85">
        <f>C49-D49-E49-F49-Z49-Y49-X49</f>
        <v>0</v>
      </c>
    </row>
    <row r="50" spans="1:30">
      <c r="A50" s="656" t="s">
        <v>518</v>
      </c>
      <c r="B50" s="579" t="s">
        <v>457</v>
      </c>
      <c r="C50" s="572">
        <v>56100</v>
      </c>
      <c r="D50" s="572">
        <v>4532</v>
      </c>
      <c r="E50" s="572">
        <v>51568</v>
      </c>
      <c r="F50" s="556"/>
      <c r="G50" s="573"/>
      <c r="H50" s="573"/>
      <c r="I50" s="573"/>
      <c r="J50" s="573"/>
      <c r="K50" s="573"/>
      <c r="L50" s="573"/>
      <c r="M50" s="573"/>
      <c r="N50" s="573"/>
      <c r="O50" s="573"/>
      <c r="P50" s="573"/>
      <c r="Q50" s="573"/>
      <c r="R50" s="573"/>
      <c r="S50" s="573"/>
      <c r="T50" s="573"/>
      <c r="U50" s="573"/>
      <c r="V50" s="612">
        <v>56100</v>
      </c>
      <c r="W50" s="574">
        <v>0</v>
      </c>
      <c r="X50" s="575"/>
      <c r="Y50" s="100"/>
      <c r="Z50" s="99"/>
      <c r="AA50" s="99"/>
      <c r="AB50" s="99"/>
      <c r="AC50" s="99"/>
    </row>
    <row r="51" spans="1:30">
      <c r="A51" s="656" t="s">
        <v>341</v>
      </c>
      <c r="B51" s="580" t="s">
        <v>342</v>
      </c>
      <c r="C51" s="572">
        <v>0</v>
      </c>
      <c r="D51" s="572">
        <v>0</v>
      </c>
      <c r="E51" s="572">
        <v>0</v>
      </c>
      <c r="F51" s="556">
        <v>0</v>
      </c>
      <c r="G51" s="573">
        <v>0</v>
      </c>
      <c r="H51" s="573">
        <v>0</v>
      </c>
      <c r="I51" s="573">
        <v>0</v>
      </c>
      <c r="J51" s="573">
        <v>0</v>
      </c>
      <c r="K51" s="573">
        <v>0</v>
      </c>
      <c r="L51" s="573">
        <v>0</v>
      </c>
      <c r="M51" s="573">
        <v>0</v>
      </c>
      <c r="N51" s="573">
        <v>0</v>
      </c>
      <c r="O51" s="573">
        <v>0</v>
      </c>
      <c r="P51" s="573">
        <v>0</v>
      </c>
      <c r="Q51" s="573">
        <v>0</v>
      </c>
      <c r="R51" s="573">
        <v>0</v>
      </c>
      <c r="S51" s="573">
        <v>0</v>
      </c>
      <c r="T51" s="573">
        <v>0</v>
      </c>
      <c r="U51" s="573">
        <v>0</v>
      </c>
      <c r="V51" s="612">
        <v>0</v>
      </c>
      <c r="W51" s="574">
        <v>0</v>
      </c>
      <c r="X51" s="575"/>
      <c r="Y51" s="100"/>
      <c r="Z51" s="99"/>
      <c r="AA51" s="99"/>
      <c r="AB51" s="99"/>
      <c r="AC51" s="99"/>
      <c r="AD51" s="85">
        <f t="shared" ref="AD51:AD61" si="2">C51-D51-E51-F51-Z51-Y51-X51</f>
        <v>0</v>
      </c>
    </row>
    <row r="52" spans="1:30">
      <c r="A52" s="656" t="s">
        <v>330</v>
      </c>
      <c r="B52" s="579" t="s">
        <v>333</v>
      </c>
      <c r="C52" s="572">
        <v>0</v>
      </c>
      <c r="D52" s="572">
        <v>0</v>
      </c>
      <c r="E52" s="572">
        <v>0</v>
      </c>
      <c r="F52" s="556">
        <v>0</v>
      </c>
      <c r="G52" s="573">
        <v>0</v>
      </c>
      <c r="H52" s="573">
        <v>0</v>
      </c>
      <c r="I52" s="573">
        <v>0</v>
      </c>
      <c r="J52" s="573">
        <v>0</v>
      </c>
      <c r="K52" s="573">
        <v>0</v>
      </c>
      <c r="L52" s="573">
        <v>0</v>
      </c>
      <c r="M52" s="573">
        <v>0</v>
      </c>
      <c r="N52" s="573">
        <v>0</v>
      </c>
      <c r="O52" s="573">
        <v>0</v>
      </c>
      <c r="P52" s="573">
        <v>0</v>
      </c>
      <c r="Q52" s="573">
        <v>0</v>
      </c>
      <c r="R52" s="573">
        <v>0</v>
      </c>
      <c r="S52" s="573">
        <v>0</v>
      </c>
      <c r="T52" s="573">
        <v>0</v>
      </c>
      <c r="U52" s="573">
        <v>0</v>
      </c>
      <c r="V52" s="612">
        <v>0</v>
      </c>
      <c r="W52" s="574">
        <v>0</v>
      </c>
      <c r="X52" s="575"/>
      <c r="Y52" s="100"/>
      <c r="Z52" s="99"/>
      <c r="AA52" s="99"/>
      <c r="AB52" s="99"/>
      <c r="AC52" s="99"/>
      <c r="AD52" s="85">
        <f t="shared" si="2"/>
        <v>0</v>
      </c>
    </row>
    <row r="53" spans="1:30" s="84" customFormat="1">
      <c r="A53" s="657"/>
      <c r="B53" s="581" t="s">
        <v>53</v>
      </c>
      <c r="C53" s="583">
        <v>764930</v>
      </c>
      <c r="D53" s="583">
        <v>47547</v>
      </c>
      <c r="E53" s="583">
        <v>51568</v>
      </c>
      <c r="F53" s="584">
        <v>665815</v>
      </c>
      <c r="G53" s="586">
        <v>46592</v>
      </c>
      <c r="H53" s="586">
        <v>14890</v>
      </c>
      <c r="I53" s="586">
        <v>15790</v>
      </c>
      <c r="J53" s="586">
        <v>6090</v>
      </c>
      <c r="K53" s="586">
        <v>18530</v>
      </c>
      <c r="L53" s="586">
        <v>126840</v>
      </c>
      <c r="M53" s="586">
        <v>73390</v>
      </c>
      <c r="N53" s="586">
        <v>16510</v>
      </c>
      <c r="O53" s="586">
        <v>18450</v>
      </c>
      <c r="P53" s="586">
        <v>28830</v>
      </c>
      <c r="Q53" s="586">
        <v>0</v>
      </c>
      <c r="R53" s="586">
        <v>19790</v>
      </c>
      <c r="S53" s="586">
        <v>13090</v>
      </c>
      <c r="T53" s="586">
        <v>90010</v>
      </c>
      <c r="U53" s="586">
        <v>49490</v>
      </c>
      <c r="V53" s="613">
        <v>637407</v>
      </c>
      <c r="W53" s="585">
        <v>127523</v>
      </c>
      <c r="X53" s="582">
        <v>0</v>
      </c>
      <c r="Y53" s="102"/>
      <c r="Z53" s="101"/>
      <c r="AA53" s="101"/>
      <c r="AB53" s="101"/>
      <c r="AC53" s="101"/>
      <c r="AD53" s="85">
        <f t="shared" si="2"/>
        <v>0</v>
      </c>
    </row>
    <row r="54" spans="1:30">
      <c r="A54" s="656">
        <v>740</v>
      </c>
      <c r="B54" s="579" t="s">
        <v>54</v>
      </c>
      <c r="C54" s="572">
        <v>398000</v>
      </c>
      <c r="D54" s="413">
        <v>72939</v>
      </c>
      <c r="E54" s="413">
        <v>88360</v>
      </c>
      <c r="F54" s="556">
        <v>236701.33631843748</v>
      </c>
      <c r="G54" s="573">
        <v>19589.661835312494</v>
      </c>
      <c r="H54" s="573">
        <v>5725.6478028124984</v>
      </c>
      <c r="I54" s="573">
        <v>9860.7745568749997</v>
      </c>
      <c r="J54" s="573">
        <v>13315.521048750001</v>
      </c>
      <c r="K54" s="573">
        <v>7734.5350812500001</v>
      </c>
      <c r="L54" s="573">
        <v>42204.295605624997</v>
      </c>
      <c r="M54" s="573">
        <v>19934.408327187499</v>
      </c>
      <c r="N54" s="573">
        <v>12559.028064999999</v>
      </c>
      <c r="O54" s="573">
        <v>10608.788589374999</v>
      </c>
      <c r="P54" s="573">
        <v>12244.549113749999</v>
      </c>
      <c r="Q54" s="573">
        <v>0</v>
      </c>
      <c r="R54" s="573">
        <v>14007.140786562501</v>
      </c>
      <c r="S54" s="573">
        <v>11671.028064999999</v>
      </c>
      <c r="T54" s="573">
        <v>42748.788589375006</v>
      </c>
      <c r="U54" s="573">
        <v>14497.168851562499</v>
      </c>
      <c r="V54" s="612">
        <v>398000.33631843748</v>
      </c>
      <c r="W54" s="574">
        <v>0</v>
      </c>
      <c r="X54" s="575"/>
      <c r="Y54" s="100"/>
      <c r="Z54" s="99"/>
      <c r="AA54" s="99"/>
      <c r="AB54" s="99"/>
      <c r="AC54" s="99"/>
      <c r="AD54" s="85">
        <f t="shared" si="2"/>
        <v>-0.33631843747571111</v>
      </c>
    </row>
    <row r="55" spans="1:30">
      <c r="A55" s="656" t="s">
        <v>516</v>
      </c>
      <c r="B55" s="579" t="s">
        <v>55</v>
      </c>
      <c r="C55" s="572">
        <v>2000</v>
      </c>
      <c r="D55" s="572">
        <v>2000</v>
      </c>
      <c r="E55" s="572">
        <v>0</v>
      </c>
      <c r="F55" s="556">
        <v>0</v>
      </c>
      <c r="G55" s="573"/>
      <c r="H55" s="573"/>
      <c r="I55" s="573"/>
      <c r="J55" s="573"/>
      <c r="K55" s="573"/>
      <c r="L55" s="573"/>
      <c r="M55" s="573"/>
      <c r="N55" s="573"/>
      <c r="O55" s="573"/>
      <c r="P55" s="573"/>
      <c r="Q55" s="573"/>
      <c r="R55" s="573"/>
      <c r="S55" s="573"/>
      <c r="T55" s="573"/>
      <c r="U55" s="573"/>
      <c r="V55" s="612">
        <v>2000</v>
      </c>
      <c r="W55" s="574">
        <v>0</v>
      </c>
      <c r="X55" s="575"/>
      <c r="Y55" s="100"/>
      <c r="Z55" s="99"/>
      <c r="AA55" s="99"/>
      <c r="AB55" s="99"/>
      <c r="AC55" s="99"/>
      <c r="AD55" s="85">
        <f t="shared" si="2"/>
        <v>0</v>
      </c>
    </row>
    <row r="56" spans="1:30">
      <c r="A56" s="656" t="s">
        <v>338</v>
      </c>
      <c r="B56" s="579" t="s">
        <v>334</v>
      </c>
      <c r="C56" s="572">
        <v>160000</v>
      </c>
      <c r="D56" s="572">
        <v>0</v>
      </c>
      <c r="E56" s="572">
        <v>0</v>
      </c>
      <c r="F56" s="556">
        <v>160000</v>
      </c>
      <c r="G56" s="573"/>
      <c r="H56" s="573"/>
      <c r="I56" s="573"/>
      <c r="J56" s="573"/>
      <c r="K56" s="573"/>
      <c r="L56" s="573"/>
      <c r="M56" s="573"/>
      <c r="N56" s="573"/>
      <c r="O56" s="573"/>
      <c r="P56" s="573"/>
      <c r="Q56" s="573"/>
      <c r="R56" s="573"/>
      <c r="S56" s="573"/>
      <c r="T56" s="573"/>
      <c r="U56" s="573"/>
      <c r="V56" s="612">
        <v>0</v>
      </c>
      <c r="W56" s="574">
        <v>160000</v>
      </c>
      <c r="X56" s="575"/>
      <c r="Y56" s="100"/>
      <c r="Z56" s="99"/>
      <c r="AA56" s="99"/>
      <c r="AB56" s="99"/>
      <c r="AC56" s="99"/>
      <c r="AD56" s="85">
        <f t="shared" si="2"/>
        <v>0</v>
      </c>
    </row>
    <row r="57" spans="1:30" s="84" customFormat="1">
      <c r="A57" s="657"/>
      <c r="B57" s="581" t="s">
        <v>56</v>
      </c>
      <c r="C57" s="583">
        <v>560000</v>
      </c>
      <c r="D57" s="583">
        <v>74939</v>
      </c>
      <c r="E57" s="583">
        <v>88360</v>
      </c>
      <c r="F57" s="584">
        <v>396701.33631843748</v>
      </c>
      <c r="G57" s="586">
        <v>19589.661835312494</v>
      </c>
      <c r="H57" s="586">
        <v>5725.6478028124984</v>
      </c>
      <c r="I57" s="586">
        <v>9860.7745568749997</v>
      </c>
      <c r="J57" s="586">
        <v>13315.521048750001</v>
      </c>
      <c r="K57" s="586">
        <v>7734.5350812500001</v>
      </c>
      <c r="L57" s="586">
        <v>42204.295605624997</v>
      </c>
      <c r="M57" s="586">
        <v>19934.408327187499</v>
      </c>
      <c r="N57" s="586">
        <v>12559.028064999999</v>
      </c>
      <c r="O57" s="586">
        <v>10608.788589374999</v>
      </c>
      <c r="P57" s="586">
        <v>12244.549113749999</v>
      </c>
      <c r="Q57" s="586">
        <v>0</v>
      </c>
      <c r="R57" s="586">
        <v>14007.140786562501</v>
      </c>
      <c r="S57" s="586">
        <v>11671.028064999999</v>
      </c>
      <c r="T57" s="586">
        <v>42748.788589375006</v>
      </c>
      <c r="U57" s="586">
        <v>14497.168851562499</v>
      </c>
      <c r="V57" s="613">
        <v>400000.33631843748</v>
      </c>
      <c r="W57" s="585">
        <v>160000</v>
      </c>
      <c r="X57" s="582">
        <v>0</v>
      </c>
      <c r="Y57" s="103"/>
      <c r="Z57" s="101"/>
      <c r="AA57" s="101"/>
      <c r="AB57" s="101"/>
      <c r="AC57" s="101"/>
      <c r="AD57" s="85">
        <f t="shared" si="2"/>
        <v>-0.33631843747571111</v>
      </c>
    </row>
    <row r="58" spans="1:30" s="84" customFormat="1">
      <c r="A58" s="657" t="s">
        <v>514</v>
      </c>
      <c r="B58" s="579" t="s">
        <v>318</v>
      </c>
      <c r="C58" s="572">
        <v>20000</v>
      </c>
      <c r="D58" s="578">
        <v>0</v>
      </c>
      <c r="E58" s="578">
        <v>0</v>
      </c>
      <c r="F58" s="556">
        <v>20000</v>
      </c>
      <c r="G58" s="576"/>
      <c r="H58" s="576"/>
      <c r="I58" s="576"/>
      <c r="J58" s="576"/>
      <c r="K58" s="576"/>
      <c r="L58" s="576"/>
      <c r="M58" s="576"/>
      <c r="N58" s="576"/>
      <c r="O58" s="576"/>
      <c r="P58" s="576"/>
      <c r="Q58" s="576"/>
      <c r="R58" s="576"/>
      <c r="S58" s="576"/>
      <c r="T58" s="576"/>
      <c r="U58" s="576"/>
      <c r="V58" s="612">
        <v>0</v>
      </c>
      <c r="W58" s="577">
        <v>20000</v>
      </c>
      <c r="X58" s="576"/>
      <c r="Y58" s="103"/>
      <c r="Z58" s="101"/>
      <c r="AA58" s="101"/>
      <c r="AB58" s="101"/>
      <c r="AC58" s="101"/>
      <c r="AD58" s="85">
        <f t="shared" si="2"/>
        <v>0</v>
      </c>
    </row>
    <row r="59" spans="1:30" ht="15.75" thickBot="1">
      <c r="A59" s="656" t="s">
        <v>515</v>
      </c>
      <c r="B59" s="579" t="s">
        <v>317</v>
      </c>
      <c r="C59" s="572">
        <v>40000</v>
      </c>
      <c r="D59" s="572">
        <v>40000</v>
      </c>
      <c r="E59" s="572">
        <v>0</v>
      </c>
      <c r="F59" s="556">
        <v>0</v>
      </c>
      <c r="G59" s="573">
        <v>0</v>
      </c>
      <c r="H59" s="573"/>
      <c r="I59" s="573">
        <v>0</v>
      </c>
      <c r="J59" s="573">
        <v>0</v>
      </c>
      <c r="K59" s="573">
        <v>0</v>
      </c>
      <c r="L59" s="573">
        <v>0</v>
      </c>
      <c r="M59" s="573">
        <v>0</v>
      </c>
      <c r="N59" s="573">
        <v>0</v>
      </c>
      <c r="O59" s="573">
        <v>0</v>
      </c>
      <c r="P59" s="573">
        <v>0</v>
      </c>
      <c r="Q59" s="573">
        <v>0</v>
      </c>
      <c r="R59" s="573">
        <v>0</v>
      </c>
      <c r="S59" s="573">
        <v>0</v>
      </c>
      <c r="T59" s="573">
        <v>0</v>
      </c>
      <c r="U59" s="573">
        <v>0</v>
      </c>
      <c r="V59" s="612">
        <v>40000</v>
      </c>
      <c r="W59" s="574">
        <v>0</v>
      </c>
      <c r="X59" s="575"/>
      <c r="Y59" s="100"/>
      <c r="Z59" s="99"/>
      <c r="AA59" s="163"/>
      <c r="AB59" s="99"/>
      <c r="AC59" s="99"/>
      <c r="AD59" s="85">
        <f t="shared" si="2"/>
        <v>0</v>
      </c>
    </row>
    <row r="60" spans="1:30" s="84" customFormat="1" ht="15.75" thickBot="1">
      <c r="A60" s="650"/>
      <c r="B60" s="587" t="s">
        <v>57</v>
      </c>
      <c r="C60" s="587">
        <v>1384930</v>
      </c>
      <c r="D60" s="587">
        <v>162486</v>
      </c>
      <c r="E60" s="587">
        <v>139928</v>
      </c>
      <c r="F60" s="588">
        <v>1082516.3363184375</v>
      </c>
      <c r="G60" s="587">
        <v>66181.661835312494</v>
      </c>
      <c r="H60" s="587">
        <v>20615.647802812498</v>
      </c>
      <c r="I60" s="587">
        <v>25650.774556875</v>
      </c>
      <c r="J60" s="587">
        <v>19405.521048750001</v>
      </c>
      <c r="K60" s="587">
        <v>26264.53508125</v>
      </c>
      <c r="L60" s="587">
        <v>169044.295605625</v>
      </c>
      <c r="M60" s="587">
        <v>93324.408327187499</v>
      </c>
      <c r="N60" s="587">
        <v>29069.028064999999</v>
      </c>
      <c r="O60" s="587">
        <v>29058.788589374999</v>
      </c>
      <c r="P60" s="587">
        <v>41074.549113749999</v>
      </c>
      <c r="Q60" s="587">
        <v>0</v>
      </c>
      <c r="R60" s="587">
        <v>33797.140786562501</v>
      </c>
      <c r="S60" s="587">
        <v>24761.028064999999</v>
      </c>
      <c r="T60" s="587">
        <v>132758.78858937501</v>
      </c>
      <c r="U60" s="587">
        <v>63987.168851562499</v>
      </c>
      <c r="V60" s="614">
        <v>1077407.3363184375</v>
      </c>
      <c r="W60" s="589">
        <v>307523</v>
      </c>
      <c r="X60" s="589">
        <v>0</v>
      </c>
      <c r="Y60" s="105">
        <f>SUM(Y59+Y57+Y53)</f>
        <v>0</v>
      </c>
      <c r="Z60" s="104">
        <f>Z59+Z57+Z53</f>
        <v>0</v>
      </c>
      <c r="AA60" s="104">
        <f>AA59+AA57+AA53</f>
        <v>0</v>
      </c>
      <c r="AB60" s="104">
        <f>SUM(AB47:AB59)</f>
        <v>0</v>
      </c>
      <c r="AC60" s="104">
        <f>SUM(AC47:AC59)</f>
        <v>0</v>
      </c>
      <c r="AD60" s="85">
        <f t="shared" si="2"/>
        <v>-0.33631843747571111</v>
      </c>
    </row>
    <row r="61" spans="1:30" s="87" customFormat="1">
      <c r="A61" s="655"/>
      <c r="B61" s="87" t="s">
        <v>58</v>
      </c>
      <c r="C61" s="87">
        <v>-707.20325000002049</v>
      </c>
      <c r="D61" s="87">
        <v>-94.086930624995148</v>
      </c>
      <c r="E61" s="87">
        <v>-206.39945062500192</v>
      </c>
      <c r="F61" s="87">
        <v>-406.38055031257682</v>
      </c>
      <c r="G61" s="87">
        <v>-18.55350000000908</v>
      </c>
      <c r="H61" s="87">
        <v>-11.485500000002503</v>
      </c>
      <c r="I61" s="87">
        <v>-12.369000000002416</v>
      </c>
      <c r="J61" s="87">
        <v>-10.601999999998952</v>
      </c>
      <c r="K61" s="87">
        <v>-17.669999999998254</v>
      </c>
      <c r="L61" s="87">
        <v>-22.970999999990454</v>
      </c>
      <c r="M61" s="87">
        <v>-16.786500000001979</v>
      </c>
      <c r="N61" s="87">
        <v>-14.136000000002241</v>
      </c>
      <c r="O61" s="87">
        <v>-19.436999999998079</v>
      </c>
      <c r="P61" s="87">
        <v>-24.738000000004831</v>
      </c>
      <c r="Q61" s="87">
        <v>0</v>
      </c>
      <c r="R61" s="87">
        <v>-7.9515000000028522</v>
      </c>
      <c r="S61" s="87">
        <v>-14.136000000002241</v>
      </c>
      <c r="T61" s="87">
        <v>-19.437000000005355</v>
      </c>
      <c r="U61" s="87">
        <v>-22.087500000001455</v>
      </c>
      <c r="W61" s="87">
        <v>-174.02005031250883</v>
      </c>
      <c r="X61" s="87">
        <v>0</v>
      </c>
      <c r="Z61" s="87">
        <f t="shared" ref="Z61:AC61" si="3">Z60-Z43</f>
        <v>0</v>
      </c>
      <c r="AA61" s="87">
        <f>AA60-AA43</f>
        <v>0</v>
      </c>
      <c r="AB61" s="87">
        <f t="shared" si="3"/>
        <v>0</v>
      </c>
      <c r="AC61" s="87">
        <f t="shared" si="3"/>
        <v>0</v>
      </c>
      <c r="AD61" s="85">
        <f t="shared" si="2"/>
        <v>-0.33631843744660728</v>
      </c>
    </row>
    <row r="62" spans="1:30" s="55" customFormat="1">
      <c r="A62" s="658"/>
      <c r="B62" s="55" t="s">
        <v>59</v>
      </c>
      <c r="C62" s="55">
        <v>0.40414619258672102</v>
      </c>
      <c r="D62" s="168">
        <v>0.46093590804867407</v>
      </c>
      <c r="E62" s="168">
        <v>0.63053754357532166</v>
      </c>
      <c r="F62" s="55">
        <v>0.36632469717275085</v>
      </c>
      <c r="G62" s="530">
        <v>0.29591537936981577</v>
      </c>
      <c r="H62" s="525">
        <v>0.27757845546243737</v>
      </c>
      <c r="I62" s="525">
        <v>0.38423876385297145</v>
      </c>
      <c r="J62" s="525"/>
      <c r="K62" s="525">
        <v>0.29428790534656846</v>
      </c>
      <c r="L62" s="525">
        <v>0.24963020017395154</v>
      </c>
      <c r="M62" s="525">
        <v>0.21356495772412376</v>
      </c>
      <c r="N62" s="525">
        <v>0.43183155852406385</v>
      </c>
      <c r="O62" s="525">
        <v>0.36483617464097895</v>
      </c>
      <c r="P62" s="525">
        <v>0.29792607058757264</v>
      </c>
      <c r="Q62" s="525"/>
      <c r="R62" s="525">
        <v>0.4143500235948277</v>
      </c>
      <c r="S62" s="525">
        <v>0.47107773068141734</v>
      </c>
      <c r="T62" s="525">
        <v>0.32195631775934647</v>
      </c>
      <c r="U62" s="531">
        <v>0.22648550659515068</v>
      </c>
      <c r="W62" s="55">
        <v>0.51999203623693824</v>
      </c>
    </row>
    <row r="63" spans="1:30">
      <c r="C63" s="488" t="s">
        <v>343</v>
      </c>
      <c r="D63" s="491">
        <v>0.71</v>
      </c>
      <c r="E63" s="491">
        <v>0.38</v>
      </c>
      <c r="F63" s="492"/>
      <c r="G63" s="492">
        <v>0.32</v>
      </c>
      <c r="H63" s="491">
        <v>0.32</v>
      </c>
      <c r="I63" s="491">
        <v>0.28000000000000003</v>
      </c>
      <c r="J63" s="491">
        <v>0.32</v>
      </c>
      <c r="K63" s="493">
        <v>0.32</v>
      </c>
      <c r="L63" s="491">
        <v>0.3</v>
      </c>
      <c r="M63" s="491">
        <v>0.27</v>
      </c>
      <c r="N63" s="491">
        <v>0.48</v>
      </c>
      <c r="O63" s="491">
        <v>0.4</v>
      </c>
      <c r="P63" s="491">
        <v>0.32</v>
      </c>
      <c r="Q63" s="491">
        <v>0.32</v>
      </c>
      <c r="R63" s="491">
        <v>0.05</v>
      </c>
      <c r="S63" s="491">
        <v>0.13</v>
      </c>
      <c r="T63" s="491">
        <v>0.26</v>
      </c>
      <c r="U63" s="491">
        <v>0.32</v>
      </c>
      <c r="V63" s="492"/>
      <c r="W63" s="490"/>
    </row>
    <row r="64" spans="1:30" ht="15.75" thickBot="1"/>
    <row r="65" spans="1:29" s="108" customFormat="1" ht="60.75" customHeight="1" thickTop="1" thickBot="1">
      <c r="A65" s="649"/>
      <c r="B65" s="106">
        <v>0</v>
      </c>
      <c r="C65" s="107" t="s">
        <v>455</v>
      </c>
      <c r="D65" s="331" t="s">
        <v>252</v>
      </c>
      <c r="E65" s="331" t="s">
        <v>253</v>
      </c>
      <c r="F65" s="336" t="s">
        <v>513</v>
      </c>
      <c r="G65" s="334" t="s">
        <v>256</v>
      </c>
      <c r="H65" s="334" t="s">
        <v>432</v>
      </c>
      <c r="I65" s="334" t="s">
        <v>257</v>
      </c>
      <c r="J65" s="334" t="s">
        <v>300</v>
      </c>
      <c r="K65" s="334" t="s">
        <v>304</v>
      </c>
      <c r="L65" s="334" t="s">
        <v>258</v>
      </c>
      <c r="M65" s="334" t="s">
        <v>184</v>
      </c>
      <c r="N65" s="334" t="s">
        <v>434</v>
      </c>
      <c r="O65" s="334" t="s">
        <v>264</v>
      </c>
      <c r="P65" s="334" t="s">
        <v>265</v>
      </c>
      <c r="Q65" s="334" t="s">
        <v>266</v>
      </c>
      <c r="R65" s="334" t="s">
        <v>451</v>
      </c>
      <c r="S65" s="334" t="s">
        <v>143</v>
      </c>
      <c r="T65" s="334" t="s">
        <v>133</v>
      </c>
      <c r="U65" s="334" t="s">
        <v>267</v>
      </c>
      <c r="V65" s="336"/>
      <c r="W65" s="420" t="s">
        <v>254</v>
      </c>
      <c r="X65" s="213" t="s">
        <v>347</v>
      </c>
      <c r="Y65" s="213"/>
      <c r="Z65" s="107"/>
      <c r="AA65" s="107"/>
      <c r="AB65" s="107"/>
      <c r="AC65" s="107"/>
    </row>
    <row r="66" spans="1:29" s="84" customFormat="1">
      <c r="A66" s="650"/>
      <c r="B66" s="197" t="s">
        <v>63</v>
      </c>
      <c r="C66" s="198"/>
      <c r="D66" s="333" t="s">
        <v>255</v>
      </c>
      <c r="E66" s="333" t="s">
        <v>218</v>
      </c>
      <c r="F66" s="333" t="s">
        <v>287</v>
      </c>
      <c r="G66" s="333" t="s">
        <v>423</v>
      </c>
      <c r="H66" s="333" t="s">
        <v>433</v>
      </c>
      <c r="I66" s="333" t="s">
        <v>431</v>
      </c>
      <c r="J66" s="333" t="s">
        <v>459</v>
      </c>
      <c r="K66" s="333" t="s">
        <v>450</v>
      </c>
      <c r="L66" s="333" t="s">
        <v>424</v>
      </c>
      <c r="M66" s="333" t="s">
        <v>425</v>
      </c>
      <c r="N66" s="333" t="s">
        <v>435</v>
      </c>
      <c r="O66" s="333" t="s">
        <v>452</v>
      </c>
      <c r="P66" s="333" t="s">
        <v>430</v>
      </c>
      <c r="Q66" s="333">
        <v>0</v>
      </c>
      <c r="R66" s="333" t="s">
        <v>428</v>
      </c>
      <c r="S66" s="333" t="s">
        <v>438</v>
      </c>
      <c r="T66" s="333" t="s">
        <v>426</v>
      </c>
      <c r="U66" s="333" t="s">
        <v>437</v>
      </c>
      <c r="V66" s="333"/>
      <c r="W66" s="421" t="s">
        <v>254</v>
      </c>
      <c r="X66" s="198"/>
      <c r="Y66" s="198"/>
      <c r="Z66" s="199"/>
      <c r="AA66" s="159"/>
      <c r="AB66" s="159"/>
      <c r="AC66" s="159"/>
    </row>
    <row r="68" spans="1:29">
      <c r="G68" s="85">
        <v>18.55350000000908</v>
      </c>
      <c r="H68" s="85">
        <v>11.485500000002503</v>
      </c>
      <c r="I68" s="85">
        <v>12.369000000002416</v>
      </c>
      <c r="J68" s="85">
        <v>10.601999999998952</v>
      </c>
      <c r="K68" s="85">
        <v>17.669999999998254</v>
      </c>
      <c r="L68" s="85">
        <v>22.970999999990454</v>
      </c>
      <c r="M68" s="85">
        <v>16.786500000001979</v>
      </c>
      <c r="N68" s="85">
        <v>14.136000000002241</v>
      </c>
      <c r="O68" s="85">
        <v>19.436999999998079</v>
      </c>
      <c r="P68" s="85">
        <v>24.738000000004831</v>
      </c>
      <c r="Q68" s="85">
        <v>0</v>
      </c>
      <c r="R68" s="85">
        <v>7.9515000000028522</v>
      </c>
      <c r="S68" s="85">
        <v>14.136000000002241</v>
      </c>
      <c r="T68" s="85">
        <v>19.437000000005355</v>
      </c>
      <c r="U68" s="85">
        <v>22.087500000001455</v>
      </c>
    </row>
    <row r="71" spans="1:29">
      <c r="B71" s="102" t="s">
        <v>520</v>
      </c>
      <c r="C71" s="102">
        <v>444040</v>
      </c>
    </row>
    <row r="72" spans="1:29">
      <c r="B72" s="102" t="s">
        <v>521</v>
      </c>
      <c r="C72" s="102">
        <v>181448.20325000002</v>
      </c>
    </row>
    <row r="73" spans="1:29">
      <c r="B73" s="102" t="s">
        <v>522</v>
      </c>
      <c r="C73" s="102">
        <v>760149</v>
      </c>
    </row>
    <row r="74" spans="1:29">
      <c r="B74" s="102"/>
      <c r="C74" s="102"/>
    </row>
    <row r="75" spans="1:29">
      <c r="B75" s="102"/>
      <c r="C75" s="102">
        <v>1385637.20325</v>
      </c>
      <c r="D75" s="85" t="s">
        <v>524</v>
      </c>
    </row>
  </sheetData>
  <sortState ref="A31:AD40">
    <sortCondition ref="A31"/>
  </sortState>
  <mergeCells count="3">
    <mergeCell ref="G42:N42"/>
    <mergeCell ref="O42:U42"/>
    <mergeCell ref="B42:F42"/>
  </mergeCells>
  <conditionalFormatting sqref="W62:XFD62 A62:U62">
    <cfRule type="cellIs" dxfId="27" priority="13" operator="greaterThan">
      <formula>0.5</formula>
    </cfRule>
  </conditionalFormatting>
  <conditionalFormatting sqref="G4:U30 D4:E30 W4:W30">
    <cfRule type="cellIs" dxfId="26" priority="10" operator="equal">
      <formula>0</formula>
    </cfRule>
    <cfRule type="cellIs" dxfId="25" priority="11" operator="greaterThan">
      <formula>0.1</formula>
    </cfRule>
  </conditionalFormatting>
  <conditionalFormatting sqref="B40 D40:E40 G31:U40 W31:W40 B31:E39">
    <cfRule type="cellIs" dxfId="24" priority="8" operator="greaterThan">
      <formula>0</formula>
    </cfRule>
    <cfRule type="cellIs" dxfId="23" priority="9" operator="equal">
      <formula>0</formula>
    </cfRule>
  </conditionalFormatting>
  <conditionalFormatting sqref="B41 D41:E41 G41:U41 W41">
    <cfRule type="cellIs" dxfId="22" priority="6" operator="greaterThan">
      <formula>0</formula>
    </cfRule>
    <cfRule type="cellIs" dxfId="21" priority="7" operator="equal">
      <formula>0</formula>
    </cfRule>
  </conditionalFormatting>
  <conditionalFormatting sqref="C40:C41">
    <cfRule type="cellIs" dxfId="20" priority="4" operator="greaterThan">
      <formula>0</formula>
    </cfRule>
    <cfRule type="cellIs" dxfId="19" priority="5" operator="equal">
      <formula>0</formula>
    </cfRule>
  </conditionalFormatting>
  <conditionalFormatting sqref="V62">
    <cfRule type="cellIs" dxfId="18" priority="3" operator="greaterThan">
      <formula>0.5</formula>
    </cfRule>
  </conditionalFormatting>
  <conditionalFormatting sqref="C47">
    <cfRule type="cellIs" dxfId="17" priority="1" operator="greaterThan">
      <formula>108401</formula>
    </cfRule>
    <cfRule type="cellIs" dxfId="16" priority="2" operator="lessThan">
      <formula>108399</formula>
    </cfRule>
  </conditionalFormatting>
  <pageMargins left="0.39370078740157483" right="0.15748031496062992" top="0.74803149606299213" bottom="0.74803149606299213" header="0.31496062992125984" footer="0.31496062992125984"/>
  <pageSetup paperSize="8" scale="61" orientation="landscape" r:id="rId1"/>
  <headerFooter>
    <oddHeader>&amp;R&amp;A</oddHeader>
    <oddFooter>&amp;R&amp;D
&amp;T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theme="5" tint="-0.249977111117893"/>
  </sheetPr>
  <dimension ref="A1:G62"/>
  <sheetViews>
    <sheetView workbookViewId="0">
      <selection sqref="A1:G1"/>
    </sheetView>
    <sheetView workbookViewId="1">
      <selection sqref="A1:G1"/>
    </sheetView>
  </sheetViews>
  <sheetFormatPr baseColWidth="10" defaultRowHeight="15"/>
  <cols>
    <col min="1" max="1" width="50.85546875" bestFit="1" customWidth="1"/>
    <col min="2" max="2" width="17.42578125" style="31" customWidth="1"/>
    <col min="4" max="4" width="5.42578125" customWidth="1"/>
    <col min="5" max="5" width="33" bestFit="1" customWidth="1"/>
    <col min="6" max="6" width="13" style="31" bestFit="1" customWidth="1"/>
  </cols>
  <sheetData>
    <row r="1" spans="1:7" ht="34.5" customHeight="1">
      <c r="A1" s="642" t="s">
        <v>177</v>
      </c>
      <c r="B1" s="643"/>
      <c r="C1" s="643"/>
      <c r="D1" s="643"/>
      <c r="E1" s="643"/>
      <c r="F1" s="643"/>
      <c r="G1" s="644"/>
    </row>
    <row r="2" spans="1:7" ht="15.75">
      <c r="A2" s="109"/>
      <c r="B2" s="203"/>
      <c r="C2" s="111"/>
      <c r="D2" s="110"/>
      <c r="E2" s="110"/>
      <c r="F2" s="203"/>
      <c r="G2" s="111"/>
    </row>
    <row r="3" spans="1:7">
      <c r="A3" s="112" t="s">
        <v>87</v>
      </c>
      <c r="B3" s="204" t="s">
        <v>88</v>
      </c>
      <c r="C3" s="114" t="s">
        <v>89</v>
      </c>
      <c r="D3" s="115"/>
      <c r="E3" s="112" t="s">
        <v>90</v>
      </c>
      <c r="F3" s="219" t="s">
        <v>88</v>
      </c>
      <c r="G3" s="114" t="s">
        <v>89</v>
      </c>
    </row>
    <row r="4" spans="1:7">
      <c r="A4" s="116" t="s">
        <v>91</v>
      </c>
      <c r="B4" s="205"/>
      <c r="C4" s="118"/>
      <c r="D4" s="115"/>
      <c r="E4" s="116" t="s">
        <v>92</v>
      </c>
      <c r="F4" s="119"/>
      <c r="G4" s="120"/>
    </row>
    <row r="5" spans="1:7">
      <c r="A5" s="121" t="s">
        <v>93</v>
      </c>
      <c r="B5" s="206" t="e">
        <f>'Gouvernance A'!C5+'Ecosysteme B'!C5+'Actions 1er semestre 2018'!B5+'Action Second semestre '!B5</f>
        <v>#REF!</v>
      </c>
      <c r="C5" s="122"/>
      <c r="D5" s="115"/>
      <c r="E5" s="123"/>
      <c r="F5" s="124"/>
      <c r="G5" s="122"/>
    </row>
    <row r="6" spans="1:7">
      <c r="A6" s="125" t="s">
        <v>94</v>
      </c>
      <c r="B6" s="206" t="e">
        <f>'Gouvernance A'!C6+'Ecosysteme B'!C6+'Actions 1er semestre 2018'!B6+'Action Second semestre '!B6+'Cellule Gds EV'!C6+'Budget D'!C6</f>
        <v>#REF!</v>
      </c>
      <c r="C6" s="128" t="e">
        <f>B6/B58</f>
        <v>#REF!</v>
      </c>
      <c r="D6" s="115"/>
      <c r="E6" s="123" t="s">
        <v>95</v>
      </c>
      <c r="F6" s="124"/>
      <c r="G6" s="126"/>
    </row>
    <row r="7" spans="1:7">
      <c r="A7" s="125" t="s">
        <v>96</v>
      </c>
      <c r="B7" s="206" t="e">
        <f>'Gouvernance A'!C7+'Ecosysteme B'!C7+'Actions 1er semestre 2018'!B7+'Action Second semestre '!B7+'Budget D'!C7+'Cellule Gds EV'!C7</f>
        <v>#REF!</v>
      </c>
      <c r="C7" s="128" t="e">
        <f>B7/B58</f>
        <v>#REF!</v>
      </c>
      <c r="D7" s="115"/>
      <c r="E7" s="129"/>
      <c r="F7" s="124"/>
      <c r="G7" s="122"/>
    </row>
    <row r="8" spans="1:7">
      <c r="A8" s="121" t="s">
        <v>97</v>
      </c>
      <c r="B8" s="206" t="e">
        <f>'Gouvernance A'!C8+'Ecosysteme B'!C8+'Actions 1er semestre 2018'!B8+'Action Second semestre '!B8</f>
        <v>#REF!</v>
      </c>
      <c r="C8" s="122"/>
      <c r="D8" s="115"/>
      <c r="E8" s="129"/>
      <c r="F8" s="124"/>
      <c r="G8" s="122"/>
    </row>
    <row r="9" spans="1:7">
      <c r="A9" s="121"/>
      <c r="B9" s="127"/>
      <c r="C9" s="122"/>
      <c r="D9" s="115"/>
      <c r="E9" s="129"/>
      <c r="F9" s="124"/>
      <c r="G9" s="122"/>
    </row>
    <row r="10" spans="1:7">
      <c r="A10" s="129"/>
      <c r="B10" s="127"/>
      <c r="C10" s="122"/>
      <c r="D10" s="115"/>
      <c r="E10" s="123" t="s">
        <v>98</v>
      </c>
      <c r="F10" s="124"/>
      <c r="G10" s="122"/>
    </row>
    <row r="11" spans="1:7">
      <c r="A11" s="123" t="s">
        <v>99</v>
      </c>
      <c r="B11" s="119"/>
      <c r="C11" s="120"/>
      <c r="D11" s="115"/>
      <c r="E11" s="121"/>
      <c r="F11" s="124"/>
      <c r="G11" s="122"/>
    </row>
    <row r="12" spans="1:7">
      <c r="A12" s="121" t="s">
        <v>100</v>
      </c>
      <c r="B12" s="206" t="e">
        <f>'Gouvernance A'!C12+'Ecosysteme B'!C12+'Actions 1er semestre 2018'!B12+'Action Second semestre '!B12+'Cellule Gds EV'!C12+1</f>
        <v>#REF!</v>
      </c>
      <c r="C12" s="128" t="e">
        <f>B12/B58</f>
        <v>#REF!</v>
      </c>
      <c r="D12" s="115"/>
      <c r="E12" s="130"/>
      <c r="F12" s="124"/>
      <c r="G12" s="122"/>
    </row>
    <row r="13" spans="1:7">
      <c r="A13" s="121" t="s">
        <v>128</v>
      </c>
      <c r="B13" s="206" t="e">
        <f>'Gouvernance A'!C13+'Ecosysteme B'!C13+'Actions 1er semestre 2018'!B13+'Action Second semestre '!B13+'Cellule Gds EV'!C14</f>
        <v>#REF!</v>
      </c>
      <c r="C13" s="128" t="e">
        <f>B13/B58</f>
        <v>#REF!</v>
      </c>
      <c r="D13" s="115"/>
      <c r="E13" s="131"/>
      <c r="F13" s="124"/>
      <c r="G13" s="122"/>
    </row>
    <row r="14" spans="1:7">
      <c r="A14" s="121" t="s">
        <v>289</v>
      </c>
      <c r="B14" s="206"/>
      <c r="C14" s="128"/>
      <c r="D14" s="115"/>
      <c r="E14" s="131"/>
      <c r="F14" s="124"/>
      <c r="G14" s="122"/>
    </row>
    <row r="15" spans="1:7">
      <c r="A15" s="121" t="s">
        <v>29</v>
      </c>
      <c r="B15" s="206" t="e">
        <f>'Gouvernance A'!C15+'Ecosysteme B'!C15+'Actions 1er semestre 2018'!B15+'Action Second semestre '!B15+'Cellule Gds EV'!C16</f>
        <v>#REF!</v>
      </c>
      <c r="C15" s="128" t="e">
        <f>B15/B58</f>
        <v>#REF!</v>
      </c>
      <c r="D15" s="115"/>
      <c r="E15" s="131"/>
      <c r="F15" s="124"/>
      <c r="G15" s="122"/>
    </row>
    <row r="16" spans="1:7">
      <c r="A16" s="121" t="s">
        <v>30</v>
      </c>
      <c r="B16" s="206" t="e">
        <f>'Gouvernance A'!C16+'Ecosysteme B'!C16+'Actions 1er semestre 2018'!B16+'Action Second semestre '!B16+'Cellule Gds EV'!C17</f>
        <v>#REF!</v>
      </c>
      <c r="C16" s="128" t="e">
        <f>B16/B58</f>
        <v>#REF!</v>
      </c>
      <c r="D16" s="115"/>
      <c r="E16" s="123" t="s">
        <v>101</v>
      </c>
      <c r="F16" s="124" t="e">
        <f>'Gouvernance A'!G16+'Ecosysteme B'!G16+'Actions 1er semestre 2018'!F16+'Action Second semestre '!F16+'Cellule Gds EV'!G17</f>
        <v>#REF!</v>
      </c>
      <c r="G16" s="128" t="e">
        <f>F16/B58</f>
        <v>#REF!</v>
      </c>
    </row>
    <row r="17" spans="1:7">
      <c r="A17" s="121" t="s">
        <v>31</v>
      </c>
      <c r="B17" s="206">
        <f>'Gouvernance A'!C17+'Ecosysteme B'!C17+'Actions 1er semestre 2018'!B17+'Action Second semestre '!B17+'Cellule Gds EV'!C18</f>
        <v>0</v>
      </c>
      <c r="C17" s="122"/>
      <c r="D17" s="115"/>
      <c r="E17" s="129"/>
      <c r="F17" s="124"/>
      <c r="G17" s="122"/>
    </row>
    <row r="18" spans="1:7">
      <c r="A18" s="121" t="s">
        <v>102</v>
      </c>
      <c r="B18" s="206" t="e">
        <f>'Gouvernance A'!C18+'Ecosysteme B'!C18+'Actions 1er semestre 2018'!B18+'Action Second semestre '!B18+'Cellule Gds EV'!C20</f>
        <v>#REF!</v>
      </c>
      <c r="C18" s="122"/>
      <c r="D18" s="115"/>
      <c r="E18" s="129"/>
      <c r="F18" s="124"/>
      <c r="G18" s="122"/>
    </row>
    <row r="19" spans="1:7">
      <c r="A19" s="121"/>
      <c r="B19" s="127"/>
      <c r="C19" s="122"/>
      <c r="D19" s="115"/>
      <c r="E19" s="131"/>
      <c r="F19" s="124"/>
      <c r="G19" s="122"/>
    </row>
    <row r="20" spans="1:7">
      <c r="A20" s="121"/>
      <c r="B20" s="127"/>
      <c r="C20" s="122"/>
      <c r="D20" s="115"/>
      <c r="E20" s="132" t="s">
        <v>132</v>
      </c>
      <c r="F20" s="124">
        <f>'Gouvernance A'!G20</f>
        <v>3500</v>
      </c>
      <c r="G20" s="128" t="e">
        <f>F20/B58</f>
        <v>#REF!</v>
      </c>
    </row>
    <row r="21" spans="1:7">
      <c r="A21" s="123" t="s">
        <v>104</v>
      </c>
      <c r="B21" s="119"/>
      <c r="C21" s="120"/>
      <c r="D21" s="115"/>
      <c r="E21" s="129"/>
      <c r="F21" s="124"/>
      <c r="G21" s="122"/>
    </row>
    <row r="22" spans="1:7">
      <c r="A22" s="123"/>
      <c r="B22" s="119"/>
      <c r="C22" s="120"/>
      <c r="D22" s="115"/>
      <c r="E22" s="129"/>
      <c r="F22" s="124"/>
      <c r="G22" s="122"/>
    </row>
    <row r="23" spans="1:7">
      <c r="A23" s="121" t="s">
        <v>105</v>
      </c>
      <c r="B23" s="206" t="e">
        <f>'Gouvernance A'!C22+'Ecosysteme B'!C22+'Actions 1er semestre 2018'!B22+'Action Second semestre '!B22+'Cellule Gds EV'!C24+'Budget D'!C22</f>
        <v>#VALUE!</v>
      </c>
      <c r="C23" s="128" t="e">
        <f>B23/B58</f>
        <v>#VALUE!</v>
      </c>
      <c r="D23" s="115"/>
      <c r="E23" s="129"/>
      <c r="F23" s="124"/>
      <c r="G23" s="122"/>
    </row>
    <row r="24" spans="1:7">
      <c r="A24" s="121" t="s">
        <v>106</v>
      </c>
      <c r="B24" s="127"/>
      <c r="C24" s="122"/>
      <c r="D24" s="115"/>
      <c r="E24" s="123"/>
      <c r="F24" s="124"/>
      <c r="G24" s="122"/>
    </row>
    <row r="25" spans="1:7">
      <c r="A25" s="121" t="s">
        <v>107</v>
      </c>
      <c r="B25" s="206" t="e">
        <f>'Gouvernance A'!C23+'Ecosysteme B'!C23+'Actions 1er semestre 2018'!B23+'Action Second semestre '!B23+'Cellule Gds EV'!C26</f>
        <v>#REF!</v>
      </c>
      <c r="C25" s="122"/>
      <c r="D25" s="115"/>
      <c r="E25" s="123" t="s">
        <v>108</v>
      </c>
      <c r="F25" s="124"/>
      <c r="G25" s="122"/>
    </row>
    <row r="26" spans="1:7">
      <c r="A26" s="121" t="s">
        <v>294</v>
      </c>
      <c r="B26" s="206"/>
      <c r="C26" s="122"/>
      <c r="D26" s="115"/>
      <c r="E26" s="123"/>
      <c r="F26" s="124"/>
      <c r="G26" s="122"/>
    </row>
    <row r="27" spans="1:7">
      <c r="A27" s="121" t="s">
        <v>32</v>
      </c>
      <c r="B27" s="206" t="e">
        <f>'Gouvernance A'!C25+'Ecosysteme B'!C25+'Actions 1er semestre 2018'!B25+'Action Second semestre '!B25+'Cellule Gds EV'!C29</f>
        <v>#REF!</v>
      </c>
      <c r="C27" s="128" t="e">
        <f>B27/B58</f>
        <v>#REF!</v>
      </c>
      <c r="D27" s="115"/>
      <c r="E27" s="129"/>
      <c r="F27" s="124"/>
      <c r="G27" s="122"/>
    </row>
    <row r="28" spans="1:7">
      <c r="A28" s="121" t="s">
        <v>33</v>
      </c>
      <c r="B28" s="206" t="e">
        <f>'Gouvernance A'!C26+'Ecosysteme B'!C26+'Actions 1er semestre 2018'!B26+'Action Second semestre '!B26+'Cellule Gds EV'!C31+'Budget D'!C27</f>
        <v>#REF!</v>
      </c>
      <c r="C28" s="128" t="e">
        <f>B28/B58</f>
        <v>#REF!</v>
      </c>
      <c r="D28" s="115"/>
      <c r="E28" s="129"/>
      <c r="F28" s="124"/>
      <c r="G28" s="122"/>
    </row>
    <row r="29" spans="1:7">
      <c r="A29" s="121" t="s">
        <v>291</v>
      </c>
      <c r="B29" s="206"/>
      <c r="C29" s="128"/>
      <c r="D29" s="115"/>
      <c r="E29" s="129"/>
      <c r="F29" s="124"/>
      <c r="G29" s="122"/>
    </row>
    <row r="30" spans="1:7">
      <c r="A30" s="121" t="s">
        <v>34</v>
      </c>
      <c r="B30" s="206" t="e">
        <f>'Gouvernance A'!C28+'Ecosysteme B'!C28+'Actions 1er semestre 2018'!B28+'Action Second semestre '!B28+'Cellule Gds EV'!C34</f>
        <v>#REF!</v>
      </c>
      <c r="C30" s="128" t="e">
        <f>B30/B58</f>
        <v>#REF!</v>
      </c>
      <c r="D30" s="115"/>
      <c r="E30" s="129"/>
      <c r="F30" s="124"/>
      <c r="G30" s="122"/>
    </row>
    <row r="31" spans="1:7">
      <c r="A31" s="121"/>
      <c r="B31" s="127"/>
      <c r="C31" s="122"/>
      <c r="D31" s="115"/>
      <c r="E31" s="123" t="s">
        <v>182</v>
      </c>
      <c r="F31" s="124">
        <f>'Cellule Gds EV'!G35</f>
        <v>0</v>
      </c>
      <c r="G31" s="128" t="e">
        <f>F31/B58</f>
        <v>#REF!</v>
      </c>
    </row>
    <row r="32" spans="1:7">
      <c r="A32" s="123" t="s">
        <v>129</v>
      </c>
      <c r="B32" s="127"/>
      <c r="C32" s="122"/>
      <c r="D32" s="115"/>
      <c r="E32" s="123"/>
      <c r="F32" s="124"/>
      <c r="G32" s="122"/>
    </row>
    <row r="33" spans="1:7">
      <c r="A33" s="121" t="s">
        <v>130</v>
      </c>
      <c r="B33" s="206" t="e">
        <f>'Gouvernance A'!C31+'Ecosysteme B'!C31+'Actions 1er semestre 2018'!B31+'Action Second semestre '!B31+'Cellule Gds EV'!C37</f>
        <v>#REF!</v>
      </c>
      <c r="C33" s="128" t="e">
        <f>B33/B58</f>
        <v>#REF!</v>
      </c>
      <c r="D33" s="115"/>
      <c r="E33" s="123"/>
      <c r="F33" s="124"/>
      <c r="G33" s="122"/>
    </row>
    <row r="34" spans="1:7">
      <c r="A34" s="121" t="s">
        <v>131</v>
      </c>
      <c r="B34" s="206" t="e">
        <f>'Gouvernance A'!C32+'Ecosysteme B'!C32+'Actions 1er semestre 2018'!B32+'Action Second semestre '!B32+'Cellule Gds EV'!C38</f>
        <v>#REF!</v>
      </c>
      <c r="C34" s="128" t="e">
        <f>B34/B58</f>
        <v>#REF!</v>
      </c>
      <c r="D34" s="115"/>
      <c r="E34" s="123"/>
      <c r="F34" s="124"/>
      <c r="G34" s="122"/>
    </row>
    <row r="35" spans="1:7">
      <c r="A35" s="123" t="s">
        <v>110</v>
      </c>
      <c r="B35" s="133"/>
      <c r="C35" s="134"/>
      <c r="D35" s="115"/>
      <c r="E35" s="129"/>
      <c r="F35" s="124"/>
      <c r="G35" s="122"/>
    </row>
    <row r="36" spans="1:7">
      <c r="A36" s="121" t="s">
        <v>35</v>
      </c>
      <c r="B36" s="206" t="e">
        <f>'Gouvernance A'!C35+'Ecosysteme B'!C35+'Actions 1er semestre 2018'!B35+'Action Second semestre '!B35+'Cellule Gds EV'!C41</f>
        <v>#REF!</v>
      </c>
      <c r="C36" s="169" t="e">
        <f>B36/B58</f>
        <v>#REF!</v>
      </c>
      <c r="D36" s="115"/>
      <c r="E36" s="129"/>
      <c r="F36" s="124"/>
      <c r="G36" s="122"/>
    </row>
    <row r="37" spans="1:7">
      <c r="A37" s="121" t="s">
        <v>36</v>
      </c>
      <c r="B37" s="206" t="e">
        <f>'Gouvernance A'!C36+'Ecosysteme B'!C36+'Actions 1er semestre 2018'!B36+'Action Second semestre '!B36+'Cellule Gds EV'!C43</f>
        <v>#REF!</v>
      </c>
      <c r="C37" s="128" t="e">
        <f>B37/B58</f>
        <v>#REF!</v>
      </c>
      <c r="D37" s="115"/>
      <c r="E37" s="129"/>
      <c r="F37" s="124"/>
      <c r="G37" s="122"/>
    </row>
    <row r="38" spans="1:7">
      <c r="A38" s="121"/>
      <c r="B38" s="127"/>
      <c r="C38" s="122"/>
      <c r="D38" s="115"/>
      <c r="E38" s="123" t="s">
        <v>111</v>
      </c>
      <c r="F38" s="124"/>
      <c r="G38" s="122"/>
    </row>
    <row r="39" spans="1:7">
      <c r="A39" s="121"/>
      <c r="B39" s="127"/>
      <c r="C39" s="122"/>
      <c r="D39" s="115"/>
      <c r="E39" s="135"/>
      <c r="F39" s="124"/>
      <c r="G39" s="122"/>
    </row>
    <row r="40" spans="1:7">
      <c r="A40" s="121" t="s">
        <v>37</v>
      </c>
      <c r="B40" s="127"/>
      <c r="C40" s="122"/>
      <c r="D40" s="115"/>
      <c r="E40" s="135"/>
      <c r="F40" s="124"/>
      <c r="G40" s="122"/>
    </row>
    <row r="41" spans="1:7">
      <c r="A41" s="123"/>
      <c r="B41" s="119"/>
      <c r="C41" s="120"/>
      <c r="D41" s="115"/>
      <c r="E41" s="135"/>
      <c r="F41" s="124"/>
      <c r="G41" s="122"/>
    </row>
    <row r="42" spans="1:7">
      <c r="A42" s="121"/>
      <c r="B42" s="127"/>
      <c r="C42" s="122"/>
      <c r="D42" s="115"/>
      <c r="E42" s="136" t="s">
        <v>112</v>
      </c>
      <c r="F42" s="137" t="e">
        <f>F31+F20+F16</f>
        <v>#REF!</v>
      </c>
      <c r="G42" s="170" t="e">
        <f>G16+G20</f>
        <v>#REF!</v>
      </c>
    </row>
    <row r="43" spans="1:7">
      <c r="A43" s="123" t="s">
        <v>113</v>
      </c>
      <c r="B43" s="127"/>
      <c r="C43" s="122"/>
      <c r="D43" s="115"/>
      <c r="E43" s="121"/>
      <c r="F43" s="124"/>
      <c r="G43" s="122"/>
    </row>
    <row r="44" spans="1:7">
      <c r="A44" s="121" t="s">
        <v>38</v>
      </c>
      <c r="B44" s="127">
        <f>'Budget D'!C42</f>
        <v>0</v>
      </c>
      <c r="C44" s="120"/>
      <c r="D44" s="115"/>
      <c r="E44" s="123" t="s">
        <v>114</v>
      </c>
      <c r="F44" s="119" t="e">
        <f>F45+F47+F48</f>
        <v>#REF!</v>
      </c>
      <c r="G44" s="169" t="e">
        <f>F44/B58</f>
        <v>#REF!</v>
      </c>
    </row>
    <row r="45" spans="1:7">
      <c r="A45" s="121" t="s">
        <v>293</v>
      </c>
      <c r="C45" s="122"/>
      <c r="D45" s="115"/>
      <c r="E45" s="121" t="s">
        <v>52</v>
      </c>
      <c r="F45" s="124" t="e">
        <f>'Ecosysteme B'!G44+'Actions 1er semestre 2018'!F44+'Action Second semestre '!F44+'Cellule Gds EV'!G51</f>
        <v>#REF!</v>
      </c>
      <c r="G45" s="122"/>
    </row>
    <row r="46" spans="1:7">
      <c r="A46" s="121"/>
      <c r="B46" s="127"/>
      <c r="C46" s="122"/>
      <c r="D46" s="115"/>
      <c r="E46" s="121" t="s">
        <v>115</v>
      </c>
      <c r="F46" s="139"/>
      <c r="G46" s="122"/>
    </row>
    <row r="47" spans="1:7">
      <c r="A47" s="123" t="s">
        <v>116</v>
      </c>
      <c r="B47" s="127"/>
      <c r="C47" s="122"/>
      <c r="D47" s="115"/>
      <c r="E47" s="121" t="s">
        <v>51</v>
      </c>
      <c r="F47" s="124" t="e">
        <f>'Gouvernance A'!G49+'Ecosysteme B'!G49+'Actions 1er semestre 2018'!F46+'Action Second semestre '!F46+'Budget D'!G45+'Cellule Gds EV'!G56</f>
        <v>#REF!</v>
      </c>
      <c r="G47" s="122"/>
    </row>
    <row r="48" spans="1:7">
      <c r="A48" s="123" t="s">
        <v>117</v>
      </c>
      <c r="B48" s="127"/>
      <c r="C48" s="122"/>
      <c r="D48" s="115"/>
      <c r="E48" s="121" t="s">
        <v>118</v>
      </c>
      <c r="F48" s="124" t="e">
        <f>'Cellule Gds EV'!G57</f>
        <v>#REF!</v>
      </c>
      <c r="G48" s="122"/>
    </row>
    <row r="49" spans="1:7">
      <c r="A49" s="140" t="s">
        <v>39</v>
      </c>
      <c r="B49" s="206">
        <f>'Gouvernance A'!C51+'Ecosysteme B'!C51+'Actions 1er semestre 2018'!B48+'Action Second semestre '!B48</f>
        <v>0</v>
      </c>
      <c r="C49" s="120"/>
      <c r="D49" s="115"/>
      <c r="E49" s="121"/>
      <c r="F49" s="124"/>
      <c r="G49" s="122"/>
    </row>
    <row r="50" spans="1:7">
      <c r="A50" s="121" t="s">
        <v>119</v>
      </c>
      <c r="B50" s="127"/>
      <c r="C50" s="122"/>
      <c r="D50" s="115"/>
      <c r="E50" s="121"/>
      <c r="F50" s="124"/>
      <c r="G50" s="122"/>
    </row>
    <row r="51" spans="1:7">
      <c r="A51" s="140"/>
      <c r="B51" s="127"/>
      <c r="C51" s="122"/>
      <c r="D51" s="115"/>
      <c r="E51" s="123"/>
      <c r="F51" s="124"/>
      <c r="G51" s="122"/>
    </row>
    <row r="52" spans="1:7">
      <c r="A52" s="140"/>
      <c r="B52" s="127"/>
      <c r="C52" s="122"/>
      <c r="D52" s="115"/>
      <c r="E52" s="123" t="s">
        <v>120</v>
      </c>
      <c r="F52" s="119"/>
      <c r="G52" s="120"/>
    </row>
    <row r="53" spans="1:7">
      <c r="A53" s="123" t="s">
        <v>121</v>
      </c>
      <c r="B53" s="119"/>
      <c r="C53" s="120"/>
      <c r="D53" s="115"/>
      <c r="E53" s="121" t="s">
        <v>122</v>
      </c>
      <c r="F53" s="124" t="e">
        <f>B54</f>
        <v>#REF!</v>
      </c>
      <c r="G53" s="128" t="e">
        <f>F53/B58</f>
        <v>#REF!</v>
      </c>
    </row>
    <row r="54" spans="1:7" ht="15.75">
      <c r="A54" s="140" t="s">
        <v>5</v>
      </c>
      <c r="B54" s="206" t="e">
        <f>'Gouvernance A'!C56+'Ecosysteme B'!C56+'Actions 1er semestre 2018'!B53+'Action Second semestre '!B53+'Cellule Gds EV'!C63</f>
        <v>#REF!</v>
      </c>
      <c r="C54" s="128" t="e">
        <f>B54/B58</f>
        <v>#REF!</v>
      </c>
      <c r="D54" s="144"/>
      <c r="E54" s="121" t="s">
        <v>123</v>
      </c>
      <c r="F54" s="124"/>
      <c r="G54" s="122"/>
    </row>
    <row r="55" spans="1:7" ht="15.75">
      <c r="A55" s="121" t="s">
        <v>124</v>
      </c>
      <c r="B55" s="127"/>
      <c r="C55" s="122"/>
      <c r="D55" s="144"/>
      <c r="E55" s="121" t="s">
        <v>125</v>
      </c>
      <c r="F55" s="124"/>
      <c r="G55" s="122"/>
    </row>
    <row r="56" spans="1:7">
      <c r="A56" s="121" t="s">
        <v>125</v>
      </c>
      <c r="B56" s="127"/>
      <c r="C56" s="122"/>
      <c r="E56" s="121"/>
      <c r="F56" s="124"/>
      <c r="G56" s="122"/>
    </row>
    <row r="57" spans="1:7">
      <c r="A57" s="145"/>
      <c r="B57" s="207"/>
      <c r="C57" s="147"/>
      <c r="E57" s="121"/>
      <c r="F57" s="124"/>
      <c r="G57" s="122"/>
    </row>
    <row r="58" spans="1:7">
      <c r="A58" s="148" t="s">
        <v>126</v>
      </c>
      <c r="B58" s="149" t="e">
        <f>SUM(B5:B57)</f>
        <v>#REF!</v>
      </c>
      <c r="C58" s="150"/>
      <c r="E58" s="148" t="s">
        <v>127</v>
      </c>
      <c r="F58" s="151" t="e">
        <f>F53+F48+F47+F45+F42</f>
        <v>#REF!</v>
      </c>
      <c r="G58" s="150"/>
    </row>
    <row r="59" spans="1:7">
      <c r="A59" s="115"/>
      <c r="B59" s="208"/>
      <c r="C59" s="153"/>
      <c r="E59" s="115"/>
      <c r="F59" s="208" t="e">
        <f>F58-B58</f>
        <v>#REF!</v>
      </c>
      <c r="G59" s="154"/>
    </row>
    <row r="60" spans="1:7" ht="15.75">
      <c r="A60" s="115"/>
      <c r="B60" s="209"/>
      <c r="C60" s="156"/>
      <c r="E60" s="144"/>
      <c r="F60" s="209"/>
      <c r="G60" s="154"/>
    </row>
    <row r="61" spans="1:7" ht="15.75">
      <c r="A61" s="144"/>
      <c r="B61" s="209"/>
      <c r="C61" s="156"/>
      <c r="E61" s="144"/>
      <c r="F61" s="209"/>
      <c r="G61" s="153"/>
    </row>
    <row r="62" spans="1:7" ht="15.75">
      <c r="C62" s="35"/>
      <c r="G62" s="156"/>
    </row>
  </sheetData>
  <mergeCells count="1">
    <mergeCell ref="A1:G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432BA-FA84-4C57-84DA-16A438C60129}">
  <sheetPr>
    <pageSetUpPr fitToPage="1"/>
  </sheetPr>
  <dimension ref="A1:H65"/>
  <sheetViews>
    <sheetView workbookViewId="0"/>
    <sheetView workbookViewId="1"/>
  </sheetViews>
  <sheetFormatPr baseColWidth="10" defaultRowHeight="15"/>
  <cols>
    <col min="1" max="1" width="7.5703125" style="212" bestFit="1" customWidth="1"/>
    <col min="2" max="2" width="50.85546875" bestFit="1" customWidth="1"/>
    <col min="3" max="3" width="17.42578125" style="31" customWidth="1"/>
    <col min="5" max="5" width="5.42578125" customWidth="1"/>
    <col min="6" max="6" width="32.140625" bestFit="1" customWidth="1"/>
  </cols>
  <sheetData>
    <row r="1" spans="1:8" ht="31.5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budget 2019</v>
      </c>
      <c r="G1" s="371"/>
      <c r="H1" s="372"/>
    </row>
    <row r="2" spans="1:8" ht="15.75">
      <c r="B2" s="109"/>
      <c r="C2" s="203"/>
      <c r="D2" s="111"/>
      <c r="E2" s="110"/>
      <c r="F2" s="110"/>
      <c r="G2" s="110"/>
      <c r="H2" s="111"/>
    </row>
    <row r="3" spans="1:8">
      <c r="B3" s="112" t="s">
        <v>87</v>
      </c>
      <c r="C3" s="204"/>
      <c r="D3" s="114"/>
      <c r="E3" s="115"/>
      <c r="F3" s="112" t="s">
        <v>90</v>
      </c>
      <c r="G3" s="112" t="s">
        <v>88</v>
      </c>
      <c r="H3" s="114"/>
    </row>
    <row r="4" spans="1:8">
      <c r="B4" s="374" t="s">
        <v>91</v>
      </c>
      <c r="C4" s="375">
        <f>SUM(C5:C8)</f>
        <v>4311.8999999999996</v>
      </c>
      <c r="D4" s="376"/>
      <c r="E4" s="115"/>
      <c r="F4" s="374" t="s">
        <v>351</v>
      </c>
      <c r="G4" s="382">
        <f>SUM(G6:G38)</f>
        <v>561500</v>
      </c>
      <c r="H4" s="494" t="e">
        <f>G4/$G$59</f>
        <v>#REF!</v>
      </c>
    </row>
    <row r="5" spans="1:8">
      <c r="A5" s="212" t="s">
        <v>359</v>
      </c>
      <c r="B5" s="121" t="s">
        <v>93</v>
      </c>
      <c r="C5" s="396">
        <f>'BUDGET GLOBAL 2019'!C5</f>
        <v>0</v>
      </c>
      <c r="D5" s="398"/>
      <c r="E5" s="115"/>
      <c r="F5" s="123"/>
      <c r="G5" s="124"/>
      <c r="H5" s="122"/>
    </row>
    <row r="6" spans="1:8">
      <c r="A6" s="212" t="s">
        <v>360</v>
      </c>
      <c r="B6" s="125" t="s">
        <v>94</v>
      </c>
      <c r="C6" s="396">
        <f>'BUDGET GLOBAL 2019'!C6</f>
        <v>0</v>
      </c>
      <c r="D6" s="398"/>
      <c r="E6" s="115"/>
      <c r="F6" s="123" t="s">
        <v>95</v>
      </c>
      <c r="G6" s="124"/>
      <c r="H6" s="126"/>
    </row>
    <row r="7" spans="1:8">
      <c r="A7" s="212" t="s">
        <v>274</v>
      </c>
      <c r="B7" s="125" t="s">
        <v>96</v>
      </c>
      <c r="C7" s="396">
        <f>'BUDGET GLOBAL 2019'!C7</f>
        <v>4311.8999999999996</v>
      </c>
      <c r="D7" s="398"/>
      <c r="E7" s="115"/>
      <c r="F7" s="129"/>
      <c r="G7" s="124"/>
      <c r="H7" s="122"/>
    </row>
    <row r="8" spans="1:8">
      <c r="A8" s="212" t="s">
        <v>361</v>
      </c>
      <c r="B8" s="121" t="s">
        <v>97</v>
      </c>
      <c r="C8" s="396">
        <f>'BUDGET GLOBAL 2019'!C8</f>
        <v>0</v>
      </c>
      <c r="D8" s="398"/>
      <c r="E8" s="115"/>
      <c r="F8" s="129"/>
      <c r="G8" s="124"/>
      <c r="H8" s="122"/>
    </row>
    <row r="9" spans="1:8">
      <c r="A9" s="212" t="s">
        <v>20</v>
      </c>
      <c r="B9" s="121"/>
      <c r="C9" s="206"/>
      <c r="D9" s="122"/>
      <c r="E9" s="115"/>
      <c r="F9" s="129"/>
      <c r="G9" s="124"/>
      <c r="H9" s="122"/>
    </row>
    <row r="10" spans="1:8">
      <c r="A10" s="212" t="s">
        <v>20</v>
      </c>
      <c r="B10" s="129"/>
      <c r="C10" s="206"/>
      <c r="D10" s="122"/>
      <c r="E10" s="115"/>
      <c r="F10" s="123" t="s">
        <v>98</v>
      </c>
      <c r="G10" s="124"/>
      <c r="H10" s="122"/>
    </row>
    <row r="11" spans="1:8">
      <c r="A11" s="415"/>
      <c r="B11" s="380" t="s">
        <v>99</v>
      </c>
      <c r="C11" s="381">
        <f>SUM(C12:C18)</f>
        <v>708300.44394999987</v>
      </c>
      <c r="D11" s="384"/>
      <c r="E11" s="115"/>
      <c r="F11" s="121"/>
      <c r="G11" s="124"/>
      <c r="H11" s="122"/>
    </row>
    <row r="12" spans="1:8">
      <c r="A12" s="212" t="s">
        <v>362</v>
      </c>
      <c r="B12" s="121" t="s">
        <v>100</v>
      </c>
      <c r="C12" s="396">
        <f>'BUDGET GLOBAL 2019'!C12+'BUDGET GLOBAL 2019'!C13</f>
        <v>652705</v>
      </c>
      <c r="D12" s="398"/>
      <c r="E12" s="115"/>
      <c r="F12" s="130"/>
      <c r="G12" s="124"/>
      <c r="H12" s="122"/>
    </row>
    <row r="13" spans="1:8">
      <c r="A13" s="212" t="s">
        <v>275</v>
      </c>
      <c r="B13" s="121" t="s">
        <v>128</v>
      </c>
      <c r="C13" s="396">
        <f>'BUDGET GLOBAL 2019'!C14</f>
        <v>29615.321549999997</v>
      </c>
      <c r="D13" s="398"/>
      <c r="E13" s="115"/>
      <c r="F13" s="131"/>
      <c r="G13" s="124"/>
      <c r="H13" s="122"/>
    </row>
    <row r="14" spans="1:8">
      <c r="A14" s="212" t="s">
        <v>276</v>
      </c>
      <c r="B14" s="121" t="s">
        <v>289</v>
      </c>
      <c r="C14" s="396">
        <f>'BUDGET GLOBAL 2019'!C15</f>
        <v>10438.600000000002</v>
      </c>
      <c r="D14" s="398"/>
      <c r="E14" s="115"/>
      <c r="F14" s="131"/>
      <c r="G14" s="225"/>
      <c r="H14" s="397"/>
    </row>
    <row r="15" spans="1:8">
      <c r="A15" s="212" t="s">
        <v>277</v>
      </c>
      <c r="B15" s="121" t="s">
        <v>29</v>
      </c>
      <c r="C15" s="396">
        <f>'BUDGET GLOBAL 2019'!C16</f>
        <v>7135.49</v>
      </c>
      <c r="D15" s="398"/>
      <c r="E15" s="115"/>
      <c r="F15" s="131"/>
      <c r="G15" s="225"/>
      <c r="H15" s="397"/>
    </row>
    <row r="16" spans="1:8">
      <c r="A16" s="212" t="s">
        <v>278</v>
      </c>
      <c r="B16" s="121" t="s">
        <v>30</v>
      </c>
      <c r="C16" s="396">
        <f>'BUDGET GLOBAL 2019'!C17</f>
        <v>2019.2123999999999</v>
      </c>
      <c r="D16" s="398"/>
      <c r="E16" s="115"/>
      <c r="F16" s="123"/>
      <c r="G16" s="396"/>
      <c r="H16" s="398"/>
    </row>
    <row r="17" spans="1:8">
      <c r="A17" s="212" t="s">
        <v>363</v>
      </c>
      <c r="B17" s="121" t="s">
        <v>31</v>
      </c>
      <c r="C17" s="396">
        <f>'BUDGET GLOBAL 2019'!C18+'BUDGET GLOBAL 2019'!C19</f>
        <v>0</v>
      </c>
      <c r="D17" s="398"/>
      <c r="E17" s="115"/>
      <c r="F17" s="129" t="s">
        <v>101</v>
      </c>
      <c r="G17" s="225">
        <f>'BUDGET GLOBAL 2019'!G17</f>
        <v>558000</v>
      </c>
      <c r="H17" s="397" t="e">
        <f>G17/$G$59</f>
        <v>#REF!</v>
      </c>
    </row>
    <row r="18" spans="1:8" ht="15.75">
      <c r="A18" s="489">
        <v>618</v>
      </c>
      <c r="B18" s="121" t="s">
        <v>102</v>
      </c>
      <c r="C18" s="396">
        <f>'BUDGET GLOBAL 2019'!C20+'BUDGET GLOBAL 2019'!C21</f>
        <v>6386.82</v>
      </c>
      <c r="D18" s="398"/>
      <c r="E18" s="115"/>
      <c r="F18" s="129"/>
      <c r="G18" s="225"/>
      <c r="H18" s="397"/>
    </row>
    <row r="19" spans="1:8">
      <c r="A19" s="212" t="s">
        <v>20</v>
      </c>
      <c r="B19" s="121"/>
      <c r="C19" s="127"/>
      <c r="D19" s="122"/>
      <c r="E19" s="115"/>
      <c r="F19" s="129"/>
      <c r="G19" s="225"/>
      <c r="H19" s="398"/>
    </row>
    <row r="20" spans="1:8">
      <c r="A20" s="415"/>
      <c r="B20" s="380" t="s">
        <v>104</v>
      </c>
      <c r="C20" s="382">
        <f>SUM(C21:C27)</f>
        <v>162559.7193</v>
      </c>
      <c r="D20" s="384"/>
      <c r="E20" s="115"/>
      <c r="F20" s="129"/>
      <c r="G20" s="225"/>
      <c r="H20" s="397"/>
    </row>
    <row r="21" spans="1:8">
      <c r="A21" s="212" t="s">
        <v>279</v>
      </c>
      <c r="B21" s="121" t="s">
        <v>296</v>
      </c>
      <c r="C21" s="396">
        <f>'BUDGET GLOBAL 2019'!C24+'BUDGET GLOBAL 2019'!C25</f>
        <v>31486.732000000004</v>
      </c>
      <c r="D21" s="398"/>
      <c r="E21" s="115"/>
      <c r="F21" s="129"/>
      <c r="G21" s="225"/>
      <c r="H21" s="397"/>
    </row>
    <row r="22" spans="1:8">
      <c r="A22" s="212" t="s">
        <v>280</v>
      </c>
      <c r="B22" s="121" t="s">
        <v>107</v>
      </c>
      <c r="C22" s="396">
        <f>'BUDGET GLOBAL 2019'!C26+'BUDGET GLOBAL 2019'!C27</f>
        <v>56620.377599999993</v>
      </c>
      <c r="D22" s="398"/>
      <c r="E22" s="115"/>
      <c r="F22" s="129" t="s">
        <v>132</v>
      </c>
      <c r="G22" s="225">
        <f>'BUDGET GLOBAL 2019'!G22</f>
        <v>3500</v>
      </c>
      <c r="H22" s="397" t="e">
        <f>G22/$G$59</f>
        <v>#REF!</v>
      </c>
    </row>
    <row r="23" spans="1:8">
      <c r="A23" s="212" t="s">
        <v>281</v>
      </c>
      <c r="B23" s="121" t="s">
        <v>295</v>
      </c>
      <c r="C23" s="396">
        <f>'BUDGET GLOBAL 2019'!C28</f>
        <v>50</v>
      </c>
      <c r="D23" s="398"/>
      <c r="E23" s="115"/>
      <c r="F23" s="129"/>
      <c r="G23" s="225"/>
      <c r="H23" s="397"/>
    </row>
    <row r="24" spans="1:8">
      <c r="A24" s="212" t="s">
        <v>282</v>
      </c>
      <c r="B24" s="121" t="s">
        <v>32</v>
      </c>
      <c r="C24" s="396">
        <f>'BUDGET GLOBAL 2019'!C29+'BUDGET GLOBAL 2019'!C30</f>
        <v>55948</v>
      </c>
      <c r="D24" s="398"/>
      <c r="E24" s="115"/>
      <c r="F24" s="129"/>
      <c r="G24" s="225"/>
      <c r="H24" s="397"/>
    </row>
    <row r="25" spans="1:8">
      <c r="A25" s="212" t="s">
        <v>283</v>
      </c>
      <c r="B25" s="121" t="s">
        <v>33</v>
      </c>
      <c r="C25" s="396">
        <f>'BUDGET GLOBAL 2019'!C31</f>
        <v>4485.2797</v>
      </c>
      <c r="D25" s="398"/>
      <c r="E25" s="115"/>
      <c r="F25" s="129"/>
      <c r="G25" s="225"/>
      <c r="H25" s="397"/>
    </row>
    <row r="26" spans="1:8">
      <c r="A26" s="212" t="s">
        <v>284</v>
      </c>
      <c r="B26" s="121" t="s">
        <v>291</v>
      </c>
      <c r="C26" s="396">
        <f>'BUDGET GLOBAL 2019'!C33+'BUDGET GLOBAL 2019'!C32</f>
        <v>3500</v>
      </c>
      <c r="D26" s="398"/>
      <c r="E26" s="115"/>
      <c r="F26" s="129" t="s">
        <v>108</v>
      </c>
      <c r="G26" s="225"/>
      <c r="H26" s="397"/>
    </row>
    <row r="27" spans="1:8">
      <c r="A27" s="212" t="s">
        <v>364</v>
      </c>
      <c r="B27" s="121" t="s">
        <v>34</v>
      </c>
      <c r="C27" s="396">
        <f>'BUDGET GLOBAL 2019'!C34</f>
        <v>10469.330000000002</v>
      </c>
      <c r="D27" s="398"/>
      <c r="E27" s="115"/>
      <c r="F27" s="129"/>
      <c r="G27" s="124"/>
      <c r="H27" s="122"/>
    </row>
    <row r="28" spans="1:8">
      <c r="A28" s="212" t="s">
        <v>20</v>
      </c>
      <c r="B28" s="121"/>
      <c r="C28" s="127"/>
      <c r="D28" s="122"/>
      <c r="E28" s="115"/>
      <c r="F28" s="123"/>
      <c r="G28" s="124"/>
      <c r="H28" s="122"/>
    </row>
    <row r="29" spans="1:8">
      <c r="A29" s="415"/>
      <c r="B29" s="380" t="s">
        <v>129</v>
      </c>
      <c r="C29" s="383"/>
      <c r="D29" s="138"/>
      <c r="E29" s="115"/>
      <c r="F29" s="123"/>
      <c r="G29" s="124"/>
      <c r="H29" s="122"/>
    </row>
    <row r="30" spans="1:8">
      <c r="A30" s="212" t="s">
        <v>346</v>
      </c>
      <c r="B30" s="121" t="s">
        <v>130</v>
      </c>
      <c r="C30" s="396"/>
      <c r="D30" s="398"/>
      <c r="E30" s="115"/>
      <c r="F30" s="123"/>
      <c r="G30" s="124"/>
      <c r="H30" s="122"/>
    </row>
    <row r="31" spans="1:8">
      <c r="A31" s="212" t="s">
        <v>365</v>
      </c>
      <c r="B31" s="121" t="s">
        <v>131</v>
      </c>
      <c r="C31" s="396"/>
      <c r="D31" s="398"/>
      <c r="E31" s="115"/>
      <c r="F31" s="123"/>
      <c r="G31" s="124"/>
      <c r="H31" s="122"/>
    </row>
    <row r="32" spans="1:8">
      <c r="B32" s="121"/>
      <c r="C32" s="206"/>
      <c r="D32" s="128"/>
      <c r="E32" s="115"/>
      <c r="F32" s="123"/>
      <c r="G32" s="124"/>
      <c r="H32" s="122"/>
    </row>
    <row r="33" spans="1:8">
      <c r="A33" s="415"/>
      <c r="B33" s="380" t="s">
        <v>110</v>
      </c>
      <c r="C33" s="383">
        <f>SUM(C34:C36)</f>
        <v>444040</v>
      </c>
      <c r="D33" s="387"/>
      <c r="E33" s="115"/>
      <c r="F33" s="129"/>
      <c r="G33" s="124"/>
      <c r="H33" s="122"/>
    </row>
    <row r="34" spans="1:8">
      <c r="A34" s="212" t="s">
        <v>366</v>
      </c>
      <c r="B34" s="121" t="s">
        <v>35</v>
      </c>
      <c r="C34" s="396">
        <f>'BUDGET GLOBAL 2019'!C42+'BUDGET GLOBAL 2019'!C41</f>
        <v>444040</v>
      </c>
      <c r="D34" s="400"/>
      <c r="E34" s="115"/>
      <c r="F34" s="129"/>
      <c r="G34" s="124"/>
      <c r="H34" s="122"/>
    </row>
    <row r="35" spans="1:8">
      <c r="A35" s="212" t="s">
        <v>367</v>
      </c>
      <c r="B35" s="121" t="s">
        <v>36</v>
      </c>
      <c r="C35" s="396"/>
      <c r="D35" s="398"/>
      <c r="E35" s="115"/>
      <c r="F35" s="129" t="s">
        <v>109</v>
      </c>
      <c r="G35" s="124"/>
      <c r="H35" s="122"/>
    </row>
    <row r="36" spans="1:8">
      <c r="A36" s="212" t="s">
        <v>20</v>
      </c>
      <c r="B36" s="121"/>
      <c r="C36" s="127"/>
      <c r="D36" s="122"/>
      <c r="E36" s="115"/>
      <c r="F36" s="123"/>
      <c r="G36" s="124"/>
      <c r="H36" s="122"/>
    </row>
    <row r="37" spans="1:8">
      <c r="A37" s="415"/>
      <c r="B37" s="380" t="s">
        <v>297</v>
      </c>
      <c r="C37" s="383">
        <f>C38</f>
        <v>0</v>
      </c>
      <c r="D37" s="138"/>
      <c r="E37" s="115"/>
      <c r="F37" s="135"/>
      <c r="G37" s="124"/>
      <c r="H37" s="122"/>
    </row>
    <row r="38" spans="1:8">
      <c r="A38" s="212">
        <v>650</v>
      </c>
      <c r="B38" s="121" t="s">
        <v>37</v>
      </c>
      <c r="C38" s="396">
        <f>'BUDGET GLOBAL 2019'!C46</f>
        <v>0</v>
      </c>
      <c r="D38" s="398"/>
      <c r="E38" s="115"/>
      <c r="F38" s="135"/>
      <c r="G38" s="124"/>
      <c r="H38" s="122"/>
    </row>
    <row r="39" spans="1:8">
      <c r="A39" s="212" t="s">
        <v>20</v>
      </c>
      <c r="B39" s="123"/>
      <c r="C39" s="119"/>
      <c r="D39" s="120"/>
      <c r="E39" s="115"/>
      <c r="F39" s="135"/>
      <c r="G39" s="124"/>
      <c r="H39" s="122"/>
    </row>
    <row r="40" spans="1:8">
      <c r="A40" s="212" t="s">
        <v>20</v>
      </c>
      <c r="B40" s="121"/>
      <c r="C40" s="127"/>
      <c r="D40" s="122"/>
      <c r="E40" s="115"/>
      <c r="F40" s="136" t="s">
        <v>350</v>
      </c>
      <c r="G40" s="137" t="e">
        <f>SUM(G43:G58)</f>
        <v>#REF!</v>
      </c>
      <c r="H40" s="170"/>
    </row>
    <row r="41" spans="1:8">
      <c r="A41" s="415"/>
      <c r="B41" s="380" t="s">
        <v>113</v>
      </c>
      <c r="C41" s="383"/>
      <c r="D41" s="138"/>
      <c r="E41" s="115"/>
      <c r="F41" s="121"/>
      <c r="G41" s="124"/>
      <c r="H41" s="122"/>
    </row>
    <row r="42" spans="1:8">
      <c r="A42" s="212" t="s">
        <v>368</v>
      </c>
      <c r="B42" s="121" t="s">
        <v>38</v>
      </c>
      <c r="C42" s="396"/>
      <c r="D42" s="398"/>
      <c r="E42" s="115"/>
      <c r="F42" s="123" t="s">
        <v>114</v>
      </c>
      <c r="G42" s="402"/>
      <c r="H42" s="400"/>
    </row>
    <row r="43" spans="1:8">
      <c r="A43" s="212" t="s">
        <v>369</v>
      </c>
      <c r="B43" s="121" t="s">
        <v>292</v>
      </c>
      <c r="C43" s="396"/>
      <c r="D43" s="398"/>
      <c r="E43" s="115"/>
      <c r="F43" s="121" t="s">
        <v>52</v>
      </c>
      <c r="G43" s="396" t="e">
        <f>'BUDGET GLOBAL 2019'!G52</f>
        <v>#REF!</v>
      </c>
      <c r="H43" s="400"/>
    </row>
    <row r="44" spans="1:8">
      <c r="A44" s="212" t="s">
        <v>20</v>
      </c>
      <c r="B44" s="121"/>
      <c r="C44" s="127"/>
      <c r="D44" s="122"/>
      <c r="E44" s="115"/>
      <c r="F44" s="121" t="s">
        <v>115</v>
      </c>
      <c r="G44" s="403"/>
      <c r="H44" s="397"/>
    </row>
    <row r="45" spans="1:8">
      <c r="A45" s="415"/>
      <c r="B45" s="380" t="s">
        <v>309</v>
      </c>
      <c r="C45" s="383"/>
      <c r="D45" s="138"/>
      <c r="E45" s="115"/>
      <c r="F45" s="121"/>
      <c r="G45" s="403"/>
      <c r="H45" s="397"/>
    </row>
    <row r="46" spans="1:8">
      <c r="A46" s="212" t="s">
        <v>370</v>
      </c>
      <c r="B46" s="121" t="s">
        <v>308</v>
      </c>
      <c r="C46" s="396"/>
      <c r="D46" s="398"/>
      <c r="E46" s="115"/>
      <c r="F46" s="121"/>
      <c r="G46" s="403"/>
      <c r="H46" s="397"/>
    </row>
    <row r="47" spans="1:8">
      <c r="B47" s="121"/>
      <c r="C47" s="127"/>
      <c r="D47" s="122"/>
      <c r="E47" s="115"/>
      <c r="F47" s="121"/>
      <c r="G47" s="403"/>
      <c r="H47" s="397"/>
    </row>
    <row r="48" spans="1:8">
      <c r="A48" s="415" t="s">
        <v>371</v>
      </c>
      <c r="B48" s="380" t="s">
        <v>116</v>
      </c>
      <c r="C48" s="383"/>
      <c r="D48" s="170"/>
      <c r="E48" s="115"/>
      <c r="F48" s="121" t="s">
        <v>51</v>
      </c>
      <c r="G48" s="396">
        <f>'BUDGET GLOBAL 2019'!G57</f>
        <v>143400</v>
      </c>
      <c r="H48" s="400"/>
    </row>
    <row r="49" spans="1:8">
      <c r="B49" s="380" t="s">
        <v>117</v>
      </c>
      <c r="C49" s="399"/>
      <c r="D49" s="397"/>
      <c r="E49" s="115"/>
      <c r="F49" s="121" t="s">
        <v>118</v>
      </c>
      <c r="G49" s="225" t="e">
        <f>'BUDGET GLOBAL 2019'!G58</f>
        <v>#REF!</v>
      </c>
      <c r="H49" s="400"/>
    </row>
    <row r="50" spans="1:8">
      <c r="A50" s="212" t="s">
        <v>372</v>
      </c>
      <c r="B50" s="140" t="s">
        <v>39</v>
      </c>
      <c r="C50" s="396"/>
      <c r="D50" s="398"/>
      <c r="E50" s="115"/>
      <c r="F50" s="121"/>
      <c r="G50" s="225"/>
      <c r="H50" s="397"/>
    </row>
    <row r="51" spans="1:8">
      <c r="B51" s="121" t="s">
        <v>119</v>
      </c>
      <c r="C51" s="399"/>
      <c r="D51" s="397"/>
      <c r="E51" s="115"/>
      <c r="F51" s="121"/>
      <c r="G51" s="225"/>
      <c r="H51" s="397"/>
    </row>
    <row r="52" spans="1:8">
      <c r="B52" s="140"/>
      <c r="C52" s="399"/>
      <c r="D52" s="397"/>
      <c r="E52" s="115"/>
      <c r="F52" s="123"/>
      <c r="G52" s="225"/>
      <c r="H52" s="397"/>
    </row>
    <row r="53" spans="1:8">
      <c r="B53" s="140"/>
      <c r="C53" s="127"/>
      <c r="D53" s="122"/>
      <c r="E53" s="115"/>
      <c r="F53" s="123" t="s">
        <v>120</v>
      </c>
      <c r="G53" s="404"/>
      <c r="H53" s="401"/>
    </row>
    <row r="54" spans="1:8">
      <c r="A54" s="415"/>
      <c r="B54" s="380" t="s">
        <v>121</v>
      </c>
      <c r="C54" s="382"/>
      <c r="D54" s="384"/>
      <c r="E54" s="115"/>
      <c r="F54" s="123" t="s">
        <v>122</v>
      </c>
      <c r="G54" s="396">
        <f>C55</f>
        <v>0</v>
      </c>
      <c r="H54" s="398"/>
    </row>
    <row r="55" spans="1:8" ht="15.75">
      <c r="A55" s="415">
        <v>860</v>
      </c>
      <c r="B55" s="391" t="s">
        <v>5</v>
      </c>
      <c r="C55" s="381">
        <f>'BUDGET GLOBAL 2019'!C64</f>
        <v>0</v>
      </c>
      <c r="D55" s="170"/>
      <c r="E55" s="144"/>
      <c r="F55" s="123" t="s">
        <v>123</v>
      </c>
      <c r="G55" s="142"/>
      <c r="H55" s="122"/>
    </row>
    <row r="56" spans="1:8" ht="15.75">
      <c r="B56" s="121" t="s">
        <v>124</v>
      </c>
      <c r="C56" s="127"/>
      <c r="D56" s="122"/>
      <c r="E56" s="144"/>
      <c r="F56" s="121" t="s">
        <v>125</v>
      </c>
      <c r="G56" s="142"/>
      <c r="H56" s="122"/>
    </row>
    <row r="57" spans="1:8">
      <c r="B57" s="121" t="s">
        <v>125</v>
      </c>
      <c r="C57" s="127"/>
      <c r="D57" s="122"/>
      <c r="F57" s="121"/>
      <c r="G57" s="142"/>
      <c r="H57" s="122"/>
    </row>
    <row r="58" spans="1:8">
      <c r="B58" s="145"/>
      <c r="C58" s="207"/>
      <c r="D58" s="147"/>
      <c r="F58" s="121"/>
      <c r="G58" s="142"/>
      <c r="H58" s="122"/>
    </row>
    <row r="59" spans="1:8">
      <c r="B59" s="148" t="s">
        <v>126</v>
      </c>
      <c r="C59" s="149">
        <f>C55+C37+C33+C20+C11+C4</f>
        <v>1319212.0632499997</v>
      </c>
      <c r="D59" s="150"/>
      <c r="F59" s="148" t="s">
        <v>127</v>
      </c>
      <c r="G59" s="151" t="e">
        <f>G40+G4</f>
        <v>#REF!</v>
      </c>
      <c r="H59" s="150"/>
    </row>
    <row r="60" spans="1:8">
      <c r="B60" s="115"/>
      <c r="C60" s="208"/>
      <c r="D60" s="153"/>
      <c r="F60" s="115"/>
      <c r="G60" s="152"/>
      <c r="H60" s="154"/>
    </row>
    <row r="61" spans="1:8" ht="15.75">
      <c r="B61" s="502" t="s">
        <v>374</v>
      </c>
      <c r="C61" s="209"/>
      <c r="D61" s="156"/>
      <c r="F61" s="144"/>
      <c r="G61" s="155"/>
      <c r="H61" s="154"/>
    </row>
    <row r="62" spans="1:8" ht="15.75">
      <c r="B62" s="502" t="s">
        <v>181</v>
      </c>
      <c r="C62" s="209"/>
      <c r="D62" s="156"/>
      <c r="F62" s="144"/>
      <c r="G62" s="155"/>
      <c r="H62" s="153"/>
    </row>
    <row r="63" spans="1:8" ht="15.75">
      <c r="C63" s="209"/>
      <c r="D63" s="35"/>
      <c r="G63" s="157"/>
      <c r="H63" s="156"/>
    </row>
    <row r="64" spans="1:8" ht="15.75">
      <c r="C64" s="209"/>
    </row>
    <row r="65" spans="3:3" ht="15.75">
      <c r="C65" s="209"/>
    </row>
  </sheetData>
  <conditionalFormatting sqref="A1:A1048576">
    <cfRule type="containsText" dxfId="15" priority="2" operator="containsText" text="C">
      <formula>NOT(ISERROR(SEARCH("C",A1)))</formula>
    </cfRule>
  </conditionalFormatting>
  <pageMargins left="0.7" right="0.7" top="0.75" bottom="0.75" header="0.3" footer="0.3"/>
  <pageSetup paperSize="9" scale="59" orientation="portrait" horizontalDpi="1200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92D050"/>
    <pageSetUpPr fitToPage="1"/>
  </sheetPr>
  <dimension ref="A1:I77"/>
  <sheetViews>
    <sheetView workbookViewId="0"/>
    <sheetView workbookViewId="1"/>
  </sheetViews>
  <sheetFormatPr baseColWidth="10" defaultRowHeight="15"/>
  <cols>
    <col min="1" max="1" width="7.5703125" style="212" bestFit="1" customWidth="1"/>
    <col min="2" max="2" width="50.85546875" bestFit="1" customWidth="1"/>
    <col min="3" max="3" width="17.42578125" style="31" customWidth="1"/>
    <col min="5" max="5" width="5.42578125" customWidth="1"/>
    <col min="6" max="6" width="33" bestFit="1" customWidth="1"/>
  </cols>
  <sheetData>
    <row r="1" spans="1:8" ht="4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BUDGET GLOBAL 2019</v>
      </c>
      <c r="G1" s="371"/>
      <c r="H1" s="372"/>
    </row>
    <row r="2" spans="1:8" ht="15.75">
      <c r="B2" s="109"/>
      <c r="C2" s="203"/>
      <c r="D2" s="111"/>
      <c r="E2" s="110"/>
      <c r="F2" s="110"/>
      <c r="G2" s="110"/>
      <c r="H2" s="111"/>
    </row>
    <row r="3" spans="1:8">
      <c r="B3" s="112" t="s">
        <v>87</v>
      </c>
      <c r="C3" s="204" t="s">
        <v>88</v>
      </c>
      <c r="D3" s="114"/>
      <c r="E3" s="115"/>
      <c r="F3" s="112" t="s">
        <v>90</v>
      </c>
      <c r="G3" s="112" t="s">
        <v>88</v>
      </c>
      <c r="H3" s="114"/>
    </row>
    <row r="4" spans="1:8">
      <c r="B4" s="374" t="s">
        <v>91</v>
      </c>
      <c r="C4" s="375">
        <f>SUM(C5:C8)</f>
        <v>4311.8999999999996</v>
      </c>
      <c r="D4" s="376"/>
      <c r="E4" s="115"/>
      <c r="F4" s="374" t="s">
        <v>351</v>
      </c>
      <c r="G4" s="382">
        <f>SUM(G5:G44)</f>
        <v>561500</v>
      </c>
      <c r="H4" s="384"/>
    </row>
    <row r="5" spans="1:8">
      <c r="A5" s="212" t="str">
        <f>LEFT(B5,3)</f>
        <v>604</v>
      </c>
      <c r="B5" s="121" t="s">
        <v>93</v>
      </c>
      <c r="C5" s="396">
        <f>+'Gouvernance A'!C5+'Ecosysteme B'!C5+'Actions 1er Sem 2019'!C5+'Actions 2e Sem 2019'!C5+'Cellule Gds EV'!C5</f>
        <v>0</v>
      </c>
      <c r="D5" s="398"/>
      <c r="E5" s="115"/>
      <c r="F5" s="123"/>
      <c r="G5" s="124"/>
      <c r="H5" s="122"/>
    </row>
    <row r="6" spans="1:8">
      <c r="A6" s="212" t="str">
        <f t="shared" ref="A6:A59" si="0">LEFT(B6,3)</f>
        <v>605</v>
      </c>
      <c r="B6" s="125" t="s">
        <v>94</v>
      </c>
      <c r="C6" s="396">
        <f>+'Gouvernance A'!C6+'Ecosysteme B'!C6+'Actions 1er Sem 2019'!C6+'Actions 2e Sem 2019'!C6+'Cellule Gds EV'!C6</f>
        <v>0</v>
      </c>
      <c r="D6" s="398"/>
      <c r="E6" s="115"/>
      <c r="F6" s="123" t="s">
        <v>95</v>
      </c>
      <c r="G6" s="124"/>
      <c r="H6" s="126"/>
    </row>
    <row r="7" spans="1:8">
      <c r="A7" s="212" t="str">
        <f t="shared" si="0"/>
        <v>606</v>
      </c>
      <c r="B7" s="125" t="s">
        <v>96</v>
      </c>
      <c r="C7" s="396">
        <f>+'Gouvernance A'!C7+'Ecosysteme B'!C7+'Actions 1er Sem 2019'!C7+'Actions 2e Sem 2019'!C7+'Cellule Gds EV'!C7</f>
        <v>4311.8999999999996</v>
      </c>
      <c r="D7" s="398"/>
      <c r="E7" s="115"/>
      <c r="F7" s="129"/>
      <c r="G7" s="124"/>
      <c r="H7" s="122"/>
    </row>
    <row r="8" spans="1:8">
      <c r="A8" s="212" t="str">
        <f t="shared" si="0"/>
        <v>607</v>
      </c>
      <c r="B8" s="121" t="s">
        <v>97</v>
      </c>
      <c r="C8" s="396">
        <f>+'Gouvernance A'!C8+'Ecosysteme B'!C8+'Actions 1er Sem 2019'!C8+'Actions 2e Sem 2019'!C8+'Cellule Gds EV'!C8</f>
        <v>0</v>
      </c>
      <c r="D8" s="398"/>
      <c r="E8" s="115"/>
      <c r="F8" s="129"/>
      <c r="G8" s="124"/>
      <c r="H8" s="122"/>
    </row>
    <row r="9" spans="1:8">
      <c r="A9" s="212" t="str">
        <f t="shared" si="0"/>
        <v/>
      </c>
      <c r="B9" s="121"/>
      <c r="C9" s="206"/>
      <c r="D9" s="122"/>
      <c r="E9" s="115"/>
      <c r="F9" s="129"/>
      <c r="G9" s="124"/>
      <c r="H9" s="122"/>
    </row>
    <row r="10" spans="1:8">
      <c r="A10" s="212" t="str">
        <f t="shared" si="0"/>
        <v/>
      </c>
      <c r="B10" s="129"/>
      <c r="C10" s="206"/>
      <c r="D10" s="122"/>
      <c r="E10" s="115"/>
      <c r="F10" s="123" t="s">
        <v>98</v>
      </c>
      <c r="G10" s="124"/>
      <c r="H10" s="122"/>
    </row>
    <row r="11" spans="1:8">
      <c r="A11" s="415"/>
      <c r="B11" s="380" t="s">
        <v>99</v>
      </c>
      <c r="C11" s="381">
        <f>SUM(C12:C21)</f>
        <v>708300.44394999987</v>
      </c>
      <c r="D11" s="384"/>
      <c r="E11" s="115"/>
      <c r="F11" s="121"/>
      <c r="G11" s="124"/>
      <c r="H11" s="122"/>
    </row>
    <row r="12" spans="1:8">
      <c r="A12" s="212" t="str">
        <f t="shared" si="0"/>
        <v>611</v>
      </c>
      <c r="B12" s="121" t="s">
        <v>100</v>
      </c>
      <c r="C12" s="396">
        <f>+'Gouvernance A'!C12+'Ecosysteme B'!C12+'Actions 1er Sem 2019'!C12+'Actions 2e Sem 2019'!C12+'Cellule Gds EV'!C12</f>
        <v>652705</v>
      </c>
      <c r="D12" s="398"/>
      <c r="E12" s="115"/>
      <c r="F12" s="130"/>
      <c r="G12" s="124"/>
      <c r="H12" s="122"/>
    </row>
    <row r="13" spans="1:8" ht="15.75">
      <c r="A13" s="489" t="s">
        <v>320</v>
      </c>
      <c r="B13" s="121" t="s">
        <v>100</v>
      </c>
      <c r="C13" s="396">
        <f>+'Cellule Gds EV'!C13</f>
        <v>0</v>
      </c>
      <c r="D13" s="398"/>
      <c r="E13" s="115"/>
      <c r="F13" s="130"/>
      <c r="G13" s="124"/>
      <c r="H13" s="122"/>
    </row>
    <row r="14" spans="1:8">
      <c r="A14" s="212" t="str">
        <f t="shared" si="0"/>
        <v>613</v>
      </c>
      <c r="B14" s="121" t="s">
        <v>128</v>
      </c>
      <c r="C14" s="396">
        <f>+'Gouvernance A'!C13+'Ecosysteme B'!C13+'Actions 1er Sem 2019'!C13+'Actions 2e Sem 2019'!C13+'Cellule Gds EV'!C14</f>
        <v>29615.321549999997</v>
      </c>
      <c r="D14" s="398"/>
      <c r="E14" s="115"/>
      <c r="F14" s="131"/>
      <c r="G14" s="124"/>
      <c r="H14" s="122"/>
    </row>
    <row r="15" spans="1:8">
      <c r="A15" s="212" t="str">
        <f t="shared" si="0"/>
        <v>614</v>
      </c>
      <c r="B15" s="121" t="s">
        <v>289</v>
      </c>
      <c r="C15" s="396">
        <f>+'Gouvernance A'!C14+'Ecosysteme B'!C14+'Actions 1er Sem 2019'!C14+'Actions 2e Sem 2019'!C14+'Cellule Gds EV'!C15</f>
        <v>10438.600000000002</v>
      </c>
      <c r="D15" s="398"/>
      <c r="E15" s="115"/>
      <c r="F15" s="131"/>
      <c r="G15" s="225"/>
      <c r="H15" s="397"/>
    </row>
    <row r="16" spans="1:8">
      <c r="A16" s="212" t="str">
        <f t="shared" si="0"/>
        <v>615</v>
      </c>
      <c r="B16" s="121" t="s">
        <v>29</v>
      </c>
      <c r="C16" s="396">
        <f>+'Gouvernance A'!C15+'Ecosysteme B'!C15+'Actions 1er Sem 2019'!C15+'Actions 2e Sem 2019'!C15+'Cellule Gds EV'!C16</f>
        <v>7135.49</v>
      </c>
      <c r="D16" s="398"/>
      <c r="E16" s="115"/>
      <c r="F16" s="131"/>
      <c r="G16" s="225"/>
      <c r="H16" s="397"/>
    </row>
    <row r="17" spans="1:8">
      <c r="A17" s="212" t="str">
        <f t="shared" si="0"/>
        <v>616</v>
      </c>
      <c r="B17" s="121" t="s">
        <v>30</v>
      </c>
      <c r="C17" s="396">
        <f>+'Gouvernance A'!C16+'Ecosysteme B'!C16+'Actions 1er Sem 2019'!C16+'Actions 2e Sem 2019'!C16+'Cellule Gds EV'!C17</f>
        <v>2019.2123999999999</v>
      </c>
      <c r="D17" s="398"/>
      <c r="E17" s="115" t="s">
        <v>313</v>
      </c>
      <c r="F17" s="123" t="s">
        <v>101</v>
      </c>
      <c r="G17" s="396">
        <f>'Recap dep rec'!C54+'Recap dep rec'!C56</f>
        <v>558000</v>
      </c>
      <c r="H17" s="398"/>
    </row>
    <row r="18" spans="1:8">
      <c r="A18" s="212" t="str">
        <f t="shared" si="0"/>
        <v>617</v>
      </c>
      <c r="B18" s="121" t="s">
        <v>31</v>
      </c>
      <c r="C18" s="396">
        <f>+'Gouvernance A'!C17+'Ecosysteme B'!C17+'Actions 1er Sem 2019'!C17+'Actions 2e Sem 2019'!C17+'Cellule Gds EV'!C18</f>
        <v>0</v>
      </c>
      <c r="D18" s="398"/>
      <c r="E18" s="115"/>
      <c r="F18" s="129"/>
      <c r="G18" s="225"/>
      <c r="H18" s="397"/>
    </row>
    <row r="19" spans="1:8" ht="15.75">
      <c r="A19" s="489" t="s">
        <v>322</v>
      </c>
      <c r="B19" s="121" t="s">
        <v>31</v>
      </c>
      <c r="C19" s="396">
        <f>+'Cellule Gds EV'!C19</f>
        <v>0</v>
      </c>
      <c r="D19" s="398"/>
      <c r="E19" s="115"/>
      <c r="F19" s="129"/>
      <c r="G19" s="225"/>
      <c r="H19" s="397"/>
    </row>
    <row r="20" spans="1:8">
      <c r="A20" s="212" t="str">
        <f t="shared" si="0"/>
        <v>618</v>
      </c>
      <c r="B20" s="121" t="s">
        <v>102</v>
      </c>
      <c r="C20" s="396">
        <f>+'Gouvernance A'!C18+'Ecosysteme B'!C18+'Actions 1er Sem 2019'!C18+'Actions 2e Sem 2019'!C18+'Cellule Gds EV'!C20</f>
        <v>6386.82</v>
      </c>
      <c r="D20" s="398"/>
      <c r="E20" s="115"/>
      <c r="F20" s="129"/>
      <c r="G20" s="225"/>
      <c r="H20" s="397"/>
    </row>
    <row r="21" spans="1:8" ht="15.75">
      <c r="A21" s="489" t="s">
        <v>323</v>
      </c>
      <c r="B21" s="121" t="s">
        <v>102</v>
      </c>
      <c r="C21" s="396">
        <f>+'Cellule Gds EV'!C21</f>
        <v>0</v>
      </c>
      <c r="D21" s="398"/>
      <c r="E21" s="115"/>
      <c r="F21" s="131"/>
      <c r="G21" s="225"/>
      <c r="H21" s="397"/>
    </row>
    <row r="22" spans="1:8">
      <c r="A22" s="212" t="str">
        <f t="shared" si="0"/>
        <v/>
      </c>
      <c r="B22" s="121"/>
      <c r="C22" s="127"/>
      <c r="D22" s="122"/>
      <c r="E22" s="115" t="s">
        <v>311</v>
      </c>
      <c r="F22" s="132" t="s">
        <v>132</v>
      </c>
      <c r="G22" s="396">
        <v>3500</v>
      </c>
      <c r="H22" s="398"/>
    </row>
    <row r="23" spans="1:8">
      <c r="A23" s="415"/>
      <c r="B23" s="380" t="s">
        <v>104</v>
      </c>
      <c r="C23" s="382">
        <f>SUM(C24:C34)</f>
        <v>162559.7193</v>
      </c>
      <c r="D23" s="384"/>
      <c r="E23" s="115"/>
      <c r="F23" s="129"/>
      <c r="G23" s="225"/>
      <c r="H23" s="397"/>
    </row>
    <row r="24" spans="1:8">
      <c r="A24" s="212" t="str">
        <f t="shared" si="0"/>
        <v>622</v>
      </c>
      <c r="B24" s="121" t="s">
        <v>296</v>
      </c>
      <c r="C24" s="396">
        <f>+'Gouvernance A'!C22+'Ecosysteme B'!C22+'Actions 1er Sem 2019'!C22+'Actions 2e Sem 2019'!C22+'Cellule Gds EV'!C24</f>
        <v>31486.732000000004</v>
      </c>
      <c r="D24" s="398"/>
      <c r="E24" s="115"/>
      <c r="F24" s="129"/>
      <c r="G24" s="225"/>
      <c r="H24" s="397"/>
    </row>
    <row r="25" spans="1:8" ht="15.75">
      <c r="A25" s="489" t="s">
        <v>328</v>
      </c>
      <c r="B25" s="121" t="s">
        <v>296</v>
      </c>
      <c r="C25" s="396">
        <f>+'Cellule Gds EV'!C25</f>
        <v>0</v>
      </c>
      <c r="D25" s="398"/>
      <c r="E25" s="115"/>
      <c r="F25" s="129"/>
      <c r="G25" s="225"/>
      <c r="H25" s="397"/>
    </row>
    <row r="26" spans="1:8">
      <c r="A26" s="212" t="str">
        <f t="shared" si="0"/>
        <v>623</v>
      </c>
      <c r="B26" s="121" t="s">
        <v>107</v>
      </c>
      <c r="C26" s="396">
        <f>+'Gouvernance A'!C23+'Ecosysteme B'!C23+'Actions 1er Sem 2019'!C23+'Actions 2e Sem 2019'!C23+'Cellule Gds EV'!C26</f>
        <v>56620.377599999993</v>
      </c>
      <c r="D26" s="398"/>
      <c r="E26" s="115"/>
      <c r="F26" s="123" t="s">
        <v>108</v>
      </c>
      <c r="G26" s="225"/>
      <c r="H26" s="397"/>
    </row>
    <row r="27" spans="1:8">
      <c r="A27" s="212" t="s">
        <v>321</v>
      </c>
      <c r="B27" s="121" t="s">
        <v>107</v>
      </c>
      <c r="C27" s="396">
        <f>+'Cellule Gds EV'!C27</f>
        <v>0</v>
      </c>
      <c r="D27" s="398"/>
      <c r="E27" s="115"/>
      <c r="F27" s="123"/>
      <c r="G27" s="225"/>
      <c r="H27" s="397"/>
    </row>
    <row r="28" spans="1:8">
      <c r="A28" s="212" t="str">
        <f t="shared" si="0"/>
        <v>624</v>
      </c>
      <c r="B28" s="121" t="s">
        <v>295</v>
      </c>
      <c r="C28" s="396">
        <f>+'Gouvernance A'!C24+'Ecosysteme B'!C24+'Actions 1er Sem 2019'!C24+'Actions 2e Sem 2019'!C24+'Cellule Gds EV'!C28</f>
        <v>50</v>
      </c>
      <c r="D28" s="398"/>
      <c r="E28" s="115"/>
      <c r="F28" s="123"/>
      <c r="G28" s="225"/>
      <c r="H28" s="397"/>
    </row>
    <row r="29" spans="1:8">
      <c r="A29" s="212" t="str">
        <f t="shared" si="0"/>
        <v>625</v>
      </c>
      <c r="B29" s="121" t="s">
        <v>32</v>
      </c>
      <c r="C29" s="396">
        <f>+'Gouvernance A'!C25+'Ecosysteme B'!C25+'Actions 1er Sem 2019'!C25+'Actions 2e Sem 2019'!C25+'Cellule Gds EV'!C29</f>
        <v>55948</v>
      </c>
      <c r="D29" s="398"/>
      <c r="E29" s="115"/>
      <c r="F29" s="129"/>
      <c r="G29" s="225"/>
      <c r="H29" s="397"/>
    </row>
    <row r="30" spans="1:8">
      <c r="A30" s="212" t="s">
        <v>319</v>
      </c>
      <c r="B30" s="121" t="s">
        <v>32</v>
      </c>
      <c r="C30" s="396">
        <f>+'Cellule Gds EV'!C30</f>
        <v>0</v>
      </c>
      <c r="D30" s="398"/>
      <c r="E30" s="115"/>
      <c r="F30" s="129"/>
      <c r="G30" s="225"/>
      <c r="H30" s="397"/>
    </row>
    <row r="31" spans="1:8">
      <c r="A31" s="212" t="str">
        <f t="shared" si="0"/>
        <v>626</v>
      </c>
      <c r="B31" s="121" t="s">
        <v>33</v>
      </c>
      <c r="C31" s="396">
        <f>+'Gouvernance A'!C26+'Ecosysteme B'!C26+'Actions 1er Sem 2019'!C26+'Actions 2e Sem 2019'!C26+'Cellule Gds EV'!C31</f>
        <v>4485.2797</v>
      </c>
      <c r="D31" s="398"/>
      <c r="E31" s="115"/>
      <c r="F31" s="129"/>
      <c r="G31" s="225"/>
      <c r="H31" s="397"/>
    </row>
    <row r="32" spans="1:8">
      <c r="A32" s="212" t="str">
        <f t="shared" si="0"/>
        <v>627</v>
      </c>
      <c r="B32" s="121" t="s">
        <v>291</v>
      </c>
      <c r="C32" s="396">
        <v>3500</v>
      </c>
      <c r="D32" s="398"/>
      <c r="E32" s="115"/>
      <c r="F32" s="129"/>
      <c r="G32" s="225"/>
      <c r="H32" s="397"/>
    </row>
    <row r="33" spans="1:8">
      <c r="A33" s="212" t="s">
        <v>373</v>
      </c>
      <c r="B33" s="121" t="s">
        <v>291</v>
      </c>
      <c r="C33" s="396">
        <f>+'Cellule Gds EV'!C32</f>
        <v>0</v>
      </c>
      <c r="D33" s="398"/>
      <c r="E33" s="115"/>
      <c r="F33" s="129"/>
      <c r="G33" s="225"/>
      <c r="H33" s="397"/>
    </row>
    <row r="34" spans="1:8">
      <c r="A34" s="212" t="str">
        <f t="shared" si="0"/>
        <v>628</v>
      </c>
      <c r="B34" s="121" t="s">
        <v>34</v>
      </c>
      <c r="C34" s="396">
        <f>+'Gouvernance A'!C28+'Ecosysteme B'!C28+'Actions 1er Sem 2019'!C28+'Actions 2e Sem 2019'!C28+'Cellule Gds EV'!C34</f>
        <v>10469.330000000002</v>
      </c>
      <c r="D34" s="398"/>
      <c r="E34" s="115"/>
      <c r="F34" s="129"/>
      <c r="G34" s="124"/>
      <c r="H34" s="122"/>
    </row>
    <row r="35" spans="1:8">
      <c r="A35" s="212" t="str">
        <f t="shared" si="0"/>
        <v/>
      </c>
      <c r="B35" s="121"/>
      <c r="C35" s="127"/>
      <c r="D35" s="122"/>
      <c r="E35" s="115"/>
      <c r="F35" s="123" t="s">
        <v>109</v>
      </c>
      <c r="G35" s="124"/>
      <c r="H35" s="122"/>
    </row>
    <row r="36" spans="1:8">
      <c r="A36" s="415"/>
      <c r="B36" s="380" t="s">
        <v>129</v>
      </c>
      <c r="C36" s="383">
        <f>SUM(C37:C38)</f>
        <v>2170.0000000000005</v>
      </c>
      <c r="D36" s="138"/>
      <c r="E36" s="115"/>
      <c r="F36" s="123"/>
      <c r="G36" s="124"/>
      <c r="H36" s="122"/>
    </row>
    <row r="37" spans="1:8">
      <c r="A37" s="212" t="str">
        <f t="shared" si="0"/>
        <v>631</v>
      </c>
      <c r="B37" s="121" t="s">
        <v>130</v>
      </c>
      <c r="C37" s="396">
        <f>+'Gouvernance A'!C31+'Ecosysteme B'!C31+'Actions 1er Sem 2019'!C31+'Actions 2e Sem 2019'!C31+'Cellule Gds EV'!C37</f>
        <v>0</v>
      </c>
      <c r="D37" s="398"/>
      <c r="E37" s="115"/>
      <c r="F37" s="123"/>
      <c r="G37" s="124"/>
      <c r="H37" s="122"/>
    </row>
    <row r="38" spans="1:8">
      <c r="A38" s="212" t="str">
        <f t="shared" si="0"/>
        <v>635</v>
      </c>
      <c r="B38" s="121" t="s">
        <v>131</v>
      </c>
      <c r="C38" s="396">
        <f>+'Gouvernance A'!C32+'Ecosysteme B'!C32+'Actions 1er Sem 2019'!C32+'Actions 2e Sem 2019'!C32+'Cellule Gds EV'!C38</f>
        <v>2170.0000000000005</v>
      </c>
      <c r="D38" s="398"/>
      <c r="E38" s="115"/>
      <c r="F38" s="123"/>
      <c r="G38" s="124"/>
      <c r="H38" s="122"/>
    </row>
    <row r="39" spans="1:8">
      <c r="B39" s="121"/>
      <c r="C39" s="206"/>
      <c r="D39" s="128"/>
      <c r="E39" s="115"/>
      <c r="F39" s="123"/>
      <c r="G39" s="124"/>
      <c r="H39" s="122"/>
    </row>
    <row r="40" spans="1:8">
      <c r="A40" s="415"/>
      <c r="B40" s="380" t="s">
        <v>110</v>
      </c>
      <c r="C40" s="383">
        <f>SUM(C41:C43)</f>
        <v>444646</v>
      </c>
      <c r="D40" s="387"/>
      <c r="E40" s="115"/>
      <c r="F40" s="129"/>
      <c r="G40" s="124"/>
      <c r="H40" s="122"/>
    </row>
    <row r="41" spans="1:8">
      <c r="A41" s="212" t="str">
        <f t="shared" si="0"/>
        <v>641</v>
      </c>
      <c r="B41" s="121" t="s">
        <v>35</v>
      </c>
      <c r="C41" s="396">
        <f>+'Gouvernance A'!C35+'Ecosysteme B'!C35+'Actions 1er Sem 2019'!C35+'Actions 2e Sem 2019'!C35+'Cellule Gds EV'!C41</f>
        <v>444040</v>
      </c>
      <c r="D41" s="400"/>
      <c r="E41" s="115"/>
      <c r="F41" s="129"/>
      <c r="G41" s="124"/>
      <c r="H41" s="122"/>
    </row>
    <row r="42" spans="1:8">
      <c r="A42" s="212" t="s">
        <v>326</v>
      </c>
      <c r="B42" s="121" t="s">
        <v>35</v>
      </c>
      <c r="C42" s="396">
        <f>+'Cellule Gds EV'!C42</f>
        <v>0</v>
      </c>
      <c r="D42" s="400"/>
      <c r="E42" s="115"/>
      <c r="F42" s="129"/>
      <c r="G42" s="124"/>
      <c r="H42" s="122"/>
    </row>
    <row r="43" spans="1:8">
      <c r="A43" s="212" t="str">
        <f t="shared" si="0"/>
        <v>645</v>
      </c>
      <c r="B43" s="121" t="s">
        <v>36</v>
      </c>
      <c r="C43" s="396">
        <f>+'Gouvernance A'!C36+'Ecosysteme B'!C36+'Actions 1er Sem 2019'!C36+'Actions 2e Sem 2019'!C36+'Cellule Gds EV'!C43</f>
        <v>606</v>
      </c>
      <c r="D43" s="398"/>
      <c r="E43" s="115"/>
      <c r="F43" s="129"/>
      <c r="G43" s="124"/>
      <c r="H43" s="122"/>
    </row>
    <row r="44" spans="1:8">
      <c r="A44" s="212" t="str">
        <f t="shared" si="0"/>
        <v/>
      </c>
      <c r="B44" s="121"/>
      <c r="C44" s="127"/>
      <c r="D44" s="122"/>
      <c r="E44" s="115" t="s">
        <v>312</v>
      </c>
      <c r="F44" s="123" t="s">
        <v>111</v>
      </c>
      <c r="G44" s="124"/>
      <c r="H44" s="122"/>
    </row>
    <row r="45" spans="1:8">
      <c r="A45" s="415"/>
      <c r="B45" s="380" t="s">
        <v>297</v>
      </c>
      <c r="C45" s="383">
        <f>SUM(C46:C48)</f>
        <v>0</v>
      </c>
      <c r="D45" s="138"/>
      <c r="E45" s="115"/>
      <c r="F45" s="135"/>
      <c r="G45" s="124"/>
      <c r="H45" s="122"/>
    </row>
    <row r="46" spans="1:8">
      <c r="A46" s="212" t="s">
        <v>325</v>
      </c>
      <c r="B46" s="121" t="s">
        <v>37</v>
      </c>
      <c r="C46" s="396">
        <f>+'Cellule Gds EV'!C47</f>
        <v>0</v>
      </c>
      <c r="D46" s="400"/>
      <c r="E46" s="115"/>
      <c r="F46" s="135"/>
      <c r="G46" s="124"/>
      <c r="H46" s="122"/>
    </row>
    <row r="47" spans="1:8">
      <c r="A47" s="212">
        <v>650</v>
      </c>
      <c r="B47" s="121" t="s">
        <v>37</v>
      </c>
      <c r="C47" s="396">
        <f>+'Gouvernance A'!C39+'Ecosysteme B'!C39+'Actions 1er Sem 2019'!C39+'Actions 2e Sem 2019'!C39+'Cellule Gds EV'!C46</f>
        <v>0</v>
      </c>
      <c r="D47" s="398"/>
      <c r="E47" s="115"/>
      <c r="F47" s="135"/>
      <c r="G47" s="124"/>
      <c r="H47" s="122"/>
    </row>
    <row r="48" spans="1:8">
      <c r="A48" s="212" t="str">
        <f t="shared" si="0"/>
        <v/>
      </c>
      <c r="B48" s="123"/>
      <c r="C48" s="119"/>
      <c r="D48" s="120"/>
      <c r="E48" s="115"/>
      <c r="F48" s="135"/>
      <c r="G48" s="124"/>
      <c r="H48" s="122"/>
    </row>
    <row r="49" spans="1:8">
      <c r="A49" s="212" t="str">
        <f t="shared" si="0"/>
        <v/>
      </c>
      <c r="B49" s="121"/>
      <c r="C49" s="127"/>
      <c r="D49" s="122"/>
      <c r="E49" s="115"/>
      <c r="F49" s="136" t="s">
        <v>350</v>
      </c>
      <c r="G49" s="137" t="e">
        <f>SUM(G52:G67)</f>
        <v>#REF!</v>
      </c>
      <c r="H49" s="170"/>
    </row>
    <row r="50" spans="1:8">
      <c r="A50" s="415"/>
      <c r="B50" s="380" t="s">
        <v>113</v>
      </c>
      <c r="C50" s="383">
        <f>SUM(C51:C52)</f>
        <v>0</v>
      </c>
      <c r="D50" s="138"/>
      <c r="E50" s="115"/>
      <c r="F50" s="121"/>
      <c r="G50" s="124"/>
      <c r="H50" s="122"/>
    </row>
    <row r="51" spans="1:8">
      <c r="A51" s="212" t="str">
        <f t="shared" si="0"/>
        <v>661</v>
      </c>
      <c r="B51" s="121" t="s">
        <v>38</v>
      </c>
      <c r="C51" s="396">
        <f>+'Gouvernance A'!C43+'Ecosysteme B'!C43+'Actions 1er Sem 2019'!C43+'Actions 2e Sem 2019'!C43+'Cellule Gds EV'!C50</f>
        <v>0</v>
      </c>
      <c r="D51" s="398"/>
      <c r="E51" s="115"/>
      <c r="F51" s="123" t="s">
        <v>114</v>
      </c>
      <c r="G51" s="402"/>
      <c r="H51" s="400"/>
    </row>
    <row r="52" spans="1:8">
      <c r="A52" s="212" t="str">
        <f t="shared" si="0"/>
        <v>666</v>
      </c>
      <c r="B52" s="121" t="s">
        <v>292</v>
      </c>
      <c r="C52" s="396">
        <f>+'Gouvernance A'!C44+'Ecosysteme B'!C44+'Actions 1er Sem 2019'!C44+'Actions 2e Sem 2019'!C44+'Cellule Gds EV'!C51</f>
        <v>0</v>
      </c>
      <c r="D52" s="398"/>
      <c r="E52" s="115">
        <v>758</v>
      </c>
      <c r="F52" s="121" t="s">
        <v>52</v>
      </c>
      <c r="G52" s="396" t="e">
        <f>+'Gouvernance A'!G44+'Ecosysteme B'!G44+'Actions 1er Sem 2019'!G44+'Actions 2e Sem 2019'!G44+'Cellule Gds EV'!G51</f>
        <v>#REF!</v>
      </c>
      <c r="H52" s="400"/>
    </row>
    <row r="53" spans="1:8">
      <c r="A53" s="212" t="str">
        <f t="shared" si="0"/>
        <v/>
      </c>
      <c r="B53" s="121"/>
      <c r="C53" s="127"/>
      <c r="D53" s="122"/>
      <c r="E53" s="115"/>
      <c r="F53" s="121" t="s">
        <v>115</v>
      </c>
      <c r="G53" s="403"/>
      <c r="H53" s="397"/>
    </row>
    <row r="54" spans="1:8">
      <c r="A54" s="415"/>
      <c r="B54" s="380" t="s">
        <v>309</v>
      </c>
      <c r="C54" s="383">
        <f>C55</f>
        <v>0</v>
      </c>
      <c r="D54" s="138"/>
      <c r="E54" s="115"/>
      <c r="F54" s="121"/>
      <c r="G54" s="403"/>
      <c r="H54" s="397"/>
    </row>
    <row r="55" spans="1:8">
      <c r="A55" s="212" t="str">
        <f t="shared" si="0"/>
        <v>678</v>
      </c>
      <c r="B55" s="121" t="s">
        <v>308</v>
      </c>
      <c r="C55" s="396">
        <f>+'Gouvernance A'!C47+'Ecosysteme B'!C47+'Actions 1er Sem 2019'!C47+'Actions 2e Sem 2019'!C47+'Cellule Gds EV'!C54</f>
        <v>0</v>
      </c>
      <c r="D55" s="398"/>
      <c r="E55" s="115"/>
      <c r="F55" s="121"/>
      <c r="G55" s="403"/>
      <c r="H55" s="397"/>
    </row>
    <row r="56" spans="1:8">
      <c r="B56" s="121"/>
      <c r="C56" s="127"/>
      <c r="D56" s="122"/>
      <c r="E56" s="115"/>
      <c r="F56" s="121"/>
      <c r="G56" s="403"/>
      <c r="H56" s="397"/>
    </row>
    <row r="57" spans="1:8">
      <c r="A57" s="415" t="str">
        <f t="shared" si="0"/>
        <v xml:space="preserve">68 </v>
      </c>
      <c r="B57" s="380" t="s">
        <v>116</v>
      </c>
      <c r="C57" s="383">
        <f>SUM(C58:C59)</f>
        <v>0</v>
      </c>
      <c r="D57" s="170"/>
      <c r="E57" s="115">
        <v>756</v>
      </c>
      <c r="F57" s="121" t="s">
        <v>51</v>
      </c>
      <c r="G57" s="396">
        <f>'Recap dep rec'!C47+'Recap dep rec'!C48</f>
        <v>143400</v>
      </c>
      <c r="H57" s="400"/>
    </row>
    <row r="58" spans="1:8">
      <c r="B58" s="380" t="s">
        <v>117</v>
      </c>
      <c r="C58" s="399"/>
      <c r="D58" s="397"/>
      <c r="E58" s="115" t="s">
        <v>341</v>
      </c>
      <c r="F58" s="121" t="s">
        <v>118</v>
      </c>
      <c r="G58" s="225" t="e">
        <f>+'Cellule Gds EV'!G57</f>
        <v>#REF!</v>
      </c>
      <c r="H58" s="400"/>
    </row>
    <row r="59" spans="1:8">
      <c r="A59" s="212" t="str">
        <f t="shared" si="0"/>
        <v>681</v>
      </c>
      <c r="B59" s="140" t="s">
        <v>39</v>
      </c>
      <c r="C59" s="396">
        <f>SUMIF('Recap dep rec'!$A:$A,A59,'Recap dep rec'!$W:$W)</f>
        <v>0</v>
      </c>
      <c r="D59" s="398"/>
      <c r="E59" s="115"/>
      <c r="F59" s="121"/>
      <c r="G59" s="225"/>
      <c r="H59" s="397"/>
    </row>
    <row r="60" spans="1:8">
      <c r="B60" s="121" t="s">
        <v>119</v>
      </c>
      <c r="C60" s="399"/>
      <c r="D60" s="397"/>
      <c r="E60" s="115"/>
      <c r="F60" s="121"/>
      <c r="G60" s="225"/>
      <c r="H60" s="397"/>
    </row>
    <row r="61" spans="1:8">
      <c r="B61" s="140"/>
      <c r="C61" s="399"/>
      <c r="D61" s="397"/>
      <c r="E61" s="115"/>
      <c r="F61" s="123"/>
      <c r="G61" s="225"/>
      <c r="H61" s="397"/>
    </row>
    <row r="62" spans="1:8">
      <c r="B62" s="140"/>
      <c r="C62" s="127"/>
      <c r="D62" s="122"/>
      <c r="E62" s="115"/>
      <c r="F62" s="123" t="s">
        <v>120</v>
      </c>
      <c r="G62" s="404"/>
      <c r="H62" s="401"/>
    </row>
    <row r="63" spans="1:8">
      <c r="A63" s="415"/>
      <c r="B63" s="380" t="s">
        <v>121</v>
      </c>
      <c r="C63" s="382"/>
      <c r="D63" s="384"/>
      <c r="E63" s="115"/>
      <c r="F63" s="123" t="s">
        <v>122</v>
      </c>
      <c r="G63" s="396">
        <f>C64</f>
        <v>0</v>
      </c>
      <c r="H63" s="398"/>
    </row>
    <row r="64" spans="1:8" ht="15.75">
      <c r="A64" s="415">
        <v>860</v>
      </c>
      <c r="B64" s="391" t="s">
        <v>5</v>
      </c>
      <c r="C64" s="381">
        <f>+'Gouvernance A'!C56+'Ecosysteme B'!C56+'Actions 1er Sem 2019'!C56+'Actions 2e Sem 2019'!C56+'Cellule Gds EV'!C63</f>
        <v>0</v>
      </c>
      <c r="D64" s="170"/>
      <c r="E64" s="144"/>
      <c r="F64" s="123" t="s">
        <v>123</v>
      </c>
      <c r="G64" s="142"/>
      <c r="H64" s="122"/>
    </row>
    <row r="65" spans="2:9" ht="15.75">
      <c r="B65" s="121" t="s">
        <v>124</v>
      </c>
      <c r="C65" s="127"/>
      <c r="D65" s="122"/>
      <c r="E65" s="144"/>
      <c r="F65" s="121" t="s">
        <v>125</v>
      </c>
      <c r="G65" s="142"/>
      <c r="H65" s="122"/>
    </row>
    <row r="66" spans="2:9">
      <c r="B66" s="121" t="s">
        <v>125</v>
      </c>
      <c r="C66" s="127"/>
      <c r="D66" s="122"/>
      <c r="F66" s="121"/>
      <c r="G66" s="142"/>
      <c r="H66" s="122"/>
    </row>
    <row r="67" spans="2:9">
      <c r="B67" s="145"/>
      <c r="C67" s="207"/>
      <c r="D67" s="147"/>
      <c r="F67" s="121"/>
      <c r="G67" s="142"/>
      <c r="H67" s="122"/>
    </row>
    <row r="68" spans="2:9">
      <c r="B68" s="148" t="s">
        <v>126</v>
      </c>
      <c r="C68" s="149">
        <f>C64+C57+C54+C50+C45+C40+C36+C23+C11+C4</f>
        <v>1321988.0632499997</v>
      </c>
      <c r="D68" s="150"/>
      <c r="F68" s="148" t="s">
        <v>127</v>
      </c>
      <c r="G68" s="151" t="e">
        <f>G49+G4</f>
        <v>#REF!</v>
      </c>
      <c r="H68" s="150"/>
      <c r="I68" s="31" t="e">
        <f>G68-C68</f>
        <v>#REF!</v>
      </c>
    </row>
    <row r="69" spans="2:9">
      <c r="B69" s="115"/>
      <c r="C69" s="208">
        <f>C68-'Recap dep rec'!C43</f>
        <v>-63649.140000000363</v>
      </c>
      <c r="D69" s="153"/>
      <c r="F69" s="115"/>
      <c r="G69" s="152"/>
      <c r="H69" s="154"/>
    </row>
    <row r="70" spans="2:9" ht="15.75">
      <c r="B70" s="502" t="s">
        <v>374</v>
      </c>
      <c r="C70" s="209"/>
      <c r="D70" s="156"/>
      <c r="F70" s="144"/>
      <c r="G70" s="155"/>
      <c r="H70" s="154"/>
    </row>
    <row r="71" spans="2:9" ht="15.75">
      <c r="B71" s="502" t="s">
        <v>181</v>
      </c>
      <c r="C71" s="209"/>
      <c r="D71" s="156"/>
      <c r="F71" s="144"/>
      <c r="G71" s="155"/>
      <c r="H71" s="153"/>
    </row>
    <row r="72" spans="2:9" ht="15.75">
      <c r="C72" s="209"/>
      <c r="D72" s="35"/>
      <c r="G72" s="157"/>
      <c r="H72" s="156"/>
    </row>
    <row r="73" spans="2:9" ht="15.75">
      <c r="C73" s="209"/>
    </row>
    <row r="74" spans="2:9" ht="15.75">
      <c r="C74" s="209"/>
    </row>
    <row r="75" spans="2:9" ht="15.75">
      <c r="C75" s="209"/>
    </row>
    <row r="76" spans="2:9" ht="15.75">
      <c r="C76" s="209"/>
    </row>
    <row r="77" spans="2:9" ht="15.75">
      <c r="C77" s="209"/>
    </row>
  </sheetData>
  <conditionalFormatting sqref="A1:A45 A47:A1048576">
    <cfRule type="containsText" dxfId="14" priority="3" operator="containsText" text="C">
      <formula>NOT(ISERROR(SEARCH("C",A1)))</formula>
    </cfRule>
  </conditionalFormatting>
  <conditionalFormatting sqref="A46">
    <cfRule type="containsText" dxfId="13" priority="1" operator="containsText" text="C">
      <formula>NOT(ISERROR(SEARCH("C",A46)))</formula>
    </cfRule>
  </conditionalFormatting>
  <pageMargins left="0.7" right="0.7" top="0.75" bottom="0.75" header="0.3" footer="0.3"/>
  <pageSetup paperSize="9" scale="54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>
    <pageSetUpPr fitToPage="1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3" max="3" width="17.42578125" style="31" customWidth="1"/>
    <col min="5" max="5" width="5.42578125" customWidth="1"/>
    <col min="6" max="6" width="33" bestFit="1" customWidth="1"/>
  </cols>
  <sheetData>
    <row r="1" spans="1:8" ht="4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Gouvernance A</v>
      </c>
      <c r="G1" s="371"/>
      <c r="H1" s="372"/>
    </row>
    <row r="2" spans="1:8" ht="15.75">
      <c r="B2" s="109"/>
      <c r="C2" s="203"/>
      <c r="D2" s="111"/>
      <c r="E2" s="110"/>
      <c r="F2" s="110"/>
      <c r="G2" s="110"/>
      <c r="H2" s="111"/>
    </row>
    <row r="3" spans="1:8">
      <c r="B3" s="112" t="s">
        <v>87</v>
      </c>
      <c r="C3" s="204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5">
        <f>SUM(C5:C8)</f>
        <v>571.32674999999995</v>
      </c>
      <c r="D4" s="376"/>
      <c r="E4" s="115"/>
      <c r="F4" s="374" t="s">
        <v>351</v>
      </c>
      <c r="G4" s="382" t="e">
        <f>SUM(G5:G37)</f>
        <v>#REF!</v>
      </c>
      <c r="H4" s="38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rec'!$D:$D)</f>
        <v>0</v>
      </c>
      <c r="D5" s="398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rec'!$D:$D)</f>
        <v>0</v>
      </c>
      <c r="D6" s="398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rec'!$D:$D)</f>
        <v>571.32674999999995</v>
      </c>
      <c r="D7" s="398">
        <f>C7/$C$60</f>
        <v>4.6811859746367082E-3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rec'!$D:$D)</f>
        <v>0</v>
      </c>
      <c r="D8" s="398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206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206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1">
        <f>SUM(C12:C18)</f>
        <v>7167.646323375001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rec'!$D:$D)</f>
        <v>0</v>
      </c>
      <c r="D12" s="398">
        <f t="shared" ref="D12:D18" si="1">C12/$C$60</f>
        <v>0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rec'!$D:$D)</f>
        <v>3924.0301053750004</v>
      </c>
      <c r="D13" s="398">
        <f t="shared" si="1"/>
        <v>3.2151679740767714E-2</v>
      </c>
      <c r="E13" s="115"/>
      <c r="F13" s="131"/>
      <c r="G13" s="124"/>
      <c r="H13" s="122"/>
    </row>
    <row r="14" spans="1:8">
      <c r="A14" t="str">
        <f t="shared" si="0"/>
        <v>614</v>
      </c>
      <c r="B14" s="121" t="s">
        <v>289</v>
      </c>
      <c r="C14" s="396">
        <f>SUMIF('Recap dep rec'!$A:$A,A14,'Recap dep rec'!$D:$D)</f>
        <v>1383.1145000000001</v>
      </c>
      <c r="D14" s="398">
        <f t="shared" si="1"/>
        <v>1.1332597675002378E-2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rec'!$D:$D)</f>
        <v>945.45242500000006</v>
      </c>
      <c r="D15" s="398">
        <f t="shared" si="1"/>
        <v>7.7465979522160751E-3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rec'!$D:$D)</f>
        <v>267.54564300000004</v>
      </c>
      <c r="D16" s="398">
        <f t="shared" si="1"/>
        <v>2.192144708061998E-3</v>
      </c>
      <c r="E16" s="115">
        <v>740</v>
      </c>
      <c r="F16" s="123" t="s">
        <v>101</v>
      </c>
      <c r="G16" s="225" t="e">
        <f>+SUMIF('Recap dep rec'!#REF!,E16,'Recap dep rec'!$D$47:$D$56)-G20</f>
        <v>#REF!</v>
      </c>
      <c r="H16" s="398" t="e">
        <f>G16/C60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rec'!$D:$D)</f>
        <v>0</v>
      </c>
      <c r="D17" s="398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rec'!$D:$D)</f>
        <v>647.50364999999999</v>
      </c>
      <c r="D18" s="398">
        <f t="shared" si="1"/>
        <v>5.3053441045882704E-3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132</v>
      </c>
      <c r="G20" s="225">
        <v>3500</v>
      </c>
      <c r="H20" s="398">
        <f>G20/C60</f>
        <v>2.8677374044237352E-2</v>
      </c>
    </row>
    <row r="21" spans="1:8">
      <c r="A21" s="220"/>
      <c r="B21" s="380" t="s">
        <v>104</v>
      </c>
      <c r="C21" s="382">
        <f>SUM(C22:C28)</f>
        <v>37846.44385725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rec'!$D:$D)</f>
        <v>3045.74199</v>
      </c>
      <c r="D22" s="398">
        <f t="shared" ref="D22:D28" si="2">C22/$C$60</f>
        <v>2.4955394939848517E-2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rec'!$D:$D)</f>
        <v>5514.7000320000006</v>
      </c>
      <c r="D23" s="398">
        <f t="shared" si="2"/>
        <v>4.5184890159837628E-2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rec'!$D:$D)</f>
        <v>6.625</v>
      </c>
      <c r="D24" s="398">
        <f t="shared" si="2"/>
        <v>5.4282172298020699E-5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rec'!$D:$D)</f>
        <v>26883.279999999999</v>
      </c>
      <c r="D25" s="398">
        <f t="shared" si="2"/>
        <v>0.22026910745599002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rec'!$D:$D)</f>
        <v>594.29956025000001</v>
      </c>
      <c r="D26" s="398">
        <f t="shared" si="2"/>
        <v>4.8694145096042918E-3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rec'!$D:$D)</f>
        <v>414.61104999999998</v>
      </c>
      <c r="D27" s="398">
        <f t="shared" si="2"/>
        <v>3.3971303324925694E-3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rec'!$D:$D)</f>
        <v>1387.1862250000001</v>
      </c>
      <c r="D28" s="398">
        <f t="shared" si="2"/>
        <v>1.1365959498096743E-2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287.52500000000003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rec'!$D:$D)</f>
        <v>0</v>
      </c>
      <c r="D31" s="398">
        <f>C31/C60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rec'!$D:$D)</f>
        <v>287.52500000000003</v>
      </c>
      <c r="D32" s="398">
        <f>C32/C60</f>
        <v>2.3558462777340987E-3</v>
      </c>
      <c r="E32" s="115"/>
      <c r="F32" s="123"/>
      <c r="G32" s="124"/>
      <c r="H32" s="122"/>
    </row>
    <row r="33" spans="1:8">
      <c r="B33" s="121"/>
      <c r="C33" s="206"/>
      <c r="D33" s="128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76174.494999999995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rec'!$D:$D)</f>
        <v>76094.2</v>
      </c>
      <c r="D35" s="400">
        <f>C35/C60</f>
        <v>0.62348052457057301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rec'!$D:$D)</f>
        <v>80.295000000000002</v>
      </c>
      <c r="D36" s="398">
        <f>C36/C60</f>
        <v>6.5789992825201083E-4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rec'!$D:$D)</f>
        <v>0</v>
      </c>
      <c r="D39" s="398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H16+H20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rec'!$D:$D)</f>
        <v>0</v>
      </c>
      <c r="D43" s="398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rec'!$D:$D)</f>
        <v>0</v>
      </c>
      <c r="D44" s="398">
        <f>C44/$C$60</f>
        <v>0</v>
      </c>
      <c r="E44" s="115">
        <v>758</v>
      </c>
      <c r="F44" s="121" t="s">
        <v>52</v>
      </c>
      <c r="G44" s="225" t="e">
        <f>+SUMIF('Recap dep rec'!#REF!,E44,'Recap dep rec'!$D$47:$D$56)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rec'!$D:$D)</f>
        <v>0</v>
      </c>
      <c r="D47" s="398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70">
        <f>C49/$C$60</f>
        <v>0</v>
      </c>
      <c r="E49" s="115">
        <v>756</v>
      </c>
      <c r="F49" s="121" t="s">
        <v>51</v>
      </c>
      <c r="G49" s="225" t="e">
        <f>+SUMIF('Recap dep rec'!#REF!,E49,'Recap dep rec'!$D$47:$D$56)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rec'!$D:$D)</f>
        <v>0</v>
      </c>
      <c r="D51" s="398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>
        <f>+C56</f>
        <v>0</v>
      </c>
      <c r="H55" s="398">
        <f>G55/C60</f>
        <v>0</v>
      </c>
    </row>
    <row r="56" spans="1:9" ht="15.75">
      <c r="A56" s="415">
        <v>860</v>
      </c>
      <c r="B56" s="391" t="s">
        <v>5</v>
      </c>
      <c r="C56" s="381">
        <f>SUMIF('Recap dep rec'!$A:$A,A56,'Recap dep rec'!$D:$D)</f>
        <v>0</v>
      </c>
      <c r="D56" s="170">
        <f>C56/C60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127"/>
      <c r="D57" s="122"/>
      <c r="E57" s="144"/>
      <c r="F57" s="121" t="s">
        <v>125</v>
      </c>
      <c r="G57" s="142"/>
      <c r="H57" s="122"/>
    </row>
    <row r="58" spans="1:9">
      <c r="B58" s="121" t="s">
        <v>125</v>
      </c>
      <c r="C58" s="127"/>
      <c r="D58" s="122"/>
      <c r="F58" s="121"/>
      <c r="G58" s="142"/>
      <c r="H58" s="122"/>
    </row>
    <row r="59" spans="1:9">
      <c r="B59" s="145"/>
      <c r="C59" s="207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122047.43693062499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208">
        <f>C60-'Recap dep rec'!D43</f>
        <v>-40532.650000000009</v>
      </c>
      <c r="D61" s="153"/>
      <c r="F61" s="115"/>
      <c r="G61" s="152"/>
      <c r="H61" s="154"/>
    </row>
    <row r="62" spans="1:9" ht="15.75">
      <c r="B62" s="502" t="s">
        <v>374</v>
      </c>
      <c r="C62" s="209"/>
      <c r="D62" s="156"/>
      <c r="F62" s="144"/>
      <c r="G62" s="155"/>
      <c r="H62" s="154"/>
    </row>
    <row r="63" spans="1:9" ht="15.75">
      <c r="B63" s="502" t="s">
        <v>181</v>
      </c>
      <c r="C63" s="209"/>
      <c r="D63" s="156"/>
      <c r="F63" s="144"/>
      <c r="G63" s="155"/>
      <c r="H63" s="153"/>
    </row>
    <row r="64" spans="1:9" ht="15.75">
      <c r="D64" s="35"/>
      <c r="G64" s="157"/>
      <c r="H64" s="156"/>
    </row>
  </sheetData>
  <pageMargins left="0.7" right="0.7" top="0.75" bottom="0.75" header="0.3" footer="0.3"/>
  <pageSetup paperSize="9" scale="54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"/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3" max="3" width="15.140625" style="31" customWidth="1"/>
    <col min="5" max="5" width="5.42578125" customWidth="1"/>
    <col min="6" max="6" width="33" bestFit="1" customWidth="1"/>
  </cols>
  <sheetData>
    <row r="1" spans="1:8" ht="33.7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Ecosysteme B</v>
      </c>
      <c r="G1" s="371"/>
      <c r="H1" s="372"/>
    </row>
    <row r="2" spans="1:8" ht="15.75">
      <c r="B2" s="109"/>
      <c r="C2" s="203"/>
      <c r="D2" s="111"/>
      <c r="E2" s="110"/>
      <c r="F2" s="110"/>
      <c r="G2" s="110"/>
      <c r="H2" s="111"/>
    </row>
    <row r="3" spans="1:8">
      <c r="B3" s="112" t="s">
        <v>87</v>
      </c>
      <c r="C3" s="204" t="s">
        <v>11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9">
        <f>SUM(C5:C8)</f>
        <v>1261.2307499999997</v>
      </c>
      <c r="D4" s="376"/>
      <c r="E4" s="115"/>
      <c r="F4" s="374" t="s">
        <v>351</v>
      </c>
      <c r="G4" s="382" t="e">
        <f>SUM(G5:G37)</f>
        <v>#REF!</v>
      </c>
      <c r="H4" s="384"/>
    </row>
    <row r="5" spans="1:8">
      <c r="A5" t="str">
        <f>LEFT(B5,3)</f>
        <v>604</v>
      </c>
      <c r="B5" s="121" t="s">
        <v>93</v>
      </c>
      <c r="C5" s="225">
        <f>SUMIF('Recap dep rec'!$A:$A,'Ecosysteme B'!A5,'Recap dep rec'!$E:$E)</f>
        <v>0</v>
      </c>
      <c r="D5" s="398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225">
        <f>SUMIF('Recap dep rec'!$A:$A,'Ecosysteme B'!A6,'Recap dep rec'!$E:$E)</f>
        <v>0</v>
      </c>
      <c r="D6" s="398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225">
        <f>SUMIF('Recap dep rec'!$A:$A,'Ecosysteme B'!A7,'Recap dep rec'!$E:$E)</f>
        <v>1261.2307499999997</v>
      </c>
      <c r="D7" s="398">
        <f>C7/$C$60</f>
        <v>9.0763091222979594E-3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225">
        <f>SUMIF('Recap dep rec'!$A:$A,'Ecosysteme B'!A8,'Recap dep rec'!$E:$E)</f>
        <v>0</v>
      </c>
      <c r="D8" s="398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4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4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5">
        <f>SUM(C12:C18)</f>
        <v>15822.917355375001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225">
        <f>SUMIF('Recap dep rec'!$A:$A,'Ecosysteme B'!A12,'Recap dep rec'!$E:$E)</f>
        <v>0</v>
      </c>
      <c r="D12" s="398">
        <f t="shared" ref="D12:D18" si="1">C12/$C$60</f>
        <v>0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225">
        <f>SUMIF('Recap dep rec'!$A:$A,'Ecosysteme B'!A13,'Recap dep rec'!$E:$E)</f>
        <v>8662.4815533749988</v>
      </c>
      <c r="D13" s="398">
        <f t="shared" si="1"/>
        <v>6.2338600882221845E-2</v>
      </c>
      <c r="E13" s="115"/>
      <c r="F13" s="131"/>
      <c r="G13" s="124"/>
      <c r="H13" s="122"/>
    </row>
    <row r="14" spans="1:8">
      <c r="A14" t="str">
        <f t="shared" si="0"/>
        <v>614</v>
      </c>
      <c r="B14" s="121" t="s">
        <v>289</v>
      </c>
      <c r="C14" s="225">
        <f>SUMIF('Recap dep rec'!$A:$A,'Ecosysteme B'!A14,'Recap dep rec'!$E:$E)</f>
        <v>3053.2905000000001</v>
      </c>
      <c r="D14" s="398">
        <f t="shared" si="1"/>
        <v>2.197267107400902E-2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225">
        <f>SUMIF('Recap dep rec'!$A:$A,'Ecosysteme B'!A15,'Recap dep rec'!$E:$E)</f>
        <v>2087.1308249999997</v>
      </c>
      <c r="D15" s="398">
        <f t="shared" si="1"/>
        <v>1.5019808664177247E-2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225">
        <f>SUMIF('Recap dep rec'!$A:$A,'Ecosysteme B'!A16,'Recap dep rec'!$E:$E)</f>
        <v>590.61962700000004</v>
      </c>
      <c r="D16" s="398">
        <f t="shared" si="1"/>
        <v>4.2503295359301377E-3</v>
      </c>
      <c r="E16" s="115">
        <v>740</v>
      </c>
      <c r="F16" s="123" t="s">
        <v>101</v>
      </c>
      <c r="G16" s="225" t="e">
        <f>+SUMIF('Recap dep rec'!#REF!,E16,'Recap dep rec'!$E$47:$E$56)</f>
        <v>#REF!</v>
      </c>
      <c r="H16" s="398" t="e">
        <f>G16/C60</f>
        <v>#REF!</v>
      </c>
    </row>
    <row r="17" spans="1:8">
      <c r="A17" t="str">
        <f t="shared" si="0"/>
        <v>617</v>
      </c>
      <c r="B17" s="121" t="s">
        <v>31</v>
      </c>
      <c r="C17" s="225">
        <f>SUMIF('Recap dep rec'!$A:$A,'Ecosysteme B'!A17,'Recap dep rec'!$E:$E)</f>
        <v>0</v>
      </c>
      <c r="D17" s="398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225">
        <f>SUMIF('Recap dep rec'!$A:$A,'Ecosysteme B'!A18,'Recap dep rec'!$E:$E)</f>
        <v>1429.3948499999999</v>
      </c>
      <c r="D18" s="398">
        <f t="shared" si="1"/>
        <v>1.0286483671937689E-2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4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4"/>
      <c r="D20" s="122"/>
      <c r="E20" s="115" t="s">
        <v>311</v>
      </c>
      <c r="F20" s="132" t="s">
        <v>132</v>
      </c>
      <c r="G20" s="225" t="e">
        <f>+SUMIF('Recap dep rec'!#REF!,E20,'Recap dep rec'!$E$47:$E$56)</f>
        <v>#REF!</v>
      </c>
      <c r="H20" s="397"/>
    </row>
    <row r="21" spans="1:8">
      <c r="A21" s="220"/>
      <c r="B21" s="380" t="s">
        <v>104</v>
      </c>
      <c r="C21" s="385">
        <f>SUM(C22:C28)</f>
        <v>34001.621345249994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210" t="s">
        <v>296</v>
      </c>
      <c r="C22" s="225">
        <f>SUMIF('Recap dep rec'!$A:$A,'Ecosysteme B'!A22,'Recap dep rec'!$E:$E)</f>
        <v>6723.6191099999996</v>
      </c>
      <c r="D22" s="398">
        <f t="shared" ref="D22:D28" si="2">C22/$C$60</f>
        <v>4.838578940685509E-2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225">
        <f>SUMIF('Recap dep rec'!$A:$A,'Ecosysteme B'!A23,'Recap dep rec'!$E:$E)</f>
        <v>12173.960448</v>
      </c>
      <c r="D23" s="398">
        <f t="shared" si="2"/>
        <v>8.7608574615451587E-2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225">
        <f>SUMIF('Recap dep rec'!$A:$A,'Ecosysteme B'!A24,'Recap dep rec'!$E:$E)</f>
        <v>14.625</v>
      </c>
      <c r="D24" s="398">
        <f t="shared" si="2"/>
        <v>1.0524721262434149E-4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225">
        <f>SUMIF('Recap dep rec'!$A:$A,'Ecosysteme B'!A25,'Recap dep rec'!$E:$E)</f>
        <v>9799.92</v>
      </c>
      <c r="D25" s="398">
        <f t="shared" si="2"/>
        <v>7.052405223531874E-2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225">
        <f>SUMIF('Recap dep rec'!$A:$A,'Ecosysteme B'!A26,'Recap dep rec'!$E:$E)</f>
        <v>1311.9443122499999</v>
      </c>
      <c r="D26" s="398">
        <f t="shared" si="2"/>
        <v>9.4412637253108514E-3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225">
        <f>SUMIF('Recap dep rec'!$A:$A,'Ecosysteme B'!A27,'Recap dep rec'!$E:$E)</f>
        <v>915.27344999999991</v>
      </c>
      <c r="D27" s="398">
        <f t="shared" si="2"/>
        <v>6.5866652582266382E-3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225">
        <f>SUMIF('Recap dep rec'!$A:$A,'Ecosysteme B'!A28,'Recap dep rec'!$E:$E)</f>
        <v>3062.2790249999998</v>
      </c>
      <c r="D28" s="398">
        <f t="shared" si="2"/>
        <v>2.2037356010887941E-2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4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137">
        <f>SUM(C31:C32)</f>
        <v>634.72499999999991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225">
        <f>SUMIF('Recap dep rec'!$A:$A,'Ecosysteme B'!A31,'Recap dep rec'!$E:$E)</f>
        <v>0</v>
      </c>
      <c r="D31" s="398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225">
        <f>SUMIF('Recap dep rec'!$A:$A,'Ecosysteme B'!A32,'Recap dep rec'!$E:$E)</f>
        <v>634.72499999999991</v>
      </c>
      <c r="D32" s="398">
        <f t="shared" si="3"/>
        <v>4.56772902789642E-3</v>
      </c>
      <c r="E32" s="115"/>
      <c r="F32" s="123"/>
      <c r="G32" s="124"/>
      <c r="H32" s="122"/>
    </row>
    <row r="33" spans="1:8">
      <c r="B33" s="121"/>
      <c r="C33" s="124"/>
      <c r="D33" s="128"/>
      <c r="E33" s="115"/>
      <c r="F33" s="123"/>
      <c r="G33" s="124"/>
      <c r="H33" s="122"/>
    </row>
    <row r="34" spans="1:8">
      <c r="A34" s="220"/>
      <c r="B34" s="380" t="s">
        <v>110</v>
      </c>
      <c r="C34" s="137">
        <f>SUM(C35:C36)</f>
        <v>87238.055000000008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225">
        <f>SUMIF('Recap dep rec'!$A:$A,'Ecosysteme B'!A35,'Recap dep rec'!$E:$E)</f>
        <v>87060.800000000003</v>
      </c>
      <c r="D35" s="398">
        <f t="shared" ref="D35:D36" si="4">C35/$C$60</f>
        <v>0.62652352333984751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225">
        <f>SUMIF('Recap dep rec'!$A:$A,'Ecosysteme B'!A36,'Recap dep rec'!$E:$E)</f>
        <v>177.255</v>
      </c>
      <c r="D36" s="398">
        <f t="shared" si="4"/>
        <v>1.2755962170070188E-3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4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137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225">
        <f>SUMIF('Recap dep rec'!$A:$A,'Ecosysteme B'!A39,'Recap dep rec'!$E:$E)</f>
        <v>0</v>
      </c>
      <c r="D39" s="397"/>
      <c r="E39" s="115"/>
      <c r="F39" s="135"/>
      <c r="G39" s="124"/>
      <c r="H39" s="122"/>
    </row>
    <row r="40" spans="1:8">
      <c r="A40" t="str">
        <f t="shared" si="0"/>
        <v/>
      </c>
      <c r="B40" s="123"/>
      <c r="C40" s="158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4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137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225">
        <f>SUMIF('Recap dep rec'!$A:$A,'Ecosysteme B'!A43,'Recap dep rec'!$E:$E)</f>
        <v>0</v>
      </c>
      <c r="D43" s="401"/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225">
        <f>SUMIF('Recap dep rec'!$A:$A,'Ecosysteme B'!A44,'Recap dep rec'!$E:$E)</f>
        <v>0</v>
      </c>
      <c r="D44" s="397"/>
      <c r="E44" s="115">
        <v>758</v>
      </c>
      <c r="F44" s="121" t="s">
        <v>52</v>
      </c>
      <c r="G44" s="225" t="e">
        <f>+SUMIF('Recap dep rec'!#REF!,E44,'Recap dep rec'!$E$47:$E$56)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4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137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225">
        <f>SUMIF('Recap dep rec'!$A:$A,'Ecosysteme B'!A47,'Recap dep rec'!$E:$E)</f>
        <v>0</v>
      </c>
      <c r="D47" s="397"/>
      <c r="E47" s="115"/>
      <c r="F47" s="121"/>
      <c r="G47" s="403"/>
      <c r="H47" s="397"/>
    </row>
    <row r="48" spans="1:8">
      <c r="B48" s="121"/>
      <c r="C48" s="124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137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rec'!$E$47:$E$56)</f>
        <v>#REF!</v>
      </c>
      <c r="H49" s="400" t="e">
        <f>G49/$C$60</f>
        <v>#REF!</v>
      </c>
    </row>
    <row r="50" spans="1:9">
      <c r="B50" s="380" t="s">
        <v>117</v>
      </c>
      <c r="C50" s="225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225">
        <f>SUMIF('Recap dep rec'!$A:$A,'Ecosysteme B'!A51,'Recap dep rec'!$E:$E)</f>
        <v>0</v>
      </c>
      <c r="D51" s="401"/>
      <c r="E51" s="115"/>
      <c r="F51" s="121"/>
      <c r="G51" s="225"/>
      <c r="H51" s="397"/>
    </row>
    <row r="52" spans="1:9">
      <c r="B52" s="121" t="s">
        <v>119</v>
      </c>
      <c r="C52" s="225"/>
      <c r="D52" s="397"/>
      <c r="E52" s="115"/>
      <c r="F52" s="121"/>
      <c r="G52" s="225"/>
      <c r="H52" s="397"/>
    </row>
    <row r="53" spans="1:9">
      <c r="B53" s="140"/>
      <c r="C53" s="225"/>
      <c r="D53" s="397"/>
      <c r="E53" s="115"/>
      <c r="F53" s="123"/>
      <c r="G53" s="225"/>
      <c r="H53" s="397"/>
    </row>
    <row r="54" spans="1:9">
      <c r="B54" s="140"/>
      <c r="C54" s="124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5"/>
      <c r="D55" s="384"/>
      <c r="E55" s="115"/>
      <c r="F55" s="123" t="s">
        <v>122</v>
      </c>
      <c r="G55" s="225">
        <f>+C56</f>
        <v>0</v>
      </c>
      <c r="H55" s="398">
        <f>G55/C60</f>
        <v>0</v>
      </c>
    </row>
    <row r="56" spans="1:9" ht="15.75">
      <c r="A56" s="220">
        <v>860</v>
      </c>
      <c r="B56" s="391" t="s">
        <v>5</v>
      </c>
      <c r="C56" s="381">
        <f>SUMIF('Recap dep rec'!$A:$A,A56,'Recap dep rec'!$E:$E)</f>
        <v>0</v>
      </c>
      <c r="D56" s="170">
        <f>C56/C60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124"/>
      <c r="D57" s="122"/>
      <c r="E57" s="144"/>
      <c r="F57" s="121" t="s">
        <v>125</v>
      </c>
      <c r="G57" s="142"/>
      <c r="H57" s="122"/>
    </row>
    <row r="58" spans="1:9">
      <c r="B58" s="121" t="s">
        <v>125</v>
      </c>
      <c r="C58" s="124"/>
      <c r="D58" s="122"/>
      <c r="F58" s="121"/>
      <c r="G58" s="142"/>
      <c r="H58" s="122"/>
    </row>
    <row r="59" spans="1:9">
      <c r="B59" s="145"/>
      <c r="C59" s="211"/>
      <c r="D59" s="147"/>
      <c r="F59" s="121"/>
      <c r="G59" s="142"/>
      <c r="H59" s="122"/>
    </row>
    <row r="60" spans="1:9">
      <c r="B60" s="148" t="s">
        <v>126</v>
      </c>
      <c r="C60" s="151">
        <f>C55+C56+C49+C42+C38+C34+C30+C21+C11+C4+C46</f>
        <v>138958.549450625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208">
        <f>C60-'Recap dep rec'!E43</f>
        <v>-1175.8500000000058</v>
      </c>
      <c r="D61" s="153"/>
      <c r="F61" s="115"/>
      <c r="G61" s="152"/>
      <c r="H61" s="154"/>
    </row>
    <row r="62" spans="1:9" ht="15.75">
      <c r="B62" s="502" t="s">
        <v>374</v>
      </c>
      <c r="C62" s="209"/>
      <c r="D62" s="156"/>
      <c r="F62" s="144"/>
      <c r="G62" s="155"/>
      <c r="H62" s="154"/>
    </row>
    <row r="63" spans="1:9" ht="15.75">
      <c r="B63" s="502" t="s">
        <v>181</v>
      </c>
      <c r="C63" s="209"/>
      <c r="D63" s="156"/>
      <c r="F63" s="144"/>
      <c r="G63" s="155"/>
      <c r="H63" s="153"/>
    </row>
    <row r="64" spans="1:9" ht="15.75">
      <c r="D64" s="35"/>
      <c r="G64" s="157"/>
      <c r="H64" s="156"/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O55"/>
  <sheetViews>
    <sheetView workbookViewId="0"/>
    <sheetView workbookViewId="1"/>
  </sheetViews>
  <sheetFormatPr baseColWidth="10" defaultRowHeight="15"/>
  <cols>
    <col min="1" max="1" width="2.5703125" customWidth="1"/>
    <col min="2" max="2" width="13.28515625" customWidth="1"/>
    <col min="3" max="3" width="59.140625" bestFit="1" customWidth="1"/>
    <col min="4" max="4" width="11.42578125" bestFit="1" customWidth="1"/>
    <col min="5" max="5" width="15.140625" customWidth="1"/>
    <col min="6" max="6" width="9.28515625" customWidth="1"/>
    <col min="7" max="7" width="12.140625" customWidth="1"/>
    <col min="8" max="8" width="10.85546875" customWidth="1"/>
    <col min="9" max="9" width="17.85546875" customWidth="1"/>
    <col min="10" max="10" width="13.42578125" bestFit="1" customWidth="1"/>
    <col min="11" max="11" width="15.42578125" customWidth="1"/>
  </cols>
  <sheetData>
    <row r="1" spans="1:15" ht="37.5" thickTop="1" thickBot="1">
      <c r="A1" s="256"/>
      <c r="B1" s="257" t="s">
        <v>220</v>
      </c>
      <c r="C1" s="257"/>
      <c r="D1" s="646" t="s">
        <v>144</v>
      </c>
      <c r="E1" s="647"/>
      <c r="F1" s="647"/>
      <c r="G1" s="648"/>
      <c r="H1" s="315" t="s">
        <v>241</v>
      </c>
      <c r="I1" s="256"/>
      <c r="J1" s="256"/>
      <c r="K1" s="256"/>
      <c r="O1" s="244" t="s">
        <v>193</v>
      </c>
    </row>
    <row r="2" spans="1:15" ht="15.75" thickTop="1">
      <c r="A2" s="258"/>
      <c r="B2" s="258"/>
      <c r="C2" s="258"/>
      <c r="D2" s="259"/>
      <c r="E2" s="259"/>
      <c r="F2" s="260"/>
      <c r="G2" s="258"/>
      <c r="H2" s="258"/>
      <c r="I2" s="258"/>
      <c r="J2" s="258"/>
      <c r="K2" s="258"/>
      <c r="O2" s="243" t="s">
        <v>199</v>
      </c>
    </row>
    <row r="3" spans="1:15">
      <c r="A3" s="18"/>
      <c r="C3" s="18"/>
      <c r="D3" s="261"/>
      <c r="E3" s="261"/>
      <c r="F3" s="261"/>
      <c r="G3" s="262"/>
      <c r="H3" s="18"/>
      <c r="I3" s="18"/>
      <c r="J3" s="18"/>
      <c r="K3" s="18"/>
      <c r="O3" s="243" t="s">
        <v>142</v>
      </c>
    </row>
    <row r="4" spans="1:15" ht="18.75">
      <c r="A4" s="263"/>
      <c r="B4" s="264" t="s">
        <v>221</v>
      </c>
      <c r="C4" s="265"/>
      <c r="D4" s="266"/>
      <c r="E4" s="267"/>
      <c r="F4" s="267"/>
      <c r="G4" s="267"/>
      <c r="H4" s="18"/>
      <c r="I4" s="18"/>
      <c r="J4" s="18"/>
      <c r="K4" s="18"/>
      <c r="O4" s="243" t="s">
        <v>200</v>
      </c>
    </row>
    <row r="5" spans="1:15">
      <c r="A5" s="263"/>
      <c r="B5" s="268"/>
      <c r="G5" s="269"/>
      <c r="H5" s="18"/>
      <c r="I5" s="18"/>
      <c r="J5" s="18"/>
      <c r="K5" s="18"/>
      <c r="O5" s="243" t="s">
        <v>198</v>
      </c>
    </row>
    <row r="6" spans="1:15">
      <c r="A6" s="263"/>
      <c r="B6" s="268"/>
      <c r="G6" s="269"/>
      <c r="H6" s="18"/>
      <c r="I6" s="18"/>
      <c r="J6" s="18"/>
      <c r="K6" s="18"/>
      <c r="O6" s="243" t="s">
        <v>183</v>
      </c>
    </row>
    <row r="7" spans="1:15">
      <c r="A7" s="263"/>
      <c r="B7" s="268"/>
      <c r="G7" s="269"/>
      <c r="H7" s="18"/>
      <c r="I7" s="18"/>
      <c r="J7" s="18"/>
      <c r="K7" s="18"/>
      <c r="O7" s="243" t="s">
        <v>133</v>
      </c>
    </row>
    <row r="8" spans="1:15">
      <c r="A8" s="263"/>
      <c r="B8" s="268"/>
      <c r="G8" s="269"/>
      <c r="H8" s="18"/>
      <c r="I8" s="18"/>
      <c r="J8" s="18"/>
      <c r="K8" s="18"/>
      <c r="O8" s="243" t="s">
        <v>184</v>
      </c>
    </row>
    <row r="9" spans="1:15">
      <c r="A9" s="263"/>
      <c r="B9" s="268"/>
      <c r="G9" s="269"/>
      <c r="H9" s="18"/>
      <c r="I9" s="18"/>
      <c r="J9" s="18"/>
      <c r="K9" s="18"/>
      <c r="O9" s="243" t="s">
        <v>185</v>
      </c>
    </row>
    <row r="10" spans="1:15">
      <c r="A10" s="263"/>
      <c r="B10" s="270"/>
      <c r="C10" s="267"/>
      <c r="D10" s="267"/>
      <c r="E10" s="267"/>
      <c r="F10" s="267"/>
      <c r="G10" s="271"/>
      <c r="H10" s="18"/>
      <c r="I10" s="18"/>
      <c r="J10" s="18"/>
      <c r="K10" s="18"/>
      <c r="O10" s="243" t="s">
        <v>143</v>
      </c>
    </row>
    <row r="11" spans="1:15">
      <c r="A11" s="18"/>
      <c r="H11" s="18"/>
      <c r="I11" s="18"/>
      <c r="J11" s="18"/>
      <c r="K11" s="18"/>
      <c r="O11" s="243" t="s">
        <v>201</v>
      </c>
    </row>
    <row r="12" spans="1:15">
      <c r="A12" s="18"/>
      <c r="B12" s="272" t="s">
        <v>239</v>
      </c>
      <c r="C12" s="273" t="s">
        <v>222</v>
      </c>
      <c r="D12" s="273" t="s">
        <v>223</v>
      </c>
      <c r="E12" s="274" t="s">
        <v>220</v>
      </c>
      <c r="F12" s="275" t="s">
        <v>224</v>
      </c>
      <c r="G12" s="272" t="s">
        <v>225</v>
      </c>
      <c r="H12" s="272" t="s">
        <v>226</v>
      </c>
      <c r="I12" s="272" t="s">
        <v>227</v>
      </c>
      <c r="J12" s="272" t="s">
        <v>228</v>
      </c>
      <c r="K12" s="18"/>
      <c r="O12" s="243" t="s">
        <v>202</v>
      </c>
    </row>
    <row r="13" spans="1:15" ht="15.75">
      <c r="A13" s="18"/>
      <c r="B13" s="276" t="str">
        <f>IFERROR(tblDépensesFonctionnement[[#This Row],[RÉEL]]/tblDépensesFonctionnement[[#This Row],[BUDGET]],"")</f>
        <v/>
      </c>
      <c r="C13" s="277" t="s">
        <v>229</v>
      </c>
      <c r="D13" s="278"/>
      <c r="E13" s="279"/>
      <c r="F13" s="280" t="s">
        <v>230</v>
      </c>
      <c r="G13" s="281"/>
      <c r="H13" s="281"/>
      <c r="I13" s="282"/>
      <c r="J13" s="283" t="str">
        <f>IFERROR(tblDépensesFonctionnement[[#This Row],[DIFFÉRENCE (€)]]/tblDépensesFonctionnement[[#This Row],[BUDGET]],"")</f>
        <v/>
      </c>
      <c r="K13" s="18"/>
      <c r="O13" s="243" t="s">
        <v>194</v>
      </c>
    </row>
    <row r="14" spans="1:15">
      <c r="A14" s="18"/>
      <c r="B14" s="309">
        <v>611</v>
      </c>
      <c r="C14" s="289" t="s">
        <v>231</v>
      </c>
      <c r="D14" s="289"/>
      <c r="E14" s="290"/>
      <c r="F14" s="291"/>
      <c r="G14" s="292"/>
      <c r="H14" s="292"/>
      <c r="I14" s="293">
        <f>tblDépensesFonctionnement[[#This Row],[BUDGET]]-tblDépensesFonctionnement[[#This Row],[RÉEL]]</f>
        <v>0</v>
      </c>
      <c r="J14" s="283" t="str">
        <f>IFERROR(tblDépensesFonctionnement[[#This Row],[DIFFÉRENCE (€)]]/tblDépensesFonctionnement[[#This Row],[BUDGET]],"")</f>
        <v/>
      </c>
      <c r="K14" s="18"/>
      <c r="O14" s="243" t="s">
        <v>197</v>
      </c>
    </row>
    <row r="15" spans="1:15">
      <c r="A15" s="18"/>
      <c r="B15" s="309">
        <v>611</v>
      </c>
      <c r="C15" s="294" t="s">
        <v>232</v>
      </c>
      <c r="D15" s="289"/>
      <c r="E15" s="295"/>
      <c r="F15" s="291"/>
      <c r="G15" s="296"/>
      <c r="H15" s="292"/>
      <c r="I15" s="297">
        <f>tblDépensesFonctionnement[[#This Row],[BUDGET]]-tblDépensesFonctionnement[[#This Row],[RÉEL]]</f>
        <v>0</v>
      </c>
      <c r="J15" s="285" t="str">
        <f>IFERROR(tblDépensesFonctionnement[[#This Row],[DIFFÉRENCE (€)]]/tblDépensesFonctionnement[[#This Row],[BUDGET]],"")</f>
        <v/>
      </c>
      <c r="K15" s="18"/>
      <c r="O15" s="243" t="s">
        <v>195</v>
      </c>
    </row>
    <row r="16" spans="1:15">
      <c r="A16" s="18"/>
      <c r="B16" s="309">
        <v>611</v>
      </c>
      <c r="C16" s="289" t="s">
        <v>233</v>
      </c>
      <c r="D16" s="289"/>
      <c r="E16" s="290"/>
      <c r="F16" s="291"/>
      <c r="G16" s="292"/>
      <c r="H16" s="292"/>
      <c r="I16" s="293">
        <f>tblDépensesFonctionnement[[#This Row],[BUDGET]]-tblDépensesFonctionnement[[#This Row],[RÉEL]]</f>
        <v>0</v>
      </c>
      <c r="J16" s="283" t="str">
        <f>IFERROR(tblDépensesFonctionnement[[#This Row],[DIFFÉRENCE (€)]]/tblDépensesFonctionnement[[#This Row],[BUDGET]],"")</f>
        <v/>
      </c>
      <c r="K16" s="18"/>
      <c r="O16" s="243" t="s">
        <v>144</v>
      </c>
    </row>
    <row r="17" spans="1:15">
      <c r="A17" s="18"/>
      <c r="B17" s="309">
        <v>611</v>
      </c>
      <c r="C17" s="289" t="s">
        <v>234</v>
      </c>
      <c r="D17" s="289"/>
      <c r="E17" s="290"/>
      <c r="F17" s="291"/>
      <c r="G17" s="292"/>
      <c r="H17" s="292"/>
      <c r="I17" s="293">
        <f>tblDépensesFonctionnement[[#This Row],[BUDGET]]-tblDépensesFonctionnement[[#This Row],[RÉEL]]</f>
        <v>0</v>
      </c>
      <c r="J17" s="283" t="str">
        <f>IFERROR(tblDépensesFonctionnement[[#This Row],[DIFFÉRENCE (€)]]/tblDépensesFonctionnement[[#This Row],[BUDGET]],"")</f>
        <v/>
      </c>
      <c r="K17" s="18"/>
      <c r="O17" s="243" t="s">
        <v>196</v>
      </c>
    </row>
    <row r="18" spans="1:15">
      <c r="A18" s="18"/>
      <c r="B18" s="309">
        <v>611</v>
      </c>
      <c r="C18" s="289" t="s">
        <v>235</v>
      </c>
      <c r="D18" s="289"/>
      <c r="E18" s="290"/>
      <c r="F18" s="291"/>
      <c r="G18" s="292"/>
      <c r="H18" s="292"/>
      <c r="I18" s="293">
        <f>tblDépensesFonctionnement[[#This Row],[BUDGET]]-tblDépensesFonctionnement[[#This Row],[RÉEL]]</f>
        <v>0</v>
      </c>
      <c r="J18" s="283" t="str">
        <f>IFERROR(tblDépensesFonctionnement[[#This Row],[DIFFÉRENCE (€)]]/tblDépensesFonctionnement[[#This Row],[BUDGET]],"")</f>
        <v/>
      </c>
      <c r="K18" s="18"/>
    </row>
    <row r="19" spans="1:15">
      <c r="A19" s="18"/>
      <c r="B19" s="309">
        <v>611</v>
      </c>
      <c r="C19" s="289" t="s">
        <v>236</v>
      </c>
      <c r="D19" s="289"/>
      <c r="E19" s="290"/>
      <c r="F19" s="291"/>
      <c r="G19" s="292"/>
      <c r="H19" s="292"/>
      <c r="I19" s="293">
        <f>tblDépensesFonctionnement[[#This Row],[BUDGET]]-tblDépensesFonctionnement[[#This Row],[RÉEL]]</f>
        <v>0</v>
      </c>
      <c r="J19" s="283" t="str">
        <f>IFERROR(tblDépensesFonctionnement[[#This Row],[DIFFÉRENCE (€)]]/tblDépensesFonctionnement[[#This Row],[BUDGET]],"")</f>
        <v/>
      </c>
      <c r="K19" s="18"/>
    </row>
    <row r="20" spans="1:15">
      <c r="A20" s="18"/>
      <c r="B20" s="309" t="str">
        <f>IFERROR(tblDépensesFonctionnement[[#This Row],[RÉEL]]/tblDépensesFonctionnement[[#This Row],[BUDGET]],"")</f>
        <v/>
      </c>
      <c r="C20" s="289"/>
      <c r="D20" s="289"/>
      <c r="E20" s="290"/>
      <c r="F20" s="291"/>
      <c r="G20" s="292"/>
      <c r="H20" s="292"/>
      <c r="I20" s="293">
        <f>tblDépensesFonctionnement[[#This Row],[BUDGET]]-tblDépensesFonctionnement[[#This Row],[RÉEL]]</f>
        <v>0</v>
      </c>
      <c r="J20" s="283" t="str">
        <f>IFERROR(tblDépensesFonctionnement[[#This Row],[DIFFÉRENCE (€)]]/tblDépensesFonctionnement[[#This Row],[BUDGET]],"")</f>
        <v/>
      </c>
      <c r="K20" s="18"/>
    </row>
    <row r="21" spans="1:15">
      <c r="A21" s="18"/>
      <c r="B21" s="309" t="str">
        <f>IFERROR(tblDépensesFonctionnement[[#This Row],[RÉEL]]/tblDépensesFonctionnement[[#This Row],[BUDGET]],"")</f>
        <v/>
      </c>
      <c r="C21" s="289"/>
      <c r="D21" s="298"/>
      <c r="E21" s="290"/>
      <c r="F21" s="291"/>
      <c r="G21" s="292"/>
      <c r="H21" s="292"/>
      <c r="I21" s="293">
        <f>tblDépensesFonctionnement[[#This Row],[BUDGET]]-tblDépensesFonctionnement[[#This Row],[RÉEL]]</f>
        <v>0</v>
      </c>
      <c r="J21" s="283" t="str">
        <f>IFERROR(tblDépensesFonctionnement[[#This Row],[DIFFÉRENCE (€)]]/tblDépensesFonctionnement[[#This Row],[BUDGET]],"")</f>
        <v/>
      </c>
      <c r="K21" s="18"/>
    </row>
    <row r="22" spans="1:15">
      <c r="A22" s="18"/>
      <c r="B22" s="309" t="str">
        <f>IFERROR(tblDépensesFonctionnement[[#This Row],[RÉEL]]/tblDépensesFonctionnement[[#This Row],[BUDGET]],"")</f>
        <v/>
      </c>
      <c r="C22" s="299"/>
      <c r="D22" s="289"/>
      <c r="E22" s="290"/>
      <c r="F22" s="291"/>
      <c r="G22" s="292"/>
      <c r="H22" s="292"/>
      <c r="I22" s="293">
        <f>tblDépensesFonctionnement[[#This Row],[BUDGET]]-tblDépensesFonctionnement[[#This Row],[RÉEL]]</f>
        <v>0</v>
      </c>
      <c r="J22" s="283" t="str">
        <f>IFERROR(tblDépensesFonctionnement[[#This Row],[DIFFÉRENCE (€)]]/tblDépensesFonctionnement[[#This Row],[BUDGET]],"")</f>
        <v/>
      </c>
      <c r="K22" s="18"/>
    </row>
    <row r="23" spans="1:15">
      <c r="A23" s="18"/>
      <c r="B23" s="309">
        <v>625</v>
      </c>
      <c r="C23" s="289" t="s">
        <v>240</v>
      </c>
      <c r="D23" s="289"/>
      <c r="E23" s="290" t="e">
        <f ca="1">SUMIF(INDIRECT("'"&amp;salon&amp;"'!A:A"),B23,INDIRECT("'"&amp;salon&amp;"'!C:C"))</f>
        <v>#REF!</v>
      </c>
      <c r="F23" s="291"/>
      <c r="G23" s="292"/>
      <c r="H23" s="292"/>
      <c r="I23" s="293" t="e">
        <f ca="1">tblDépensesFonctionnement[[#This Row],[BUDGET]]-tblDépensesFonctionnement[[#This Row],[RÉEL]]</f>
        <v>#REF!</v>
      </c>
      <c r="J23" s="283" t="str">
        <f ca="1">IFERROR(tblDépensesFonctionnement[[#This Row],[DIFFÉRENCE (€)]]/tblDépensesFonctionnement[[#This Row],[BUDGET]],"")</f>
        <v/>
      </c>
      <c r="K23" s="18"/>
    </row>
    <row r="24" spans="1:15">
      <c r="A24" s="18"/>
      <c r="B24" s="310" t="str">
        <f>IFERROR(tblDépensesFonctionnement[[#This Row],[RÉEL]]/tblDépensesFonctionnement[[#This Row],[BUDGET]],"")</f>
        <v/>
      </c>
      <c r="C24" s="300"/>
      <c r="D24" s="289"/>
      <c r="E24" s="290"/>
      <c r="F24" s="291"/>
      <c r="G24" s="296"/>
      <c r="H24" s="292"/>
      <c r="I24" s="297">
        <f>tblDépensesFonctionnement[[#This Row],[BUDGET]]-tblDépensesFonctionnement[[#This Row],[RÉEL]]</f>
        <v>0</v>
      </c>
      <c r="J24" s="285" t="str">
        <f>IFERROR(tblDépensesFonctionnement[[#This Row],[DIFFÉRENCE (€)]]/tblDépensesFonctionnement[[#This Row],[BUDGET]],"")</f>
        <v/>
      </c>
      <c r="K24" s="18"/>
    </row>
    <row r="25" spans="1:15">
      <c r="A25" s="18"/>
      <c r="B25" s="310" t="str">
        <f>IFERROR(tblDépensesFonctionnement[[#This Row],[RÉEL]]/tblDépensesFonctionnement[[#This Row],[BUDGET]],"")</f>
        <v/>
      </c>
      <c r="C25" s="300"/>
      <c r="D25" s="289"/>
      <c r="E25" s="295"/>
      <c r="F25" s="291"/>
      <c r="G25" s="296"/>
      <c r="H25" s="292"/>
      <c r="I25" s="297"/>
      <c r="J25" s="286" t="str">
        <f>IFERROR(tblDépensesFonctionnement[[#This Row],[DIFFÉRENCE (€)]]/tblDépensesFonctionnement[[#This Row],[BUDGET]],"")</f>
        <v/>
      </c>
      <c r="K25" s="18"/>
    </row>
    <row r="26" spans="1:15">
      <c r="A26" s="18"/>
      <c r="B26" s="309" t="str">
        <f>IFERROR(tblDépensesFonctionnement[[#This Row],[RÉEL]]/tblDépensesFonctionnement[[#This Row],[BUDGET]],"")</f>
        <v/>
      </c>
      <c r="C26" s="289"/>
      <c r="D26" s="289"/>
      <c r="E26" s="301"/>
      <c r="F26" s="302"/>
      <c r="G26" s="292"/>
      <c r="H26" s="292"/>
      <c r="I26" s="293">
        <f>tblDépensesFonctionnement[[#This Row],[BUDGET]]-tblDépensesFonctionnement[[#This Row],[RÉEL]]</f>
        <v>0</v>
      </c>
      <c r="J26" s="283" t="str">
        <f>IFERROR(tblDépensesFonctionnement[[#This Row],[DIFFÉRENCE (€)]]/tblDépensesFonctionnement[[#This Row],[BUDGET]],"")</f>
        <v/>
      </c>
      <c r="K26" s="18"/>
    </row>
    <row r="27" spans="1:15">
      <c r="A27" s="18"/>
      <c r="B27" s="309" t="str">
        <f>IFERROR(tblDépensesFonctionnement[[#This Row],[RÉEL]]/tblDépensesFonctionnement[[#This Row],[BUDGET]],"")</f>
        <v/>
      </c>
      <c r="C27" s="289"/>
      <c r="D27" s="289"/>
      <c r="E27" s="292"/>
      <c r="F27" s="292"/>
      <c r="G27" s="292"/>
      <c r="H27" s="292"/>
      <c r="I27" s="293">
        <f>tblDépensesFonctionnement[[#This Row],[BUDGET]]-tblDépensesFonctionnement[[#This Row],[RÉEL]]</f>
        <v>0</v>
      </c>
      <c r="J27" s="283" t="str">
        <f>IFERROR(tblDépensesFonctionnement[[#This Row],[DIFFÉRENCE (€)]]/tblDépensesFonctionnement[[#This Row],[BUDGET]],"")</f>
        <v/>
      </c>
      <c r="K27" s="18"/>
    </row>
    <row r="28" spans="1:15" ht="15.75">
      <c r="A28" s="18"/>
      <c r="B28" s="311" t="str">
        <f>IFERROR(tblDépensesFonctionnement[[#This Row],[RÉEL]]/tblDépensesFonctionnement[[#This Row],[BUDGET]],"")</f>
        <v/>
      </c>
      <c r="C28" s="308" t="s">
        <v>238</v>
      </c>
      <c r="D28" s="303"/>
      <c r="E28" s="304"/>
      <c r="F28" s="304"/>
      <c r="G28" s="304"/>
      <c r="H28" s="304"/>
      <c r="I28" s="305"/>
      <c r="J28" s="287" t="str">
        <f>IFERROR(tblDépensesFonctionnement[[#This Row],[DIFFÉRENCE (€)]]/tblDépensesFonctionnement[[#This Row],[BUDGET]],"")</f>
        <v/>
      </c>
      <c r="K28" s="18"/>
    </row>
    <row r="29" spans="1:15">
      <c r="A29" s="18"/>
      <c r="B29" s="309" t="str">
        <f>LEFT(tblDépensesFonctionnement[[#This Row],[FONCTIONNEMENT]],3)</f>
        <v>604</v>
      </c>
      <c r="C29" s="289" t="s">
        <v>93</v>
      </c>
      <c r="D29" s="289"/>
      <c r="E29" s="313" t="e">
        <f t="shared" ref="E29:E46" ca="1" si="0">SUMIF(INDIRECT("'"&amp;salon&amp;"'!A:A"),B29,INDIRECT("'"&amp;salon&amp;"'!C:C"))</f>
        <v>#REF!</v>
      </c>
      <c r="F29" s="306"/>
      <c r="G29" s="292"/>
      <c r="H29" s="292"/>
      <c r="I29" s="293" t="e">
        <f ca="1">tblDépensesFonctionnement[[#This Row],[BUDGET]]-tblDépensesFonctionnement[[#This Row],[RÉEL]]</f>
        <v>#REF!</v>
      </c>
      <c r="J29" s="283" t="str">
        <f ca="1">IFERROR(tblDépensesFonctionnement[[#This Row],[DIFFÉRENCE (€)]]/tblDépensesFonctionnement[[#This Row],[BUDGET]],"")</f>
        <v/>
      </c>
      <c r="K29" s="18"/>
    </row>
    <row r="30" spans="1:15">
      <c r="A30" s="18"/>
      <c r="B30" s="309" t="str">
        <f>LEFT(tblDépensesFonctionnement[[#This Row],[FONCTIONNEMENT]],3)</f>
        <v>605</v>
      </c>
      <c r="C30" s="289" t="s">
        <v>94</v>
      </c>
      <c r="D30" s="289"/>
      <c r="E30" s="312" t="e">
        <f t="shared" ca="1" si="0"/>
        <v>#REF!</v>
      </c>
      <c r="F30" s="291"/>
      <c r="G30" s="292"/>
      <c r="H30" s="292"/>
      <c r="I30" s="293" t="e">
        <f ca="1">tblDépensesFonctionnement[[#This Row],[BUDGET]]-tblDépensesFonctionnement[[#This Row],[RÉEL]]</f>
        <v>#REF!</v>
      </c>
      <c r="J30" s="283" t="str">
        <f ca="1">IFERROR(tblDépensesFonctionnement[[#This Row],[DIFFÉRENCE (€)]]/tblDépensesFonctionnement[[#This Row],[BUDGET]],"")</f>
        <v/>
      </c>
      <c r="K30" s="18"/>
    </row>
    <row r="31" spans="1:15">
      <c r="A31" s="18"/>
      <c r="B31" s="309" t="str">
        <f>LEFT(tblDépensesFonctionnement[[#This Row],[FONCTIONNEMENT]],3)</f>
        <v>606</v>
      </c>
      <c r="C31" s="289" t="s">
        <v>96</v>
      </c>
      <c r="D31" s="289"/>
      <c r="E31" s="312" t="e">
        <f t="shared" ca="1" si="0"/>
        <v>#REF!</v>
      </c>
      <c r="F31" s="291"/>
      <c r="G31" s="292"/>
      <c r="H31" s="292"/>
      <c r="I31" s="293" t="e">
        <f ca="1">tblDépensesFonctionnement[[#This Row],[BUDGET]]-tblDépensesFonctionnement[[#This Row],[RÉEL]]</f>
        <v>#REF!</v>
      </c>
      <c r="J31" s="283" t="str">
        <f ca="1">IFERROR(tblDépensesFonctionnement[[#This Row],[DIFFÉRENCE (€)]]/tblDépensesFonctionnement[[#This Row],[BUDGET]],"")</f>
        <v/>
      </c>
      <c r="K31" s="18"/>
    </row>
    <row r="32" spans="1:15">
      <c r="A32" s="18"/>
      <c r="B32" s="309" t="str">
        <f>LEFT(tblDépensesFonctionnement[[#This Row],[FONCTIONNEMENT]],3)</f>
        <v>607</v>
      </c>
      <c r="C32" s="289" t="s">
        <v>97</v>
      </c>
      <c r="D32" s="289"/>
      <c r="E32" s="312" t="e">
        <f t="shared" ca="1" si="0"/>
        <v>#REF!</v>
      </c>
      <c r="F32" s="291"/>
      <c r="G32" s="292"/>
      <c r="H32" s="292"/>
      <c r="I32" s="293" t="e">
        <f ca="1">tblDépensesFonctionnement[[#This Row],[BUDGET]]-tblDépensesFonctionnement[[#This Row],[RÉEL]]</f>
        <v>#REF!</v>
      </c>
      <c r="J32" s="283" t="str">
        <f ca="1">IFERROR(tblDépensesFonctionnement[[#This Row],[DIFFÉRENCE (€)]]/tblDépensesFonctionnement[[#This Row],[BUDGET]],"")</f>
        <v/>
      </c>
      <c r="K32" s="18"/>
    </row>
    <row r="33" spans="1:11">
      <c r="A33" s="18"/>
      <c r="B33" s="309" t="str">
        <f>LEFT(tblDépensesFonctionnement[[#This Row],[FONCTIONNEMENT]],3)</f>
        <v>613</v>
      </c>
      <c r="C33" s="289" t="s">
        <v>128</v>
      </c>
      <c r="D33" s="289"/>
      <c r="E33" s="312" t="e">
        <f t="shared" ca="1" si="0"/>
        <v>#REF!</v>
      </c>
      <c r="F33" s="291"/>
      <c r="G33" s="292"/>
      <c r="H33" s="292"/>
      <c r="I33" s="293" t="e">
        <f ca="1">tblDépensesFonctionnement[[#This Row],[BUDGET]]-tblDépensesFonctionnement[[#This Row],[RÉEL]]</f>
        <v>#REF!</v>
      </c>
      <c r="J33" s="283" t="str">
        <f ca="1">IFERROR(tblDépensesFonctionnement[[#This Row],[DIFFÉRENCE (€)]]/tblDépensesFonctionnement[[#This Row],[BUDGET]],"")</f>
        <v/>
      </c>
      <c r="K33" s="18"/>
    </row>
    <row r="34" spans="1:11">
      <c r="A34" s="18"/>
      <c r="B34" s="309" t="str">
        <f>LEFT(tblDépensesFonctionnement[[#This Row],[FONCTIONNEMENT]],3)</f>
        <v>615</v>
      </c>
      <c r="C34" s="289" t="s">
        <v>29</v>
      </c>
      <c r="D34" s="289"/>
      <c r="E34" s="312" t="e">
        <f t="shared" ca="1" si="0"/>
        <v>#REF!</v>
      </c>
      <c r="F34" s="291"/>
      <c r="G34" s="292"/>
      <c r="H34" s="292"/>
      <c r="I34" s="293" t="e">
        <f ca="1">tblDépensesFonctionnement[[#This Row],[BUDGET]]-tblDépensesFonctionnement[[#This Row],[RÉEL]]</f>
        <v>#REF!</v>
      </c>
      <c r="J34" s="283" t="str">
        <f ca="1">IFERROR(tblDépensesFonctionnement[[#This Row],[DIFFÉRENCE (€)]]/tblDépensesFonctionnement[[#This Row],[BUDGET]],"")</f>
        <v/>
      </c>
      <c r="K34" s="18"/>
    </row>
    <row r="35" spans="1:11">
      <c r="A35" s="18"/>
      <c r="B35" s="309" t="str">
        <f>LEFT(tblDépensesFonctionnement[[#This Row],[FONCTIONNEMENT]],3)</f>
        <v>616</v>
      </c>
      <c r="C35" s="289" t="s">
        <v>30</v>
      </c>
      <c r="D35" s="289"/>
      <c r="E35" s="312" t="e">
        <f t="shared" ca="1" si="0"/>
        <v>#REF!</v>
      </c>
      <c r="F35" s="291"/>
      <c r="G35" s="292"/>
      <c r="H35" s="292"/>
      <c r="I35" s="293" t="e">
        <f ca="1">tblDépensesFonctionnement[[#This Row],[BUDGET]]-tblDépensesFonctionnement[[#This Row],[RÉEL]]</f>
        <v>#REF!</v>
      </c>
      <c r="J35" s="283" t="str">
        <f ca="1">IFERROR(tblDépensesFonctionnement[[#This Row],[DIFFÉRENCE (€)]]/tblDépensesFonctionnement[[#This Row],[BUDGET]],"")</f>
        <v/>
      </c>
      <c r="K35" s="18"/>
    </row>
    <row r="36" spans="1:11">
      <c r="A36" s="18"/>
      <c r="B36" s="309" t="str">
        <f>LEFT(tblDépensesFonctionnement[[#This Row],[FONCTIONNEMENT]],3)</f>
        <v>617</v>
      </c>
      <c r="C36" s="289" t="s">
        <v>31</v>
      </c>
      <c r="D36" s="289"/>
      <c r="E36" s="312" t="e">
        <f t="shared" ca="1" si="0"/>
        <v>#REF!</v>
      </c>
      <c r="F36" s="291"/>
      <c r="G36" s="292"/>
      <c r="H36" s="292"/>
      <c r="I36" s="293" t="e">
        <f ca="1">tblDépensesFonctionnement[[#This Row],[BUDGET]]-tblDépensesFonctionnement[[#This Row],[RÉEL]]</f>
        <v>#REF!</v>
      </c>
      <c r="J36" s="283" t="str">
        <f ca="1">IFERROR(tblDépensesFonctionnement[[#This Row],[DIFFÉRENCE (€)]]/tblDépensesFonctionnement[[#This Row],[BUDGET]],"")</f>
        <v/>
      </c>
      <c r="K36" s="18"/>
    </row>
    <row r="37" spans="1:11">
      <c r="A37" s="18"/>
      <c r="B37" s="309" t="str">
        <f>LEFT(tblDépensesFonctionnement[[#This Row],[FONCTIONNEMENT]],3)</f>
        <v>618</v>
      </c>
      <c r="C37" s="289" t="s">
        <v>102</v>
      </c>
      <c r="D37" s="289"/>
      <c r="E37" s="312" t="e">
        <f t="shared" ca="1" si="0"/>
        <v>#REF!</v>
      </c>
      <c r="F37" s="291"/>
      <c r="G37" s="292"/>
      <c r="H37" s="292"/>
      <c r="I37" s="293" t="e">
        <f ca="1">tblDépensesFonctionnement[[#This Row],[BUDGET]]-tblDépensesFonctionnement[[#This Row],[RÉEL]]</f>
        <v>#REF!</v>
      </c>
      <c r="J37" s="283" t="str">
        <f ca="1">IFERROR(tblDépensesFonctionnement[[#This Row],[DIFFÉRENCE (€)]]/tblDépensesFonctionnement[[#This Row],[BUDGET]],"")</f>
        <v/>
      </c>
      <c r="K37" s="18"/>
    </row>
    <row r="38" spans="1:11">
      <c r="A38" s="18"/>
      <c r="B38" s="309" t="str">
        <f>LEFT(tblDépensesFonctionnement[[#This Row],[FONCTIONNEMENT]],3)</f>
        <v>622</v>
      </c>
      <c r="C38" s="289" t="s">
        <v>105</v>
      </c>
      <c r="D38" s="289"/>
      <c r="E38" s="312" t="e">
        <f t="shared" ca="1" si="0"/>
        <v>#REF!</v>
      </c>
      <c r="F38" s="291"/>
      <c r="G38" s="292"/>
      <c r="H38" s="292"/>
      <c r="I38" s="293" t="e">
        <f ca="1">tblDépensesFonctionnement[[#This Row],[BUDGET]]-tblDépensesFonctionnement[[#This Row],[RÉEL]]</f>
        <v>#REF!</v>
      </c>
      <c r="J38" s="283" t="str">
        <f ca="1">IFERROR(tblDépensesFonctionnement[[#This Row],[DIFFÉRENCE (€)]]/tblDépensesFonctionnement[[#This Row],[BUDGET]],"")</f>
        <v/>
      </c>
      <c r="K38" s="18"/>
    </row>
    <row r="39" spans="1:11">
      <c r="A39" s="18"/>
      <c r="B39" s="309" t="str">
        <f>LEFT(tblDépensesFonctionnement[[#This Row],[FONCTIONNEMENT]],3)</f>
        <v>626</v>
      </c>
      <c r="C39" s="289" t="s">
        <v>33</v>
      </c>
      <c r="D39" s="289"/>
      <c r="E39" s="312" t="e">
        <f t="shared" ca="1" si="0"/>
        <v>#REF!</v>
      </c>
      <c r="F39" s="291"/>
      <c r="G39" s="292"/>
      <c r="H39" s="292"/>
      <c r="I39" s="293" t="e">
        <f ca="1">tblDépensesFonctionnement[[#This Row],[BUDGET]]-tblDépensesFonctionnement[[#This Row],[RÉEL]]</f>
        <v>#REF!</v>
      </c>
      <c r="J39" s="283" t="str">
        <f ca="1">IFERROR(tblDépensesFonctionnement[[#This Row],[DIFFÉRENCE (€)]]/tblDépensesFonctionnement[[#This Row],[BUDGET]],"")</f>
        <v/>
      </c>
      <c r="K39" s="18"/>
    </row>
    <row r="40" spans="1:11">
      <c r="A40" s="18"/>
      <c r="B40" s="309" t="str">
        <f>LEFT(tblDépensesFonctionnement[[#This Row],[FONCTIONNEMENT]],3)</f>
        <v>628</v>
      </c>
      <c r="C40" s="289" t="s">
        <v>34</v>
      </c>
      <c r="D40" s="289"/>
      <c r="E40" s="312" t="e">
        <f t="shared" ca="1" si="0"/>
        <v>#REF!</v>
      </c>
      <c r="F40" s="291"/>
      <c r="G40" s="292"/>
      <c r="H40" s="292"/>
      <c r="I40" s="293" t="e">
        <f ca="1">tblDépensesFonctionnement[[#This Row],[BUDGET]]-tblDépensesFonctionnement[[#This Row],[RÉEL]]</f>
        <v>#REF!</v>
      </c>
      <c r="J40" s="283" t="str">
        <f ca="1">IFERROR(tblDépensesFonctionnement[[#This Row],[DIFFÉRENCE (€)]]/tblDépensesFonctionnement[[#This Row],[BUDGET]],"")</f>
        <v/>
      </c>
      <c r="K40" s="18"/>
    </row>
    <row r="41" spans="1:11">
      <c r="A41" s="18"/>
      <c r="B41" s="309" t="str">
        <f>LEFT(tblDépensesFonctionnement[[#This Row],[FONCTIONNEMENT]],3)</f>
        <v>631</v>
      </c>
      <c r="C41" s="289" t="s">
        <v>130</v>
      </c>
      <c r="D41" s="289"/>
      <c r="E41" s="312" t="e">
        <f t="shared" ca="1" si="0"/>
        <v>#REF!</v>
      </c>
      <c r="F41" s="291"/>
      <c r="G41" s="292"/>
      <c r="H41" s="292"/>
      <c r="I41" s="293" t="e">
        <f ca="1">tblDépensesFonctionnement[[#This Row],[BUDGET]]-tblDépensesFonctionnement[[#This Row],[RÉEL]]</f>
        <v>#REF!</v>
      </c>
      <c r="J41" s="283" t="str">
        <f ca="1">IFERROR(tblDépensesFonctionnement[[#This Row],[DIFFÉRENCE (€)]]/tblDépensesFonctionnement[[#This Row],[BUDGET]],"")</f>
        <v/>
      </c>
      <c r="K41" s="18"/>
    </row>
    <row r="42" spans="1:11">
      <c r="A42" s="18"/>
      <c r="B42" s="309" t="str">
        <f>LEFT(tblDépensesFonctionnement[[#This Row],[FONCTIONNEMENT]],3)</f>
        <v>635</v>
      </c>
      <c r="C42" s="289" t="s">
        <v>131</v>
      </c>
      <c r="D42" s="289"/>
      <c r="E42" s="312" t="e">
        <f t="shared" ca="1" si="0"/>
        <v>#REF!</v>
      </c>
      <c r="F42" s="291"/>
      <c r="G42" s="292"/>
      <c r="H42" s="292"/>
      <c r="I42" s="293" t="e">
        <f ca="1">tblDépensesFonctionnement[[#This Row],[BUDGET]]-tblDépensesFonctionnement[[#This Row],[RÉEL]]</f>
        <v>#REF!</v>
      </c>
      <c r="J42" s="283" t="str">
        <f ca="1">IFERROR(tblDépensesFonctionnement[[#This Row],[DIFFÉRENCE (€)]]/tblDépensesFonctionnement[[#This Row],[BUDGET]],"")</f>
        <v/>
      </c>
      <c r="K42" s="18"/>
    </row>
    <row r="43" spans="1:11">
      <c r="A43" s="18"/>
      <c r="B43" s="309" t="str">
        <f>LEFT(tblDépensesFonctionnement[[#This Row],[FONCTIONNEMENT]],3)</f>
        <v>641</v>
      </c>
      <c r="C43" s="289" t="s">
        <v>35</v>
      </c>
      <c r="D43" s="289"/>
      <c r="E43" s="312" t="e">
        <f t="shared" ca="1" si="0"/>
        <v>#REF!</v>
      </c>
      <c r="F43" s="291"/>
      <c r="G43" s="292"/>
      <c r="H43" s="292"/>
      <c r="I43" s="293" t="e">
        <f ca="1">tblDépensesFonctionnement[[#This Row],[BUDGET]]-tblDépensesFonctionnement[[#This Row],[RÉEL]]</f>
        <v>#REF!</v>
      </c>
      <c r="J43" s="283" t="str">
        <f ca="1">IFERROR(tblDépensesFonctionnement[[#This Row],[DIFFÉRENCE (€)]]/tblDépensesFonctionnement[[#This Row],[BUDGET]],"")</f>
        <v/>
      </c>
      <c r="K43" s="18"/>
    </row>
    <row r="44" spans="1:11">
      <c r="A44" s="18"/>
      <c r="B44" s="309" t="str">
        <f>LEFT(tblDépensesFonctionnement[[#This Row],[FONCTIONNEMENT]],3)</f>
        <v>645</v>
      </c>
      <c r="C44" s="289" t="s">
        <v>36</v>
      </c>
      <c r="D44" s="289"/>
      <c r="E44" s="312" t="e">
        <f t="shared" ca="1" si="0"/>
        <v>#REF!</v>
      </c>
      <c r="F44" s="291"/>
      <c r="G44" s="292"/>
      <c r="H44" s="292"/>
      <c r="I44" s="293" t="e">
        <f ca="1">tblDépensesFonctionnement[[#This Row],[BUDGET]]-tblDépensesFonctionnement[[#This Row],[RÉEL]]</f>
        <v>#REF!</v>
      </c>
      <c r="J44" s="283" t="str">
        <f ca="1">IFERROR(tblDépensesFonctionnement[[#This Row],[DIFFÉRENCE (€)]]/tblDépensesFonctionnement[[#This Row],[BUDGET]],"")</f>
        <v/>
      </c>
      <c r="K44" s="18"/>
    </row>
    <row r="45" spans="1:11">
      <c r="A45" s="18"/>
      <c r="B45" s="309" t="str">
        <f>LEFT(tblDépensesFonctionnement[[#This Row],[FONCTIONNEMENT]],3)</f>
        <v>661</v>
      </c>
      <c r="C45" s="289" t="s">
        <v>38</v>
      </c>
      <c r="D45" s="289"/>
      <c r="E45" s="312" t="e">
        <f t="shared" ca="1" si="0"/>
        <v>#REF!</v>
      </c>
      <c r="F45" s="291"/>
      <c r="G45" s="292"/>
      <c r="H45" s="292"/>
      <c r="I45" s="293" t="e">
        <f ca="1">tblDépensesFonctionnement[[#This Row],[BUDGET]]-tblDépensesFonctionnement[[#This Row],[RÉEL]]</f>
        <v>#REF!</v>
      </c>
      <c r="J45" s="283" t="str">
        <f ca="1">IFERROR(tblDépensesFonctionnement[[#This Row],[DIFFÉRENCE (€)]]/tblDépensesFonctionnement[[#This Row],[BUDGET]],"")</f>
        <v/>
      </c>
      <c r="K45" s="18"/>
    </row>
    <row r="46" spans="1:11">
      <c r="A46" s="18"/>
      <c r="B46" s="309" t="str">
        <f>LEFT(tblDépensesFonctionnement[[#This Row],[FONCTIONNEMENT]],3)</f>
        <v>681</v>
      </c>
      <c r="C46" s="289" t="s">
        <v>39</v>
      </c>
      <c r="D46" s="289"/>
      <c r="E46" s="314" t="e">
        <f t="shared" ca="1" si="0"/>
        <v>#REF!</v>
      </c>
      <c r="F46" s="302"/>
      <c r="G46" s="292"/>
      <c r="H46" s="292"/>
      <c r="I46" s="293" t="e">
        <f ca="1">tblDépensesFonctionnement[[#This Row],[BUDGET]]-tblDépensesFonctionnement[[#This Row],[RÉEL]]</f>
        <v>#REF!</v>
      </c>
      <c r="J46" s="283" t="str">
        <f ca="1">IFERROR(tblDépensesFonctionnement[[#This Row],[DIFFÉRENCE (€)]]/tblDépensesFonctionnement[[#This Row],[BUDGET]],"")</f>
        <v/>
      </c>
      <c r="K46" s="18"/>
    </row>
    <row r="47" spans="1:11">
      <c r="B47" s="284" t="str">
        <f>IFERROR(tblDépensesFonctionnement[[#This Row],[RÉEL]]/tblDépensesFonctionnement[[#This Row],[BUDGET]],"")</f>
        <v/>
      </c>
      <c r="C47" s="289"/>
      <c r="D47" s="289"/>
      <c r="E47" s="292"/>
      <c r="F47" s="292"/>
      <c r="G47" s="292"/>
      <c r="H47" s="292"/>
      <c r="I47" s="293">
        <f>tblDépensesFonctionnement[[#This Row],[BUDGET]]-tblDépensesFonctionnement[[#This Row],[RÉEL]]</f>
        <v>0</v>
      </c>
      <c r="J47" s="283" t="str">
        <f>IFERROR(tblDépensesFonctionnement[[#This Row],[DIFFÉRENCE (€)]]/tblDépensesFonctionnement[[#This Row],[BUDGET]],"")</f>
        <v/>
      </c>
    </row>
    <row r="48" spans="1:11">
      <c r="B48" s="284"/>
      <c r="C48" s="289" t="s">
        <v>237</v>
      </c>
      <c r="D48" s="289"/>
      <c r="E48" s="307" t="e">
        <f ca="1">SUBTOTAL(109,tblDépensesFonctionnement[BUDGET])</f>
        <v>#REF!</v>
      </c>
      <c r="F48" s="307"/>
      <c r="G48" s="307">
        <f>SUBTOTAL(109,tblDépensesFonctionnement[RÉEL])</f>
        <v>0</v>
      </c>
      <c r="H48" s="307">
        <f>SUBTOTAL(109,tblDépensesFonctionnement[Offert])</f>
        <v>0</v>
      </c>
      <c r="I48" s="307" t="e">
        <f ca="1">SUBTOTAL(109,tblDépensesFonctionnement[DIFFÉRENCE (€)])</f>
        <v>#REF!</v>
      </c>
      <c r="J48" s="288" t="str">
        <f ca="1">IFERROR(SUM(tblDépensesFonctionnement[[#Totals],[DIFFÉRENCE (€)]]/tblDépensesFonctionnement[[#Totals],[BUDGET]]),"")</f>
        <v/>
      </c>
    </row>
    <row r="49" spans="1:11">
      <c r="B49" s="645"/>
      <c r="C49" s="645"/>
      <c r="D49" s="645"/>
      <c r="E49" s="645"/>
      <c r="F49" s="645"/>
      <c r="G49" s="645"/>
    </row>
    <row r="51" spans="1:11" ht="15.75">
      <c r="A51" s="18"/>
      <c r="B51" s="316" t="str">
        <f>IFERROR(tblDépensesFonctionnement[[#This Row],[RÉEL]]/tblDépensesFonctionnement[[#This Row],[BUDGET]],"")</f>
        <v/>
      </c>
      <c r="C51" s="317" t="s">
        <v>242</v>
      </c>
      <c r="D51" s="318"/>
      <c r="E51" s="319"/>
      <c r="F51" s="319"/>
      <c r="G51" s="319"/>
      <c r="H51" s="319"/>
      <c r="I51" s="320"/>
      <c r="J51" s="321" t="str">
        <f>IFERROR(tblDépensesFonctionnement[[#This Row],[DIFFÉRENCE (€)]]/tblDépensesFonctionnement[[#This Row],[BUDGET]],"")</f>
        <v/>
      </c>
      <c r="K51" s="18"/>
    </row>
    <row r="52" spans="1:11">
      <c r="A52" s="18"/>
      <c r="B52" s="309"/>
      <c r="C52" s="289"/>
      <c r="D52" s="289"/>
      <c r="E52" s="313" t="e">
        <f ca="1">SUMIF(INDIRECT("'"&amp;salon&amp;"'!A:A"),B52,INDIRECT("'"&amp;salon&amp;"'!C:C"))</f>
        <v>#REF!</v>
      </c>
      <c r="F52" s="306"/>
      <c r="G52" s="292"/>
      <c r="H52" s="292"/>
      <c r="I52" s="293"/>
      <c r="J52" s="283" t="str">
        <f>IFERROR(tblDépensesFonctionnement[[#This Row],[DIFFÉRENCE (€)]]/tblDépensesFonctionnement[[#This Row],[BUDGET]],"")</f>
        <v/>
      </c>
      <c r="K52" s="18"/>
    </row>
    <row r="53" spans="1:11">
      <c r="A53" s="18"/>
      <c r="B53" s="309"/>
      <c r="C53" s="289"/>
      <c r="D53" s="289"/>
      <c r="E53" s="312" t="e">
        <f ca="1">SUMIF(INDIRECT("'"&amp;salon&amp;"'!A:A"),B53,INDIRECT("'"&amp;salon&amp;"'!C:C"))</f>
        <v>#REF!</v>
      </c>
      <c r="F53" s="291"/>
      <c r="G53" s="292"/>
      <c r="H53" s="292"/>
      <c r="I53" s="293"/>
      <c r="J53" s="283" t="str">
        <f>IFERROR(tblDépensesFonctionnement[[#This Row],[DIFFÉRENCE (€)]]/tblDépensesFonctionnement[[#This Row],[BUDGET]],"")</f>
        <v/>
      </c>
      <c r="K53" s="18"/>
    </row>
    <row r="54" spans="1:11">
      <c r="A54" s="18"/>
      <c r="B54" s="309"/>
      <c r="C54" s="289"/>
      <c r="D54" s="289"/>
      <c r="E54" s="312" t="e">
        <f ca="1">SUMIF(INDIRECT("'"&amp;salon&amp;"'!A:A"),B54,INDIRECT("'"&amp;salon&amp;"'!C:C"))</f>
        <v>#REF!</v>
      </c>
      <c r="F54" s="291"/>
      <c r="G54" s="292"/>
      <c r="H54" s="292"/>
      <c r="I54" s="293"/>
      <c r="J54" s="283" t="str">
        <f>IFERROR(tblDépensesFonctionnement[[#This Row],[DIFFÉRENCE (€)]]/tblDépensesFonctionnement[[#This Row],[BUDGET]],"")</f>
        <v/>
      </c>
      <c r="K54" s="18"/>
    </row>
    <row r="55" spans="1:11">
      <c r="A55" s="18"/>
      <c r="B55" s="309"/>
      <c r="C55" s="289"/>
      <c r="D55" s="289"/>
      <c r="E55" s="312" t="e">
        <f ca="1">SUMIF(INDIRECT("'"&amp;salon&amp;"'!A:A"),B55,INDIRECT("'"&amp;salon&amp;"'!C:C"))</f>
        <v>#REF!</v>
      </c>
      <c r="F55" s="291"/>
      <c r="G55" s="292"/>
      <c r="H55" s="292"/>
      <c r="I55" s="293"/>
      <c r="J55" s="283" t="str">
        <f>IFERROR(tblDépensesFonctionnement[[#This Row],[DIFFÉRENCE (€)]]/tblDépensesFonctionnement[[#This Row],[BUDGET]],"")</f>
        <v/>
      </c>
      <c r="K55" s="18"/>
    </row>
  </sheetData>
  <mergeCells count="2">
    <mergeCell ref="B49:G49"/>
    <mergeCell ref="D1:G1"/>
  </mergeCells>
  <conditionalFormatting sqref="J13:J47">
    <cfRule type="dataBar" priority="3">
      <dataBar>
        <cfvo type="min"/>
        <cfvo type="max"/>
        <color theme="4"/>
      </dataBar>
      <extLst>
        <ext xmlns:x14="http://schemas.microsoft.com/office/spreadsheetml/2009/9/main" uri="{B025F937-C7B1-47D3-B67F-A62EFF666E3E}">
          <x14:id>{E7CF6412-63D4-4C13-A541-067526062732}</x14:id>
        </ext>
      </extLst>
    </cfRule>
  </conditionalFormatting>
  <conditionalFormatting sqref="J51:J55">
    <cfRule type="dataBar" priority="1">
      <dataBar>
        <cfvo type="min"/>
        <cfvo type="max"/>
        <color theme="4"/>
      </dataBar>
      <extLst>
        <ext xmlns:x14="http://schemas.microsoft.com/office/spreadsheetml/2009/9/main" uri="{B025F937-C7B1-47D3-B67F-A62EFF666E3E}">
          <x14:id>{87C45F42-5FF9-4864-9D88-7AF5235E3ACB}</x14:id>
        </ext>
      </extLst>
    </cfRule>
  </conditionalFormatting>
  <dataValidations disablePrompts="1" count="1">
    <dataValidation type="list" allowBlank="1" showInputMessage="1" showErrorMessage="1" sqref="D1:G1" xr:uid="{00000000-0002-0000-0B00-000000000000}">
      <formula1>$O$1:$O$17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7CF6412-63D4-4C13-A541-067526062732}">
            <x14:dataBar minLength="0" maxLength="100" border="1" negativeBarBorderColorSameAsPositive="0" axisPosition="middle">
              <x14:cfvo type="min"/>
              <x14:cfvo type="max"/>
              <x14:borderColor theme="4"/>
              <x14:negativeFillColor theme="5"/>
              <x14:negativeBorderColor theme="5"/>
              <x14:axisColor theme="0" tint="-0.499984740745262"/>
            </x14:dataBar>
          </x14:cfRule>
          <xm:sqref>J13:J47</xm:sqref>
        </x14:conditionalFormatting>
        <x14:conditionalFormatting xmlns:xm="http://schemas.microsoft.com/office/excel/2006/main">
          <x14:cfRule type="dataBar" id="{87C45F42-5FF9-4864-9D88-7AF5235E3ACB}">
            <x14:dataBar minLength="0" maxLength="100" border="1" negativeBarBorderColorSameAsPositive="0" axisPosition="middle">
              <x14:cfvo type="min"/>
              <x14:cfvo type="max"/>
              <x14:borderColor theme="4"/>
              <x14:negativeFillColor theme="5"/>
              <x14:negativeBorderColor theme="5"/>
              <x14:axisColor theme="0" tint="-0.499984740745262"/>
            </x14:dataBar>
          </x14:cfRule>
          <xm:sqref>J51:J55</xm:sqref>
        </x14:conditionalFormatting>
        <x14:conditionalFormatting xmlns:xm="http://schemas.microsoft.com/office/excel/2006/main">
          <x14:cfRule type="iconSet" priority="2" id="{92F54FF0-4201-4A62-8E37-5A23DF627CC5}">
            <x14:iconSet iconSet="3Triangles" showValue="0" reverse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</x14:iconSet>
          </x14:cfRule>
          <xm:sqref>B48</xm:sqref>
        </x14:conditionalFormatting>
        <x14:conditionalFormatting xmlns:xm="http://schemas.microsoft.com/office/excel/2006/main">
          <x14:cfRule type="iconSet" priority="4" id="{87ED8ADA-86C2-4EA5-83AC-5493488127C1}">
            <x14:iconSet iconSet="3Triangles" showValue="0" reverse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</x14:iconSet>
          </x14:cfRule>
          <xm:sqref>B13 B47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>
    <tabColor rgb="FF00B050"/>
  </sheetPr>
  <dimension ref="A1:Q52"/>
  <sheetViews>
    <sheetView workbookViewId="0"/>
    <sheetView workbookViewId="1"/>
  </sheetViews>
  <sheetFormatPr baseColWidth="10" defaultRowHeight="15"/>
  <cols>
    <col min="1" max="1" width="4" bestFit="1" customWidth="1"/>
    <col min="2" max="2" width="52" customWidth="1"/>
    <col min="3" max="3" width="15.140625" style="31" customWidth="1"/>
    <col min="4" max="5" width="11.42578125" style="31"/>
    <col min="12" max="12" width="6.140625" customWidth="1"/>
    <col min="13" max="13" width="18.85546875" bestFit="1" customWidth="1"/>
    <col min="17" max="17" width="5.7109375" customWidth="1"/>
  </cols>
  <sheetData>
    <row r="1" spans="1:17">
      <c r="F1" s="240"/>
      <c r="Q1" s="244" t="s">
        <v>193</v>
      </c>
    </row>
    <row r="2" spans="1:17" ht="18.75">
      <c r="B2" s="222" t="s">
        <v>187</v>
      </c>
      <c r="C2" s="246" t="s">
        <v>194</v>
      </c>
      <c r="D2" s="248"/>
      <c r="E2" s="249"/>
      <c r="F2" s="249"/>
      <c r="Q2" s="243" t="s">
        <v>199</v>
      </c>
    </row>
    <row r="3" spans="1:17" ht="15" customHeight="1">
      <c r="B3" s="221" t="s">
        <v>87</v>
      </c>
      <c r="C3" s="247"/>
      <c r="D3" s="248"/>
      <c r="E3" s="249"/>
      <c r="F3" s="249"/>
      <c r="Q3" s="243" t="s">
        <v>142</v>
      </c>
    </row>
    <row r="4" spans="1:17">
      <c r="A4" t="str">
        <f t="shared" ref="A4:A21" si="0">LEFT(B4,3)</f>
        <v>604</v>
      </c>
      <c r="B4" s="223" t="s">
        <v>93</v>
      </c>
      <c r="C4" s="224">
        <f t="shared" ref="C4:C21" ca="1" si="1">SUMIF(INDIRECT("'"&amp;choix2&amp;"'!A:A"),A4,INDIRECT("'"&amp;choix2&amp;"'!C:C"))</f>
        <v>0</v>
      </c>
      <c r="F4" s="240"/>
      <c r="Q4" s="243" t="s">
        <v>200</v>
      </c>
    </row>
    <row r="5" spans="1:17">
      <c r="A5" t="str">
        <f t="shared" si="0"/>
        <v>605</v>
      </c>
      <c r="B5" s="125" t="s">
        <v>94</v>
      </c>
      <c r="C5" s="225">
        <f t="shared" ca="1" si="1"/>
        <v>0</v>
      </c>
      <c r="F5" s="240"/>
      <c r="Q5" s="243" t="s">
        <v>198</v>
      </c>
    </row>
    <row r="6" spans="1:17">
      <c r="A6" t="str">
        <f t="shared" si="0"/>
        <v>606</v>
      </c>
      <c r="B6" s="125" t="s">
        <v>96</v>
      </c>
      <c r="C6" s="225">
        <f t="shared" ca="1" si="1"/>
        <v>75.458250000000007</v>
      </c>
      <c r="F6" s="240"/>
      <c r="Q6" s="243" t="s">
        <v>183</v>
      </c>
    </row>
    <row r="7" spans="1:17">
      <c r="A7" t="str">
        <f t="shared" si="0"/>
        <v>607</v>
      </c>
      <c r="B7" s="121" t="s">
        <v>97</v>
      </c>
      <c r="C7" s="225">
        <f t="shared" ca="1" si="1"/>
        <v>0</v>
      </c>
      <c r="E7"/>
      <c r="Q7" s="243" t="s">
        <v>133</v>
      </c>
    </row>
    <row r="8" spans="1:17">
      <c r="A8" t="str">
        <f t="shared" si="0"/>
        <v>613</v>
      </c>
      <c r="B8" s="121" t="s">
        <v>128</v>
      </c>
      <c r="C8" s="225">
        <f t="shared" ca="1" si="1"/>
        <v>518.26812712500009</v>
      </c>
      <c r="Q8" s="243" t="s">
        <v>184</v>
      </c>
    </row>
    <row r="9" spans="1:17">
      <c r="A9" t="str">
        <f t="shared" si="0"/>
        <v>615</v>
      </c>
      <c r="B9" s="121" t="s">
        <v>29</v>
      </c>
      <c r="C9" s="225">
        <f t="shared" ca="1" si="1"/>
        <v>124.87107499999999</v>
      </c>
      <c r="Q9" s="243" t="s">
        <v>185</v>
      </c>
    </row>
    <row r="10" spans="1:17">
      <c r="A10" t="str">
        <f t="shared" si="0"/>
        <v>616</v>
      </c>
      <c r="B10" s="121" t="s">
        <v>30</v>
      </c>
      <c r="C10" s="225">
        <f t="shared" ca="1" si="1"/>
        <v>35.336217000000005</v>
      </c>
      <c r="Q10" s="243" t="s">
        <v>143</v>
      </c>
    </row>
    <row r="11" spans="1:17">
      <c r="A11" t="str">
        <f t="shared" si="0"/>
        <v>617</v>
      </c>
      <c r="B11" s="121" t="s">
        <v>31</v>
      </c>
      <c r="C11" s="225">
        <f t="shared" ca="1" si="1"/>
        <v>0</v>
      </c>
      <c r="Q11" s="243" t="s">
        <v>201</v>
      </c>
    </row>
    <row r="12" spans="1:17">
      <c r="A12" t="str">
        <f t="shared" si="0"/>
        <v>618</v>
      </c>
      <c r="B12" s="121" t="s">
        <v>102</v>
      </c>
      <c r="C12" s="225">
        <f t="shared" ca="1" si="1"/>
        <v>85.519350000000003</v>
      </c>
      <c r="Q12" s="243" t="s">
        <v>202</v>
      </c>
    </row>
    <row r="13" spans="1:17">
      <c r="A13" t="str">
        <f t="shared" si="0"/>
        <v>622</v>
      </c>
      <c r="B13" s="121" t="s">
        <v>105</v>
      </c>
      <c r="C13" s="225">
        <f t="shared" ca="1" si="1"/>
        <v>402.26781</v>
      </c>
      <c r="Q13" s="243" t="s">
        <v>194</v>
      </c>
    </row>
    <row r="14" spans="1:17">
      <c r="A14" t="str">
        <f t="shared" si="0"/>
        <v>626</v>
      </c>
      <c r="B14" s="121" t="s">
        <v>33</v>
      </c>
      <c r="C14" s="225">
        <f t="shared" ca="1" si="1"/>
        <v>78.492394750000003</v>
      </c>
      <c r="Q14" s="243" t="s">
        <v>197</v>
      </c>
    </row>
    <row r="15" spans="1:17">
      <c r="A15" t="str">
        <f t="shared" si="0"/>
        <v>628</v>
      </c>
      <c r="B15" s="121" t="s">
        <v>34</v>
      </c>
      <c r="C15" s="225">
        <f t="shared" ca="1" si="1"/>
        <v>183.21327500000001</v>
      </c>
      <c r="Q15" s="243" t="s">
        <v>195</v>
      </c>
    </row>
    <row r="16" spans="1:17">
      <c r="A16" t="str">
        <f t="shared" si="0"/>
        <v>631</v>
      </c>
      <c r="B16" s="121" t="s">
        <v>130</v>
      </c>
      <c r="C16" s="225">
        <f t="shared" ca="1" si="1"/>
        <v>0</v>
      </c>
      <c r="Q16" s="243" t="s">
        <v>144</v>
      </c>
    </row>
    <row r="17" spans="1:17">
      <c r="A17" t="str">
        <f t="shared" si="0"/>
        <v>635</v>
      </c>
      <c r="B17" s="121" t="s">
        <v>131</v>
      </c>
      <c r="C17" s="225">
        <f t="shared" ca="1" si="1"/>
        <v>37.975000000000009</v>
      </c>
      <c r="Q17" s="243" t="s">
        <v>196</v>
      </c>
    </row>
    <row r="18" spans="1:17">
      <c r="A18" t="str">
        <f t="shared" si="0"/>
        <v>641</v>
      </c>
      <c r="B18" s="121" t="s">
        <v>35</v>
      </c>
      <c r="C18" s="225">
        <f t="shared" ca="1" si="1"/>
        <v>7452.8</v>
      </c>
    </row>
    <row r="19" spans="1:17">
      <c r="A19" t="str">
        <f t="shared" si="0"/>
        <v>645</v>
      </c>
      <c r="B19" s="121" t="s">
        <v>36</v>
      </c>
      <c r="C19" s="225">
        <f t="shared" ca="1" si="1"/>
        <v>10.605</v>
      </c>
    </row>
    <row r="20" spans="1:17">
      <c r="A20" t="str">
        <f t="shared" si="0"/>
        <v>661</v>
      </c>
      <c r="B20" s="121" t="s">
        <v>38</v>
      </c>
      <c r="C20" s="225">
        <f t="shared" ca="1" si="1"/>
        <v>0</v>
      </c>
    </row>
    <row r="21" spans="1:17">
      <c r="A21" t="str">
        <f t="shared" si="0"/>
        <v>681</v>
      </c>
      <c r="B21" s="229" t="s">
        <v>39</v>
      </c>
      <c r="C21" s="226">
        <f t="shared" ca="1" si="1"/>
        <v>0</v>
      </c>
      <c r="F21" t="s">
        <v>205</v>
      </c>
    </row>
    <row r="22" spans="1:17">
      <c r="B22" s="227"/>
      <c r="C22" s="228">
        <f ca="1">SUM(C4:C21)</f>
        <v>9004.8064988749993</v>
      </c>
      <c r="F22" t="s">
        <v>206</v>
      </c>
    </row>
    <row r="23" spans="1:17">
      <c r="F23" t="s">
        <v>204</v>
      </c>
    </row>
    <row r="24" spans="1:17" ht="15.75">
      <c r="B24" s="222" t="s">
        <v>188</v>
      </c>
      <c r="F24" t="s">
        <v>207</v>
      </c>
    </row>
    <row r="25" spans="1:17">
      <c r="B25" s="221" t="s">
        <v>87</v>
      </c>
    </row>
    <row r="26" spans="1:17">
      <c r="A26" t="str">
        <f>LEFT(B26,3)</f>
        <v>611</v>
      </c>
      <c r="B26" s="223" t="s">
        <v>100</v>
      </c>
      <c r="C26" s="224">
        <f ca="1">SUMIF(INDIRECT("'"&amp;choix2&amp;"'!A:A"),A26,INDIRECT("'"&amp;choix2&amp;"'!C:C"))</f>
        <v>15035</v>
      </c>
    </row>
    <row r="27" spans="1:17">
      <c r="A27" t="str">
        <f>LEFT(B27,3)</f>
        <v>625</v>
      </c>
      <c r="B27" s="121" t="s">
        <v>32</v>
      </c>
      <c r="C27" s="225">
        <f ca="1">SUMIF(INDIRECT("'"&amp;choix2&amp;"'!A:A"),A27,INDIRECT("'"&amp;choix2&amp;"'!C:C"))</f>
        <v>586.32000000000005</v>
      </c>
      <c r="H27" s="15"/>
    </row>
    <row r="28" spans="1:17">
      <c r="A28">
        <v>623</v>
      </c>
      <c r="B28" s="145" t="s">
        <v>186</v>
      </c>
      <c r="C28" s="226">
        <f ca="1">SUMIF(INDIRECT("'"&amp;choix2&amp;"'!A:A"),A28,INDIRECT("'"&amp;choix2&amp;"'!C:C"))</f>
        <v>728.35660800000005</v>
      </c>
      <c r="E28" s="245" t="s">
        <v>58</v>
      </c>
      <c r="H28" s="15"/>
    </row>
    <row r="29" spans="1:17" ht="19.5" thickBot="1">
      <c r="C29" s="228">
        <f ca="1">SUM(C26:C28)</f>
        <v>16349.676608</v>
      </c>
      <c r="E29" s="237">
        <f ca="1">C29-E32</f>
        <v>16349.676608</v>
      </c>
      <c r="F29" s="242">
        <f ca="1">1-(E29/C29)</f>
        <v>0</v>
      </c>
      <c r="H29" s="15"/>
    </row>
    <row r="30" spans="1:17" ht="15.75" thickTop="1">
      <c r="B30" s="241" t="s">
        <v>17</v>
      </c>
      <c r="C30" s="31">
        <f ca="1">(C29+C22)-(INDIRECT("'"&amp;choix2&amp;"'!c55"))</f>
        <v>25354.483106874999</v>
      </c>
      <c r="H30" s="15"/>
    </row>
    <row r="31" spans="1:17" ht="24" thickBot="1">
      <c r="A31" s="230" t="s">
        <v>189</v>
      </c>
      <c r="H31" s="15"/>
    </row>
    <row r="32" spans="1:17" ht="17.25" thickTop="1" thickBot="1">
      <c r="B32" s="222" t="s">
        <v>188</v>
      </c>
      <c r="E32" s="236">
        <f>SUM(E34:E52)</f>
        <v>0</v>
      </c>
      <c r="H32" s="15"/>
    </row>
    <row r="33" spans="1:8" ht="15.75" thickTop="1">
      <c r="A33" s="221" t="s">
        <v>203</v>
      </c>
      <c r="B33" s="221" t="s">
        <v>87</v>
      </c>
      <c r="C33" s="233" t="s">
        <v>190</v>
      </c>
      <c r="D33" s="233" t="s">
        <v>191</v>
      </c>
      <c r="E33" s="233" t="s">
        <v>192</v>
      </c>
      <c r="H33" s="15"/>
    </row>
    <row r="34" spans="1:8">
      <c r="B34" s="231"/>
      <c r="C34" s="234"/>
      <c r="D34" s="238"/>
      <c r="E34" s="234">
        <f>D34*C34</f>
        <v>0</v>
      </c>
    </row>
    <row r="35" spans="1:8">
      <c r="B35" s="232"/>
      <c r="C35" s="235"/>
      <c r="D35" s="239"/>
      <c r="E35" s="235">
        <f t="shared" ref="E35:E52" si="2">D35*C35</f>
        <v>0</v>
      </c>
    </row>
    <row r="36" spans="1:8">
      <c r="B36" s="232"/>
      <c r="C36" s="235"/>
      <c r="D36" s="239"/>
      <c r="E36" s="235">
        <f t="shared" si="2"/>
        <v>0</v>
      </c>
    </row>
    <row r="37" spans="1:8">
      <c r="B37" s="232"/>
      <c r="C37" s="235"/>
      <c r="D37" s="239"/>
      <c r="E37" s="235">
        <f t="shared" si="2"/>
        <v>0</v>
      </c>
    </row>
    <row r="38" spans="1:8">
      <c r="B38" s="232"/>
      <c r="C38" s="235"/>
      <c r="D38" s="239"/>
      <c r="E38" s="235">
        <f t="shared" si="2"/>
        <v>0</v>
      </c>
    </row>
    <row r="39" spans="1:8">
      <c r="B39" s="232"/>
      <c r="C39" s="235"/>
      <c r="D39" s="239"/>
      <c r="E39" s="235">
        <f t="shared" si="2"/>
        <v>0</v>
      </c>
    </row>
    <row r="40" spans="1:8">
      <c r="B40" s="232"/>
      <c r="C40" s="235"/>
      <c r="D40" s="239"/>
      <c r="E40" s="235">
        <f t="shared" si="2"/>
        <v>0</v>
      </c>
    </row>
    <row r="41" spans="1:8">
      <c r="B41" s="232"/>
      <c r="C41" s="235"/>
      <c r="D41" s="239"/>
      <c r="E41" s="235">
        <f t="shared" si="2"/>
        <v>0</v>
      </c>
    </row>
    <row r="42" spans="1:8">
      <c r="B42" s="232"/>
      <c r="C42" s="235"/>
      <c r="D42" s="239"/>
      <c r="E42" s="235">
        <f t="shared" si="2"/>
        <v>0</v>
      </c>
    </row>
    <row r="43" spans="1:8">
      <c r="B43" s="232"/>
      <c r="C43" s="235"/>
      <c r="D43" s="239"/>
      <c r="E43" s="235">
        <f t="shared" si="2"/>
        <v>0</v>
      </c>
    </row>
    <row r="44" spans="1:8">
      <c r="B44" s="232"/>
      <c r="C44" s="235"/>
      <c r="D44" s="239"/>
      <c r="E44" s="235">
        <f t="shared" si="2"/>
        <v>0</v>
      </c>
    </row>
    <row r="45" spans="1:8">
      <c r="B45" s="232"/>
      <c r="C45" s="235"/>
      <c r="D45" s="239"/>
      <c r="E45" s="235">
        <f t="shared" si="2"/>
        <v>0</v>
      </c>
    </row>
    <row r="46" spans="1:8">
      <c r="B46" s="232"/>
      <c r="C46" s="235"/>
      <c r="D46" s="239"/>
      <c r="E46" s="235">
        <f t="shared" si="2"/>
        <v>0</v>
      </c>
    </row>
    <row r="47" spans="1:8">
      <c r="B47" s="232"/>
      <c r="C47" s="235"/>
      <c r="D47" s="239"/>
      <c r="E47" s="235">
        <f t="shared" si="2"/>
        <v>0</v>
      </c>
    </row>
    <row r="48" spans="1:8">
      <c r="B48" s="232"/>
      <c r="C48" s="235"/>
      <c r="D48" s="239"/>
      <c r="E48" s="235">
        <f t="shared" si="2"/>
        <v>0</v>
      </c>
    </row>
    <row r="49" spans="2:5">
      <c r="B49" s="232"/>
      <c r="C49" s="235"/>
      <c r="D49" s="239"/>
      <c r="E49" s="235">
        <f t="shared" si="2"/>
        <v>0</v>
      </c>
    </row>
    <row r="50" spans="2:5">
      <c r="B50" s="232"/>
      <c r="C50" s="235"/>
      <c r="D50" s="239"/>
      <c r="E50" s="235">
        <f t="shared" si="2"/>
        <v>0</v>
      </c>
    </row>
    <row r="51" spans="2:5">
      <c r="B51" s="232"/>
      <c r="C51" s="235"/>
      <c r="D51" s="239"/>
      <c r="E51" s="235">
        <f t="shared" si="2"/>
        <v>0</v>
      </c>
    </row>
    <row r="52" spans="2:5">
      <c r="B52" s="232"/>
      <c r="C52" s="235"/>
      <c r="D52" s="239"/>
      <c r="E52" s="235">
        <f t="shared" si="2"/>
        <v>0</v>
      </c>
    </row>
  </sheetData>
  <sortState ref="Q2:Q17">
    <sortCondition ref="Q2"/>
  </sortState>
  <dataValidations count="1">
    <dataValidation type="list" allowBlank="1" showInputMessage="1" showErrorMessage="1" sqref="C2:C3" xr:uid="{00000000-0002-0000-0C00-000000000000}">
      <formula1>liste_ope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2CBA4D4-23CE-4CF7-8B45-47529AB9CC5C}">
            <x14:iconSet iconSet="4Arrows" showValue="0" custom="1">
              <x14:cfvo type="percent">
                <xm:f>0</xm:f>
              </x14:cfvo>
              <x14:cfvo type="num">
                <xm:f>0.5</xm:f>
              </x14:cfvo>
              <x14:cfvo type="num">
                <xm:f>0.75</xm:f>
              </x14:cfvo>
              <x14:cfvo type="num">
                <xm:f>1</xm:f>
              </x14:cfvo>
              <x14:cfIcon iconSet="3Arrows" iconId="2"/>
              <x14:cfIcon iconSet="4Arrows" iconId="2"/>
              <x14:cfIcon iconSet="4Arrows" iconId="1"/>
              <x14:cfIcon iconSet="4RedToBlack" iconId="3"/>
            </x14:iconSet>
          </x14:cfRule>
          <xm:sqref>F29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8">
    <pageSetUpPr fitToPage="1"/>
  </sheetPr>
  <dimension ref="A1:I71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3" max="3" width="13" style="10" bestFit="1" customWidth="1"/>
    <col min="5" max="5" width="5.42578125" customWidth="1"/>
    <col min="6" max="6" width="33" bestFit="1" customWidth="1"/>
    <col min="7" max="7" width="11.85546875" style="10" bestFit="1" customWidth="1"/>
  </cols>
  <sheetData>
    <row r="1" spans="1:8" ht="39.7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Cellule Gds EV</v>
      </c>
      <c r="G1" s="371"/>
      <c r="H1" s="372"/>
    </row>
    <row r="2" spans="1:8" ht="15.75">
      <c r="B2" s="109"/>
      <c r="C2" s="214"/>
      <c r="D2" s="111"/>
      <c r="E2" s="110"/>
      <c r="F2" s="110"/>
      <c r="G2" s="214"/>
      <c r="H2" s="111"/>
    </row>
    <row r="3" spans="1:8">
      <c r="B3" s="112" t="s">
        <v>87</v>
      </c>
      <c r="C3" s="218" t="s">
        <v>88</v>
      </c>
      <c r="D3" s="114" t="s">
        <v>89</v>
      </c>
      <c r="E3" s="115"/>
      <c r="F3" s="112" t="s">
        <v>90</v>
      </c>
      <c r="G3" s="215" t="s">
        <v>88</v>
      </c>
      <c r="H3" s="114" t="s">
        <v>89</v>
      </c>
    </row>
    <row r="4" spans="1:8">
      <c r="B4" s="374" t="s">
        <v>91</v>
      </c>
      <c r="C4" s="375">
        <f>SUM(C5:C8)</f>
        <v>1061.8053749999999</v>
      </c>
      <c r="D4" s="376"/>
      <c r="E4" s="115"/>
      <c r="F4" s="374" t="s">
        <v>92</v>
      </c>
      <c r="G4" s="394" t="e">
        <f>SUM(G5:G44)</f>
        <v>#REF!</v>
      </c>
      <c r="H4" s="384"/>
    </row>
    <row r="5" spans="1:8">
      <c r="A5" t="str">
        <f>LEFT(B5,3)</f>
        <v>604</v>
      </c>
      <c r="B5" s="121" t="s">
        <v>93</v>
      </c>
      <c r="C5" s="396">
        <f>SUMIF('Recap dep rec'!$A:$A,A5,'Recap dep rec'!$W:$W)</f>
        <v>0</v>
      </c>
      <c r="D5" s="397">
        <f>C5/$C$67</f>
        <v>0</v>
      </c>
      <c r="E5" s="115"/>
      <c r="F5" s="123"/>
      <c r="G5" s="124"/>
      <c r="H5" s="122"/>
    </row>
    <row r="6" spans="1:8">
      <c r="A6" t="str">
        <f t="shared" ref="A6:A58" si="0">LEFT(B6,3)</f>
        <v>605</v>
      </c>
      <c r="B6" s="125" t="s">
        <v>94</v>
      </c>
      <c r="C6" s="396">
        <f>SUMIF('Recap dep rec'!$A:$A,A6,'Recap dep rec'!$W:$W)</f>
        <v>0</v>
      </c>
      <c r="D6" s="397">
        <f>C6/$C$67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rec'!$W:$W)</f>
        <v>1061.8053749999999</v>
      </c>
      <c r="D7" s="397">
        <f>C7/$C$67</f>
        <v>3.7034499436216254E-3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rec'!$W:$W)</f>
        <v>0</v>
      </c>
      <c r="D8" s="397">
        <f>C8/$C$67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SUM(C12:C21)</f>
        <v>85021.003072687512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rec'!$W:$W)</f>
        <v>70200</v>
      </c>
      <c r="D12" s="397">
        <f>C12/$C$67</f>
        <v>0.2448491900337556</v>
      </c>
      <c r="E12" s="115"/>
      <c r="F12" s="130"/>
      <c r="G12" s="124"/>
      <c r="H12" s="122"/>
    </row>
    <row r="13" spans="1:8">
      <c r="A13" t="s">
        <v>320</v>
      </c>
      <c r="B13" s="121" t="s">
        <v>100</v>
      </c>
      <c r="C13" s="396">
        <f>SUMIF('Recap dep rec'!$A:$A,A13,'Recap dep rec'!$W:$W)</f>
        <v>0</v>
      </c>
      <c r="D13" s="397">
        <f>C13/$C$67</f>
        <v>0</v>
      </c>
      <c r="E13" s="115"/>
      <c r="F13" s="130"/>
      <c r="G13" s="124"/>
      <c r="H13" s="122"/>
    </row>
    <row r="14" spans="1:8">
      <c r="A14" t="str">
        <f t="shared" si="0"/>
        <v>613</v>
      </c>
      <c r="B14" s="121" t="s">
        <v>128</v>
      </c>
      <c r="C14" s="396">
        <f>SUMIF('Recap dep rec'!$A:$A,A14,'Recap dep rec'!$W:$W)</f>
        <v>7292.7729316875002</v>
      </c>
      <c r="D14" s="397">
        <f t="shared" ref="D14:D16" si="1">C14/$C$67</f>
        <v>2.5436318310880082E-2</v>
      </c>
      <c r="E14" s="115"/>
      <c r="F14" s="131"/>
      <c r="G14" s="124"/>
      <c r="H14" s="122"/>
    </row>
    <row r="15" spans="1:8">
      <c r="A15" s="212">
        <v>614</v>
      </c>
      <c r="B15" s="121" t="s">
        <v>289</v>
      </c>
      <c r="C15" s="396">
        <f>SUMIF('Recap dep rec'!$A:$A,A15,'Recap dep rec'!$W:$W)</f>
        <v>2570.5052500000002</v>
      </c>
      <c r="D15" s="397">
        <f t="shared" si="1"/>
        <v>8.9656143652424008E-3</v>
      </c>
      <c r="E15" s="115"/>
      <c r="F15" s="131"/>
      <c r="G15" s="225"/>
      <c r="H15" s="397"/>
    </row>
    <row r="16" spans="1:8">
      <c r="A16" t="str">
        <f t="shared" si="0"/>
        <v>615</v>
      </c>
      <c r="B16" s="121" t="s">
        <v>29</v>
      </c>
      <c r="C16" s="396">
        <f>SUMIF('Recap dep rec'!$A:$A,A16,'Recap dep rec'!$W:$W)</f>
        <v>1757.1144124999998</v>
      </c>
      <c r="D16" s="397">
        <f t="shared" si="1"/>
        <v>6.1286045683370842E-3</v>
      </c>
      <c r="E16" s="115"/>
      <c r="F16" s="131"/>
      <c r="G16" s="225"/>
      <c r="H16" s="397"/>
    </row>
    <row r="17" spans="1:8">
      <c r="A17" t="str">
        <f t="shared" si="0"/>
        <v>616</v>
      </c>
      <c r="B17" s="121" t="s">
        <v>30</v>
      </c>
      <c r="C17" s="396">
        <f>SUMIF('Recap dep rec'!$A:$A,A17,'Recap dep rec'!$W:$W)</f>
        <v>497.23105349999997</v>
      </c>
      <c r="D17" s="397">
        <f>C17/$C$67</f>
        <v>1.734282346283561E-3</v>
      </c>
      <c r="E17" s="115" t="s">
        <v>338</v>
      </c>
      <c r="F17" s="123" t="s">
        <v>101</v>
      </c>
      <c r="G17" s="225" t="e">
        <f>+SUMIF('Recap dep rec'!#REF!,E17,'Recap dep rec'!$W$47:$W$56)</f>
        <v>#REF!</v>
      </c>
      <c r="H17" s="398" t="e">
        <f>G17/G67</f>
        <v>#REF!</v>
      </c>
    </row>
    <row r="18" spans="1:8">
      <c r="A18" t="str">
        <f t="shared" si="0"/>
        <v>617</v>
      </c>
      <c r="B18" s="121" t="s">
        <v>31</v>
      </c>
      <c r="C18" s="396">
        <f>SUMIF('Recap dep rec'!$A:$A,A18,'Recap dep rec'!$W:$W)</f>
        <v>0</v>
      </c>
      <c r="D18" s="397">
        <f>C18/$C$67</f>
        <v>0</v>
      </c>
      <c r="E18" s="115"/>
      <c r="F18" s="129"/>
      <c r="G18" s="225"/>
      <c r="H18" s="397"/>
    </row>
    <row r="19" spans="1:8">
      <c r="A19" t="s">
        <v>322</v>
      </c>
      <c r="B19" s="121" t="s">
        <v>31</v>
      </c>
      <c r="C19" s="396">
        <f>SUMIF('Recap dep rec'!$A:$A,A19,'Recap dep rec'!$W:$W)</f>
        <v>0</v>
      </c>
      <c r="D19" s="397">
        <f>C19/$C$67</f>
        <v>0</v>
      </c>
      <c r="E19" s="115"/>
      <c r="F19" s="129"/>
      <c r="G19" s="225"/>
      <c r="H19" s="397"/>
    </row>
    <row r="20" spans="1:8">
      <c r="A20" t="str">
        <f t="shared" si="0"/>
        <v>618</v>
      </c>
      <c r="B20" s="121" t="s">
        <v>102</v>
      </c>
      <c r="C20" s="396">
        <f>SUMIF('Recap dep rec'!$A:$A,A20,'Recap dep rec'!$W:$W)</f>
        <v>2703.3794250000001</v>
      </c>
      <c r="D20" s="397">
        <f>C20/$C$67</f>
        <v>9.4290635693044158E-3</v>
      </c>
      <c r="E20" s="115"/>
      <c r="F20" s="129"/>
      <c r="G20" s="225"/>
      <c r="H20" s="397"/>
    </row>
    <row r="21" spans="1:8">
      <c r="A21" t="s">
        <v>323</v>
      </c>
      <c r="B21" s="121" t="s">
        <v>102</v>
      </c>
      <c r="C21" s="396">
        <f>SUMIF('Recap dep rec'!$A:$A,A21,'Recap dep rec'!$W:$W)</f>
        <v>0</v>
      </c>
      <c r="D21" s="397">
        <f>C21/$C$67</f>
        <v>0</v>
      </c>
      <c r="E21" s="115"/>
      <c r="F21" s="131"/>
      <c r="G21" s="225"/>
      <c r="H21" s="397"/>
    </row>
    <row r="22" spans="1:8">
      <c r="A22" t="str">
        <f t="shared" si="0"/>
        <v/>
      </c>
      <c r="B22" s="121"/>
      <c r="C22" s="127"/>
      <c r="D22" s="122"/>
      <c r="E22" s="115" t="s">
        <v>311</v>
      </c>
      <c r="F22" s="132" t="s">
        <v>103</v>
      </c>
      <c r="G22" s="225"/>
      <c r="H22" s="397"/>
    </row>
    <row r="23" spans="1:8">
      <c r="A23" s="220"/>
      <c r="B23" s="380" t="s">
        <v>104</v>
      </c>
      <c r="C23" s="382">
        <f>SUM(C24:C34)</f>
        <v>52125.296602625</v>
      </c>
      <c r="D23" s="384"/>
      <c r="E23" s="115"/>
      <c r="F23" s="129"/>
      <c r="G23" s="225"/>
      <c r="H23" s="397"/>
    </row>
    <row r="24" spans="1:8">
      <c r="A24" t="str">
        <f t="shared" si="0"/>
        <v>622</v>
      </c>
      <c r="B24" s="121" t="s">
        <v>296</v>
      </c>
      <c r="C24" s="396">
        <f>SUMIF('Recap dep rec'!$A:$A,A24,'Recap dep rec'!$W:$W)</f>
        <v>14160.482754999999</v>
      </c>
      <c r="D24" s="397">
        <f>C24/$C$67</f>
        <v>4.9390067422346348E-2</v>
      </c>
      <c r="E24" s="115"/>
      <c r="F24" s="129"/>
      <c r="G24" s="225"/>
      <c r="H24" s="397"/>
    </row>
    <row r="25" spans="1:8">
      <c r="A25" t="s">
        <v>328</v>
      </c>
      <c r="B25" s="121" t="s">
        <v>296</v>
      </c>
      <c r="C25" s="396">
        <f>SUMIF('Recap dep rec'!$A:$A,A25,'Recap dep rec'!$W:$W)</f>
        <v>0</v>
      </c>
      <c r="D25" s="397">
        <f>C25/$C$67</f>
        <v>0</v>
      </c>
      <c r="E25" s="115"/>
      <c r="F25" s="129"/>
      <c r="G25" s="225"/>
      <c r="H25" s="397"/>
    </row>
    <row r="26" spans="1:8">
      <c r="A26" t="str">
        <f t="shared" si="0"/>
        <v>623</v>
      </c>
      <c r="B26" s="121" t="s">
        <v>107</v>
      </c>
      <c r="C26" s="396">
        <f>SUMIF('Recap dep rec'!$A:$A,A26,'Recap dep rec'!$W:$W)</f>
        <v>25249.017983999998</v>
      </c>
      <c r="D26" s="397">
        <f t="shared" ref="D26:D34" si="2">C26/$C$67</f>
        <v>8.8065549893591569E-2</v>
      </c>
      <c r="E26" s="115"/>
      <c r="F26" s="123" t="s">
        <v>108</v>
      </c>
      <c r="G26" s="225"/>
      <c r="H26" s="397"/>
    </row>
    <row r="27" spans="1:8">
      <c r="A27" t="s">
        <v>321</v>
      </c>
      <c r="B27" s="121" t="s">
        <v>107</v>
      </c>
      <c r="C27" s="396">
        <f>SUMIF('Recap dep rec'!$A:$A,A27,'Recap dep rec'!$W:$W)</f>
        <v>0</v>
      </c>
      <c r="D27" s="397">
        <f t="shared" si="2"/>
        <v>0</v>
      </c>
      <c r="E27" s="115"/>
      <c r="F27" s="123"/>
      <c r="G27" s="225"/>
      <c r="H27" s="397"/>
    </row>
    <row r="28" spans="1:8">
      <c r="A28" t="str">
        <f t="shared" si="0"/>
        <v>624</v>
      </c>
      <c r="B28" s="121" t="s">
        <v>295</v>
      </c>
      <c r="C28" s="396">
        <f>SUMIF('Recap dep rec'!$A:$A,A28,'Recap dep rec'!$W:$W)</f>
        <v>12.3125</v>
      </c>
      <c r="D28" s="397">
        <f t="shared" si="2"/>
        <v>4.2944524961404785E-5</v>
      </c>
      <c r="E28" s="115"/>
      <c r="F28" s="123"/>
      <c r="G28" s="225"/>
      <c r="H28" s="397"/>
    </row>
    <row r="29" spans="1:8">
      <c r="A29" t="str">
        <f t="shared" si="0"/>
        <v>625</v>
      </c>
      <c r="B29" s="121" t="s">
        <v>32</v>
      </c>
      <c r="C29" s="396">
        <f>SUMIF('Recap dep rec'!$A:$A,A29,'Recap dep rec'!$W:$W)</f>
        <v>8250.36</v>
      </c>
      <c r="D29" s="397">
        <f t="shared" si="2"/>
        <v>2.8776267286138121E-2</v>
      </c>
      <c r="E29" s="115"/>
      <c r="F29" s="129"/>
      <c r="G29" s="225"/>
      <c r="H29" s="397"/>
    </row>
    <row r="30" spans="1:8">
      <c r="A30" t="s">
        <v>319</v>
      </c>
      <c r="B30" s="121" t="s">
        <v>32</v>
      </c>
      <c r="C30" s="396">
        <f>SUMIF('Recap dep rec'!$A:$A,A30,'Recap dep rec'!$W:$W)</f>
        <v>0</v>
      </c>
      <c r="D30" s="397">
        <f t="shared" si="2"/>
        <v>0</v>
      </c>
      <c r="E30" s="115"/>
      <c r="F30" s="129"/>
      <c r="G30" s="225"/>
      <c r="H30" s="397"/>
    </row>
    <row r="31" spans="1:8">
      <c r="A31" t="str">
        <f t="shared" si="0"/>
        <v>626</v>
      </c>
      <c r="B31" s="121" t="s">
        <v>33</v>
      </c>
      <c r="C31" s="396">
        <f>SUMIF('Recap dep rec'!$A:$A,A31,'Recap dep rec'!$W:$W)</f>
        <v>1104.500126125</v>
      </c>
      <c r="D31" s="397">
        <f t="shared" si="2"/>
        <v>3.8523641207106429E-3</v>
      </c>
      <c r="E31" s="115"/>
      <c r="F31" s="129"/>
      <c r="G31" s="225"/>
      <c r="H31" s="397"/>
    </row>
    <row r="32" spans="1:8">
      <c r="A32" t="s">
        <v>324</v>
      </c>
      <c r="B32" s="121" t="s">
        <v>33</v>
      </c>
      <c r="C32" s="396">
        <f>SUMIF('Recap dep rec'!$A:$A,A32,'Recap dep rec'!$W:$W)</f>
        <v>0</v>
      </c>
      <c r="D32" s="397">
        <f t="shared" si="2"/>
        <v>0</v>
      </c>
      <c r="E32" s="115"/>
      <c r="F32" s="129"/>
      <c r="G32" s="225"/>
      <c r="H32" s="397"/>
    </row>
    <row r="33" spans="1:8">
      <c r="A33" t="str">
        <f t="shared" si="0"/>
        <v>627</v>
      </c>
      <c r="B33" s="121" t="s">
        <v>291</v>
      </c>
      <c r="C33" s="396">
        <f>SUMIF('Recap dep rec'!$A:$A,A33,'Recap dep rec'!$W:$W)</f>
        <v>770.55072499999994</v>
      </c>
      <c r="D33" s="397">
        <f t="shared" si="2"/>
        <v>2.687588616754603E-3</v>
      </c>
      <c r="E33" s="115"/>
      <c r="F33" s="129"/>
      <c r="G33" s="225"/>
      <c r="H33" s="397"/>
    </row>
    <row r="34" spans="1:8">
      <c r="A34" t="str">
        <f t="shared" si="0"/>
        <v>628</v>
      </c>
      <c r="B34" s="121" t="s">
        <v>34</v>
      </c>
      <c r="C34" s="396">
        <f>SUMIF('Recap dep rec'!$A:$A,A34,'Recap dep rec'!$W:$W)</f>
        <v>2578.0725124999999</v>
      </c>
      <c r="D34" s="397">
        <f t="shared" si="2"/>
        <v>8.9920080702836792E-3</v>
      </c>
      <c r="E34" s="115"/>
      <c r="F34" s="129"/>
      <c r="G34" s="124"/>
      <c r="H34" s="122"/>
    </row>
    <row r="35" spans="1:8">
      <c r="A35" t="str">
        <f t="shared" si="0"/>
        <v/>
      </c>
      <c r="B35" s="121"/>
      <c r="C35" s="127"/>
      <c r="D35" s="122"/>
      <c r="E35" s="115"/>
      <c r="F35" s="123" t="s">
        <v>182</v>
      </c>
      <c r="G35" s="124"/>
      <c r="H35" s="128">
        <f>G35/C67</f>
        <v>0</v>
      </c>
    </row>
    <row r="36" spans="1:8">
      <c r="A36" s="220"/>
      <c r="B36" s="380" t="s">
        <v>129</v>
      </c>
      <c r="C36" s="383">
        <f>SUM(C37:C38)</f>
        <v>534.36250000000007</v>
      </c>
      <c r="D36" s="138"/>
      <c r="E36" s="115"/>
      <c r="F36" s="123"/>
      <c r="G36" s="124"/>
      <c r="H36" s="122"/>
    </row>
    <row r="37" spans="1:8">
      <c r="A37" t="str">
        <f t="shared" si="0"/>
        <v>631</v>
      </c>
      <c r="B37" s="121" t="s">
        <v>130</v>
      </c>
      <c r="C37" s="396">
        <f>SUMIF('Recap dep rec'!$A:$A,A37,'Recap dep rec'!$W:$W)</f>
        <v>0</v>
      </c>
      <c r="D37" s="397">
        <f t="shared" ref="D37:D38" si="3">C37/$C$67</f>
        <v>0</v>
      </c>
      <c r="E37" s="115"/>
      <c r="F37" s="123"/>
      <c r="G37" s="124"/>
      <c r="H37" s="122"/>
    </row>
    <row r="38" spans="1:8">
      <c r="A38" t="str">
        <f t="shared" si="0"/>
        <v>635</v>
      </c>
      <c r="B38" s="121" t="s">
        <v>131</v>
      </c>
      <c r="C38" s="396">
        <f>SUMIF('Recap dep rec'!$A:$A,A38,'Recap dep rec'!$W:$W)</f>
        <v>534.36250000000007</v>
      </c>
      <c r="D38" s="397">
        <f t="shared" si="3"/>
        <v>1.8637923833249679E-3</v>
      </c>
      <c r="E38" s="115"/>
      <c r="F38" s="123"/>
      <c r="G38" s="124"/>
      <c r="H38" s="122"/>
    </row>
    <row r="39" spans="1:8">
      <c r="B39" s="121"/>
      <c r="C39" s="206"/>
      <c r="D39" s="122"/>
      <c r="E39" s="115"/>
      <c r="F39" s="123"/>
      <c r="G39" s="124"/>
      <c r="H39" s="122"/>
    </row>
    <row r="40" spans="1:8">
      <c r="A40" s="220"/>
      <c r="B40" s="380" t="s">
        <v>110</v>
      </c>
      <c r="C40" s="383">
        <f>SUM(C41:C43)</f>
        <v>147964.62750000003</v>
      </c>
      <c r="D40" s="387"/>
      <c r="E40" s="115"/>
      <c r="F40" s="129"/>
      <c r="G40" s="124"/>
      <c r="H40" s="122"/>
    </row>
    <row r="41" spans="1:8">
      <c r="A41" t="str">
        <f t="shared" si="0"/>
        <v>641</v>
      </c>
      <c r="B41" s="121" t="s">
        <v>35</v>
      </c>
      <c r="C41" s="396">
        <f>SUMIF('Recap dep rec'!$A:$A,A41,'Recap dep rec'!$W:$W)</f>
        <v>147815.40000000002</v>
      </c>
      <c r="D41" s="397">
        <f t="shared" ref="D41:D43" si="4">C41/$C$67</f>
        <v>0.51556240690193167</v>
      </c>
      <c r="E41" s="115"/>
      <c r="F41" s="129"/>
      <c r="G41" s="124"/>
      <c r="H41" s="122"/>
    </row>
    <row r="42" spans="1:8">
      <c r="A42" t="s">
        <v>326</v>
      </c>
      <c r="B42" s="121" t="s">
        <v>35</v>
      </c>
      <c r="C42" s="396">
        <f>SUMIF('Recap dep rec'!$A:$A,A42,'Recap dep rec'!$W:$W)</f>
        <v>0</v>
      </c>
      <c r="D42" s="397">
        <f t="shared" si="4"/>
        <v>0</v>
      </c>
      <c r="E42" s="115"/>
      <c r="F42" s="129"/>
      <c r="G42" s="124"/>
      <c r="H42" s="122"/>
    </row>
    <row r="43" spans="1:8">
      <c r="A43" t="str">
        <f t="shared" si="0"/>
        <v>645</v>
      </c>
      <c r="B43" s="121" t="s">
        <v>36</v>
      </c>
      <c r="C43" s="396">
        <f>SUMIF('Recap dep rec'!$A:$A,A43,'Recap dep rec'!$W:$W)</f>
        <v>149.22749999999999</v>
      </c>
      <c r="D43" s="397">
        <f t="shared" si="4"/>
        <v>5.2048764253222592E-4</v>
      </c>
      <c r="E43" s="115"/>
      <c r="F43" s="129"/>
      <c r="G43" s="124"/>
      <c r="H43" s="122"/>
    </row>
    <row r="44" spans="1:8">
      <c r="A44" t="str">
        <f t="shared" si="0"/>
        <v/>
      </c>
      <c r="B44" s="121"/>
      <c r="C44" s="127"/>
      <c r="D44" s="122"/>
      <c r="E44" s="115" t="s">
        <v>312</v>
      </c>
      <c r="F44" s="123" t="s">
        <v>111</v>
      </c>
      <c r="G44" s="124"/>
      <c r="H44" s="122"/>
    </row>
    <row r="45" spans="1:8">
      <c r="A45" s="220"/>
      <c r="B45" s="380" t="s">
        <v>297</v>
      </c>
      <c r="C45" s="383">
        <f>SUM(C46:C47)</f>
        <v>0</v>
      </c>
      <c r="D45" s="138"/>
      <c r="E45" s="115"/>
      <c r="F45" s="135"/>
      <c r="G45" s="124"/>
      <c r="H45" s="122"/>
    </row>
    <row r="46" spans="1:8">
      <c r="A46" s="212">
        <v>650</v>
      </c>
      <c r="B46" s="121" t="s">
        <v>37</v>
      </c>
      <c r="C46" s="396">
        <f>SUMIF('Recap dep rec'!$A:$A,A46,'Recap dep rec'!$W:$W)</f>
        <v>0</v>
      </c>
      <c r="D46" s="397">
        <f>C46/$C$67</f>
        <v>0</v>
      </c>
      <c r="E46" s="115"/>
      <c r="F46" s="135"/>
      <c r="G46" s="124"/>
      <c r="H46" s="122"/>
    </row>
    <row r="47" spans="1:8">
      <c r="A47" t="s">
        <v>325</v>
      </c>
      <c r="B47" s="121" t="s">
        <v>37</v>
      </c>
      <c r="C47" s="396">
        <f>SUMIF('Recap dep rec'!$A:$A,A47,'Recap dep rec'!$W:$W)</f>
        <v>0</v>
      </c>
      <c r="D47" s="397">
        <f>C47/$C$67</f>
        <v>0</v>
      </c>
      <c r="E47" s="115"/>
      <c r="F47" s="135"/>
      <c r="G47" s="124"/>
      <c r="H47" s="122"/>
    </row>
    <row r="48" spans="1:8">
      <c r="A48" t="str">
        <f t="shared" si="0"/>
        <v/>
      </c>
      <c r="B48" s="121"/>
      <c r="C48" s="127"/>
      <c r="D48" s="122"/>
      <c r="E48" s="115"/>
      <c r="F48" s="136" t="s">
        <v>112</v>
      </c>
      <c r="G48" s="137" t="e">
        <f>SUM(G49:G65)</f>
        <v>#REF!</v>
      </c>
      <c r="H48" s="170" t="e">
        <f>G48/G67</f>
        <v>#REF!</v>
      </c>
    </row>
    <row r="49" spans="1:8">
      <c r="A49" s="220"/>
      <c r="B49" s="380" t="s">
        <v>113</v>
      </c>
      <c r="C49" s="383">
        <f>SUM(C50:C51)</f>
        <v>0</v>
      </c>
      <c r="D49" s="138"/>
      <c r="E49" s="115"/>
      <c r="F49" s="121"/>
      <c r="G49" s="124"/>
      <c r="H49" s="122"/>
    </row>
    <row r="50" spans="1:8">
      <c r="A50" t="str">
        <f t="shared" si="0"/>
        <v>661</v>
      </c>
      <c r="B50" s="121" t="s">
        <v>38</v>
      </c>
      <c r="C50" s="396">
        <f>SUMIF('Recap dep rec'!$A:$A,A50,'Recap dep rec'!$W:$W)</f>
        <v>0</v>
      </c>
      <c r="D50" s="397">
        <f>C50/$C$67</f>
        <v>0</v>
      </c>
      <c r="E50" s="115"/>
      <c r="F50" s="123" t="s">
        <v>114</v>
      </c>
      <c r="G50" s="402"/>
      <c r="H50" s="400"/>
    </row>
    <row r="51" spans="1:8">
      <c r="A51" t="str">
        <f t="shared" si="0"/>
        <v>666</v>
      </c>
      <c r="B51" s="121" t="s">
        <v>292</v>
      </c>
      <c r="C51" s="396">
        <f>SUMIF('Recap dep rec'!$A:$A,A51,'Recap dep rec'!$W:$W)</f>
        <v>0</v>
      </c>
      <c r="D51" s="397">
        <f>C51/$C$67</f>
        <v>0</v>
      </c>
      <c r="E51" s="115" t="s">
        <v>339</v>
      </c>
      <c r="F51" s="121" t="s">
        <v>52</v>
      </c>
      <c r="G51" s="225" t="e">
        <f>+SUMIF('Recap dep rec'!#REF!,E51,'Recap dep rec'!$W$47:$W$56)</f>
        <v>#REF!</v>
      </c>
      <c r="H51" s="400" t="e">
        <f>G51/$C$67</f>
        <v>#REF!</v>
      </c>
    </row>
    <row r="52" spans="1:8">
      <c r="A52" t="str">
        <f t="shared" si="0"/>
        <v/>
      </c>
      <c r="B52" s="121"/>
      <c r="C52" s="127"/>
      <c r="D52" s="122"/>
      <c r="E52" s="115"/>
      <c r="F52" s="121"/>
      <c r="G52" s="403"/>
      <c r="H52" s="397"/>
    </row>
    <row r="53" spans="1:8">
      <c r="A53" s="220"/>
      <c r="B53" s="380" t="s">
        <v>309</v>
      </c>
      <c r="C53" s="383">
        <f>C54</f>
        <v>0</v>
      </c>
      <c r="D53" s="138"/>
      <c r="E53" s="115"/>
      <c r="F53" s="121"/>
      <c r="G53" s="403"/>
      <c r="H53" s="397"/>
    </row>
    <row r="54" spans="1:8">
      <c r="A54" t="str">
        <f t="shared" si="0"/>
        <v>678</v>
      </c>
      <c r="B54" s="121" t="s">
        <v>308</v>
      </c>
      <c r="C54" s="396">
        <f>SUMIF('Recap dep rec'!$A:$A,A54,'Recap dep rec'!$W:$W)</f>
        <v>0</v>
      </c>
      <c r="D54" s="397">
        <f>C54/$C$67</f>
        <v>0</v>
      </c>
      <c r="E54" s="115"/>
      <c r="F54" s="121"/>
      <c r="G54" s="403"/>
      <c r="H54" s="397"/>
    </row>
    <row r="55" spans="1:8">
      <c r="B55" s="121"/>
      <c r="C55" s="127"/>
      <c r="D55" s="122"/>
      <c r="E55" s="115">
        <v>756</v>
      </c>
      <c r="F55" s="121" t="s">
        <v>345</v>
      </c>
      <c r="G55" s="225" t="e">
        <f>+SUMIF('Recap dep rec'!#REF!,E55,'Recap dep rec'!$W$47:$W$56)</f>
        <v>#REF!</v>
      </c>
      <c r="H55" s="400" t="e">
        <f>G55/$C$67</f>
        <v>#REF!</v>
      </c>
    </row>
    <row r="56" spans="1:8">
      <c r="A56" s="220"/>
      <c r="B56" s="380" t="s">
        <v>116</v>
      </c>
      <c r="C56" s="383">
        <f>SUM(C57:C58)</f>
        <v>0</v>
      </c>
      <c r="D56" s="138"/>
      <c r="E56" s="115" t="s">
        <v>340</v>
      </c>
      <c r="F56" s="121" t="s">
        <v>344</v>
      </c>
      <c r="G56" s="225" t="e">
        <f>+SUMIF('Recap dep rec'!#REF!,E56,'Recap dep rec'!$W$47:$W$56)</f>
        <v>#REF!</v>
      </c>
      <c r="H56" s="400" t="e">
        <f>G56/$C$67</f>
        <v>#REF!</v>
      </c>
    </row>
    <row r="57" spans="1:8">
      <c r="B57" s="380" t="s">
        <v>117</v>
      </c>
      <c r="C57" s="399"/>
      <c r="D57" s="397"/>
      <c r="E57" s="115" t="s">
        <v>341</v>
      </c>
      <c r="F57" s="121" t="s">
        <v>118</v>
      </c>
      <c r="G57" s="225" t="e">
        <f>+SUMIF('Recap dep rec'!#REF!,E57,'Recap dep rec'!$W$47:$W$56)</f>
        <v>#REF!</v>
      </c>
      <c r="H57" s="400" t="e">
        <f>G57/$C$67</f>
        <v>#REF!</v>
      </c>
    </row>
    <row r="58" spans="1:8">
      <c r="A58" t="str">
        <f t="shared" si="0"/>
        <v>681</v>
      </c>
      <c r="B58" s="140" t="s">
        <v>39</v>
      </c>
      <c r="C58" s="396">
        <f>SUMIF('Recap dep rec'!$A:$A,A58,'Recap dep rec'!$W:$W)</f>
        <v>0</v>
      </c>
      <c r="D58" s="397">
        <f>C58/$C$67</f>
        <v>0</v>
      </c>
      <c r="E58" s="115"/>
      <c r="F58" s="121"/>
      <c r="G58" s="225"/>
      <c r="H58" s="397"/>
    </row>
    <row r="59" spans="1:8">
      <c r="B59" s="121" t="s">
        <v>119</v>
      </c>
      <c r="C59" s="399"/>
      <c r="D59" s="397"/>
      <c r="E59" s="115"/>
      <c r="F59" s="121"/>
      <c r="G59" s="225"/>
      <c r="H59" s="397"/>
    </row>
    <row r="60" spans="1:8">
      <c r="B60" s="140"/>
      <c r="C60" s="399"/>
      <c r="D60" s="397"/>
      <c r="E60" s="115"/>
      <c r="F60" s="123"/>
      <c r="G60" s="225"/>
      <c r="H60" s="397"/>
    </row>
    <row r="61" spans="1:8">
      <c r="B61" s="140"/>
      <c r="C61" s="127"/>
      <c r="D61" s="122"/>
      <c r="E61" s="115"/>
      <c r="F61" s="123" t="s">
        <v>120</v>
      </c>
      <c r="G61" s="402"/>
      <c r="H61" s="401"/>
    </row>
    <row r="62" spans="1:8" ht="15.75">
      <c r="A62" s="220"/>
      <c r="B62" s="503" t="s">
        <v>352</v>
      </c>
      <c r="C62" s="382"/>
      <c r="D62" s="384"/>
      <c r="E62" s="115"/>
      <c r="F62" s="123" t="s">
        <v>122</v>
      </c>
      <c r="G62" s="225">
        <f>+C65</f>
        <v>0</v>
      </c>
      <c r="H62" s="397"/>
    </row>
    <row r="63" spans="1:8" ht="15.75">
      <c r="A63" s="220" t="s">
        <v>327</v>
      </c>
      <c r="B63" s="504" t="s">
        <v>181</v>
      </c>
      <c r="C63" s="381">
        <f>SUM(C64:C65)</f>
        <v>0</v>
      </c>
      <c r="D63" s="138">
        <f t="shared" ref="D63:D65" si="5">C63/$C$67</f>
        <v>0</v>
      </c>
      <c r="E63" s="144"/>
      <c r="F63" s="123" t="s">
        <v>123</v>
      </c>
      <c r="G63" s="124"/>
      <c r="H63" s="122"/>
    </row>
    <row r="64" spans="1:8" ht="15.75">
      <c r="B64" s="121"/>
      <c r="C64" s="396"/>
      <c r="D64" s="397">
        <f t="shared" si="5"/>
        <v>0</v>
      </c>
      <c r="E64" s="144" t="s">
        <v>349</v>
      </c>
      <c r="F64" s="121" t="s">
        <v>125</v>
      </c>
      <c r="G64" s="225" t="e">
        <f>+SUMIF('Recap dep rec'!#REF!,E64,'Recap dep rec'!$W$47:$W$56)</f>
        <v>#REF!</v>
      </c>
      <c r="H64" s="122"/>
    </row>
    <row r="65" spans="1:9">
      <c r="A65" t="s">
        <v>349</v>
      </c>
      <c r="B65" s="121" t="s">
        <v>5</v>
      </c>
      <c r="C65" s="396">
        <f>SUMIF('Recap dep rec'!$A:$A,A65,'Recap dep rec'!$W:$W)</f>
        <v>0</v>
      </c>
      <c r="D65" s="397">
        <f t="shared" si="5"/>
        <v>0</v>
      </c>
      <c r="F65" s="121"/>
      <c r="G65" s="124"/>
      <c r="H65" s="122"/>
    </row>
    <row r="66" spans="1:9">
      <c r="B66" s="145"/>
      <c r="C66" s="207"/>
      <c r="D66" s="147"/>
      <c r="F66" s="121"/>
      <c r="G66" s="124"/>
      <c r="H66" s="122"/>
    </row>
    <row r="67" spans="1:9">
      <c r="B67" s="148" t="s">
        <v>126</v>
      </c>
      <c r="C67" s="149">
        <f>C62+C63+C56+C49+C45+C40+C36+C23+C11+C4+C53</f>
        <v>286707.09505031252</v>
      </c>
      <c r="D67" s="150"/>
      <c r="F67" s="148" t="s">
        <v>127</v>
      </c>
      <c r="G67" s="151" t="e">
        <f>+G48+G4</f>
        <v>#REF!</v>
      </c>
      <c r="H67" s="150"/>
      <c r="I67" s="31" t="e">
        <f>G67-C67</f>
        <v>#REF!</v>
      </c>
    </row>
    <row r="68" spans="1:9">
      <c r="B68" s="115"/>
      <c r="C68" s="216">
        <f>C67-'Recap dep rec'!W43</f>
        <v>-20989.924999999988</v>
      </c>
      <c r="D68" s="153"/>
      <c r="F68" s="115"/>
      <c r="G68" s="216"/>
      <c r="H68" s="154"/>
    </row>
    <row r="69" spans="1:9" ht="15.75">
      <c r="B69" s="502" t="s">
        <v>374</v>
      </c>
      <c r="C69" s="217"/>
      <c r="D69" s="156"/>
      <c r="F69" s="144"/>
      <c r="G69" s="217"/>
      <c r="H69" s="154"/>
    </row>
    <row r="70" spans="1:9" ht="15.75">
      <c r="B70" s="502" t="s">
        <v>181</v>
      </c>
      <c r="C70" s="217"/>
      <c r="D70" s="156"/>
      <c r="F70" s="144"/>
      <c r="G70" s="217"/>
      <c r="H70" s="153"/>
    </row>
    <row r="71" spans="1:9" ht="15.75">
      <c r="D71" s="35"/>
      <c r="H71" s="156"/>
    </row>
  </sheetData>
  <pageMargins left="0.7" right="0.7" top="0.75" bottom="0.75" header="0.3" footer="0.3"/>
  <pageSetup paperSize="9" scale="56" fitToHeight="0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6E0DA-B049-4673-9DEC-42D0EAED5134}">
  <sheetPr>
    <tabColor rgb="FFFFFF00"/>
  </sheetPr>
  <dimension ref="A1:H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3" max="3" width="12" style="31" bestFit="1" customWidth="1"/>
    <col min="4" max="4" width="11.42578125" style="29"/>
    <col min="5" max="5" width="5.42578125" customWidth="1"/>
    <col min="6" max="6" width="33" bestFit="1" customWidth="1"/>
    <col min="8" max="8" width="11.42578125" style="29"/>
  </cols>
  <sheetData>
    <row r="1" spans="1:8" ht="31.5">
      <c r="B1" s="370" t="s">
        <v>298</v>
      </c>
      <c r="C1" s="501"/>
      <c r="D1" s="505"/>
      <c r="E1" s="371"/>
      <c r="F1" s="373" t="str">
        <f ca="1">RIGHT(CELL("nomfichier",A1),LEN(CELL("nomfichier",A1))-FIND("]",CELL("nomfichier",A1)))</f>
        <v>ACTIONS 2019</v>
      </c>
      <c r="G1" s="371"/>
      <c r="H1" s="512"/>
    </row>
    <row r="2" spans="1:8" ht="15.75">
      <c r="B2" s="109"/>
      <c r="C2" s="203"/>
      <c r="D2" s="506"/>
      <c r="E2" s="110"/>
      <c r="F2" s="110"/>
      <c r="G2" s="110"/>
      <c r="H2" s="506"/>
    </row>
    <row r="3" spans="1:8">
      <c r="B3" s="112" t="s">
        <v>87</v>
      </c>
      <c r="C3" s="204" t="s">
        <v>88</v>
      </c>
      <c r="D3" s="507" t="s">
        <v>89</v>
      </c>
      <c r="E3" s="115"/>
      <c r="F3" s="112" t="s">
        <v>90</v>
      </c>
      <c r="G3" s="112" t="s">
        <v>88</v>
      </c>
      <c r="H3" s="507" t="s">
        <v>89</v>
      </c>
    </row>
    <row r="4" spans="1:8">
      <c r="B4" s="374" t="s">
        <v>91</v>
      </c>
      <c r="C4" s="375">
        <f>+'Actions 1er Sem 2019'!C4+'Actions 2e Sem 2019'!C4</f>
        <v>1417.5371249999998</v>
      </c>
      <c r="D4" s="508">
        <f>+C4/$C$60</f>
        <v>1.8316702095722427E-3</v>
      </c>
      <c r="E4" s="115"/>
      <c r="F4" s="374" t="s">
        <v>351</v>
      </c>
      <c r="G4" s="375" t="e">
        <f>+'Actions 1er Sem 2019'!G4+'Actions 2e Sem 2019'!G4</f>
        <v>#REF!</v>
      </c>
      <c r="H4" s="494" t="e">
        <f>+G4/$G$60</f>
        <v>#REF!</v>
      </c>
    </row>
    <row r="5" spans="1:8">
      <c r="A5" t="str">
        <f>LEFT(B5,3)</f>
        <v>604</v>
      </c>
      <c r="B5" s="121" t="s">
        <v>93</v>
      </c>
      <c r="C5" s="396">
        <f>+'Actions 1er Sem 2019'!C5+'Actions 2e Sem 2019'!C5</f>
        <v>0</v>
      </c>
      <c r="D5" s="398"/>
      <c r="E5" s="115"/>
      <c r="F5" s="123"/>
      <c r="G5" s="124"/>
      <c r="H5" s="128"/>
    </row>
    <row r="6" spans="1:8">
      <c r="A6" t="str">
        <f t="shared" ref="A6:A51" si="0">LEFT(B6,3)</f>
        <v>605</v>
      </c>
      <c r="B6" s="125" t="s">
        <v>94</v>
      </c>
      <c r="C6" s="396">
        <f>+'Actions 1er Sem 2019'!C6+'Actions 2e Sem 2019'!C6</f>
        <v>0</v>
      </c>
      <c r="D6" s="398"/>
      <c r="E6" s="115"/>
      <c r="F6" s="123" t="s">
        <v>95</v>
      </c>
      <c r="G6" s="225">
        <f>+'Actions 1er Sem 2019'!G6+'Actions 2e Sem 2019'!G6</f>
        <v>0</v>
      </c>
      <c r="H6" s="513"/>
    </row>
    <row r="7" spans="1:8">
      <c r="A7" t="str">
        <f t="shared" si="0"/>
        <v>606</v>
      </c>
      <c r="B7" s="125" t="s">
        <v>96</v>
      </c>
      <c r="C7" s="396">
        <f>+'Actions 1er Sem 2019'!C7+'Actions 2e Sem 2019'!C7</f>
        <v>1417.5371249999998</v>
      </c>
      <c r="D7" s="398"/>
      <c r="E7" s="115"/>
      <c r="F7" s="129"/>
      <c r="G7" s="124"/>
      <c r="H7" s="128"/>
    </row>
    <row r="8" spans="1:8">
      <c r="A8" t="str">
        <f t="shared" si="0"/>
        <v>607</v>
      </c>
      <c r="B8" s="121" t="s">
        <v>97</v>
      </c>
      <c r="C8" s="396">
        <f>+'Actions 1er Sem 2019'!C8+'Actions 2e Sem 2019'!C8</f>
        <v>0</v>
      </c>
      <c r="D8" s="398"/>
      <c r="E8" s="115"/>
      <c r="F8" s="129"/>
      <c r="G8" s="124"/>
      <c r="H8" s="128"/>
    </row>
    <row r="9" spans="1:8">
      <c r="A9" t="str">
        <f t="shared" si="0"/>
        <v/>
      </c>
      <c r="B9" s="121"/>
      <c r="C9" s="127"/>
      <c r="D9" s="128"/>
      <c r="E9" s="115"/>
      <c r="F9" s="129"/>
      <c r="G9" s="124"/>
      <c r="H9" s="128"/>
    </row>
    <row r="10" spans="1:8">
      <c r="A10" t="str">
        <f t="shared" si="0"/>
        <v/>
      </c>
      <c r="B10" s="129"/>
      <c r="C10" s="127"/>
      <c r="D10" s="128"/>
      <c r="E10" s="115"/>
      <c r="F10" s="123" t="s">
        <v>98</v>
      </c>
      <c r="G10" s="225">
        <f>+'Actions 1er Sem 2019'!G10+'Actions 2e Sem 2019'!G10</f>
        <v>0</v>
      </c>
      <c r="H10" s="128"/>
    </row>
    <row r="11" spans="1:8">
      <c r="A11" s="220"/>
      <c r="B11" s="380" t="s">
        <v>99</v>
      </c>
      <c r="C11" s="382">
        <f>+'Actions 1er Sem 2019'!C11+'Actions 2e Sem 2019'!C11</f>
        <v>600288.87719856249</v>
      </c>
      <c r="D11" s="508">
        <f>+C11/$C$60</f>
        <v>0.77566310900123858</v>
      </c>
      <c r="E11" s="115"/>
      <c r="F11" s="121"/>
      <c r="G11" s="124"/>
      <c r="H11" s="128"/>
    </row>
    <row r="12" spans="1:8">
      <c r="A12" t="str">
        <f t="shared" si="0"/>
        <v>611</v>
      </c>
      <c r="B12" s="121" t="s">
        <v>100</v>
      </c>
      <c r="C12" s="396">
        <f>+'Actions 1er Sem 2019'!C12+'Actions 2e Sem 2019'!C12</f>
        <v>582505</v>
      </c>
      <c r="D12" s="398"/>
      <c r="E12" s="115"/>
      <c r="F12" s="130"/>
      <c r="G12" s="124"/>
      <c r="H12" s="128"/>
    </row>
    <row r="13" spans="1:8">
      <c r="A13" t="str">
        <f t="shared" si="0"/>
        <v>613</v>
      </c>
      <c r="B13" s="121" t="s">
        <v>128</v>
      </c>
      <c r="C13" s="396">
        <f>+'Actions 1er Sem 2019'!C13+'Actions 2e Sem 2019'!C13</f>
        <v>9736.0369595624998</v>
      </c>
      <c r="D13" s="398"/>
      <c r="E13" s="115"/>
      <c r="F13" s="131"/>
      <c r="G13" s="124"/>
      <c r="H13" s="128"/>
    </row>
    <row r="14" spans="1:8">
      <c r="A14">
        <v>614</v>
      </c>
      <c r="B14" s="121" t="s">
        <v>289</v>
      </c>
      <c r="C14" s="396">
        <f>+'Actions 1er Sem 2019'!C14+'Actions 2e Sem 2019'!C14</f>
        <v>3431.6897500000005</v>
      </c>
      <c r="D14" s="398"/>
      <c r="E14" s="115"/>
      <c r="F14" s="131"/>
      <c r="G14" s="225"/>
      <c r="H14" s="398"/>
    </row>
    <row r="15" spans="1:8">
      <c r="A15" t="str">
        <f t="shared" si="0"/>
        <v>615</v>
      </c>
      <c r="B15" s="121" t="s">
        <v>29</v>
      </c>
      <c r="C15" s="396">
        <f>+'Actions 1er Sem 2019'!C15+'Actions 2e Sem 2019'!C15</f>
        <v>2345.7923375</v>
      </c>
      <c r="D15" s="398"/>
      <c r="E15" s="115"/>
      <c r="F15" s="131"/>
      <c r="G15" s="225"/>
      <c r="H15" s="398"/>
    </row>
    <row r="16" spans="1:8">
      <c r="A16" t="str">
        <f t="shared" si="0"/>
        <v>616</v>
      </c>
      <c r="B16" s="121" t="s">
        <v>30</v>
      </c>
      <c r="C16" s="396">
        <f>+'Actions 1er Sem 2019'!C16+'Actions 2e Sem 2019'!C16</f>
        <v>663.81607650000001</v>
      </c>
      <c r="D16" s="398"/>
      <c r="E16" s="115" t="s">
        <v>313</v>
      </c>
      <c r="F16" s="123" t="s">
        <v>101</v>
      </c>
      <c r="G16" s="225" t="e">
        <f>+'Actions 1er Sem 2019'!G16+'Actions 2e Sem 2019'!G16</f>
        <v>#REF!</v>
      </c>
      <c r="H16" s="398" t="e">
        <f>+G16/$G$60</f>
        <v>#REF!</v>
      </c>
    </row>
    <row r="17" spans="1:8">
      <c r="A17" t="str">
        <f t="shared" si="0"/>
        <v>617</v>
      </c>
      <c r="B17" s="121" t="s">
        <v>31</v>
      </c>
      <c r="C17" s="396">
        <f>+'Actions 1er Sem 2019'!C17+'Actions 2e Sem 2019'!C17</f>
        <v>0</v>
      </c>
      <c r="D17" s="398"/>
      <c r="E17" s="115"/>
      <c r="F17" s="129"/>
      <c r="G17" s="225"/>
      <c r="H17" s="398"/>
    </row>
    <row r="18" spans="1:8">
      <c r="A18" t="str">
        <f t="shared" si="0"/>
        <v>618</v>
      </c>
      <c r="B18" s="121" t="s">
        <v>102</v>
      </c>
      <c r="C18" s="396">
        <f>+'Actions 1er Sem 2019'!C18+'Actions 2e Sem 2019'!C18</f>
        <v>1606.5420749999998</v>
      </c>
      <c r="D18" s="398"/>
      <c r="E18" s="115"/>
      <c r="F18" s="129"/>
      <c r="G18" s="225"/>
      <c r="H18" s="398"/>
    </row>
    <row r="19" spans="1:8">
      <c r="A19" t="str">
        <f t="shared" si="0"/>
        <v/>
      </c>
      <c r="B19" s="121"/>
      <c r="C19" s="127"/>
      <c r="D19" s="128"/>
      <c r="E19" s="115"/>
      <c r="F19" s="129"/>
      <c r="G19" s="225"/>
      <c r="H19" s="398"/>
    </row>
    <row r="20" spans="1:8">
      <c r="A20" t="str">
        <f t="shared" si="0"/>
        <v/>
      </c>
      <c r="B20" s="121"/>
      <c r="C20" s="127"/>
      <c r="D20" s="128"/>
      <c r="E20" s="115" t="s">
        <v>311</v>
      </c>
      <c r="F20" s="123" t="s">
        <v>103</v>
      </c>
      <c r="G20" s="225">
        <f>+'Actions 1er Sem 2019'!G20+'Actions 2e Sem 2019'!G20</f>
        <v>0</v>
      </c>
      <c r="H20" s="398"/>
    </row>
    <row r="21" spans="1:8">
      <c r="A21" s="220"/>
      <c r="B21" s="380" t="s">
        <v>104</v>
      </c>
      <c r="C21" s="382">
        <f>+'Actions 1er Sem 2019'!C21+'Actions 2e Sem 2019'!C21</f>
        <v>38215.497494875002</v>
      </c>
      <c r="D21" s="508">
        <f>+C21/$C$60</f>
        <v>4.9380144668412278E-2</v>
      </c>
      <c r="E21" s="115"/>
      <c r="F21" s="129"/>
      <c r="G21" s="225"/>
      <c r="H21" s="398"/>
    </row>
    <row r="22" spans="1:8">
      <c r="A22" t="str">
        <f t="shared" si="0"/>
        <v>622</v>
      </c>
      <c r="B22" s="121" t="s">
        <v>296</v>
      </c>
      <c r="C22" s="396">
        <f>+'Actions 1er Sem 2019'!C22+'Actions 2e Sem 2019'!C22</f>
        <v>7556.8881450000008</v>
      </c>
      <c r="D22" s="398"/>
      <c r="E22" s="115"/>
      <c r="F22" s="129"/>
      <c r="G22" s="225"/>
      <c r="H22" s="398"/>
    </row>
    <row r="23" spans="1:8">
      <c r="A23" t="str">
        <f t="shared" si="0"/>
        <v>623</v>
      </c>
      <c r="B23" s="121" t="s">
        <v>107</v>
      </c>
      <c r="C23" s="396">
        <f>+'Actions 1er Sem 2019'!C23+'Actions 2e Sem 2019'!C23</f>
        <v>13682.699136000001</v>
      </c>
      <c r="D23" s="398"/>
      <c r="E23" s="115"/>
      <c r="F23" s="123" t="s">
        <v>108</v>
      </c>
      <c r="G23" s="225">
        <f>+'Actions 1er Sem 2019'!G23+'Actions 2e Sem 2019'!G23</f>
        <v>0</v>
      </c>
      <c r="H23" s="398"/>
    </row>
    <row r="24" spans="1:8">
      <c r="A24" t="str">
        <f t="shared" si="0"/>
        <v>624</v>
      </c>
      <c r="B24" s="121" t="s">
        <v>295</v>
      </c>
      <c r="C24" s="396">
        <f>+'Actions 1er Sem 2019'!C24+'Actions 2e Sem 2019'!C24</f>
        <v>16.4375</v>
      </c>
      <c r="D24" s="398"/>
      <c r="E24" s="115"/>
      <c r="F24" s="123"/>
      <c r="G24" s="225"/>
      <c r="H24" s="398"/>
    </row>
    <row r="25" spans="1:8">
      <c r="A25" t="str">
        <f t="shared" si="0"/>
        <v>625</v>
      </c>
      <c r="B25" s="121" t="s">
        <v>32</v>
      </c>
      <c r="C25" s="396">
        <f>+'Actions 1er Sem 2019'!C25+'Actions 2e Sem 2019'!C25</f>
        <v>11014.440000000002</v>
      </c>
      <c r="D25" s="398"/>
      <c r="E25" s="115"/>
      <c r="F25" s="129"/>
      <c r="G25" s="225"/>
      <c r="H25" s="398"/>
    </row>
    <row r="26" spans="1:8">
      <c r="A26" t="str">
        <f t="shared" si="0"/>
        <v>626</v>
      </c>
      <c r="B26" s="121" t="s">
        <v>33</v>
      </c>
      <c r="C26" s="396">
        <f>+'Actions 1er Sem 2019'!C26+'Actions 2e Sem 2019'!C26</f>
        <v>1474.5357013749999</v>
      </c>
      <c r="D26" s="398"/>
      <c r="E26" s="115"/>
      <c r="F26" s="129"/>
      <c r="G26" s="225"/>
      <c r="H26" s="398"/>
    </row>
    <row r="27" spans="1:8">
      <c r="A27" t="str">
        <f t="shared" si="0"/>
        <v>627</v>
      </c>
      <c r="B27" s="121" t="s">
        <v>291</v>
      </c>
      <c r="C27" s="396">
        <f>+'Actions 1er Sem 2019'!C27+'Actions 2e Sem 2019'!C27</f>
        <v>1028.7047750000002</v>
      </c>
      <c r="D27" s="398"/>
      <c r="E27" s="115"/>
      <c r="F27" s="129"/>
      <c r="G27" s="225"/>
      <c r="H27" s="398"/>
    </row>
    <row r="28" spans="1:8">
      <c r="A28" t="str">
        <f t="shared" si="0"/>
        <v>628</v>
      </c>
      <c r="B28" s="121" t="s">
        <v>34</v>
      </c>
      <c r="C28" s="396">
        <f>+'Actions 1er Sem 2019'!C28+'Actions 2e Sem 2019'!C28</f>
        <v>3441.7922375000007</v>
      </c>
      <c r="D28" s="398"/>
      <c r="E28" s="115"/>
      <c r="F28" s="129"/>
      <c r="G28" s="124"/>
      <c r="H28" s="128"/>
    </row>
    <row r="29" spans="1:8">
      <c r="A29" t="str">
        <f t="shared" si="0"/>
        <v/>
      </c>
      <c r="B29" s="121"/>
      <c r="C29" s="127"/>
      <c r="D29" s="128"/>
      <c r="E29" s="115"/>
      <c r="F29" s="123" t="s">
        <v>109</v>
      </c>
      <c r="G29" s="225">
        <f>+'Actions 1er Sem 2019'!G29+'Actions 2e Sem 2019'!G29</f>
        <v>0</v>
      </c>
      <c r="H29" s="128"/>
    </row>
    <row r="30" spans="1:8">
      <c r="A30" s="220"/>
      <c r="B30" s="380" t="s">
        <v>129</v>
      </c>
      <c r="C30" s="383">
        <f>+'Actions 1er Sem 2019'!C30+'Actions 2e Sem 2019'!C30</f>
        <v>713.38750000000005</v>
      </c>
      <c r="D30" s="508">
        <f>+C30/$C$60</f>
        <v>9.2180346361737692E-4</v>
      </c>
      <c r="E30" s="115"/>
      <c r="F30" s="123"/>
      <c r="G30" s="124"/>
      <c r="H30" s="128"/>
    </row>
    <row r="31" spans="1:8">
      <c r="A31" t="str">
        <f t="shared" si="0"/>
        <v>631</v>
      </c>
      <c r="B31" s="121" t="s">
        <v>130</v>
      </c>
      <c r="C31" s="396">
        <f>+'Actions 1er Sem 2019'!C31+'Actions 2e Sem 2019'!C31</f>
        <v>0</v>
      </c>
      <c r="D31" s="398"/>
      <c r="E31" s="115"/>
      <c r="F31" s="123"/>
      <c r="G31" s="124"/>
      <c r="H31" s="128"/>
    </row>
    <row r="32" spans="1:8">
      <c r="A32" t="str">
        <f t="shared" si="0"/>
        <v>635</v>
      </c>
      <c r="B32" s="121" t="s">
        <v>131</v>
      </c>
      <c r="C32" s="396">
        <f>+'Actions 1er Sem 2019'!C32+'Actions 2e Sem 2019'!C32</f>
        <v>713.38750000000005</v>
      </c>
      <c r="D32" s="398"/>
      <c r="E32" s="115"/>
      <c r="F32" s="123"/>
      <c r="G32" s="124"/>
      <c r="H32" s="128"/>
    </row>
    <row r="33" spans="1:8">
      <c r="B33" s="121"/>
      <c r="C33" s="206"/>
      <c r="D33" s="128"/>
      <c r="E33" s="115"/>
      <c r="F33" s="123"/>
      <c r="G33" s="124"/>
      <c r="H33" s="128"/>
    </row>
    <row r="34" spans="1:8">
      <c r="A34" s="220"/>
      <c r="B34" s="380" t="s">
        <v>110</v>
      </c>
      <c r="C34" s="383">
        <f>+'Actions 1er Sem 2019'!C34+'Actions 2e Sem 2019'!C34</f>
        <v>133268.82250000001</v>
      </c>
      <c r="D34" s="508">
        <f>+C34/$C$60</f>
        <v>0.17220327265715954</v>
      </c>
      <c r="E34" s="115"/>
      <c r="F34" s="129"/>
      <c r="G34" s="124"/>
      <c r="H34" s="128"/>
    </row>
    <row r="35" spans="1:8">
      <c r="A35" t="str">
        <f t="shared" si="0"/>
        <v>641</v>
      </c>
      <c r="B35" s="121" t="s">
        <v>35</v>
      </c>
      <c r="C35" s="396">
        <f>+'Actions 1er Sem 2019'!C35+'Actions 2e Sem 2019'!C35</f>
        <v>133069.6</v>
      </c>
      <c r="D35" s="398"/>
      <c r="E35" s="115"/>
      <c r="F35" s="129"/>
      <c r="G35" s="124"/>
      <c r="H35" s="128"/>
    </row>
    <row r="36" spans="1:8">
      <c r="A36" t="str">
        <f t="shared" si="0"/>
        <v>645</v>
      </c>
      <c r="B36" s="121" t="s">
        <v>36</v>
      </c>
      <c r="C36" s="396">
        <f>+'Actions 1er Sem 2019'!C36+'Actions 2e Sem 2019'!C36</f>
        <v>199.22250000000003</v>
      </c>
      <c r="D36" s="398"/>
      <c r="E36" s="115"/>
      <c r="F36" s="129"/>
      <c r="G36" s="124"/>
      <c r="H36" s="128"/>
    </row>
    <row r="37" spans="1:8">
      <c r="A37" t="str">
        <f t="shared" si="0"/>
        <v/>
      </c>
      <c r="B37" s="121"/>
      <c r="C37" s="127"/>
      <c r="D37" s="128"/>
      <c r="E37" s="115" t="s">
        <v>312</v>
      </c>
      <c r="F37" s="123" t="s">
        <v>111</v>
      </c>
      <c r="G37" s="124"/>
      <c r="H37" s="128"/>
    </row>
    <row r="38" spans="1:8">
      <c r="A38" s="220"/>
      <c r="B38" s="380" t="s">
        <v>297</v>
      </c>
      <c r="C38" s="383">
        <f>+'Actions 1er Sem 2019'!C38+'Actions 2e Sem 2019'!C38</f>
        <v>0</v>
      </c>
      <c r="D38" s="508">
        <f>+C38/$C$60</f>
        <v>0</v>
      </c>
      <c r="E38" s="115"/>
      <c r="F38" s="135"/>
      <c r="G38" s="124"/>
      <c r="H38" s="128"/>
    </row>
    <row r="39" spans="1:8">
      <c r="A39">
        <v>650</v>
      </c>
      <c r="B39" s="121" t="s">
        <v>37</v>
      </c>
      <c r="C39" s="396">
        <f>+'Actions 1er Sem 2019'!C39+'Actions 2e Sem 2019'!C39</f>
        <v>0</v>
      </c>
      <c r="D39" s="398"/>
      <c r="E39" s="115"/>
      <c r="F39" s="135"/>
      <c r="G39" s="124"/>
      <c r="H39" s="128"/>
    </row>
    <row r="40" spans="1:8">
      <c r="A40" t="str">
        <f t="shared" si="0"/>
        <v/>
      </c>
      <c r="B40" s="123"/>
      <c r="C40" s="119"/>
      <c r="D40" s="169"/>
      <c r="E40" s="115"/>
      <c r="F40" s="135"/>
      <c r="G40" s="124"/>
      <c r="H40" s="128"/>
    </row>
    <row r="41" spans="1:8">
      <c r="A41" t="str">
        <f t="shared" si="0"/>
        <v/>
      </c>
      <c r="B41" s="121"/>
      <c r="C41" s="127"/>
      <c r="D41" s="128"/>
      <c r="E41" s="115"/>
      <c r="F41" s="136" t="s">
        <v>350</v>
      </c>
      <c r="G41" s="137" t="e">
        <f>+'Actions 1er Sem 2019'!G41+'Actions 2e Sem 2019'!G41</f>
        <v>#REF!</v>
      </c>
      <c r="H41" s="494" t="e">
        <f>+G41/$G$60</f>
        <v>#REF!</v>
      </c>
    </row>
    <row r="42" spans="1:8">
      <c r="A42" s="220"/>
      <c r="B42" s="380" t="s">
        <v>113</v>
      </c>
      <c r="C42" s="383">
        <f>+'Actions 1er Sem 2019'!C42+'Actions 2e Sem 2019'!C42</f>
        <v>0</v>
      </c>
      <c r="D42" s="508">
        <f>+C42/$C$60</f>
        <v>0</v>
      </c>
      <c r="E42" s="115"/>
      <c r="F42" s="121"/>
      <c r="G42" s="124"/>
      <c r="H42" s="128"/>
    </row>
    <row r="43" spans="1:8">
      <c r="A43" t="str">
        <f t="shared" si="0"/>
        <v>661</v>
      </c>
      <c r="B43" s="121" t="s">
        <v>38</v>
      </c>
      <c r="C43" s="396">
        <f>+'Actions 1er Sem 2019'!C43+'Actions 2e Sem 2019'!C43</f>
        <v>0</v>
      </c>
      <c r="D43" s="398"/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+'Actions 1er Sem 2019'!C44+'Actions 2e Sem 2019'!C44</f>
        <v>0</v>
      </c>
      <c r="D44" s="398"/>
      <c r="E44" s="115">
        <v>758</v>
      </c>
      <c r="F44" s="121" t="s">
        <v>52</v>
      </c>
      <c r="G44" s="225" t="e">
        <f>+'Actions 1er Sem 2019'!G44+'Actions 2e Sem 2019'!G44</f>
        <v>#REF!</v>
      </c>
      <c r="H44" s="400"/>
    </row>
    <row r="45" spans="1:8">
      <c r="A45" t="str">
        <f t="shared" si="0"/>
        <v/>
      </c>
      <c r="B45" s="121"/>
      <c r="C45" s="127"/>
      <c r="D45" s="128"/>
      <c r="E45" s="115"/>
      <c r="F45" s="121"/>
      <c r="G45" s="403"/>
      <c r="H45" s="398"/>
    </row>
    <row r="46" spans="1:8">
      <c r="A46" s="220"/>
      <c r="B46" s="380" t="s">
        <v>309</v>
      </c>
      <c r="C46" s="383">
        <f>+'Actions 1er Sem 2019'!C46+'Actions 2e Sem 2019'!C46</f>
        <v>0</v>
      </c>
      <c r="D46" s="508">
        <f>+C46/$C$60</f>
        <v>0</v>
      </c>
      <c r="E46" s="115"/>
      <c r="F46" s="121"/>
      <c r="G46" s="403"/>
      <c r="H46" s="398"/>
    </row>
    <row r="47" spans="1:8">
      <c r="A47" t="str">
        <f t="shared" si="0"/>
        <v>678</v>
      </c>
      <c r="B47" s="121" t="s">
        <v>308</v>
      </c>
      <c r="C47" s="396">
        <f>+'Actions 1er Sem 2019'!C47+'Actions 2e Sem 2019'!C47</f>
        <v>0</v>
      </c>
      <c r="D47" s="398"/>
      <c r="E47" s="115"/>
      <c r="F47" s="121"/>
      <c r="G47" s="403"/>
      <c r="H47" s="398"/>
    </row>
    <row r="48" spans="1:8">
      <c r="B48" s="121"/>
      <c r="C48" s="127"/>
      <c r="D48" s="128"/>
      <c r="E48" s="115"/>
      <c r="F48" s="121"/>
      <c r="G48" s="403"/>
      <c r="H48" s="398"/>
    </row>
    <row r="49" spans="1:8">
      <c r="A49" s="220" t="str">
        <f t="shared" si="0"/>
        <v xml:space="preserve">68 </v>
      </c>
      <c r="B49" s="380" t="s">
        <v>116</v>
      </c>
      <c r="C49" s="383">
        <f>+'Actions 1er Sem 2019'!C49+'Actions 2e Sem 2019'!C49</f>
        <v>0</v>
      </c>
      <c r="D49" s="508">
        <f>+C49/$C$60</f>
        <v>0</v>
      </c>
      <c r="E49" s="115">
        <v>756</v>
      </c>
      <c r="F49" s="121" t="s">
        <v>51</v>
      </c>
      <c r="G49" s="225" t="e">
        <f>+'Actions 1er Sem 2019'!G49+'Actions 2e Sem 2019'!G49</f>
        <v>#REF!</v>
      </c>
      <c r="H49" s="400"/>
    </row>
    <row r="50" spans="1:8">
      <c r="B50" s="380" t="s">
        <v>117</v>
      </c>
      <c r="C50" s="399">
        <f>+'Actions 1er Sem 2019'!C50+'Actions 2e Sem 2019'!C50</f>
        <v>0</v>
      </c>
      <c r="D50" s="398"/>
      <c r="E50" s="115"/>
      <c r="F50" s="121" t="s">
        <v>118</v>
      </c>
      <c r="G50" s="225">
        <f>+'Actions 1er Sem 2019'!G50+'Actions 2e Sem 2019'!G50</f>
        <v>0</v>
      </c>
      <c r="H50" s="398"/>
    </row>
    <row r="51" spans="1:8">
      <c r="A51" t="str">
        <f t="shared" si="0"/>
        <v>681</v>
      </c>
      <c r="B51" s="140" t="s">
        <v>39</v>
      </c>
      <c r="C51" s="396">
        <f>+'Actions 1er Sem 2019'!C51+'Actions 2e Sem 2019'!C51</f>
        <v>0</v>
      </c>
      <c r="D51" s="398"/>
      <c r="E51" s="115"/>
      <c r="F51" s="121"/>
      <c r="G51" s="225"/>
      <c r="H51" s="398"/>
    </row>
    <row r="52" spans="1:8">
      <c r="B52" s="121" t="s">
        <v>119</v>
      </c>
      <c r="C52" s="399">
        <f>+'Actions 1er Sem 2019'!C52+'Actions 2e Sem 2019'!C52</f>
        <v>0</v>
      </c>
      <c r="D52" s="398"/>
      <c r="E52" s="115"/>
      <c r="F52" s="121"/>
      <c r="G52" s="225"/>
      <c r="H52" s="398"/>
    </row>
    <row r="53" spans="1:8">
      <c r="B53" s="140"/>
      <c r="C53" s="399"/>
      <c r="D53" s="398"/>
      <c r="E53" s="115"/>
      <c r="F53" s="123"/>
      <c r="G53" s="225"/>
      <c r="H53" s="398"/>
    </row>
    <row r="54" spans="1:8">
      <c r="B54" s="140"/>
      <c r="C54" s="127"/>
      <c r="D54" s="128"/>
      <c r="E54" s="115"/>
      <c r="F54" s="123" t="s">
        <v>120</v>
      </c>
      <c r="G54" s="404"/>
      <c r="H54" s="400"/>
    </row>
    <row r="55" spans="1:8">
      <c r="A55" s="220"/>
      <c r="B55" s="380" t="s">
        <v>121</v>
      </c>
      <c r="C55" s="382">
        <f>+'Actions 1er Sem 2019'!C55+'Actions 2e Sem 2019'!C55</f>
        <v>0</v>
      </c>
      <c r="D55" s="508">
        <f>+C55/$C$60</f>
        <v>0</v>
      </c>
      <c r="E55" s="115"/>
      <c r="F55" s="123" t="s">
        <v>122</v>
      </c>
      <c r="G55" s="405"/>
      <c r="H55" s="398"/>
    </row>
    <row r="56" spans="1:8" ht="15.75">
      <c r="A56" s="220"/>
      <c r="B56" s="391" t="s">
        <v>5</v>
      </c>
      <c r="C56" s="381">
        <f>+'Actions 1er Sem 2019'!C56+'Actions 2e Sem 2019'!C56</f>
        <v>0</v>
      </c>
      <c r="D56" s="170"/>
      <c r="E56" s="144"/>
      <c r="F56" s="123" t="s">
        <v>123</v>
      </c>
      <c r="G56" s="142"/>
      <c r="H56" s="128"/>
    </row>
    <row r="57" spans="1:8" ht="15.75">
      <c r="B57" s="121" t="s">
        <v>124</v>
      </c>
      <c r="C57" s="396">
        <f>+'Actions 1er Sem 2019'!C57+'Actions 2e Sem 2019'!C57</f>
        <v>0</v>
      </c>
      <c r="D57" s="398"/>
      <c r="E57" s="144"/>
      <c r="F57" s="121" t="s">
        <v>125</v>
      </c>
      <c r="G57" s="225">
        <f>+'Actions 1er Sem 2019'!G57+'Actions 2e Sem 2019'!G57</f>
        <v>0</v>
      </c>
      <c r="H57" s="128"/>
    </row>
    <row r="58" spans="1:8">
      <c r="B58" s="121" t="s">
        <v>125</v>
      </c>
      <c r="C58" s="396"/>
      <c r="D58" s="398"/>
      <c r="F58" s="121"/>
      <c r="G58" s="142"/>
      <c r="H58" s="128"/>
    </row>
    <row r="59" spans="1:8">
      <c r="B59" s="145"/>
      <c r="C59" s="207"/>
      <c r="D59" s="509"/>
      <c r="F59" s="121"/>
      <c r="G59" s="142"/>
      <c r="H59" s="128"/>
    </row>
    <row r="60" spans="1:8">
      <c r="B60" s="148" t="s">
        <v>126</v>
      </c>
      <c r="C60" s="149">
        <f>C55+C56+C49+C42+C38+C34+C30+C21+C11+C4+C46</f>
        <v>773904.12181843747</v>
      </c>
      <c r="D60" s="170">
        <f t="shared" ref="D60" si="1">C60/$C$60</f>
        <v>1</v>
      </c>
      <c r="F60" s="148" t="s">
        <v>127</v>
      </c>
      <c r="G60" s="151" t="e">
        <f>+G41+G4</f>
        <v>#REF!</v>
      </c>
      <c r="H60" s="170" t="e">
        <f t="shared" ref="H60" si="2">G60/$C$60</f>
        <v>#REF!</v>
      </c>
    </row>
    <row r="61" spans="1:8">
      <c r="B61" s="115"/>
      <c r="C61" s="208"/>
      <c r="D61" s="510"/>
      <c r="F61" s="115"/>
      <c r="G61" s="152"/>
      <c r="H61" s="514"/>
    </row>
    <row r="62" spans="1:8" ht="15.75">
      <c r="B62" s="502" t="s">
        <v>374</v>
      </c>
      <c r="C62" s="209"/>
      <c r="D62" s="511"/>
      <c r="F62" s="144"/>
      <c r="G62" s="155"/>
      <c r="H62" s="514"/>
    </row>
    <row r="63" spans="1:8" ht="15.75">
      <c r="B63" s="502" t="s">
        <v>181</v>
      </c>
      <c r="C63" s="209"/>
      <c r="D63" s="511"/>
      <c r="F63" s="144"/>
      <c r="G63" s="155"/>
      <c r="H63" s="510"/>
    </row>
    <row r="64" spans="1:8" ht="15.75">
      <c r="G64" s="157"/>
      <c r="H64" s="51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00B0F0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Actions 1er Sem 2019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759.97237499999994</v>
      </c>
      <c r="D4" s="376"/>
      <c r="E4" s="115"/>
      <c r="F4" s="374" t="s">
        <v>351</v>
      </c>
      <c r="G4" s="382" t="e">
        <f>SUM(G5:G37)</f>
        <v>#REF!</v>
      </c>
      <c r="H4" s="38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'Mice Place'!C5+'SBE LYON'!C5+Heavent!C5+Imex!C5+'DEV. INTERNATIONNAL'!C5+'WS Europe'!C5+'Workshop Berlin'!C5+'WS LYON'!C5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'Mice Place'!C6+'SBE LYON'!C6+Heavent!C6+Imex!C6+'DEV. INTERNATIONNAL'!C6+'WS Europe'!C6+'Workshop Berlin'!C6+'WS LYON'!C6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'Mice Place'!C7+'SBE LYON'!C7+Heavent!C7+Imex!C7+'DEV. INTERNATIONNAL'!C7+'WS Europe'!C7+'Workshop Berlin'!C7+'WS LYON'!C7</f>
        <v>759.97237499999994</v>
      </c>
      <c r="D7" s="397">
        <f>C7/$C$60</f>
        <v>1.692694664751483E-3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'Mice Place'!C8+'SBE LYON'!C8+Heavent!C8+Imex!C8+'DEV. INTERNATIONNAL'!C8+'WS Europe'!C8+'Workshop Berlin'!C8+'WS LYON'!C8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355072.3219961875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'Mice Place'!C12+'SBE LYON'!C12+Heavent!C12+Imex!C12+'DEV. INTERNATIONNAL'!C12+'WS Europe'!C12+'Workshop Berlin'!C12+'WS LYON'!C12</f>
        <v>345538</v>
      </c>
      <c r="D12" s="397">
        <f t="shared" ref="D12:D18" si="1">C12/$C$60</f>
        <v>0.76962051294153688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'Mice Place'!C13+'SBE LYON'!C13+Heavent!C13+Imex!C13+'DEV. INTERNATIONNAL'!C13+'WS Europe'!C13+'Workshop Berlin'!C13+'WS LYON'!C13</f>
        <v>5219.7004231874998</v>
      </c>
      <c r="D13" s="397">
        <f t="shared" si="1"/>
        <v>1.162589503063258E-2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'Mice Place'!C14+'SBE LYON'!C14+Heavent!C14+Imex!C14+'DEV. INTERNATIONNAL'!C14+'WS Europe'!C14+'Workshop Berlin'!C14+'WS LYON'!C14</f>
        <v>1839.8032499999999</v>
      </c>
      <c r="D14" s="397">
        <f t="shared" si="1"/>
        <v>4.0978136152217889E-3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'Mice Place'!C15+'SBE LYON'!C15+Heavent!C15+Imex!C15+'DEV. INTERNATIONNAL'!C15+'WS Europe'!C15+'Workshop Berlin'!C15+'WS LYON'!C15</f>
        <v>1257.6301124999998</v>
      </c>
      <c r="D15" s="397">
        <f t="shared" si="1"/>
        <v>2.8011331091601283E-3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'Mice Place'!C16+'SBE LYON'!C16+Heavent!C16+Imex!C16+'DEV. INTERNATIONNAL'!C16+'WS Europe'!C16+'Workshop Berlin'!C16+'WS LYON'!C16</f>
        <v>355.88618550000001</v>
      </c>
      <c r="D16" s="397">
        <f t="shared" si="1"/>
        <v>7.9266913807835005E-4</v>
      </c>
      <c r="E16" s="115" t="s">
        <v>313</v>
      </c>
      <c r="F16" s="123" t="s">
        <v>101</v>
      </c>
      <c r="G16" s="396" t="e">
        <f>'Mice Place'!G16+'SBE LYON'!G16+Heavent!G16+Imex!G16+'DEV. INTERNATIONNAL'!G16+'WS Europe'!G16+'Workshop Berlin'!G16+'WS LYON'!G16</f>
        <v>#REF!</v>
      </c>
      <c r="H16" s="398" t="e">
        <f>G16/$C$60</f>
        <v>#REF!</v>
      </c>
    </row>
    <row r="17" spans="1:8">
      <c r="A17" t="str">
        <f t="shared" si="0"/>
        <v>617</v>
      </c>
      <c r="B17" s="121" t="s">
        <v>31</v>
      </c>
      <c r="C17" s="396">
        <f>'Mice Place'!C17+'SBE LYON'!C17+Heavent!C17+Imex!C17+'DEV. INTERNATIONNAL'!C17+'WS Europe'!C17+'Workshop Berlin'!C17+'WS LYON'!C17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'Mice Place'!C18+'SBE LYON'!C18+Heavent!C18+Imex!C18+'DEV. INTERNATIONNAL'!C18+'WS Europe'!C18+'Workshop Berlin'!C18+'WS LYON'!C18</f>
        <v>861.30202499999996</v>
      </c>
      <c r="D18" s="397">
        <f t="shared" si="1"/>
        <v>1.9183872867183475E-3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29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23" t="s">
        <v>103</v>
      </c>
      <c r="G20" s="396">
        <f>'Mice Place'!G21+'SBE LYON'!G21+Heavent!G21+Imex!G21+'DEV. INTERNATIONNAL'!G21+'WS Europe'!G21+'Workshop Berlin'!G21+'WS LYON'!G21</f>
        <v>0</v>
      </c>
      <c r="H20" s="398">
        <f>G20/$C$60</f>
        <v>0</v>
      </c>
    </row>
    <row r="21" spans="1:8">
      <c r="A21" s="220"/>
      <c r="B21" s="380" t="s">
        <v>104</v>
      </c>
      <c r="C21" s="382">
        <f>SUM(C22:C28)</f>
        <v>20488.156451625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'Mice Place'!C22+'SBE LYON'!C22+Heavent!C22+Imex!C22+'DEV. INTERNATIONNAL'!C22+'WS Europe'!C22+'Workshop Berlin'!C22+'WS LYON'!C22</f>
        <v>4051.4115150000007</v>
      </c>
      <c r="D22" s="397">
        <f>C22/$C$60</f>
        <v>9.0237525491018329E-3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'Mice Place'!C23+'SBE LYON'!C23+Heavent!C23+Imex!C23+'DEV. INTERNATIONNAL'!C23+'WS Europe'!C23+'Workshop Berlin'!C23+'WS LYON'!C23</f>
        <v>7335.5915519999999</v>
      </c>
      <c r="D23" s="397">
        <f t="shared" ref="D23:D28" si="2">C23/$C$60</f>
        <v>1.6338642155073666E-2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'Mice Place'!C24+'SBE LYON'!C24+Heavent!C24+Imex!C24+'DEV. INTERNATIONNAL'!C24+'WS Europe'!C24+'Workshop Berlin'!C24+'WS LYON'!C24</f>
        <v>8.8125</v>
      </c>
      <c r="D24" s="397">
        <f t="shared" si="2"/>
        <v>1.9628176265120747E-5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'Mice Place'!C25+'SBE LYON'!C25+Heavent!C25+Imex!C25+'DEV. INTERNATIONNAL'!C25+'WS Europe'!C25+'Workshop Berlin'!C25+'WS LYON'!C25</f>
        <v>5905.0800000000017</v>
      </c>
      <c r="D25" s="397">
        <f t="shared" si="2"/>
        <v>1.3152448351732115E-2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'Mice Place'!C26+'SBE LYON'!C26+Heavent!C26+Imex!C26+'DEV. INTERNATIONNAL'!C26+'WS Europe'!C26+'Workshop Berlin'!C26+'WS LYON'!C26</f>
        <v>790.530547125</v>
      </c>
      <c r="D26" s="397">
        <f t="shared" si="2"/>
        <v>1.7607572109993583E-3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'Mice Place'!C27+'SBE LYON'!C27+Heavent!C27+Imex!C27+'DEV. INTERNATIONNAL'!C27+'WS Europe'!C27+'Workshop Berlin'!C27+'WS LYON'!C27</f>
        <v>551.51092500000004</v>
      </c>
      <c r="D27" s="397">
        <f t="shared" si="2"/>
        <v>1.228386229564799E-3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'Mice Place'!C28+'SBE LYON'!C28+Heavent!C28+Imex!C28+'DEV. INTERNATIONNAL'!C28+'WS Europe'!C28+'Workshop Berlin'!C28+'WS LYON'!C28</f>
        <v>1845.2194125000003</v>
      </c>
      <c r="D28" s="397">
        <f t="shared" si="2"/>
        <v>4.109877092354333E-3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382.46250000000003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'Mice Place'!C31+'SBE LYON'!C31+Heavent!C31+Imex!C31+'DEV. INTERNATIONNAL'!C31+'WS Europe'!C31+'Workshop Berlin'!C31+'WS LYON'!C31</f>
        <v>0</v>
      </c>
      <c r="D31" s="397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'Mice Place'!C32+'SBE LYON'!C32+Heavent!C32+Imex!C32+'DEV. INTERNATIONNAL'!C32+'WS Europe'!C32+'Workshop Berlin'!C32+'WS LYON'!C32</f>
        <v>382.46250000000003</v>
      </c>
      <c r="D32" s="397">
        <f t="shared" si="3"/>
        <v>8.5186284990624054E-4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72269.007500000007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'Mice Place'!C35+'SBE LYON'!C35+Heavent!C35+Imex!C35+'DEV. INTERNATIONNAL'!C35+'WS Europe'!C35+'Workshop Berlin'!C35+'WS LYON'!C35</f>
        <v>72162.200000000012</v>
      </c>
      <c r="D35" s="397">
        <f t="shared" ref="D35:D36" si="4">C35/$C$60</f>
        <v>0.16072764610256984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'Mice Place'!C36+'SBE LYON'!C36+Heavent!C36+Imex!C36+'DEV. INTERNATIONNAL'!C36+'WS Europe'!C36+'Workshop Berlin'!C36+'WS LYON'!C36</f>
        <v>106.8075</v>
      </c>
      <c r="D36" s="397">
        <f t="shared" si="4"/>
        <v>2.3789349633326348E-4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'Mice Place'!C39+'SBE LYON'!C39+Heavent!C39+Imex!C39+'DEV. INTERNATIONNAL'!C39+'WS Europe'!C39+'Workshop Berlin'!C39+'WS LYON'!C39</f>
        <v>0</v>
      </c>
      <c r="D39" s="397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'Mice Place'!C43+'SBE LYON'!C43+Heavent!C43+Imex!C43+'DEV. INTERNATIONNAL'!C43+'WS Europe'!C43+'Workshop Berlin'!C43+'WS LYON'!C43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'Mice Place'!C44+'SBE LYON'!C44+Heavent!C44+Imex!C44+'DEV. INTERNATIONNAL'!C44+'WS Europe'!C44+'Workshop Berlin'!C44+'WS LYON'!C44</f>
        <v>0</v>
      </c>
      <c r="D44" s="397">
        <f>C44/$C$60</f>
        <v>0</v>
      </c>
      <c r="E44" s="115">
        <v>758</v>
      </c>
      <c r="F44" s="121" t="s">
        <v>52</v>
      </c>
      <c r="G44" s="396" t="e">
        <f>'Mice Place'!G44+'SBE LYON'!G44+Heavent!G44+Imex!G44+'DEV. INTERNATIONNAL'!G44+'WS Europe'!G44+'Workshop Berlin'!G44+'WS LYON'!G44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'Mice Place'!C47+'SBE LYON'!C47+Heavent!C47+Imex!C47+'DEV. INTERNATIONNAL'!C47+'WS Europe'!C47+'Workshop Berlin'!C47+'WS LYON'!C47</f>
        <v>0</v>
      </c>
      <c r="D47" s="397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396" t="e">
        <f>'Mice Place'!G49+'SBE LYON'!G49+Heavent!G49+Imex!G49+'DEV. INTERNATIONNAL'!G49+'WS Europe'!G49+'Workshop Berlin'!G49+'WS LYON'!G49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'Mice Place'!C51+'SBE LYON'!C51+Heavent!C51+Imex!C51+'DEV. INTERNATIONNAL'!C51+'WS Europe'!C51+'Workshop Berlin'!C51+'WS LYON'!C51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rec'!$M:$M)</f>
        <v>0</v>
      </c>
      <c r="D56" s="138">
        <f t="shared" ref="D56:D60" si="5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'Mice Place'!C57+'SBE LYON'!C57+Heavent!C57+Imex!C57+'DEV. INTERNATIONNAL'!C57+'WS Europe'!C57+'Workshop Berlin'!C57+'WS LYON'!C57</f>
        <v>0</v>
      </c>
      <c r="D57" s="397">
        <f t="shared" si="5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'Mice Place'!C58+'SBE LYON'!C58+Heavent!C58+Imex!C58+'DEV. INTERNATIONNAL'!C58+'WS Europe'!C58+'Workshop Berlin'!C58+'WS LYON'!C58</f>
        <v>0</v>
      </c>
      <c r="D58" s="397">
        <f t="shared" si="5"/>
        <v>0</v>
      </c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448971.92082281248</v>
      </c>
      <c r="D60" s="138">
        <f t="shared" si="5"/>
        <v>1</v>
      </c>
      <c r="F60" s="148" t="s">
        <v>127</v>
      </c>
      <c r="G60" s="151" t="e">
        <f>+G41+G4</f>
        <v>#REF!</v>
      </c>
      <c r="H60" s="138" t="e">
        <f t="shared" ref="H60" si="6">G60/$C$60</f>
        <v>#REF!</v>
      </c>
      <c r="I60" s="31" t="e">
        <f>G60-C60</f>
        <v>#REF!</v>
      </c>
    </row>
    <row r="61" spans="1:9">
      <c r="B61" s="115"/>
      <c r="C61" s="152">
        <f>C60-(SUM('Recap dep rec'!G43:N43))</f>
        <v>-708.52500000002328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5" tint="-0.249977111117893"/>
  </sheetPr>
  <dimension ref="A1:I64"/>
  <sheetViews>
    <sheetView workbookViewId="0"/>
    <sheetView workbookViewId="1"/>
  </sheetViews>
  <sheetFormatPr baseColWidth="10" defaultRowHeight="15"/>
  <cols>
    <col min="1" max="1" width="5.28515625" customWidth="1"/>
    <col min="2" max="2" width="41.85546875" customWidth="1"/>
    <col min="3" max="3" width="10.7109375" customWidth="1"/>
    <col min="4" max="4" width="9.85546875" customWidth="1"/>
    <col min="5" max="5" width="5.42578125" bestFit="1" customWidth="1"/>
    <col min="6" max="6" width="30.85546875" customWidth="1"/>
    <col min="7" max="8" width="10" customWidth="1"/>
  </cols>
  <sheetData>
    <row r="1" spans="1:8" ht="33.7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Actions 2e Sem 2019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657.56475</v>
      </c>
      <c r="D4" s="376"/>
      <c r="E4" s="115"/>
      <c r="F4" s="374" t="s">
        <v>351</v>
      </c>
      <c r="G4" s="382" t="e">
        <f>SUM(G5:G37)</f>
        <v>#REF!</v>
      </c>
      <c r="H4" s="38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'Eductours 1et 2'!C5+'Ev. Scandinavie'!C5+'Operation Paris été'!C5+'Demarchage Europe'!C5+IBTM!C5+'MP2'!C5+'Opération Paris Hiver'!C5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'Eductours 1et 2'!C6+'Ev. Scandinavie'!C6+'Operation Paris été'!C6+'Demarchage Europe'!C6+IBTM!C6+'MP2'!C6+'Opération Paris Hiver'!C6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'Eductours 1et 2'!C7+'Ev. Scandinavie'!C7+'Operation Paris été'!C7+'Demarchage Europe'!C7+IBTM!C7+'MP2'!C7+'Opération Paris Hiver'!C7</f>
        <v>657.56475</v>
      </c>
      <c r="D7" s="397">
        <f>C7/$C$60</f>
        <v>2.0236983222504737E-3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'Eductours 1et 2'!C8+'Ev. Scandinavie'!C8+'Operation Paris été'!C8+'Demarchage Europe'!C8+IBTM!C8+'MP2'!C8+'Opération Paris Hiver'!C8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245216.55520237499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'Eductours 1et 2'!C12+'Ev. Scandinavie'!C12+'Operation Paris été'!C12+'Demarchage Europe'!C12+IBTM!C12+'MP2'!C12+'Opération Paris Hiver'!C12</f>
        <v>236967</v>
      </c>
      <c r="D12" s="397">
        <f>C12/$C$60</f>
        <v>0.72928136784815178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'Eductours 1et 2'!C13+'Ev. Scandinavie'!C13+'Operation Paris été'!C13+'Demarchage Europe'!C13+IBTM!C13+'MP2'!C13+'Opération Paris Hiver'!C13</f>
        <v>4516.3365363749999</v>
      </c>
      <c r="D13" s="397">
        <f t="shared" ref="D13:D16" si="1">C13/$C$60</f>
        <v>1.3899319681264245E-2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'Eductours 1et 2'!C14+'Ev. Scandinavie'!C14+'Operation Paris été'!C14+'Demarchage Europe'!C14+IBTM!C14+'MP2'!C14+'Opération Paris Hiver'!C14</f>
        <v>1591.8865000000003</v>
      </c>
      <c r="D14" s="397">
        <f t="shared" si="1"/>
        <v>4.8991343274760075E-3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'Eductours 1et 2'!C15+'Ev. Scandinavie'!C15+'Operation Paris été'!C15+'Demarchage Europe'!C15+IBTM!C15+'MP2'!C15+'Opération Paris Hiver'!C15</f>
        <v>1088.162225</v>
      </c>
      <c r="D15" s="397">
        <f t="shared" si="1"/>
        <v>3.3488900812716047E-3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'Eductours 1et 2'!C16+'Ev. Scandinavie'!C16+'Operation Paris été'!C16+'Demarchage Europe'!C16+IBTM!C16+'MP2'!C16+'Opération Paris Hiver'!C16</f>
        <v>307.92989100000005</v>
      </c>
      <c r="D16" s="397">
        <f t="shared" si="1"/>
        <v>9.4767428422443773E-4</v>
      </c>
      <c r="E16" s="115">
        <v>740</v>
      </c>
      <c r="F16" s="123" t="s">
        <v>101</v>
      </c>
      <c r="G16" s="396" t="e">
        <f>'Eductours 1et 2'!G16+'Ev. Scandinavie'!G16+'Operation Paris été'!G16+'Demarchage Europe'!G16+IBTM!G16+'MP2'!G16+'Opération Paris Hiver'!G16</f>
        <v>#REF!</v>
      </c>
      <c r="H16" s="398" t="e">
        <f>G16/C60</f>
        <v>#REF!</v>
      </c>
    </row>
    <row r="17" spans="1:8">
      <c r="A17" t="str">
        <f t="shared" si="0"/>
        <v>617</v>
      </c>
      <c r="B17" s="121" t="s">
        <v>31</v>
      </c>
      <c r="C17" s="396">
        <f>'Eductours 1et 2'!C17+'Ev. Scandinavie'!C17+'Operation Paris été'!C17+'Demarchage Europe'!C17+IBTM!C17+'MP2'!C17+'Opération Paris Hiver'!C17</f>
        <v>0</v>
      </c>
      <c r="D17" s="397">
        <f>C17/$C$60</f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'Eductours 1et 2'!C18+'Ev. Scandinavie'!C18+'Operation Paris été'!C18+'Demarchage Europe'!C18+IBTM!C18+'MP2'!C18+'Opération Paris Hiver'!C18</f>
        <v>745.24005</v>
      </c>
      <c r="D18" s="397">
        <f>C18/$C$60</f>
        <v>2.2935247652172033E-3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>
        <f>'Eductours 1et 2'!G20+'Ev. Scandinavie'!G20+'Operation Paris été'!G20+'Demarchage Europe'!G20+IBTM!G20+'MP2'!G20+'Opération Paris Hiver'!G20</f>
        <v>0</v>
      </c>
      <c r="H20" s="397"/>
    </row>
    <row r="21" spans="1:8">
      <c r="A21" s="220"/>
      <c r="B21" s="380" t="s">
        <v>104</v>
      </c>
      <c r="C21" s="383">
        <f>SUM(C22:C28)</f>
        <v>17727.341043250002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'Eductours 1et 2'!C22+'Ev. Scandinavie'!C22+'Operation Paris été'!C22+'Demarchage Europe'!C22+IBTM!C22+'MP2'!C22+'Opération Paris Hiver'!C22</f>
        <v>3505.4766300000001</v>
      </c>
      <c r="D22" s="397">
        <f>C22/$C$60</f>
        <v>1.0788332517549404E-2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'Eductours 1et 2'!C23+'Ev. Scandinavie'!C23+'Operation Paris été'!C23+'Demarchage Europe'!C23+IBTM!C23+'MP2'!C23+'Opération Paris Hiver'!C23</f>
        <v>6347.1075840000012</v>
      </c>
      <c r="D23" s="397">
        <f t="shared" ref="D23:D28" si="2">C23/$C$60</f>
        <v>1.9533636754226955E-2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'Eductours 1et 2'!C24+'Ev. Scandinavie'!C24+'Operation Paris été'!C24+'Demarchage Europe'!C24+IBTM!C24+'MP2'!C24+'Opération Paris Hiver'!C24</f>
        <v>7.625</v>
      </c>
      <c r="D24" s="397">
        <f t="shared" si="2"/>
        <v>2.3466433848772858E-5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'Eductours 1et 2'!C25+'Ev. Scandinavie'!C25+'Operation Paris été'!C25+'Demarchage Europe'!C25+IBTM!C25+'MP2'!C25+'Opération Paris Hiver'!C25</f>
        <v>5109.3600000000006</v>
      </c>
      <c r="D25" s="397">
        <f t="shared" si="2"/>
        <v>1.5724387993385717E-2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'Eductours 1et 2'!C26+'Ev. Scandinavie'!C26+'Operation Paris été'!C26+'Demarchage Europe'!C26+IBTM!C26+'MP2'!C26+'Opération Paris Hiver'!C26</f>
        <v>684.00515425000003</v>
      </c>
      <c r="D26" s="397">
        <f t="shared" si="2"/>
        <v>2.1050703874658755E-3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'Eductours 1et 2'!C27+'Ev. Scandinavie'!C27+'Operation Paris été'!C27+'Demarchage Europe'!C27+IBTM!C27+'MP2'!C27+'Opération Paris Hiver'!C27</f>
        <v>477.19385</v>
      </c>
      <c r="D27" s="397">
        <f t="shared" si="2"/>
        <v>1.468595136270982E-3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'Eductours 1et 2'!C28+'Ev. Scandinavie'!C28+'Operation Paris été'!C28+'Demarchage Europe'!C28+IBTM!C28+'MP2'!C28+'Opération Paris Hiver'!C28</f>
        <v>1596.5728250000002</v>
      </c>
      <c r="D28" s="397">
        <f t="shared" si="2"/>
        <v>4.9135567977194637E-3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330.92500000000007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'Eductours 1et 2'!C31+'Ev. Scandinavie'!C31+'Operation Paris été'!C31+'Demarchage Europe'!C31+IBTM!C31+'MP2'!C31+'Opération Paris Hiver'!C31</f>
        <v>0</v>
      </c>
      <c r="D31" s="397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'Eductours 1et 2'!C32+'Ev. Scandinavie'!C32+'Operation Paris été'!C32+'Demarchage Europe'!C32+IBTM!C32+'MP2'!C32+'Opération Paris Hiver'!C32</f>
        <v>330.92500000000007</v>
      </c>
      <c r="D32" s="397">
        <f t="shared" si="3"/>
        <v>1.0184432290367422E-3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60999.814999999995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'Eductours 1et 2'!C35+'Ev. Scandinavie'!C35+'Operation Paris été'!C35+'Demarchage Europe'!C35+IBTM!C35+'MP2'!C35+'Opération Paris Hiver'!C35</f>
        <v>60907.399999999994</v>
      </c>
      <c r="D35" s="397">
        <f t="shared" ref="D35:D36" si="4">C35/$C$60</f>
        <v>0.18744648826239316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'Eductours 1et 2'!C36+'Ev. Scandinavie'!C36+'Operation Paris été'!C36+'Demarchage Europe'!C36+IBTM!C36+'MP2'!C36+'Opération Paris Hiver'!C36</f>
        <v>92.415000000000006</v>
      </c>
      <c r="D36" s="397">
        <f t="shared" si="4"/>
        <v>2.8441317824712704E-4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'Eductours 1et 2'!C39+'Ev. Scandinavie'!C39+'Operation Paris été'!C39+'Demarchage Europe'!C39+IBTM!C39+'MP2'!C39+'Opération Paris Hiver'!C39</f>
        <v>0</v>
      </c>
      <c r="D39" s="397"/>
      <c r="E39" s="115"/>
      <c r="F39" s="135"/>
      <c r="G39" s="124"/>
      <c r="H39" s="122"/>
    </row>
    <row r="40" spans="1:8">
      <c r="A40" t="str">
        <f t="shared" si="0"/>
        <v/>
      </c>
      <c r="B40" s="123"/>
      <c r="C40" s="127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'Eductours 1et 2'!C43+'Ev. Scandinavie'!C43+'Operation Paris été'!C43+'Demarchage Europe'!C43+IBTM!C43+'MP2'!C43+'Opération Paris Hiver'!C43</f>
        <v>0</v>
      </c>
      <c r="D43" s="397">
        <f t="shared" ref="D43:D44" si="5"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'Eductours 1et 2'!C44+'Ev. Scandinavie'!C44+'Operation Paris été'!C44+'Demarchage Europe'!C44+IBTM!C44+'MP2'!C44+'Opération Paris Hiver'!C44</f>
        <v>0</v>
      </c>
      <c r="D44" s="397">
        <f t="shared" si="5"/>
        <v>0</v>
      </c>
      <c r="E44" s="115">
        <v>758</v>
      </c>
      <c r="F44" s="121" t="s">
        <v>52</v>
      </c>
      <c r="G44" s="396" t="e">
        <f>'Eductours 1et 2'!G44+'Ev. Scandinavie'!G44+'Operation Paris été'!G44+'Demarchage Europe'!G44+IBTM!G44+'MP2'!G44+'Opération Paris Hiver'!G44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'Eductours 1et 2'!C47+'Ev. Scandinavie'!C47+'Operation Paris été'!C47+'Demarchage Europe'!C47+IBTM!C47+'MP2'!C47+'Opération Paris Hiver'!C47</f>
        <v>0</v>
      </c>
      <c r="D47" s="397">
        <f t="shared" ref="D47" si="6"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396" t="e">
        <f>'Eductours 1et 2'!G49+'Ev. Scandinavie'!G49+'Operation Paris été'!G49+'Demarchage Europe'!G49+IBTM!G49+'MP2'!G49+'Opération Paris Hiver'!G49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'Eductours 1et 2'!C51+'Ev. Scandinavie'!C51+'Operation Paris été'!C51+'Demarchage Europe'!C51+IBTM!C51+'MP2'!C51+'Opération Paris Hiver'!C51</f>
        <v>0</v>
      </c>
      <c r="D51" s="397">
        <f t="shared" ref="D51" si="7"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3"/>
      <c r="D55" s="384"/>
      <c r="E55" s="115"/>
      <c r="F55" s="123" t="s">
        <v>122</v>
      </c>
      <c r="G55" s="225"/>
      <c r="H55" s="397"/>
    </row>
    <row r="56" spans="1:9" ht="15.75">
      <c r="A56" s="220"/>
      <c r="B56" s="391" t="s">
        <v>5</v>
      </c>
      <c r="C56" s="381">
        <f>SUMIF('Recap dep rec'!$A:$A,A56,'Recap dep rec'!$X:$X)</f>
        <v>0</v>
      </c>
      <c r="D56" s="138">
        <f t="shared" ref="D56" si="8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127"/>
      <c r="D57" s="122"/>
      <c r="E57" s="144"/>
      <c r="F57" s="121" t="s">
        <v>125</v>
      </c>
      <c r="G57" s="142"/>
      <c r="H57" s="122"/>
    </row>
    <row r="58" spans="1:9">
      <c r="B58" s="121" t="s">
        <v>125</v>
      </c>
      <c r="C58" s="127"/>
      <c r="D58" s="122"/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324932.200995625</v>
      </c>
      <c r="D60" s="138">
        <f t="shared" ref="D60" si="9">C60/$C$60</f>
        <v>1</v>
      </c>
      <c r="F60" s="148" t="s">
        <v>127</v>
      </c>
      <c r="G60" s="151" t="e">
        <f>+G41+G4</f>
        <v>#REF!</v>
      </c>
      <c r="H60" s="138" t="e">
        <f t="shared" ref="H60" si="10">G60/$C$60</f>
        <v>#REF!</v>
      </c>
      <c r="I60" s="31" t="e">
        <f>G60-C60</f>
        <v>#REF!</v>
      </c>
    </row>
    <row r="61" spans="1:9">
      <c r="B61" s="115"/>
      <c r="C61" s="152">
        <f>C60-SUM('Recap dep rec'!O43:U43)</f>
        <v>-613.05000000004657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" right="0" top="0.74803149606299213" bottom="0.74803149606299213" header="0.31496062992125984" footer="0.31496062992125984"/>
  <pageSetup paperSize="9" scale="80" orientation="portrait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0">
    <tabColor theme="9" tint="-0.499984740745262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1.2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Mice Place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113.18737499999999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225">
        <f>SUMIF('Recap dep rec'!$A:$A,'Mice Place'!A5,'Recap dep rec'!$G:$G)</f>
        <v>0</v>
      </c>
      <c r="D5" s="398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225">
        <f>SUMIF('Recap dep rec'!$A:$A,'Mice Place'!A6,'Recap dep rec'!$G:$G)</f>
        <v>0</v>
      </c>
      <c r="D6" s="398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225">
        <f>SUMIF('Recap dep rec'!$A:$A,'Mice Place'!A7,'Recap dep rec'!$G:$G)</f>
        <v>113.18737499999999</v>
      </c>
      <c r="D7" s="398">
        <f>C7/$C$60</f>
        <v>1.7125032952840272E-3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225">
        <f>SUMIF('Recap dep rec'!$A:$A,'Mice Place'!A8,'Recap dep rec'!$G:$G)</f>
        <v>0</v>
      </c>
      <c r="D8" s="398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8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8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52650.005403687501</v>
      </c>
      <c r="D11" s="170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225">
        <f>SUMIF('Recap dep rec'!$A:$A,'Mice Place'!A12,'Recap dep rec'!$G:$G)</f>
        <v>51230</v>
      </c>
      <c r="D12" s="398">
        <f t="shared" ref="D12:D18" si="1">C12/$C$60</f>
        <v>0.77510008353317428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225">
        <f>SUMIF('Recap dep rec'!$A:$A,'Mice Place'!A13,'Recap dep rec'!$G:$G)</f>
        <v>777.40219068749991</v>
      </c>
      <c r="D13" s="398">
        <f t="shared" si="1"/>
        <v>1.1761946182720161E-2</v>
      </c>
      <c r="E13" s="115"/>
      <c r="F13" s="131"/>
      <c r="G13" s="124"/>
      <c r="H13" s="122"/>
    </row>
    <row r="14" spans="1:8">
      <c r="A14" t="str">
        <f t="shared" si="0"/>
        <v>614</v>
      </c>
      <c r="B14" s="121" t="s">
        <v>289</v>
      </c>
      <c r="C14" s="225">
        <f>SUMIF('Recap dep rec'!$A:$A,'Mice Place'!A14,'Recap dep rec'!$G:$G)</f>
        <v>274.01324999999997</v>
      </c>
      <c r="D14" s="398">
        <f t="shared" si="1"/>
        <v>4.1457679672886301E-3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225">
        <f>SUMIF('Recap dep rec'!$A:$A,'Mice Place'!A15,'Recap dep rec'!$G:$G)</f>
        <v>187.30661249999997</v>
      </c>
      <c r="D15" s="398">
        <f t="shared" si="1"/>
        <v>2.8339131562573859E-3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225">
        <f>SUMIF('Recap dep rec'!$A:$A,'Mice Place'!A16,'Recap dep rec'!$G:$G)</f>
        <v>53.0043255</v>
      </c>
      <c r="D16" s="398">
        <f t="shared" si="1"/>
        <v>8.0194528835974156E-4</v>
      </c>
      <c r="E16" s="115">
        <v>740</v>
      </c>
      <c r="F16" s="123" t="s">
        <v>101</v>
      </c>
      <c r="G16" s="225" t="e">
        <f>+SUMIF('Recap dep rec'!#REF!,E16,'Recap dep rec'!$G$47:$G$56)</f>
        <v>#REF!</v>
      </c>
      <c r="H16" s="398" t="e">
        <f>G16/C60</f>
        <v>#REF!</v>
      </c>
    </row>
    <row r="17" spans="1:8">
      <c r="A17" t="str">
        <f t="shared" si="0"/>
        <v>617</v>
      </c>
      <c r="B17" s="121" t="s">
        <v>31</v>
      </c>
      <c r="C17" s="225">
        <f>SUMIF('Recap dep rec'!$A:$A,'Mice Place'!A17,'Recap dep rec'!$G:$G)</f>
        <v>0</v>
      </c>
      <c r="D17" s="398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225">
        <f>SUMIF('Recap dep rec'!$A:$A,'Mice Place'!A18,'Recap dep rec'!$G:$G)</f>
        <v>128.27902499999999</v>
      </c>
      <c r="D18" s="398">
        <f t="shared" si="1"/>
        <v>1.9408370679885642E-3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8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8"/>
      <c r="E20" s="115" t="s">
        <v>311</v>
      </c>
      <c r="F20" s="132" t="s">
        <v>103</v>
      </c>
      <c r="G20" s="225"/>
      <c r="H20" s="397"/>
    </row>
    <row r="21" spans="1:8">
      <c r="A21" s="220"/>
      <c r="B21" s="380" t="s">
        <v>104</v>
      </c>
      <c r="C21" s="382">
        <f>SUM(C22:C28)</f>
        <v>3051.4275566249999</v>
      </c>
      <c r="D21" s="170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225">
        <f>SUMIF('Recap dep rec'!$A:$A,'Mice Place'!A22,'Recap dep rec'!$G:$G)</f>
        <v>603.40171499999997</v>
      </c>
      <c r="D22" s="398">
        <f t="shared" ref="D22:D28" si="2">C22/$C$60</f>
        <v>9.1293523267726058E-3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225">
        <f>SUMIF('Recap dep rec'!$A:$A,'Mice Place'!A23,'Recap dep rec'!$G:$G)</f>
        <v>1092.5349119999998</v>
      </c>
      <c r="D23" s="398">
        <f t="shared" si="2"/>
        <v>1.6529843871835041E-2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225">
        <f>SUMIF('Recap dep rec'!$A:$A,'Mice Place'!A24,'Recap dep rec'!$G:$G)</f>
        <v>1.3124999999999998</v>
      </c>
      <c r="D24" s="398">
        <f t="shared" si="2"/>
        <v>1.9857873504534278E-5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225">
        <f>SUMIF('Recap dep rec'!$A:$A,'Mice Place'!A25,'Recap dep rec'!$G:$G)</f>
        <v>879.48</v>
      </c>
      <c r="D25" s="398">
        <f t="shared" si="2"/>
        <v>1.3306363877918332E-2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225">
        <f>SUMIF('Recap dep rec'!$A:$A,'Mice Place'!A26,'Recap dep rec'!$G:$G)</f>
        <v>117.738592125</v>
      </c>
      <c r="D26" s="398">
        <f t="shared" si="2"/>
        <v>1.7813623383011092E-3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225">
        <f>SUMIF('Recap dep rec'!$A:$A,'Mice Place'!A27,'Recap dep rec'!$G:$G)</f>
        <v>82.139924999999991</v>
      </c>
      <c r="D27" s="398">
        <f t="shared" si="2"/>
        <v>1.2427613259595679E-3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225">
        <f>SUMIF('Recap dep rec'!$A:$A,'Mice Place'!A28,'Recap dep rec'!$G:$G)</f>
        <v>274.81991249999999</v>
      </c>
      <c r="D28" s="398">
        <f t="shared" si="2"/>
        <v>4.1579726163445173E-3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8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56.962499999999999</v>
      </c>
      <c r="D30" s="170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225">
        <f>SUMIF('Recap dep rec'!$A:$A,'Mice Place'!A31,'Recap dep rec'!$G:$G)</f>
        <v>0</v>
      </c>
      <c r="D31" s="398">
        <f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225">
        <f>SUMIF('Recap dep rec'!$A:$A,'Mice Place'!A32,'Recap dep rec'!$G:$G)</f>
        <v>56.962499999999999</v>
      </c>
      <c r="D32" s="398">
        <f>C32/$C$60</f>
        <v>8.6183171009678776E-4</v>
      </c>
      <c r="E32" s="115"/>
      <c r="F32" s="123"/>
      <c r="G32" s="124"/>
      <c r="H32" s="122"/>
    </row>
    <row r="33" spans="1:8">
      <c r="B33" s="121"/>
      <c r="C33" s="127"/>
      <c r="D33" s="128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10223.107499999998</v>
      </c>
      <c r="D34" s="170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225">
        <f>SUMIF('Recap dep rec'!$A:$A,'Mice Place'!A35,'Recap dep rec'!$G:$G)</f>
        <v>10207.199999999999</v>
      </c>
      <c r="D35" s="398">
        <f>C35/$C$60</f>
        <v>0.15443298014131984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225">
        <f>SUMIF('Recap dep rec'!$A:$A,'Mice Place'!A36,'Recap dep rec'!$G:$G)</f>
        <v>15.907499999999999</v>
      </c>
      <c r="D36" s="398">
        <f>C36/$C$60</f>
        <v>2.4067742687495548E-4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8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70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225">
        <f>SUMIF('Recap dep rec'!$A:$A,'Mice Place'!A39,'Recap dep rec'!$G:$G)</f>
        <v>0</v>
      </c>
      <c r="D39" s="398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8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8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70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225">
        <f>SUMIF('Recap dep rec'!$A:$A,'Mice Place'!A43,'Recap dep rec'!$G:$G)</f>
        <v>0</v>
      </c>
      <c r="D43" s="398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225">
        <f>SUMIF('Recap dep rec'!$A:$A,'Mice Place'!A44,'Recap dep rec'!$G:$G)</f>
        <v>0</v>
      </c>
      <c r="D44" s="398">
        <f>C44/$C$60</f>
        <v>0</v>
      </c>
      <c r="E44" s="115">
        <v>758</v>
      </c>
      <c r="F44" s="121" t="s">
        <v>52</v>
      </c>
      <c r="G44" s="225" t="e">
        <f>+SUMIF('Recap dep rec'!#REF!,E44,'Recap dep rec'!$G$47:$G$56)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8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70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225">
        <f>SUMIF('Recap dep rec'!$A:$A,'Mice Place'!A47,'Recap dep rec'!$G:$G)</f>
        <v>0</v>
      </c>
      <c r="D47" s="398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8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70"/>
      <c r="E49" s="115">
        <v>756</v>
      </c>
      <c r="F49" s="121" t="s">
        <v>51</v>
      </c>
      <c r="G49" s="225" t="e">
        <f>+SUMIF('Recap dep rec'!#REF!,E49,'Recap dep rec'!$G$47:$G$56)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8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225">
        <f>SUMIF('Recap dep rec'!$A:$A,'Mice Place'!A51,'Recap dep rec'!$G:$G)</f>
        <v>0</v>
      </c>
      <c r="D51" s="398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8"/>
      <c r="E52" s="115"/>
      <c r="F52" s="121"/>
      <c r="G52" s="225"/>
      <c r="H52" s="397"/>
    </row>
    <row r="53" spans="1:9">
      <c r="B53" s="140"/>
      <c r="C53" s="399"/>
      <c r="D53" s="398"/>
      <c r="E53" s="115"/>
      <c r="F53" s="123"/>
      <c r="G53" s="225"/>
      <c r="H53" s="397"/>
    </row>
    <row r="54" spans="1:9">
      <c r="B54" s="140"/>
      <c r="C54" s="127"/>
      <c r="D54" s="128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170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90">
        <v>0</v>
      </c>
      <c r="D56" s="170">
        <f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225">
        <f>SUMIF('Recap dep rec'!$A:$A,'Mice Place'!A57,'Recap dep rec'!$G:$G)</f>
        <v>0</v>
      </c>
      <c r="D57" s="128">
        <f>C57/$C$60</f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225">
        <f>SUMIF('Recap dep rec'!$A:$A,'Mice Place'!A58,'Recap dep rec'!$G:$G)</f>
        <v>0</v>
      </c>
      <c r="D58" s="128">
        <f>C58/$C$60</f>
        <v>0</v>
      </c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66094.690335312494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rec'!G43</f>
        <v>-105.52500000000873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4">
    <tabColor theme="9" tint="-0.499984740745262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Workshop Berlin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70.068375000000003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rec'!$H:$H)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rec'!$H:$H)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rec'!$H:$H)</f>
        <v>70.068375000000003</v>
      </c>
      <c r="D7" s="397">
        <f>C7/$C$60</f>
        <v>3.4076951777833597E-3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9"/>
      <c r="D8" s="397"/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11649.050964187501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rec'!$H:$H)</f>
        <v>10770</v>
      </c>
      <c r="D12" s="397">
        <f t="shared" ref="D12:D18" si="1">C12/$C$60</f>
        <v>0.52378661649748237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rec'!$H:$H)</f>
        <v>481.24897518750004</v>
      </c>
      <c r="D13" s="397">
        <f t="shared" si="1"/>
        <v>2.3404992795389181E-2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SUMIF('Recap dep rec'!$A:$A,A14,'Recap dep rec'!$H:$H)</f>
        <v>169.62725</v>
      </c>
      <c r="D14" s="397">
        <f t="shared" si="1"/>
        <v>8.2496270513716403E-3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rec'!$H:$H)</f>
        <v>115.95171249999999</v>
      </c>
      <c r="D15" s="397">
        <f t="shared" si="1"/>
        <v>5.6391787527821568E-3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rec'!$H:$H)</f>
        <v>32.8122015</v>
      </c>
      <c r="D16" s="397">
        <f t="shared" si="1"/>
        <v>1.5957838443378474E-3</v>
      </c>
      <c r="E16" s="115">
        <v>740</v>
      </c>
      <c r="F16" s="123" t="s">
        <v>101</v>
      </c>
      <c r="G16" s="225" t="e">
        <f>+SUMIF('Recap dep rec'!#REF!,E16,'Recap dep rec'!$H$47:$H$56)</f>
        <v>#REF!</v>
      </c>
      <c r="H16" s="398" t="e">
        <f>G16/C60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rec'!$H:$H)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rec'!$H:$H)</f>
        <v>79.410824999999988</v>
      </c>
      <c r="D18" s="397">
        <f t="shared" si="1"/>
        <v>3.8620545348211402E-3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 t="e">
        <f>+SUMIF('Recap dep rec'!#REF!,E20,'Recap dep rec'!$H$47:$H$56)</f>
        <v>#REF!</v>
      </c>
      <c r="H20" s="397"/>
    </row>
    <row r="21" spans="1:8">
      <c r="A21" s="220"/>
      <c r="B21" s="380" t="s">
        <v>104</v>
      </c>
      <c r="C21" s="382">
        <f>SUM(C22:C28)</f>
        <v>1888.978963625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rec'!$H:$H)</f>
        <v>373.53439500000002</v>
      </c>
      <c r="D22" s="397">
        <f>C22/$C$60</f>
        <v>1.8166417539692118E-2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rec'!$H:$H)</f>
        <v>676.33113600000001</v>
      </c>
      <c r="D23" s="397">
        <f t="shared" ref="D23:D28" si="2">C23/$C$60</f>
        <v>3.289259028387545E-2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rec'!$H:$H)</f>
        <v>0.8125</v>
      </c>
      <c r="D24" s="397">
        <f t="shared" si="2"/>
        <v>3.9515007047744147E-5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rec'!$H:$H)</f>
        <v>544.44000000000005</v>
      </c>
      <c r="D25" s="397">
        <f t="shared" si="2"/>
        <v>2.6478215922552398E-2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rec'!$H:$H)</f>
        <v>72.885795125000001</v>
      </c>
      <c r="D26" s="397">
        <f t="shared" si="2"/>
        <v>3.5447171791320748E-3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rec'!$H:$H)</f>
        <v>50.848525000000002</v>
      </c>
      <c r="D27" s="397">
        <f t="shared" si="2"/>
        <v>2.4729597830675625E-3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rec'!$H:$H)</f>
        <v>170.12661250000002</v>
      </c>
      <c r="D28" s="397">
        <f t="shared" si="2"/>
        <v>8.2739129747031858E-3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35.262500000000003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rec'!$H:$H)</f>
        <v>0</v>
      </c>
      <c r="D31" s="397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rec'!$H:$H)</f>
        <v>35.262500000000003</v>
      </c>
      <c r="D32" s="397">
        <f t="shared" si="3"/>
        <v>1.714951305872096E-3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6918.4474999999993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rec'!$H:$H)</f>
        <v>6908.5999999999995</v>
      </c>
      <c r="D35" s="397">
        <f t="shared" ref="D35:D36" si="4">C35/$C$60</f>
        <v>0.33599184946467098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rec'!$H:$H)</f>
        <v>9.8475000000000001</v>
      </c>
      <c r="D36" s="397">
        <f t="shared" si="4"/>
        <v>4.7892188541865901E-4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rec'!$H:$H)</f>
        <v>0</v>
      </c>
      <c r="D39" s="397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rec'!$H:$H)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rec'!$H:$H)</f>
        <v>0</v>
      </c>
      <c r="D44" s="397"/>
      <c r="E44" s="115">
        <v>758</v>
      </c>
      <c r="F44" s="121" t="s">
        <v>52</v>
      </c>
      <c r="G44" s="225" t="e">
        <f>+SUMIF('Recap dep rec'!#REF!,E44,'Recap dep rec'!$H$47:$H$56)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rec'!$H:$H)</f>
        <v>0</v>
      </c>
      <c r="D47" s="397"/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rec'!$H$47:$H$56)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rec'!$H:$H)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rec'!$M:$M)</f>
        <v>0</v>
      </c>
      <c r="D56" s="138">
        <f t="shared" ref="D56:D58" si="5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SUMIF('Recap dep rec'!$A:$A,A57,'Recap dep rec'!$H:$H)</f>
        <v>0</v>
      </c>
      <c r="D57" s="397">
        <f t="shared" si="5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SUMIF('Recap dep rec'!$A:$A,A58,'Recap dep rec'!$H:$H)</f>
        <v>0</v>
      </c>
      <c r="D58" s="397">
        <f t="shared" si="5"/>
        <v>0</v>
      </c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20561.8083028125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rec'!H43</f>
        <v>-65.325000000000728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1">
    <tabColor theme="9" tint="-0.499984740745262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3" max="3" width="11.42578125" style="31"/>
    <col min="5" max="5" width="5.42578125" customWidth="1"/>
    <col min="6" max="6" width="33" bestFit="1" customWidth="1"/>
  </cols>
  <sheetData>
    <row r="1" spans="1:8" ht="34.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SBE LYON</v>
      </c>
      <c r="G1" s="371"/>
      <c r="H1" s="372"/>
    </row>
    <row r="2" spans="1:8" ht="15.75">
      <c r="B2" s="109"/>
      <c r="C2" s="203"/>
      <c r="D2" s="111"/>
      <c r="E2" s="110"/>
      <c r="F2" s="110"/>
      <c r="G2" s="110"/>
      <c r="H2" s="111"/>
    </row>
    <row r="3" spans="1:8">
      <c r="B3" s="112" t="s">
        <v>87</v>
      </c>
      <c r="C3" s="204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5">
        <f>SUM(C5:C8)</f>
        <v>75.458250000000007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rec'!$I:$I)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rec'!$I:$I)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rec'!$I:$I)</f>
        <v>75.458250000000007</v>
      </c>
      <c r="D7" s="397">
        <f>C7/$C$60</f>
        <v>2.9484178752236931E-3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rec'!$I:$I)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15981.670269124999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rec'!$I:$I)</f>
        <v>15035</v>
      </c>
      <c r="D12" s="397">
        <f t="shared" ref="D12:D18" si="1">C12/$C$60</f>
        <v>0.58747006131189394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rec'!$I:$I)</f>
        <v>518.26812712500009</v>
      </c>
      <c r="D13" s="397">
        <f t="shared" si="1"/>
        <v>2.0250549279555986E-2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SUMIF('Recap dep rec'!$A:$A,A14,'Recap dep rec'!$I:$I)</f>
        <v>182.67550000000003</v>
      </c>
      <c r="D14" s="397">
        <f t="shared" si="1"/>
        <v>7.1377710133143264E-3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rec'!$I:$I)</f>
        <v>124.87107499999999</v>
      </c>
      <c r="D15" s="397">
        <f t="shared" si="1"/>
        <v>4.8791498560912605E-3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rec'!$I:$I)</f>
        <v>35.336217000000005</v>
      </c>
      <c r="D16" s="397">
        <f t="shared" si="1"/>
        <v>1.380709648654499E-3</v>
      </c>
      <c r="E16" s="115">
        <v>740</v>
      </c>
      <c r="F16" s="123" t="s">
        <v>101</v>
      </c>
      <c r="G16" s="225" t="e">
        <f>+SUMIF('Recap dep rec'!#REF!,E16,'Recap dep rec'!$I$47:$I$56)</f>
        <v>#REF!</v>
      </c>
      <c r="H16" s="398" t="e">
        <f>G16/G60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rec'!$I:$I)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rec'!$I:$I)</f>
        <v>85.519350000000003</v>
      </c>
      <c r="D18" s="397">
        <f t="shared" si="1"/>
        <v>3.3415402585868516E-3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 t="e">
        <f>+SUMIF('Recap dep rec'!#REF!,E20,'Recap dep rec'!$I$47:$I$56)</f>
        <v>#REF!</v>
      </c>
      <c r="H20" s="397"/>
    </row>
    <row r="21" spans="1:8">
      <c r="A21" s="220"/>
      <c r="B21" s="380" t="s">
        <v>104</v>
      </c>
      <c r="C21" s="382">
        <f>SUM(C22:C28)</f>
        <v>2034.2850377499999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rec'!$I:$I)</f>
        <v>402.26781</v>
      </c>
      <c r="D22" s="397">
        <f>C22/$C$60</f>
        <v>1.571801097469247E-2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rec'!$I:$I)</f>
        <v>728.35660800000005</v>
      </c>
      <c r="D23" s="397">
        <f t="shared" ref="D23:D28" si="2">C23/$C$60</f>
        <v>2.8459441380690596E-2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rec'!$I:$I)</f>
        <v>0.875</v>
      </c>
      <c r="D24" s="397">
        <f t="shared" ref="D24" si="3">C24/$C$60</f>
        <v>3.4189311848879762E-5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rec'!$I:$I)</f>
        <v>586.32000000000005</v>
      </c>
      <c r="D25" s="397">
        <f t="shared" si="2"/>
        <v>2.290957408369735E-2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rec'!$I:$I)</f>
        <v>78.492394750000003</v>
      </c>
      <c r="D26" s="397">
        <f t="shared" si="2"/>
        <v>3.066972527854997E-3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rec'!$I:$I)</f>
        <v>54.759950000000003</v>
      </c>
      <c r="D27" s="397">
        <f t="shared" ref="D27" si="4">C27/$C$60</f>
        <v>2.1396628655760723E-3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rec'!$I:$I)</f>
        <v>183.21327500000001</v>
      </c>
      <c r="D28" s="397">
        <f t="shared" si="2"/>
        <v>7.1587837643766472E-3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37.975000000000009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rec'!$I:$I)</f>
        <v>0</v>
      </c>
      <c r="D31" s="397">
        <f t="shared" ref="D31:D32" si="5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rec'!$I:$I)</f>
        <v>37.975000000000009</v>
      </c>
      <c r="D32" s="397">
        <f t="shared" si="5"/>
        <v>1.4838161342413819E-3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7463.4049999999997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rec'!$I:$I)</f>
        <v>7452.8</v>
      </c>
      <c r="D35" s="397">
        <f t="shared" ref="D35:D36" si="6">C35/$C$60</f>
        <v>0.29120697525409267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rec'!$I:$I)</f>
        <v>10.605</v>
      </c>
      <c r="D36" s="397">
        <f t="shared" si="6"/>
        <v>4.1437445960842268E-4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rec'!$I:$I)</f>
        <v>0</v>
      </c>
      <c r="D39" s="397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rec'!$I:$I)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rec'!$I:$I)</f>
        <v>0</v>
      </c>
      <c r="D44" s="397"/>
      <c r="E44" s="115">
        <v>758</v>
      </c>
      <c r="F44" s="121" t="s">
        <v>52</v>
      </c>
      <c r="G44" s="225" t="e">
        <f>+SUMIF('Recap dep rec'!#REF!,E44,'Recap dep rec'!$I$47:$I$56)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rec'!$I:$I)</f>
        <v>0</v>
      </c>
      <c r="D47" s="397"/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rec'!$I$47:$I$56)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rec'!$I:$I)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rec'!$I:$I)</f>
        <v>0</v>
      </c>
      <c r="D56" s="138">
        <f t="shared" ref="D56:D58" si="7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SUMIF('Recap dep rec'!$A:$A,A57,'Recap dep rec'!$I:$I)</f>
        <v>0</v>
      </c>
      <c r="D57" s="122">
        <f t="shared" si="7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SUMIF('Recap dep rec'!$A:$A,A58,'Recap dep rec'!$I:$I)</f>
        <v>0</v>
      </c>
      <c r="D58" s="122">
        <f t="shared" si="7"/>
        <v>0</v>
      </c>
      <c r="F58" s="121"/>
      <c r="G58" s="142"/>
      <c r="H58" s="122"/>
    </row>
    <row r="59" spans="1:9">
      <c r="B59" s="145"/>
      <c r="C59" s="207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25592.793556875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208">
        <f>C60-'Recap dep rec'!I43</f>
        <v>-70.350000000002183</v>
      </c>
      <c r="D61" s="153"/>
      <c r="F61" s="115"/>
      <c r="G61" s="152"/>
      <c r="H61" s="154"/>
    </row>
    <row r="62" spans="1:9" ht="15.75">
      <c r="B62" s="115"/>
      <c r="C62" s="209"/>
      <c r="D62" s="156"/>
      <c r="F62" s="144"/>
      <c r="G62" s="155"/>
      <c r="H62" s="154"/>
    </row>
    <row r="63" spans="1:9" ht="15.75">
      <c r="B63" s="144"/>
      <c r="C63" s="209"/>
      <c r="D63" s="156"/>
      <c r="F63" s="144"/>
      <c r="G63" s="155"/>
      <c r="H63" s="153"/>
    </row>
    <row r="64" spans="1:9" ht="15.75">
      <c r="D64" s="35"/>
      <c r="G64" s="157"/>
      <c r="H64" s="156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theme="9" tint="-0.499984740745262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DEV. INTERNATIONNAL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/>
      <c r="C3" s="113"/>
      <c r="D3" s="114"/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5">
        <f>SUM(C5:C8)</f>
        <v>64.6785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rec'!$J:$J)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rec'!$J:$J)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rec'!$J:$J)</f>
        <v>64.6785</v>
      </c>
      <c r="D7" s="397">
        <f>C7/$C$60</f>
        <v>3.3415525569281818E-3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rec'!$J:$J)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10811.431659249998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rec'!$J:$J)</f>
        <v>10000</v>
      </c>
      <c r="D12" s="397">
        <f t="shared" ref="D12:D18" si="1">C12/$C$60</f>
        <v>0.51664039161826292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rec'!$J:$J)</f>
        <v>444.22982325000004</v>
      </c>
      <c r="D13" s="397">
        <f t="shared" si="1"/>
        <v>2.2950706985239173E-2</v>
      </c>
      <c r="E13" s="115"/>
      <c r="F13" s="131"/>
      <c r="G13" s="124"/>
      <c r="H13" s="122"/>
    </row>
    <row r="14" spans="1:8">
      <c r="A14" t="str">
        <f t="shared" si="0"/>
        <v>614</v>
      </c>
      <c r="B14" s="121" t="s">
        <v>289</v>
      </c>
      <c r="C14" s="396">
        <f>SUMIF('Recap dep rec'!$A:$A,A14,'Recap dep rec'!$J:$J)</f>
        <v>156.57900000000001</v>
      </c>
      <c r="D14" s="397">
        <f t="shared" si="1"/>
        <v>8.0895035879195998E-3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rec'!$J:$J)</f>
        <v>107.03234999999999</v>
      </c>
      <c r="D15" s="397">
        <f t="shared" si="1"/>
        <v>5.5297235219822979E-3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rec'!$J:$J)</f>
        <v>30.288186</v>
      </c>
      <c r="D16" s="397">
        <f t="shared" si="1"/>
        <v>1.5648100276446789E-3</v>
      </c>
      <c r="E16" s="115">
        <v>740</v>
      </c>
      <c r="F16" s="123" t="s">
        <v>101</v>
      </c>
      <c r="G16" s="225" t="e">
        <f>+SUMIF('Recap dep rec'!#REF!,E16,'Recap dep rec'!$J$47:$J$56)</f>
        <v>#REF!</v>
      </c>
      <c r="H16" s="398" t="e">
        <f>G16/G60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rec'!$J:$J)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rec'!$J:$J)</f>
        <v>73.302299999999988</v>
      </c>
      <c r="D18" s="397">
        <f t="shared" si="1"/>
        <v>3.7870928978519388E-3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 t="e">
        <f>+SUMIF('Recap dep rec'!#REF!,E20,'Recap dep rec'!$J$47:$J$56)</f>
        <v>#REF!</v>
      </c>
      <c r="H20" s="397"/>
    </row>
    <row r="21" spans="1:8">
      <c r="A21" s="220"/>
      <c r="B21" s="380" t="s">
        <v>104</v>
      </c>
      <c r="C21" s="382">
        <f>SUM(C22:C28)</f>
        <v>1743.6728895000001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rec'!$J:$J)</f>
        <v>344.80097999999998</v>
      </c>
      <c r="D22" s="397">
        <f>C22/$C$60</f>
        <v>1.7813811333756084E-2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rec'!$J:$J)</f>
        <v>624.30566399999998</v>
      </c>
      <c r="D23" s="397">
        <f t="shared" ref="D23:D28" si="2">C23/$C$60</f>
        <v>3.2254152273845968E-2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rec'!$J:$J)</f>
        <v>0.75</v>
      </c>
      <c r="D24" s="397">
        <f t="shared" si="2"/>
        <v>3.8748029371369719E-5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rec'!$J:$J)</f>
        <v>502.56</v>
      </c>
      <c r="D25" s="397">
        <f t="shared" si="2"/>
        <v>2.5964279521167422E-2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rec'!$J:$J)</f>
        <v>67.2791955</v>
      </c>
      <c r="D26" s="397">
        <f t="shared" si="2"/>
        <v>3.4759149910881674E-3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rec'!$J:$J)</f>
        <v>46.937099999999994</v>
      </c>
      <c r="D27" s="397">
        <f t="shared" si="2"/>
        <v>2.4249601725425565E-3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rec'!$J:$J)</f>
        <v>157.03995</v>
      </c>
      <c r="D28" s="397">
        <f t="shared" si="2"/>
        <v>8.1133181267712424E-3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32.550000000000004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rec'!$J:$J)</f>
        <v>0</v>
      </c>
      <c r="D31" s="397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rec'!$J:$J)</f>
        <v>32.550000000000004</v>
      </c>
      <c r="D32" s="397">
        <f t="shared" si="3"/>
        <v>1.6816644747174459E-3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6703.4900000000007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rec'!$J:$J)</f>
        <v>6694.4000000000005</v>
      </c>
      <c r="D35" s="397">
        <f t="shared" ref="D35:D36" si="4">C35/$C$60</f>
        <v>0.34585974376492995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rec'!$J:$J)</f>
        <v>9.09</v>
      </c>
      <c r="D36" s="397">
        <f t="shared" si="4"/>
        <v>4.6962611598100101E-4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rec'!$J:$J)</f>
        <v>0</v>
      </c>
      <c r="D39" s="397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rec'!$J:$J)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rec'!$J:$J)</f>
        <v>0</v>
      </c>
      <c r="D44" s="397">
        <f>C44/$C$60</f>
        <v>0</v>
      </c>
      <c r="E44" s="115">
        <v>758</v>
      </c>
      <c r="F44" s="121" t="s">
        <v>52</v>
      </c>
      <c r="G44" s="225" t="e">
        <f>+SUMIF('Recap dep rec'!#REF!,E44,'Recap dep rec'!$J$47:$J$56)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rec'!$J:$J)</f>
        <v>0</v>
      </c>
      <c r="D47" s="397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rec'!$J$47:$J$56)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rec'!$J:$J)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6">
        <f>SUMIF('Recap dep rec'!$A:$A,A52,'Recap dep rec'!$J:$J)</f>
        <v>0</v>
      </c>
      <c r="D52" s="397">
        <f>C52/$C$60</f>
        <v>0</v>
      </c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rec'!$L:$L)</f>
        <v>0</v>
      </c>
      <c r="D56" s="138">
        <f t="shared" ref="D56:D58" si="5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SUMIF('Recap dep rec'!$A:$A,A57,'Recap dep rec'!$J:$J)</f>
        <v>0</v>
      </c>
      <c r="D57" s="122">
        <f t="shared" si="5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SUMIF('Recap dep rec'!$A:$A,A58,'Recap dep rec'!$J:$J)</f>
        <v>0</v>
      </c>
      <c r="D58" s="122">
        <f t="shared" si="5"/>
        <v>0</v>
      </c>
      <c r="F58" s="121"/>
      <c r="G58" s="142"/>
      <c r="H58" s="122"/>
    </row>
    <row r="59" spans="1:9">
      <c r="B59" s="145"/>
      <c r="C59" s="207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19355.82304875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rec'!J43</f>
        <v>-60.299999999999272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theme="9" tint="-0.499984740745262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WS LYON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/>
      <c r="C3" s="113"/>
      <c r="D3" s="114"/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5">
        <f>SUM(C5:C8)</f>
        <v>107.7975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rec'!$K:$K)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rec'!$K:$K)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rec'!$K:$K)</f>
        <v>107.7975</v>
      </c>
      <c r="D7" s="397">
        <f>C7/$C$60</f>
        <v>4.1172834108959182E-3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rec'!$K:$K)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13752.386098750001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rec'!$K:$K)</f>
        <v>12400</v>
      </c>
      <c r="D12" s="397">
        <f t="shared" ref="D12:D18" si="1">C12/$C$60</f>
        <v>0.4736131570315581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rec'!$K:$K)</f>
        <v>740.38303875000008</v>
      </c>
      <c r="D13" s="397">
        <f t="shared" si="1"/>
        <v>2.8278640999597256E-2</v>
      </c>
      <c r="E13" s="115"/>
      <c r="F13" s="131"/>
      <c r="G13" s="124"/>
      <c r="H13" s="122"/>
    </row>
    <row r="14" spans="1:8">
      <c r="A14" t="str">
        <f t="shared" si="0"/>
        <v>614</v>
      </c>
      <c r="B14" s="121" t="s">
        <v>289</v>
      </c>
      <c r="C14" s="396">
        <f>SUMIF('Recap dep rec'!$A:$A,A14,'Recap dep rec'!$K:$K)</f>
        <v>260.96500000000003</v>
      </c>
      <c r="D14" s="397">
        <f t="shared" si="1"/>
        <v>9.9674562519952072E-3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rec'!$K:$K)</f>
        <v>178.38724999999999</v>
      </c>
      <c r="D15" s="397">
        <f t="shared" si="1"/>
        <v>6.813431342474017E-3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rec'!$K:$K)</f>
        <v>50.480310000000003</v>
      </c>
      <c r="D16" s="397">
        <f t="shared" si="1"/>
        <v>1.9280757247606237E-3</v>
      </c>
      <c r="E16" s="115">
        <v>740</v>
      </c>
      <c r="F16" s="123" t="s">
        <v>101</v>
      </c>
      <c r="G16" s="225" t="e">
        <f>+SUMIF('Recap dep rec'!#REF!,E16,'Recap dep rec'!$K$47:$K$56)</f>
        <v>#REF!</v>
      </c>
      <c r="H16" s="398" t="e">
        <f>G16/G60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rec'!$K:$K)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rec'!$K:$K)</f>
        <v>122.17049999999999</v>
      </c>
      <c r="D18" s="397">
        <f t="shared" si="1"/>
        <v>4.6662545323487067E-3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 t="e">
        <f>+SUMIF('Recap dep rec'!#REF!,E20,'Recap dep rec'!$K$47:$K$56)</f>
        <v>#REF!</v>
      </c>
      <c r="H20" s="397"/>
    </row>
    <row r="21" spans="1:8">
      <c r="A21" s="220"/>
      <c r="B21" s="380" t="s">
        <v>104</v>
      </c>
      <c r="C21" s="382">
        <f>SUM(C22:C28)</f>
        <v>2906.1214824999997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rec'!$K:$K)</f>
        <v>574.66830000000004</v>
      </c>
      <c r="D22" s="397">
        <f>C22/$C$60</f>
        <v>2.1949231274916013E-2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rec'!$K:$K)</f>
        <v>1040.50944</v>
      </c>
      <c r="D23" s="397">
        <f t="shared" ref="D23:D28" si="2">C23/$C$60</f>
        <v>3.9741851677382145E-2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rec'!$K:$K)</f>
        <v>1.25</v>
      </c>
      <c r="D24" s="397">
        <f t="shared" si="2"/>
        <v>4.7743261797536097E-5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rec'!$K:$K)</f>
        <v>837.6</v>
      </c>
      <c r="D25" s="397">
        <f t="shared" si="2"/>
        <v>3.1991804865292989E-2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rec'!$K:$K)</f>
        <v>112.13199250000001</v>
      </c>
      <c r="D26" s="397">
        <f t="shared" si="2"/>
        <v>4.2828376590454843E-3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rec'!$K:$K)</f>
        <v>78.228499999999997</v>
      </c>
      <c r="D27" s="397">
        <f t="shared" si="2"/>
        <v>2.987907004422842E-3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rec'!$K:$K)</f>
        <v>261.73325</v>
      </c>
      <c r="D28" s="397">
        <f t="shared" si="2"/>
        <v>9.9967992606959724E-3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54.250000000000007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rec'!$K:$K)</f>
        <v>0</v>
      </c>
      <c r="D31" s="397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rec'!$K:$K)</f>
        <v>54.250000000000007</v>
      </c>
      <c r="D32" s="397">
        <f t="shared" si="3"/>
        <v>2.0720575620130671E-3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9361.15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rec'!$K:$K)</f>
        <v>9346</v>
      </c>
      <c r="D35" s="397">
        <f t="shared" ref="D35:D36" si="4">C35/$C$60</f>
        <v>0.35696681980781791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rec'!$K:$K)</f>
        <v>15.150000000000002</v>
      </c>
      <c r="D36" s="397">
        <f t="shared" si="4"/>
        <v>5.7864833298613765E-4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rec'!$K:$K)</f>
        <v>0</v>
      </c>
      <c r="D39" s="397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rec'!$K:$K)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rec'!$K:$K)</f>
        <v>0</v>
      </c>
      <c r="D44" s="397">
        <f>C44/$C$60</f>
        <v>0</v>
      </c>
      <c r="E44" s="115">
        <v>758</v>
      </c>
      <c r="F44" s="121" t="s">
        <v>52</v>
      </c>
      <c r="G44" s="225" t="e">
        <f>+SUMIF('Recap dep rec'!#REF!,E44,'Recap dep rec'!$K$47:$K$56)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rec'!$K:$K)</f>
        <v>0</v>
      </c>
      <c r="D47" s="397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rec'!$K$47:$K$56)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rec'!$K:$K)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6">
        <f>SUMIF('Recap dep rec'!$A:$A,A52,'Recap dep rec'!$K:$K)</f>
        <v>0</v>
      </c>
      <c r="D52" s="397">
        <f>C52/$C$60</f>
        <v>0</v>
      </c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rec'!$L:$L)</f>
        <v>0</v>
      </c>
      <c r="D56" s="138">
        <f t="shared" ref="D56:D58" si="5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SUMIF('Recap dep rec'!$A:$A,A57,'Recap dep rec'!$K:$K)</f>
        <v>0</v>
      </c>
      <c r="D57" s="122">
        <f t="shared" si="5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SUMIF('Recap dep rec'!$A:$A,A58,'Recap dep rec'!$K:$K)</f>
        <v>0</v>
      </c>
      <c r="D58" s="122">
        <f t="shared" si="5"/>
        <v>0</v>
      </c>
      <c r="F58" s="121"/>
      <c r="G58" s="142"/>
      <c r="H58" s="122"/>
    </row>
    <row r="59" spans="1:9">
      <c r="B59" s="145"/>
      <c r="C59" s="207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26181.705081250002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rec'!K43</f>
        <v>-100.49999999999636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12">
    <tabColor theme="9" tint="-0.499984740745262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3" max="3" width="11.42578125" style="31"/>
    <col min="5" max="5" width="5.42578125" customWidth="1"/>
    <col min="6" max="6" width="33" bestFit="1" customWidth="1"/>
  </cols>
  <sheetData>
    <row r="1" spans="1:8" ht="32.2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Heavent</v>
      </c>
      <c r="G1" s="371"/>
      <c r="H1" s="372"/>
    </row>
    <row r="2" spans="1:8" ht="15.75">
      <c r="B2" s="109"/>
      <c r="C2" s="203"/>
      <c r="D2" s="111"/>
      <c r="E2" s="110"/>
      <c r="F2" s="110"/>
      <c r="G2" s="110"/>
      <c r="H2" s="111"/>
    </row>
    <row r="3" spans="1:8">
      <c r="B3" s="112" t="s">
        <v>87</v>
      </c>
      <c r="C3" s="204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5">
        <f>SUM(C5:C8)</f>
        <v>140.13675000000001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rec'!$L:$L)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rec'!$L:$L)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rec'!$L:$L)</f>
        <v>140.13675000000001</v>
      </c>
      <c r="D7" s="397">
        <f>C7/$C$60</f>
        <v>8.2952265065863728E-4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rec'!$L:$L)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151711.10192837499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rec'!$L:$L)</f>
        <v>149953</v>
      </c>
      <c r="D12" s="397">
        <f t="shared" ref="D12:D18" si="1">C12/$C$60</f>
        <v>0.88762876286352177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rec'!$L:$L)</f>
        <v>962.49795037500007</v>
      </c>
      <c r="D13" s="397">
        <f t="shared" si="1"/>
        <v>5.6973909488308785E-3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SUMIF('Recap dep rec'!$A:$A,A14,'Recap dep rec'!$L:$L)</f>
        <v>339.25450000000001</v>
      </c>
      <c r="D14" s="397">
        <f t="shared" si="1"/>
        <v>2.0081762427619498E-3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rec'!$L:$L)</f>
        <v>231.90342499999997</v>
      </c>
      <c r="D15" s="397">
        <f t="shared" si="1"/>
        <v>1.3727244552397316E-3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rec'!$L:$L)</f>
        <v>65.624403000000001</v>
      </c>
      <c r="D16" s="397">
        <f t="shared" si="1"/>
        <v>3.8845576713068217E-4</v>
      </c>
      <c r="E16" s="115">
        <v>740</v>
      </c>
      <c r="F16" s="123" t="s">
        <v>101</v>
      </c>
      <c r="G16" s="225" t="e">
        <f>+SUMIF('Recap dep rec'!#REF!,E16,'Recap dep rec'!$L$47:$L$56)</f>
        <v>#REF!</v>
      </c>
      <c r="H16" s="398" t="e">
        <f>G16/G60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rec'!$L:$L)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rec'!$L:$L)</f>
        <v>158.82164999999998</v>
      </c>
      <c r="D18" s="397">
        <f t="shared" si="1"/>
        <v>9.4012567074645544E-4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 t="e">
        <f>+SUMIF('Recap dep rec'!#REF!,E20,'Recap dep rec'!$L$47:$L$56)</f>
        <v>#REF!</v>
      </c>
      <c r="H20" s="397"/>
    </row>
    <row r="21" spans="1:8">
      <c r="A21" s="220"/>
      <c r="B21" s="380" t="s">
        <v>104</v>
      </c>
      <c r="C21" s="382">
        <f>SUM(C22:C28)</f>
        <v>3777.95792725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rec'!$L:$L)</f>
        <v>747.06879000000004</v>
      </c>
      <c r="D22" s="397">
        <f t="shared" ref="D22:D28" si="2">C22/$C$60</f>
        <v>4.4221839232402695E-3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rec'!$L:$L)</f>
        <v>1352.662272</v>
      </c>
      <c r="D23" s="397">
        <f t="shared" si="2"/>
        <v>8.0069217626024189E-3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rec'!$L:$L)</f>
        <v>1.625</v>
      </c>
      <c r="D24" s="397">
        <f t="shared" si="2"/>
        <v>9.6189922152489311E-6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rec'!$L:$L)</f>
        <v>1088.8800000000001</v>
      </c>
      <c r="D25" s="397">
        <f t="shared" si="2"/>
        <v>6.4454943035940036E-3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rec'!$L:$L)</f>
        <v>145.77159025</v>
      </c>
      <c r="D26" s="397">
        <f t="shared" si="2"/>
        <v>8.6287741035028117E-4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rec'!$L:$L)</f>
        <v>101.69705</v>
      </c>
      <c r="D27" s="397">
        <f t="shared" si="2"/>
        <v>6.0198346600848077E-4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rec'!$L:$L)</f>
        <v>340.25322500000004</v>
      </c>
      <c r="D28" s="397">
        <f t="shared" si="2"/>
        <v>2.014088075377442E-3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70.525000000000006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rec'!$L:$L)</f>
        <v>0</v>
      </c>
      <c r="D31" s="397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rec'!$L:$L)</f>
        <v>70.525000000000006</v>
      </c>
      <c r="D32" s="397">
        <f t="shared" si="3"/>
        <v>4.1746426214180364E-4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13236.895000000002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rec'!$L:$L)</f>
        <v>13217.200000000003</v>
      </c>
      <c r="D35" s="397">
        <f t="shared" ref="D35:D36" si="4">C35/$C$60</f>
        <v>7.8237627019931186E-2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rec'!$L:$L)</f>
        <v>19.695</v>
      </c>
      <c r="D36" s="397">
        <f t="shared" si="4"/>
        <v>1.1658218564881704E-4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rec'!$L:$L)</f>
        <v>0</v>
      </c>
      <c r="D39" s="397">
        <f t="shared" ref="D39" si="5"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rec'!$L:$L)</f>
        <v>0</v>
      </c>
      <c r="D43" s="397">
        <f t="shared" ref="D43:D44" si="6"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rec'!$L:$L)</f>
        <v>0</v>
      </c>
      <c r="D44" s="397">
        <f t="shared" si="6"/>
        <v>0</v>
      </c>
      <c r="E44" s="115">
        <v>758</v>
      </c>
      <c r="F44" s="121" t="s">
        <v>52</v>
      </c>
      <c r="G44" s="225" t="e">
        <f>+SUMIF('Recap dep rec'!#REF!,E44,'Recap dep rec'!$L$47:$L$56)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rec'!$L:$L)</f>
        <v>0</v>
      </c>
      <c r="D47" s="397">
        <f t="shared" ref="D47" si="7"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rec'!$L$47:$L$56)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rec'!$L:$L)</f>
        <v>0</v>
      </c>
      <c r="D51" s="397">
        <f t="shared" ref="D51:D52" si="8">C51/$C$60</f>
        <v>0</v>
      </c>
      <c r="E51" s="115"/>
      <c r="F51" s="121"/>
      <c r="G51" s="225"/>
      <c r="H51" s="397"/>
    </row>
    <row r="52" spans="1:9">
      <c r="B52" s="121" t="s">
        <v>119</v>
      </c>
      <c r="C52" s="396">
        <f>SUMIF('Recap dep rec'!$A:$A,A52,'Recap dep rec'!$L:$L)</f>
        <v>0</v>
      </c>
      <c r="D52" s="397">
        <f t="shared" si="8"/>
        <v>0</v>
      </c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rec'!$J:$J)</f>
        <v>0</v>
      </c>
      <c r="D56" s="138">
        <f t="shared" ref="D56:D58" si="9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SUMIF('Recap dep rec'!$A:$A,A57,'Recap dep rec'!$J:$J)</f>
        <v>0</v>
      </c>
      <c r="D57" s="122">
        <f t="shared" si="9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SUMIF('Recap dep rec'!$A:$A,A58,'Recap dep rec'!$J:$J)</f>
        <v>0</v>
      </c>
      <c r="D58" s="122">
        <f t="shared" si="9"/>
        <v>0</v>
      </c>
      <c r="F58" s="121"/>
      <c r="G58" s="142"/>
      <c r="H58" s="122"/>
    </row>
    <row r="59" spans="1:9">
      <c r="B59" s="145"/>
      <c r="C59" s="207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168936.61660562499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208">
        <f>C60-'Recap dep rec'!L43</f>
        <v>-130.64999999999418</v>
      </c>
      <c r="D61" s="153"/>
      <c r="F61" s="115"/>
      <c r="G61" s="152"/>
      <c r="H61" s="154"/>
    </row>
    <row r="62" spans="1:9" ht="15.75">
      <c r="B62" s="115"/>
      <c r="C62" s="209"/>
      <c r="D62" s="156"/>
      <c r="F62" s="144"/>
      <c r="G62" s="155"/>
      <c r="H62" s="154"/>
    </row>
    <row r="63" spans="1:9" ht="15.75">
      <c r="B63" s="144"/>
      <c r="C63" s="209"/>
      <c r="D63" s="156"/>
      <c r="F63" s="144"/>
      <c r="G63" s="155"/>
      <c r="H63" s="153"/>
    </row>
    <row r="64" spans="1:9" ht="15.75">
      <c r="D64" s="35"/>
      <c r="G64" s="157"/>
      <c r="H64" s="156"/>
    </row>
  </sheetData>
  <pageMargins left="0.7" right="0.7" top="0.75" bottom="0.75" header="0.3" footer="0.3"/>
  <pageSetup paperSize="9" orientation="portrait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13">
    <tabColor theme="9" tint="-0.499984740745262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9.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Imex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5">
        <f>SUM(C5:C8)</f>
        <v>102.40762500000002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rec'!$M:$M)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rec'!$M:$M)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rec'!$M:$M)</f>
        <v>102.40762500000002</v>
      </c>
      <c r="D7" s="397">
        <f>C7/$C$60</f>
        <v>1.0982555037356383E-3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rec'!$M:$M)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80634.766793812509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rec'!$M:$M)</f>
        <v>79350</v>
      </c>
      <c r="D12" s="397">
        <f t="shared" ref="D12:D18" si="1">C12/$C$60</f>
        <v>0.85097739764419766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rec'!$M:$M)</f>
        <v>703.36388681250014</v>
      </c>
      <c r="D13" s="397">
        <f t="shared" si="1"/>
        <v>7.5431224952313717E-3</v>
      </c>
      <c r="E13" s="115"/>
      <c r="F13" s="131"/>
      <c r="G13" s="124"/>
      <c r="H13" s="122"/>
    </row>
    <row r="14" spans="1:8">
      <c r="A14" t="str">
        <f t="shared" si="0"/>
        <v>614</v>
      </c>
      <c r="B14" s="121" t="s">
        <v>289</v>
      </c>
      <c r="C14" s="396">
        <f>SUMIF('Recap dep rec'!$A:$A,A14,'Recap dep rec'!$M:$M)</f>
        <v>247.91675000000006</v>
      </c>
      <c r="D14" s="397">
        <f t="shared" si="1"/>
        <v>2.6587467012905756E-3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rec'!$M:$M)</f>
        <v>169.46788750000002</v>
      </c>
      <c r="D15" s="397">
        <f t="shared" si="1"/>
        <v>1.8174334201513506E-3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rec'!$M:$M)</f>
        <v>47.956294500000013</v>
      </c>
      <c r="D16" s="397">
        <f t="shared" si="1"/>
        <v>5.1430022299015453E-4</v>
      </c>
      <c r="E16" s="115">
        <v>740</v>
      </c>
      <c r="F16" s="123" t="s">
        <v>101</v>
      </c>
      <c r="G16" s="225" t="e">
        <f>+SUMIF('Recap dep rec'!#REF!,E16,'Recap dep rec'!$M$47:$M$56)</f>
        <v>#REF!</v>
      </c>
      <c r="H16" s="398" t="e">
        <f>G16/C60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rec'!$M:$M)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rec'!$M:$M)</f>
        <v>116.061975</v>
      </c>
      <c r="D18" s="397">
        <f t="shared" si="1"/>
        <v>1.2446895709003897E-3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 t="e">
        <f>+SUMIF('Recap dep rec'!#REF!,E20,'Recap dep rec'!$M$47:$M$56)</f>
        <v>#REF!</v>
      </c>
      <c r="H20" s="397"/>
    </row>
    <row r="21" spans="1:8">
      <c r="A21" s="220"/>
      <c r="B21" s="380" t="s">
        <v>104</v>
      </c>
      <c r="C21" s="382">
        <f>SUM(C22:C28)</f>
        <v>2760.8154083750001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rec'!$M:$M)</f>
        <v>545.93488500000012</v>
      </c>
      <c r="D22" s="397">
        <f>C22/$C$60</f>
        <v>5.8547983329613664E-3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rec'!$M:$M)</f>
        <v>988.48396800000012</v>
      </c>
      <c r="D23" s="397">
        <f t="shared" ref="D23:D28" si="2">C23/$C$60</f>
        <v>1.0600850846901707E-2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rec'!$M:$M)</f>
        <v>1.1875000000000002</v>
      </c>
      <c r="D24" s="397">
        <f t="shared" ref="D24" si="3">C24/$C$60</f>
        <v>1.2735168994360238E-5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rec'!$M:$M)</f>
        <v>795.72000000000014</v>
      </c>
      <c r="D25" s="397">
        <f t="shared" si="2"/>
        <v>8.5335820397409081E-3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rec'!$M:$M)</f>
        <v>106.52539287500002</v>
      </c>
      <c r="D26" s="397">
        <f t="shared" si="2"/>
        <v>1.1424158993294678E-3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rec'!$M:$M)</f>
        <v>74.317075000000017</v>
      </c>
      <c r="D27" s="397">
        <f t="shared" ref="D27" si="4">C27/$C$60</f>
        <v>7.9700253414024787E-4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rec'!$M:$M)</f>
        <v>248.64658750000007</v>
      </c>
      <c r="D28" s="397">
        <f t="shared" si="2"/>
        <v>2.6665737361545095E-3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51.537500000000016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rec'!$M:$M)</f>
        <v>0</v>
      </c>
      <c r="D31" s="397">
        <f t="shared" ref="D31:D32" si="5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rec'!$M:$M)</f>
        <v>51.537500000000016</v>
      </c>
      <c r="D32" s="397">
        <f t="shared" si="5"/>
        <v>5.5270633435523439E-4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9696.192500000001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rec'!$M:$M)</f>
        <v>9681.8000000000011</v>
      </c>
      <c r="D35" s="397">
        <f t="shared" ref="D35:D36" si="6">C35/$C$60</f>
        <v>0.10383103930071322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rec'!$M:$M)</f>
        <v>14.392500000000004</v>
      </c>
      <c r="D36" s="397">
        <f t="shared" si="6"/>
        <v>1.543502482116461E-4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rec'!$M:$M)</f>
        <v>0</v>
      </c>
      <c r="D39" s="397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rec'!$M:$M)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rec'!$M:$M)</f>
        <v>0</v>
      </c>
      <c r="D44" s="397">
        <f>C44/$C$60</f>
        <v>0</v>
      </c>
      <c r="E44" s="115">
        <v>758</v>
      </c>
      <c r="F44" s="121" t="s">
        <v>52</v>
      </c>
      <c r="G44" s="225" t="e">
        <f>+SUMIF('Recap dep rec'!#REF!,E44,'Recap dep rec'!$M$47:$M$56)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rec'!$M:$M)</f>
        <v>0</v>
      </c>
      <c r="D47" s="397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rec'!$M$47:$M$56)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rec'!$M:$M)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6">
        <f>SUMIF('Recap dep rec'!$A:$A,A52,'Recap dep rec'!$M:$M)</f>
        <v>0</v>
      </c>
      <c r="D52" s="397">
        <f>C52/$C$60</f>
        <v>0</v>
      </c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rec'!$L:$L)</f>
        <v>0</v>
      </c>
      <c r="D56" s="138">
        <f t="shared" ref="D56:D58" si="7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SUMIF('Recap dep rec'!$A:$A,A57,'Recap dep rec'!$L:$L)</f>
        <v>0</v>
      </c>
      <c r="D57" s="122">
        <f t="shared" si="7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SUMIF('Recap dep rec'!$A:$A,A58,'Recap dep rec'!$L:$L)</f>
        <v>0</v>
      </c>
      <c r="D58" s="122">
        <f t="shared" si="7"/>
        <v>0</v>
      </c>
      <c r="F58" s="121"/>
      <c r="G58" s="142"/>
      <c r="H58" s="122"/>
    </row>
    <row r="59" spans="1:9">
      <c r="B59" s="145"/>
      <c r="C59" s="207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93245.719827187524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rec'!M43</f>
        <v>-95.474999999976717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  <pageSetup paperSize="9" orientation="portrait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theme="9" tint="-0.499984740745262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WS Europe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/>
      <c r="C3" s="113"/>
      <c r="D3" s="114"/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5">
        <f>SUM(C5:C8)</f>
        <v>86.237999999999985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rec'!$N:$N)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rec'!$N:$N)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rec'!$N:$N)</f>
        <v>86.237999999999985</v>
      </c>
      <c r="D7" s="397">
        <f>C7/$C$60</f>
        <v>2.973440731604971E-3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rec'!$N:$N)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17881.908879000002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rec'!$N:$N)</f>
        <v>16800</v>
      </c>
      <c r="D12" s="397">
        <f t="shared" ref="D12:D18" si="1">C12/$C$60</f>
        <v>0.5792551345226411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rec'!$N:$N)</f>
        <v>592.30643099999998</v>
      </c>
      <c r="D13" s="397">
        <f t="shared" si="1"/>
        <v>2.0422413176638714E-2</v>
      </c>
      <c r="E13" s="115"/>
      <c r="F13" s="131"/>
      <c r="G13" s="124"/>
      <c r="H13" s="122"/>
    </row>
    <row r="14" spans="1:8">
      <c r="A14" t="str">
        <f t="shared" si="0"/>
        <v>614</v>
      </c>
      <c r="B14" s="121" t="s">
        <v>289</v>
      </c>
      <c r="C14" s="396">
        <f>SUMIF('Recap dep rec'!$A:$A,A14,'Recap dep rec'!$N:$N)</f>
        <v>208.77199999999999</v>
      </c>
      <c r="D14" s="397">
        <f t="shared" si="1"/>
        <v>7.1983483895571914E-3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rec'!$N:$N)</f>
        <v>142.70979999999997</v>
      </c>
      <c r="D15" s="397">
        <f t="shared" si="1"/>
        <v>4.9205585950416186E-3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rec'!$N:$N)</f>
        <v>40.384247999999999</v>
      </c>
      <c r="D16" s="397">
        <f t="shared" si="1"/>
        <v>1.3924275599902201E-3</v>
      </c>
      <c r="E16" s="115">
        <v>740</v>
      </c>
      <c r="F16" s="123" t="s">
        <v>101</v>
      </c>
      <c r="G16" s="225" t="e">
        <f>+SUMIF('Recap dep rec'!#REF!,E16,'Recap dep rec'!$N$47:$N$56)</f>
        <v>#REF!</v>
      </c>
      <c r="H16" s="398" t="e">
        <f>G16/C60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rec'!$N:$N)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rec'!$N:$N)</f>
        <v>97.736399999999989</v>
      </c>
      <c r="D18" s="397">
        <f t="shared" si="1"/>
        <v>3.3698994958189675E-3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 t="e">
        <f>+SUMIF('Recap dep rec'!#REF!,E20,'Recap dep rec'!$N$47:$N$56)</f>
        <v>#REF!</v>
      </c>
      <c r="H20" s="397"/>
    </row>
    <row r="21" spans="1:8">
      <c r="A21" s="220"/>
      <c r="B21" s="380" t="s">
        <v>104</v>
      </c>
      <c r="C21" s="382">
        <f>SUM(C22:C28)</f>
        <v>2324.8971859999997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rec'!$N:$N)</f>
        <v>459.73463999999996</v>
      </c>
      <c r="D22" s="397">
        <f>C22/$C$60</f>
        <v>1.5851407782018927E-2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rec'!$N:$N)</f>
        <v>832.4075519999999</v>
      </c>
      <c r="D23" s="397">
        <f t="shared" ref="D23:D28" si="2">C23/$C$60</f>
        <v>2.8700973125679898E-2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rec'!$N:$N)</f>
        <v>0.99999999999999989</v>
      </c>
      <c r="D24" s="397">
        <f t="shared" si="2"/>
        <v>3.4479472293014349E-5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rec'!$N:$N)</f>
        <v>670.07999999999993</v>
      </c>
      <c r="D25" s="397">
        <f t="shared" si="2"/>
        <v>2.3104004794103055E-2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rec'!$N:$N)</f>
        <v>89.705593999999991</v>
      </c>
      <c r="D26" s="397">
        <f t="shared" si="2"/>
        <v>3.0930015428513942E-3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rec'!$N:$N)</f>
        <v>62.582799999999992</v>
      </c>
      <c r="D27" s="397">
        <f t="shared" si="2"/>
        <v>2.1578219186192582E-3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rec'!$N:$N)</f>
        <v>209.38659999999999</v>
      </c>
      <c r="D28" s="397">
        <f t="shared" si="2"/>
        <v>7.2195394732284786E-3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43.4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rec'!$N:$N)</f>
        <v>0</v>
      </c>
      <c r="D31" s="397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rec'!$N:$N)</f>
        <v>43.4</v>
      </c>
      <c r="D32" s="397">
        <f t="shared" si="3"/>
        <v>1.4964090975168227E-3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8666.3200000000015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rec'!$N:$N)</f>
        <v>8654.2000000000007</v>
      </c>
      <c r="D35" s="397">
        <f t="shared" ref="D35:D36" si="4">C35/$C$60</f>
        <v>0.29839224911820483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rec'!$N:$N)</f>
        <v>12.12</v>
      </c>
      <c r="D36" s="397">
        <f t="shared" si="4"/>
        <v>4.1789120419133391E-4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rec'!$N:$N)</f>
        <v>0</v>
      </c>
      <c r="D39" s="397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rec'!$N:$N)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rec'!$N:$N)</f>
        <v>0</v>
      </c>
      <c r="D44" s="397">
        <f>C44/$C$60</f>
        <v>0</v>
      </c>
      <c r="E44" s="115">
        <v>758</v>
      </c>
      <c r="F44" s="121" t="s">
        <v>52</v>
      </c>
      <c r="G44" s="225" t="e">
        <f>+SUMIF('Recap dep rec'!#REF!,E44,'Recap dep rec'!$N$47:$N$56)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rec'!$N:$N)</f>
        <v>0</v>
      </c>
      <c r="D47" s="397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rec'!$N$47:$N$56)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rec'!$N:$N)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6">
        <f>SUMIF('Recap dep rec'!$A:$A,A52,'Recap dep rec'!$N:$N)</f>
        <v>0</v>
      </c>
      <c r="D52" s="397">
        <f>C52/$C$60</f>
        <v>0</v>
      </c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rec'!$L:$L)</f>
        <v>0</v>
      </c>
      <c r="D56" s="138">
        <f t="shared" ref="D56:D58" si="5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SUMIF('Recap dep rec'!$A:$A,A57,'Recap dep rec'!$J:$J)</f>
        <v>0</v>
      </c>
      <c r="D57" s="122">
        <f t="shared" si="5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SUMIF('Recap dep rec'!$A:$A,A58,'Recap dep rec'!$J:$J)</f>
        <v>0</v>
      </c>
      <c r="D58" s="122">
        <f t="shared" si="5"/>
        <v>0</v>
      </c>
      <c r="F58" s="121"/>
      <c r="G58" s="142"/>
      <c r="H58" s="122"/>
    </row>
    <row r="59" spans="1:9">
      <c r="B59" s="145"/>
      <c r="C59" s="207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29002.764065000007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rec'!N43</f>
        <v>-80.399999999994179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15">
    <tabColor theme="4" tint="-0.249977111117893"/>
  </sheetPr>
  <dimension ref="A1:H61"/>
  <sheetViews>
    <sheetView workbookViewId="0"/>
    <sheetView workbookViewId="1"/>
  </sheetViews>
  <sheetFormatPr baseColWidth="10" defaultRowHeight="15"/>
  <cols>
    <col min="1" max="1" width="50.85546875" bestFit="1" customWidth="1"/>
    <col min="2" max="2" width="11.42578125" style="31"/>
    <col min="4" max="4" width="5.42578125" customWidth="1"/>
    <col min="5" max="5" width="33" bestFit="1" customWidth="1"/>
  </cols>
  <sheetData>
    <row r="1" spans="1:8" ht="37.5" customHeight="1">
      <c r="A1" s="367" t="s">
        <v>176</v>
      </c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Actions 1er semestre 2018</v>
      </c>
      <c r="G1" s="372"/>
    </row>
    <row r="2" spans="1:8" ht="15.75">
      <c r="A2" s="109"/>
      <c r="B2" s="203"/>
      <c r="C2" s="111"/>
      <c r="D2" s="110"/>
      <c r="E2" s="110"/>
      <c r="F2" s="110"/>
      <c r="G2" s="111"/>
    </row>
    <row r="3" spans="1:8">
      <c r="A3" s="112" t="s">
        <v>87</v>
      </c>
      <c r="B3" s="204" t="s">
        <v>88</v>
      </c>
      <c r="C3" s="114" t="s">
        <v>89</v>
      </c>
      <c r="D3" s="115"/>
      <c r="E3" s="112" t="s">
        <v>90</v>
      </c>
      <c r="F3" s="112" t="s">
        <v>88</v>
      </c>
      <c r="G3" s="114" t="s">
        <v>89</v>
      </c>
    </row>
    <row r="4" spans="1:8">
      <c r="A4" s="374" t="s">
        <v>91</v>
      </c>
      <c r="B4" s="375">
        <f>SUM(B5:B9)</f>
        <v>652.17487499999993</v>
      </c>
      <c r="C4" s="376">
        <f>SUM(C5:C8)</f>
        <v>1.761077075799972E-3</v>
      </c>
      <c r="D4" s="377"/>
      <c r="E4" s="116" t="s">
        <v>92</v>
      </c>
      <c r="F4" s="382"/>
      <c r="G4" s="384" t="e">
        <f>SUM(G5:G37)</f>
        <v>#REF!</v>
      </c>
      <c r="H4" s="395"/>
    </row>
    <row r="5" spans="1:8">
      <c r="A5" s="121" t="s">
        <v>93</v>
      </c>
      <c r="B5" s="206">
        <f>+'Mice Place'!C5+'SBE LYON'!C5+Heavent!C5+Imex!C5+'DEV. INTERNATIONNAL'!C5+'WS Europe'!C5+'Workshop Berlin'!C5</f>
        <v>0</v>
      </c>
      <c r="C5" s="398">
        <f>B5/$B$57</f>
        <v>0</v>
      </c>
      <c r="D5" s="115"/>
      <c r="E5" s="123"/>
      <c r="F5" s="124"/>
      <c r="G5" s="122"/>
    </row>
    <row r="6" spans="1:8">
      <c r="A6" s="125" t="s">
        <v>94</v>
      </c>
      <c r="B6" s="206">
        <f>+'Mice Place'!C6+'SBE LYON'!C6+Heavent!C6+Imex!C6+'DEV. INTERNATIONNAL'!C6+'WS Europe'!C6+'Workshop Berlin'!C6</f>
        <v>0</v>
      </c>
      <c r="C6" s="398">
        <f>B6/$B$57</f>
        <v>0</v>
      </c>
      <c r="D6" s="115"/>
      <c r="E6" s="123" t="s">
        <v>95</v>
      </c>
      <c r="F6" s="124"/>
      <c r="G6" s="126"/>
    </row>
    <row r="7" spans="1:8">
      <c r="A7" s="125" t="s">
        <v>96</v>
      </c>
      <c r="B7" s="206">
        <f>+'Mice Place'!C7+'SBE LYON'!C7+Heavent!C7+Imex!C7+'DEV. INTERNATIONNAL'!C7+'WS Europe'!C7+'Workshop Berlin'!C7</f>
        <v>652.17487499999993</v>
      </c>
      <c r="C7" s="398">
        <f>B7/$B$57</f>
        <v>1.761077075799972E-3</v>
      </c>
      <c r="D7" s="115"/>
      <c r="E7" s="129"/>
      <c r="F7" s="124"/>
      <c r="G7" s="122"/>
    </row>
    <row r="8" spans="1:8">
      <c r="A8" s="121" t="s">
        <v>97</v>
      </c>
      <c r="B8" s="206">
        <f>+'Mice Place'!C8+'SBE LYON'!C8+Heavent!C8+Imex!C8+'DEV. INTERNATIONNAL'!C8+'WS Europe'!C8+'Workshop Berlin'!C8</f>
        <v>0</v>
      </c>
      <c r="C8" s="398">
        <f>B8/$B$57</f>
        <v>0</v>
      </c>
      <c r="D8" s="115"/>
      <c r="E8" s="129"/>
      <c r="F8" s="124"/>
      <c r="G8" s="122"/>
    </row>
    <row r="9" spans="1:8">
      <c r="A9" s="121"/>
      <c r="B9" s="127"/>
      <c r="C9" s="122"/>
      <c r="D9" s="115"/>
      <c r="E9" s="129"/>
      <c r="F9" s="124"/>
      <c r="G9" s="122"/>
    </row>
    <row r="10" spans="1:8">
      <c r="A10" s="129"/>
      <c r="B10" s="127"/>
      <c r="C10" s="122"/>
      <c r="D10" s="115"/>
      <c r="E10" s="123" t="s">
        <v>98</v>
      </c>
      <c r="F10" s="124"/>
      <c r="G10" s="122"/>
      <c r="H10" s="15"/>
    </row>
    <row r="11" spans="1:8">
      <c r="A11" s="380" t="s">
        <v>99</v>
      </c>
      <c r="B11" s="382"/>
      <c r="C11" s="384">
        <f>SUM(C12:C18)</f>
        <v>0.84091323787152727</v>
      </c>
      <c r="D11" s="377"/>
      <c r="E11" s="121"/>
      <c r="F11" s="124"/>
      <c r="G11" s="122"/>
    </row>
    <row r="12" spans="1:8">
      <c r="A12" s="121" t="s">
        <v>100</v>
      </c>
      <c r="B12" s="127">
        <f>'Mice Place'!C12+'SBE LYON'!C12+Heavent!C12+Imex!C12+'Workshop Berlin'!C12</f>
        <v>306338</v>
      </c>
      <c r="C12" s="398">
        <f>B12/$B$57</f>
        <v>0.82720885137810918</v>
      </c>
      <c r="D12" s="115"/>
      <c r="E12" s="130"/>
      <c r="F12" s="124"/>
      <c r="G12" s="122"/>
    </row>
    <row r="13" spans="1:8">
      <c r="A13" s="121" t="s">
        <v>128</v>
      </c>
      <c r="B13" s="127">
        <f>'Mice Place'!C13+'SBE LYON'!C13+Heavent!C13+Imex!C13+'Workshop Berlin'!C13</f>
        <v>3442.7811301874999</v>
      </c>
      <c r="C13" s="398">
        <f>B13/$B$57</f>
        <v>9.2965907730958291E-3</v>
      </c>
      <c r="D13" s="115"/>
      <c r="E13" s="131"/>
      <c r="F13" s="124"/>
      <c r="G13" s="122"/>
    </row>
    <row r="14" spans="1:8">
      <c r="A14" s="121">
        <v>614</v>
      </c>
      <c r="B14" s="127" t="s">
        <v>289</v>
      </c>
      <c r="C14" s="398"/>
      <c r="D14" s="115"/>
      <c r="E14" s="131"/>
      <c r="F14" s="124"/>
      <c r="G14" s="397"/>
    </row>
    <row r="15" spans="1:8">
      <c r="A15" s="121" t="s">
        <v>29</v>
      </c>
      <c r="B15" s="127">
        <f>'Mice Place'!C15+'SBE LYON'!C15+Heavent!C15+Imex!C15+'Workshop Berlin'!C15</f>
        <v>829.50071249999996</v>
      </c>
      <c r="C15" s="398">
        <f>B15/$B$57</f>
        <v>2.2399125528156745E-3</v>
      </c>
      <c r="D15" s="115"/>
      <c r="E15" s="131"/>
      <c r="F15" s="124"/>
      <c r="G15" s="397"/>
    </row>
    <row r="16" spans="1:8">
      <c r="A16" s="121" t="s">
        <v>30</v>
      </c>
      <c r="B16" s="127">
        <f>'Mice Place'!C16+'SBE LYON'!C16+Heavent!C16+Imex!C16+'Workshop Berlin'!C16</f>
        <v>234.73344150000003</v>
      </c>
      <c r="C16" s="398">
        <f>B16/$B$57</f>
        <v>6.3385404528085187E-4</v>
      </c>
      <c r="D16" s="115"/>
      <c r="E16" s="123" t="s">
        <v>101</v>
      </c>
      <c r="F16" s="124" t="e">
        <f>'Mice Place'!G16+'SBE LYON'!G16+Heavent!G16+Imex!G16+'Workshop Berlin'!G16</f>
        <v>#REF!</v>
      </c>
      <c r="G16" s="398" t="e">
        <f>F16/B57</f>
        <v>#REF!</v>
      </c>
    </row>
    <row r="17" spans="1:8">
      <c r="A17" s="121" t="s">
        <v>31</v>
      </c>
      <c r="B17" s="127"/>
      <c r="C17" s="398">
        <f>B17/$B$57</f>
        <v>0</v>
      </c>
      <c r="D17" s="115"/>
      <c r="E17" s="129"/>
      <c r="F17" s="124"/>
      <c r="G17" s="397"/>
    </row>
    <row r="18" spans="1:8">
      <c r="A18" s="121" t="s">
        <v>102</v>
      </c>
      <c r="B18" s="127">
        <f>'Mice Place'!C18+'SBE LYON'!C18+Heavent!C18+Imex!C18+'Workshop Berlin'!C18</f>
        <v>568.09282499999995</v>
      </c>
      <c r="C18" s="398">
        <f>B18/$B$57</f>
        <v>1.5340291222257609E-3</v>
      </c>
      <c r="D18" s="115"/>
      <c r="E18" s="129"/>
      <c r="F18" s="124"/>
      <c r="G18" s="397"/>
    </row>
    <row r="19" spans="1:8">
      <c r="A19" s="121"/>
      <c r="B19" s="127"/>
      <c r="C19" s="122"/>
      <c r="D19" s="115"/>
      <c r="E19" s="131"/>
      <c r="F19" s="124"/>
      <c r="G19" s="397"/>
    </row>
    <row r="20" spans="1:8">
      <c r="A20" s="121"/>
      <c r="B20" s="127"/>
      <c r="C20" s="122"/>
      <c r="D20" s="115"/>
      <c r="E20" s="132" t="s">
        <v>103</v>
      </c>
      <c r="F20" s="124"/>
      <c r="G20" s="397"/>
    </row>
    <row r="21" spans="1:8">
      <c r="A21" s="380" t="s">
        <v>104</v>
      </c>
      <c r="B21" s="382"/>
      <c r="C21" s="384" t="e">
        <f>SUM(C22:C28)</f>
        <v>#VALUE!</v>
      </c>
      <c r="D21" s="377"/>
      <c r="E21" s="129"/>
      <c r="F21" s="124"/>
      <c r="G21" s="397"/>
    </row>
    <row r="22" spans="1:8">
      <c r="A22" s="121" t="s">
        <v>105</v>
      </c>
      <c r="B22" s="127" t="s">
        <v>296</v>
      </c>
      <c r="C22" s="398" t="e">
        <f>B22/$B$57</f>
        <v>#VALUE!</v>
      </c>
      <c r="D22" s="115"/>
      <c r="E22" s="129"/>
      <c r="F22" s="124"/>
      <c r="G22" s="397"/>
    </row>
    <row r="23" spans="1:8">
      <c r="A23" s="121" t="s">
        <v>107</v>
      </c>
      <c r="B23" s="127">
        <f>'Mice Place'!C23+'SBE LYON'!C23+Heavent!C23+Imex!C23+'Workshop Berlin'!C23</f>
        <v>4838.3688959999999</v>
      </c>
      <c r="C23" s="397"/>
      <c r="D23" s="115"/>
      <c r="E23" s="123" t="s">
        <v>108</v>
      </c>
      <c r="F23" s="124"/>
      <c r="G23" s="397"/>
    </row>
    <row r="24" spans="1:8">
      <c r="A24" s="121" t="s">
        <v>107</v>
      </c>
      <c r="B24" s="127" t="s">
        <v>295</v>
      </c>
      <c r="C24" s="397"/>
      <c r="D24" s="115"/>
      <c r="E24" s="123"/>
      <c r="F24" s="124"/>
      <c r="G24" s="397"/>
    </row>
    <row r="25" spans="1:8">
      <c r="A25" s="121" t="s">
        <v>32</v>
      </c>
      <c r="B25" s="127">
        <f>'Mice Place'!C25+'SBE LYON'!C25+Heavent!C25+Imex!C25+'Workshop Berlin'!C25</f>
        <v>3894.8400000000006</v>
      </c>
      <c r="C25" s="398">
        <f t="shared" ref="C25:C28" si="0">B25/$B$57</f>
        <v>1.0517291758454762E-2</v>
      </c>
      <c r="D25" s="115"/>
      <c r="E25" s="129"/>
      <c r="F25" s="124"/>
      <c r="G25" s="397"/>
    </row>
    <row r="26" spans="1:8">
      <c r="A26" s="121" t="s">
        <v>33</v>
      </c>
      <c r="B26" s="127">
        <f>'Mice Place'!C26+'SBE LYON'!C26+Heavent!C26+Imex!C26+'Workshop Berlin'!C26</f>
        <v>521.41376512500005</v>
      </c>
      <c r="C26" s="398">
        <f t="shared" si="0"/>
        <v>1.407980994005923E-3</v>
      </c>
      <c r="D26" s="115"/>
      <c r="E26" s="129"/>
      <c r="F26" s="124"/>
      <c r="G26" s="397"/>
    </row>
    <row r="27" spans="1:8">
      <c r="A27" s="121" t="s">
        <v>33</v>
      </c>
      <c r="B27" s="127" t="s">
        <v>291</v>
      </c>
      <c r="C27" s="398"/>
      <c r="D27" s="115"/>
      <c r="E27" s="129"/>
      <c r="F27" s="124"/>
      <c r="G27" s="397"/>
    </row>
    <row r="28" spans="1:8">
      <c r="A28" s="121" t="s">
        <v>34</v>
      </c>
      <c r="B28" s="127">
        <f>'Mice Place'!C28+'SBE LYON'!C28+Heavent!C28+Imex!C28+'Workshop Berlin'!C28</f>
        <v>1217.0596125000002</v>
      </c>
      <c r="C28" s="398">
        <f t="shared" si="0"/>
        <v>3.2864433537948662E-3</v>
      </c>
      <c r="D28" s="115"/>
      <c r="E28" s="129"/>
      <c r="F28" s="124"/>
      <c r="G28" s="122"/>
    </row>
    <row r="29" spans="1:8">
      <c r="A29" s="121"/>
      <c r="B29" s="127"/>
      <c r="C29" s="122"/>
      <c r="D29" s="115"/>
      <c r="E29" s="123" t="s">
        <v>109</v>
      </c>
      <c r="F29" s="124"/>
      <c r="G29" s="122"/>
      <c r="H29" s="15"/>
    </row>
    <row r="30" spans="1:8">
      <c r="A30" s="380" t="s">
        <v>129</v>
      </c>
      <c r="B30" s="383"/>
      <c r="C30" s="138">
        <f>SUM(C31:C32)</f>
        <v>6.8118801085980285E-4</v>
      </c>
      <c r="D30" s="377"/>
      <c r="E30" s="123"/>
      <c r="F30" s="124"/>
      <c r="G30" s="122"/>
    </row>
    <row r="31" spans="1:8">
      <c r="A31" s="121" t="s">
        <v>130</v>
      </c>
      <c r="B31" s="127">
        <f>'Mice Place'!C31+'SBE LYON'!C31+Heavent!C31+Imex!C31+'Workshop Berlin'!C31</f>
        <v>0</v>
      </c>
      <c r="C31" s="398">
        <f t="shared" ref="C31:C32" si="1">B31/$B$57</f>
        <v>0</v>
      </c>
      <c r="D31" s="115"/>
      <c r="E31" s="123"/>
      <c r="F31" s="124"/>
      <c r="G31" s="122"/>
    </row>
    <row r="32" spans="1:8">
      <c r="A32" s="121" t="s">
        <v>131</v>
      </c>
      <c r="B32" s="127">
        <f>'Mice Place'!C32+'SBE LYON'!C32+Heavent!C32+Imex!C32+'Workshop Berlin'!C32</f>
        <v>252.26250000000005</v>
      </c>
      <c r="C32" s="398">
        <f t="shared" si="1"/>
        <v>6.8118801085980285E-4</v>
      </c>
      <c r="D32" s="115"/>
      <c r="E32" s="123"/>
      <c r="F32" s="124"/>
      <c r="G32" s="122"/>
    </row>
    <row r="33" spans="1:8">
      <c r="A33" s="121"/>
      <c r="B33" s="127"/>
      <c r="C33" s="128"/>
      <c r="D33" s="115"/>
      <c r="E33" s="123"/>
      <c r="F33" s="124"/>
      <c r="G33" s="122"/>
    </row>
    <row r="34" spans="1:8">
      <c r="A34" s="380" t="s">
        <v>110</v>
      </c>
      <c r="B34" s="386"/>
      <c r="C34" s="138">
        <f>SUM(C35:C36)</f>
        <v>0.12836766470118954</v>
      </c>
      <c r="D34" s="377"/>
      <c r="E34" s="129"/>
      <c r="F34" s="124"/>
      <c r="G34" s="122"/>
    </row>
    <row r="35" spans="1:8">
      <c r="A35" s="121" t="s">
        <v>35</v>
      </c>
      <c r="B35" s="119">
        <f>'Mice Place'!C35+'SBE LYON'!C35+Heavent!C35+Imex!C35+'Workshop Berlin'!C35</f>
        <v>47467.600000000006</v>
      </c>
      <c r="C35" s="398">
        <f t="shared" ref="C35:C36" si="2">B35/$B$57</f>
        <v>0.12817743431658998</v>
      </c>
      <c r="D35" s="115"/>
      <c r="E35" s="129"/>
      <c r="F35" s="124"/>
      <c r="G35" s="122"/>
    </row>
    <row r="36" spans="1:8">
      <c r="A36" s="121" t="s">
        <v>36</v>
      </c>
      <c r="B36" s="127">
        <f>'Mice Place'!C36+'SBE LYON'!C36+Heavent!C36+Imex!C36+'Workshop Berlin'!C36</f>
        <v>70.447500000000005</v>
      </c>
      <c r="C36" s="398">
        <f t="shared" si="2"/>
        <v>1.9023038459955782E-4</v>
      </c>
      <c r="D36" s="115"/>
      <c r="E36" s="129"/>
      <c r="F36" s="124"/>
      <c r="G36" s="122"/>
    </row>
    <row r="37" spans="1:8">
      <c r="A37" s="121"/>
      <c r="B37" s="127"/>
      <c r="C37" s="122"/>
      <c r="D37" s="115"/>
      <c r="E37" s="123" t="s">
        <v>111</v>
      </c>
      <c r="F37" s="124"/>
      <c r="G37" s="122"/>
      <c r="H37" s="15"/>
    </row>
    <row r="38" spans="1:8">
      <c r="A38" s="380" t="s">
        <v>129</v>
      </c>
      <c r="B38" s="383" t="s">
        <v>297</v>
      </c>
      <c r="C38" s="138">
        <f>SUM(C39:C40)</f>
        <v>0</v>
      </c>
      <c r="D38" s="377"/>
      <c r="E38" s="135"/>
      <c r="F38" s="124"/>
      <c r="G38" s="122"/>
    </row>
    <row r="39" spans="1:8">
      <c r="A39" s="121" t="s">
        <v>37</v>
      </c>
      <c r="B39" s="127">
        <f>'Mice Place'!C39+'SBE LYON'!C39+Heavent!C39+Imex!C39+'Workshop Berlin'!C39</f>
        <v>0</v>
      </c>
      <c r="C39" s="398">
        <f t="shared" ref="C39" si="3">B39/$B$57</f>
        <v>0</v>
      </c>
      <c r="D39" s="115"/>
      <c r="E39" s="135"/>
      <c r="F39" s="124"/>
      <c r="G39" s="122"/>
    </row>
    <row r="40" spans="1:8">
      <c r="A40" s="123"/>
      <c r="B40" s="119"/>
      <c r="C40" s="120"/>
      <c r="D40" s="115"/>
      <c r="E40" s="135"/>
      <c r="F40" s="124"/>
      <c r="G40" s="122"/>
    </row>
    <row r="41" spans="1:8">
      <c r="A41" s="121"/>
      <c r="B41" s="127"/>
      <c r="C41" s="122"/>
      <c r="D41" s="115"/>
      <c r="E41" s="136" t="s">
        <v>112</v>
      </c>
      <c r="F41" s="137" t="e">
        <f>F16</f>
        <v>#REF!</v>
      </c>
      <c r="G41" s="170" t="e">
        <f>G16</f>
        <v>#REF!</v>
      </c>
    </row>
    <row r="42" spans="1:8">
      <c r="A42" s="380" t="s">
        <v>113</v>
      </c>
      <c r="B42" s="383"/>
      <c r="C42" s="138">
        <f>SUM(C43:C44)</f>
        <v>0</v>
      </c>
      <c r="D42" s="377"/>
      <c r="E42" s="121"/>
      <c r="F42" s="124"/>
      <c r="G42" s="122"/>
    </row>
    <row r="43" spans="1:8">
      <c r="A43" s="121" t="s">
        <v>38</v>
      </c>
      <c r="B43" s="127">
        <f>'Mice Place'!C43+'SBE LYON'!C43+Heavent!C43+Imex!C43+'Workshop Berlin'!C43</f>
        <v>0</v>
      </c>
      <c r="C43" s="398">
        <f t="shared" ref="C43" si="4">B43/$B$57</f>
        <v>0</v>
      </c>
      <c r="D43" s="115"/>
      <c r="E43" s="123" t="s">
        <v>114</v>
      </c>
      <c r="F43" s="119" t="e">
        <f>F44+F46</f>
        <v>#REF!</v>
      </c>
      <c r="G43" s="400" t="e">
        <f>F43/B57</f>
        <v>#REF!</v>
      </c>
    </row>
    <row r="44" spans="1:8">
      <c r="A44" s="121"/>
      <c r="B44" s="127" t="s">
        <v>292</v>
      </c>
      <c r="C44" s="397"/>
      <c r="D44" s="115"/>
      <c r="E44" s="121" t="s">
        <v>52</v>
      </c>
      <c r="F44" s="124" t="e">
        <f>'Mice Place'!G44+'SBE LYON'!G44+Heavent!G44+Imex!G44+'Workshop Berlin'!G44</f>
        <v>#REF!</v>
      </c>
      <c r="G44" s="397"/>
    </row>
    <row r="45" spans="1:8">
      <c r="A45" s="121"/>
      <c r="B45" s="127"/>
      <c r="C45" s="122"/>
      <c r="D45" s="115"/>
      <c r="E45" s="121" t="s">
        <v>115</v>
      </c>
      <c r="F45" s="139"/>
      <c r="G45" s="397"/>
    </row>
    <row r="46" spans="1:8">
      <c r="A46" s="380" t="s">
        <v>116</v>
      </c>
      <c r="B46" s="383"/>
      <c r="C46" s="138">
        <f>SUM(C47:C48)</f>
        <v>0</v>
      </c>
      <c r="D46" s="377"/>
      <c r="E46" s="121" t="s">
        <v>51</v>
      </c>
      <c r="F46" s="124" t="e">
        <f>'Workshop Berlin'!G49+Imex!G49+Heavent!G49+'SBE LYON'!G49+'Mice Place'!G49</f>
        <v>#REF!</v>
      </c>
      <c r="G46" s="397"/>
    </row>
    <row r="47" spans="1:8">
      <c r="A47" s="123"/>
      <c r="B47" s="383"/>
      <c r="C47" s="397"/>
      <c r="D47" s="115"/>
      <c r="E47" s="121" t="s">
        <v>118</v>
      </c>
      <c r="F47" s="124"/>
      <c r="G47" s="397"/>
    </row>
    <row r="48" spans="1:8">
      <c r="A48" s="140" t="s">
        <v>39</v>
      </c>
      <c r="B48" s="127">
        <f>'Mice Place'!C51+'SBE LYON'!C51+Heavent!C51+Imex!C51+'Workshop Berlin'!C51</f>
        <v>0</v>
      </c>
      <c r="C48" s="398">
        <f t="shared" ref="C48" si="5">B48/$B$57</f>
        <v>0</v>
      </c>
      <c r="D48" s="115"/>
      <c r="E48" s="121"/>
      <c r="F48" s="124"/>
      <c r="G48" s="397"/>
    </row>
    <row r="49" spans="1:8">
      <c r="A49" s="121" t="s">
        <v>119</v>
      </c>
      <c r="B49" s="127"/>
      <c r="C49" s="397"/>
      <c r="D49" s="115"/>
      <c r="E49" s="121"/>
      <c r="F49" s="124"/>
      <c r="G49" s="397"/>
    </row>
    <row r="50" spans="1:8">
      <c r="A50" s="140"/>
      <c r="B50" s="127"/>
      <c r="C50" s="397"/>
      <c r="D50" s="115"/>
      <c r="E50" s="123"/>
      <c r="F50" s="124"/>
      <c r="G50" s="397"/>
    </row>
    <row r="51" spans="1:8">
      <c r="A51" s="140"/>
      <c r="B51" s="127"/>
      <c r="C51" s="122"/>
      <c r="D51" s="115"/>
      <c r="E51" s="123" t="s">
        <v>120</v>
      </c>
      <c r="F51" s="141"/>
      <c r="G51" s="401"/>
    </row>
    <row r="52" spans="1:8">
      <c r="A52" s="380" t="s">
        <v>121</v>
      </c>
      <c r="B52" s="382"/>
      <c r="C52" s="384"/>
      <c r="D52" s="377"/>
      <c r="E52" s="121" t="s">
        <v>122</v>
      </c>
      <c r="F52" s="142"/>
      <c r="G52" s="397"/>
    </row>
    <row r="53" spans="1:8" ht="15.75">
      <c r="A53" s="388"/>
      <c r="B53" s="393">
        <v>0</v>
      </c>
      <c r="C53" s="170">
        <f t="shared" ref="C53:C55" si="6">B53/$B$57</f>
        <v>0</v>
      </c>
      <c r="D53" s="389"/>
      <c r="E53" s="121" t="s">
        <v>123</v>
      </c>
      <c r="F53" s="142"/>
      <c r="G53" s="122"/>
      <c r="H53" s="15"/>
    </row>
    <row r="54" spans="1:8" ht="15.75">
      <c r="A54" s="121" t="s">
        <v>124</v>
      </c>
      <c r="B54" s="127">
        <f>'Mice Place'!C57+'SBE LYON'!C57+Heavent!C57+Imex!C57+'Workshop Berlin'!C57</f>
        <v>0</v>
      </c>
      <c r="C54" s="128">
        <f t="shared" si="6"/>
        <v>0</v>
      </c>
      <c r="D54" s="144"/>
      <c r="E54" s="121" t="s">
        <v>125</v>
      </c>
      <c r="F54" s="142"/>
      <c r="G54" s="122"/>
    </row>
    <row r="55" spans="1:8">
      <c r="A55" s="121" t="s">
        <v>125</v>
      </c>
      <c r="B55" s="127">
        <f>'Mice Place'!C58+'SBE LYON'!C58+Heavent!C58+Imex!C58+'Workshop Berlin'!C58</f>
        <v>0</v>
      </c>
      <c r="C55" s="128">
        <f t="shared" si="6"/>
        <v>0</v>
      </c>
      <c r="E55" s="121"/>
      <c r="F55" s="142"/>
      <c r="G55" s="122"/>
    </row>
    <row r="56" spans="1:8">
      <c r="A56" s="145"/>
      <c r="B56" s="207"/>
      <c r="C56" s="147"/>
      <c r="E56" s="121"/>
      <c r="F56" s="142"/>
      <c r="G56" s="122"/>
    </row>
    <row r="57" spans="1:8">
      <c r="A57" s="148" t="s">
        <v>126</v>
      </c>
      <c r="B57" s="149">
        <f>SUM(B5:B56)</f>
        <v>370327.27525781258</v>
      </c>
      <c r="C57" s="150" t="e">
        <f>C52+C53+C46+C42+C38+C34+C30+C21+C11+C4</f>
        <v>#VALUE!</v>
      </c>
      <c r="E57" s="148" t="s">
        <v>127</v>
      </c>
      <c r="F57" s="151" t="e">
        <f>F41+F43+F51</f>
        <v>#REF!</v>
      </c>
      <c r="G57" s="150"/>
    </row>
    <row r="58" spans="1:8">
      <c r="A58" s="115"/>
      <c r="B58" s="208"/>
      <c r="C58" s="153"/>
      <c r="E58" s="115"/>
      <c r="F58" s="152"/>
      <c r="G58" s="154"/>
    </row>
    <row r="59" spans="1:8" ht="15.75">
      <c r="A59" s="115"/>
      <c r="B59" s="209"/>
      <c r="C59" s="156"/>
      <c r="E59" s="144"/>
      <c r="F59" s="155"/>
      <c r="G59" s="154"/>
    </row>
    <row r="60" spans="1:8" ht="15.75">
      <c r="A60" s="115" t="s">
        <v>180</v>
      </c>
      <c r="B60" s="209"/>
      <c r="C60" s="156"/>
      <c r="E60" s="144"/>
      <c r="F60" s="155"/>
      <c r="G60" s="153"/>
    </row>
    <row r="61" spans="1:8" ht="15.75">
      <c r="A61" s="144" t="s">
        <v>181</v>
      </c>
      <c r="C61" s="35"/>
      <c r="F61" s="157"/>
      <c r="G61" s="156"/>
    </row>
  </sheetData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16">
    <tabColor theme="7" tint="0.39997558519241921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4.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Eductours 1et 2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118.57725000000001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rec'!$O:$O)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rec'!$O:$O)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rec'!$O:$O)</f>
        <v>118.57725000000001</v>
      </c>
      <c r="D7" s="397">
        <f>C7/$C$60</f>
        <v>4.0934333731455054E-3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rec'!$O:$O)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14487.624708624999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rec'!$O:$O)</f>
        <v>13000</v>
      </c>
      <c r="D12" s="397">
        <f>C12/$C$60</f>
        <v>0.44877608353112897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rec'!$O:$O)</f>
        <v>814.42134262500008</v>
      </c>
      <c r="D13" s="397">
        <f>C13/$C$60</f>
        <v>2.811483234518548E-2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SUMIF('Recap dep rec'!$A:$A,A14,'Recap dep rec'!$O:$O)</f>
        <v>287.06150000000002</v>
      </c>
      <c r="D14" s="397">
        <f t="shared" ref="D14:D15" si="1">C14/$C$60</f>
        <v>9.9097181309670147E-3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rec'!$O:$O)</f>
        <v>196.22597500000001</v>
      </c>
      <c r="D15" s="397">
        <f t="shared" si="1"/>
        <v>6.7739634267367102E-3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rec'!$O:$O)</f>
        <v>55.528341000000005</v>
      </c>
      <c r="D16" s="397">
        <f>C16/$C$60</f>
        <v>1.916907030689309E-3</v>
      </c>
      <c r="E16" s="115">
        <v>740</v>
      </c>
      <c r="F16" s="123" t="s">
        <v>101</v>
      </c>
      <c r="G16" s="225" t="e">
        <f>+SUMIF('Recap dep rec'!#REF!,E16,'Recap dep rec'!$O$47:$O$56)</f>
        <v>#REF!</v>
      </c>
      <c r="H16" s="398" t="e">
        <f>G16/G60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rec'!$O:$O)</f>
        <v>0</v>
      </c>
      <c r="D17" s="397">
        <f>C17/$C$60</f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rec'!$O:$O)</f>
        <v>134.38755</v>
      </c>
      <c r="D18" s="397">
        <f>C18/$C$60</f>
        <v>4.6392244895649059E-3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/>
      <c r="H20" s="397"/>
    </row>
    <row r="21" spans="1:8">
      <c r="A21" s="220"/>
      <c r="B21" s="380" t="s">
        <v>104</v>
      </c>
      <c r="C21" s="382">
        <f>SUM(C22:C28)</f>
        <v>3196.7336307500004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rec'!$O:$O)</f>
        <v>632.13513</v>
      </c>
      <c r="D22" s="397">
        <f>C22/$C$60</f>
        <v>2.182208676183393E-2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rec'!$O:$O)</f>
        <v>1144.5603840000001</v>
      </c>
      <c r="D23" s="397">
        <f t="shared" ref="D23:D28" si="2">C23/$C$60</f>
        <v>3.9511640499723472E-2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rec'!$O:$O)</f>
        <v>1.375</v>
      </c>
      <c r="D24" s="397">
        <f t="shared" si="2"/>
        <v>4.7466701142715565E-5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rec'!$O:$O)</f>
        <v>921.36000000000013</v>
      </c>
      <c r="D25" s="397">
        <f t="shared" si="2"/>
        <v>3.1806487101710849E-2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rec'!$O:$O)</f>
        <v>123.34519175000001</v>
      </c>
      <c r="D26" s="397">
        <f t="shared" si="2"/>
        <v>4.2580286212277789E-3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rec'!$O:$O)</f>
        <v>86.051349999999999</v>
      </c>
      <c r="D27" s="397">
        <f t="shared" si="2"/>
        <v>2.9705990642743397E-3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rec'!$O:$O)</f>
        <v>287.90657500000003</v>
      </c>
      <c r="D28" s="397">
        <f t="shared" si="2"/>
        <v>9.9388911654893289E-3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59.675000000000011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rec'!$O:$O)</f>
        <v>0</v>
      </c>
      <c r="D31" s="397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rec'!$O:$O)</f>
        <v>59.675000000000011</v>
      </c>
      <c r="D32" s="397">
        <f t="shared" si="3"/>
        <v>2.0600548295938558E-3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11105.065000000001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rec'!$O:$O)</f>
        <v>11088.4</v>
      </c>
      <c r="D35" s="397">
        <f t="shared" ref="D35:D36" si="4">C35/$C$60</f>
        <v>0.3827852865097362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rec'!$O:$O)</f>
        <v>16.665000000000003</v>
      </c>
      <c r="D36" s="397">
        <f t="shared" si="4"/>
        <v>5.7529641784971272E-4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rec'!$O:$O)</f>
        <v>0</v>
      </c>
      <c r="D39" s="397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rec'!$O:$O)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rec'!$O:$O)</f>
        <v>0</v>
      </c>
      <c r="D44" s="397">
        <f>C44/$C$60</f>
        <v>0</v>
      </c>
      <c r="E44" s="115">
        <v>758</v>
      </c>
      <c r="F44" s="121" t="s">
        <v>52</v>
      </c>
      <c r="G44" s="225" t="e">
        <f>+SUMIF('Recap dep rec'!#REF!,E44,'Recap dep rec'!$O$47:$O$56)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rec'!$O:$O)</f>
        <v>0</v>
      </c>
      <c r="D47" s="397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rec'!$O$47:$O$56)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rec'!$O:$O)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rec'!$N:$N)</f>
        <v>0</v>
      </c>
      <c r="D56" s="138">
        <f t="shared" ref="D56:D58" si="5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SUMIF('Recap dep rec'!$A:$A,A57,'Recap dep rec'!$O:$O)</f>
        <v>0</v>
      </c>
      <c r="D57" s="397">
        <f t="shared" si="5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SUMIF('Recap dep rec'!$A:$A,A58,'Recap dep rec'!$O:$O)</f>
        <v>0</v>
      </c>
      <c r="D58" s="397">
        <f t="shared" si="5"/>
        <v>0</v>
      </c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28967.675589374998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rec'!O43</f>
        <v>-110.54999999999927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18">
    <tabColor theme="7" tint="0.39997558519241921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3.7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Operation Paris été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150.91650000000001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rec'!$P:$P)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rec'!$P:$P)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rec'!$P:$P)</f>
        <v>150.91650000000001</v>
      </c>
      <c r="D7" s="397">
        <f>C7/$C$60</f>
        <v>3.6846119613666213E-3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rec'!$P:$P)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23093.340538249999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rec'!$P:$P)</f>
        <v>21200</v>
      </c>
      <c r="D12" s="397">
        <f t="shared" ref="D12:D18" si="1">C12/$C$60</f>
        <v>0.51759597910746913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rec'!$P:$P)</f>
        <v>1036.5362542500002</v>
      </c>
      <c r="D13" s="397">
        <f t="shared" si="1"/>
        <v>2.5306933839571576E-2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SUMIF('Recap dep rec'!$A:$A,A14,'Recap dep rec'!$P:$P)</f>
        <v>365.35100000000006</v>
      </c>
      <c r="D14" s="397">
        <f t="shared" si="1"/>
        <v>8.920009837872311E-3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rec'!$P:$P)</f>
        <v>249.74214999999998</v>
      </c>
      <c r="D15" s="397">
        <f t="shared" si="1"/>
        <v>6.0974307855497364E-3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rec'!$P:$P)</f>
        <v>70.67243400000001</v>
      </c>
      <c r="D16" s="397">
        <f t="shared" si="1"/>
        <v>1.7254607392517924E-3</v>
      </c>
      <c r="E16" s="115">
        <v>740</v>
      </c>
      <c r="F16" s="123" t="s">
        <v>101</v>
      </c>
      <c r="G16" s="225" t="e">
        <f>+SUMIF('Recap dep rec'!#REF!,E16,'Recap dep rec'!$P$47:$P$56)</f>
        <v>#REF!</v>
      </c>
      <c r="H16" s="398" t="e">
        <f>G16/G60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rec'!$P:$P)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rec'!$P:$P)</f>
        <v>171.03870000000001</v>
      </c>
      <c r="D18" s="397">
        <f t="shared" si="1"/>
        <v>4.1758935562155042E-3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/>
      <c r="H20" s="397"/>
    </row>
    <row r="21" spans="1:8">
      <c r="A21" s="220"/>
      <c r="B21" s="380" t="s">
        <v>104</v>
      </c>
      <c r="C21" s="382">
        <f>SUM(C22:C28)</f>
        <v>4068.5700754999998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rec'!$P:$P)</f>
        <v>804.53561999999999</v>
      </c>
      <c r="D22" s="397">
        <f>C22/$C$60</f>
        <v>1.9642660469845977E-2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rec'!$P:$P)</f>
        <v>1456.7132160000001</v>
      </c>
      <c r="D23" s="397">
        <f t="shared" ref="D23:D28" si="2">C23/$C$60</f>
        <v>3.5565514307278785E-2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rec'!$P:$P)</f>
        <v>1.75</v>
      </c>
      <c r="D24" s="397">
        <f t="shared" ref="D24" si="3">C24/$C$60</f>
        <v>4.2726083181041086E-5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rec'!$P:$P)</f>
        <v>1172.6400000000001</v>
      </c>
      <c r="D25" s="397">
        <f t="shared" si="2"/>
        <v>2.8629893817952012E-2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rec'!$P:$P)</f>
        <v>156.98478950000001</v>
      </c>
      <c r="D26" s="397">
        <f t="shared" si="2"/>
        <v>3.8327686710487004E-3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rec'!$P:$P)</f>
        <v>109.51990000000001</v>
      </c>
      <c r="D27" s="397">
        <f t="shared" ref="D27" si="4">C27/$C$60</f>
        <v>2.6739179185024582E-3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rec'!$P:$P)</f>
        <v>366.42655000000002</v>
      </c>
      <c r="D28" s="397">
        <f t="shared" si="2"/>
        <v>8.9462692885953782E-3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75.950000000000017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rec'!$P:$P)</f>
        <v>0</v>
      </c>
      <c r="D31" s="397">
        <f t="shared" ref="D31:D32" si="5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rec'!$P:$P)</f>
        <v>75.950000000000017</v>
      </c>
      <c r="D32" s="397">
        <f t="shared" si="5"/>
        <v>1.8543120100571835E-3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13569.81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rec'!$P:$P)</f>
        <v>13548.6</v>
      </c>
      <c r="D35" s="397">
        <f t="shared" ref="D35:D36" si="6">C35/$C$60</f>
        <v>0.33078777747808757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rec'!$P:$P)</f>
        <v>21.21</v>
      </c>
      <c r="D36" s="397">
        <f t="shared" si="6"/>
        <v>5.1784012815421802E-4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rec'!$P:$P)</f>
        <v>0</v>
      </c>
      <c r="D39" s="397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rec'!$P:$P)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rec'!$P:$P)</f>
        <v>0</v>
      </c>
      <c r="D44" s="397">
        <f>C44/$C$60</f>
        <v>0</v>
      </c>
      <c r="E44" s="115">
        <v>758</v>
      </c>
      <c r="F44" s="121" t="s">
        <v>52</v>
      </c>
      <c r="G44" s="225" t="e">
        <f>+SUMIF('Recap dep rec'!#REF!,E44,'Recap dep rec'!$P$47:$P$56)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rec'!$P:$P)</f>
        <v>0</v>
      </c>
      <c r="D47" s="397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rec'!$P$47:$P$56)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rec'!$P:$P)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rec'!$P:$P)</f>
        <v>0</v>
      </c>
      <c r="D56" s="138">
        <f t="shared" ref="D56:D58" si="7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206">
        <f>SUMIF('Recap dep rec'!$A:$A,A57,'Recap dep rec'!$P:$P)</f>
        <v>0</v>
      </c>
      <c r="D57" s="122">
        <f t="shared" si="7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206">
        <f>SUMIF('Recap dep rec'!$A:$A,A58,'Recap dep rec'!$P:$P)</f>
        <v>0</v>
      </c>
      <c r="D58" s="122">
        <f t="shared" si="7"/>
        <v>0</v>
      </c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40958.58711375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rec'!P43</f>
        <v>-140.70000000000437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17">
    <tabColor theme="7" tint="0.39997558519241921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3.7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Ev. Scandinavie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0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rec'!$Q:$Q)</f>
        <v>0</v>
      </c>
      <c r="D5" s="397" t="e">
        <f>C5/$C$60</f>
        <v>#DIV/0!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rec'!$Q:$Q)</f>
        <v>0</v>
      </c>
      <c r="D6" s="397" t="e">
        <f>C6/$C$60</f>
        <v>#DIV/0!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rec'!$Q:$Q)</f>
        <v>0</v>
      </c>
      <c r="D7" s="397" t="e">
        <f>C7/$C$60</f>
        <v>#DIV/0!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rec'!$Q:$Q)</f>
        <v>0</v>
      </c>
      <c r="D8" s="397" t="e">
        <f>C8/$C$60</f>
        <v>#DIV/0!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0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rec'!$Q:$Q)</f>
        <v>0</v>
      </c>
      <c r="D12" s="397" t="e">
        <f t="shared" ref="D12:D18" si="1">C12/$C$60</f>
        <v>#DIV/0!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rec'!$Q:$Q)</f>
        <v>0</v>
      </c>
      <c r="D13" s="397" t="e">
        <f t="shared" si="1"/>
        <v>#DIV/0!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SUMIF('Recap dep rec'!$A:$A,A14,'Recap dep rec'!$Q:$Q)</f>
        <v>0</v>
      </c>
      <c r="D14" s="397" t="e">
        <f t="shared" si="1"/>
        <v>#DIV/0!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rec'!$Q:$Q)</f>
        <v>0</v>
      </c>
      <c r="D15" s="397" t="e">
        <f t="shared" si="1"/>
        <v>#DIV/0!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rec'!$Q:$Q)</f>
        <v>0</v>
      </c>
      <c r="D16" s="397" t="e">
        <f t="shared" si="1"/>
        <v>#DIV/0!</v>
      </c>
      <c r="E16" s="115">
        <v>740</v>
      </c>
      <c r="F16" s="123" t="s">
        <v>101</v>
      </c>
      <c r="G16" s="225" t="e">
        <f>+SUMIF('Recap dep rec'!#REF!,E16,'Recap dep rec'!$Q$47:$Q$56)</f>
        <v>#REF!</v>
      </c>
      <c r="H16" s="398" t="e">
        <f>G16/G60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rec'!$Q:$Q)</f>
        <v>0</v>
      </c>
      <c r="D17" s="397" t="e">
        <f t="shared" si="1"/>
        <v>#DIV/0!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rec'!$Q:$Q)</f>
        <v>0</v>
      </c>
      <c r="D18" s="397" t="e">
        <f t="shared" si="1"/>
        <v>#DIV/0!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/>
      <c r="H20" s="397"/>
    </row>
    <row r="21" spans="1:8">
      <c r="A21" s="220"/>
      <c r="B21" s="380" t="s">
        <v>104</v>
      </c>
      <c r="C21" s="382">
        <f>SUM(C22:C28)</f>
        <v>0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rec'!$Q:$Q)</f>
        <v>0</v>
      </c>
      <c r="D22" s="397" t="e">
        <f>C22/$C$60</f>
        <v>#DIV/0!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rec'!$Q:$Q)</f>
        <v>0</v>
      </c>
      <c r="D23" s="397" t="e">
        <f t="shared" ref="D23:D28" si="2">C23/$C$60</f>
        <v>#DIV/0!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rec'!$Q:$Q)</f>
        <v>0</v>
      </c>
      <c r="D24" s="397" t="e">
        <f t="shared" si="2"/>
        <v>#DIV/0!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rec'!$Q:$Q)</f>
        <v>0</v>
      </c>
      <c r="D25" s="397" t="e">
        <f t="shared" si="2"/>
        <v>#DIV/0!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rec'!$Q:$Q)</f>
        <v>0</v>
      </c>
      <c r="D26" s="397" t="e">
        <f t="shared" si="2"/>
        <v>#DIV/0!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rec'!$Q:$Q)</f>
        <v>0</v>
      </c>
      <c r="D27" s="397" t="e">
        <f t="shared" si="2"/>
        <v>#DIV/0!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rec'!$Q:$Q)</f>
        <v>0</v>
      </c>
      <c r="D28" s="397" t="e">
        <f t="shared" si="2"/>
        <v>#DIV/0!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0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rec'!$Q:$Q)</f>
        <v>0</v>
      </c>
      <c r="D31" s="397" t="e">
        <f t="shared" ref="D31:D32" si="3">C31/$C$60</f>
        <v>#DIV/0!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rec'!$Q:$Q)</f>
        <v>0</v>
      </c>
      <c r="D32" s="397" t="e">
        <f t="shared" si="3"/>
        <v>#DIV/0!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0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rec'!$Q:$Q)</f>
        <v>0</v>
      </c>
      <c r="D35" s="397" t="e">
        <f t="shared" ref="D35:D36" si="4">C35/$C$60</f>
        <v>#DIV/0!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rec'!$Q:$Q)</f>
        <v>0</v>
      </c>
      <c r="D36" s="397" t="e">
        <f t="shared" si="4"/>
        <v>#DIV/0!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rec'!$Q:$Q)</f>
        <v>0</v>
      </c>
      <c r="D39" s="397" t="e">
        <f>C39/$C$60</f>
        <v>#DIV/0!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rec'!$Q:$Q)</f>
        <v>0</v>
      </c>
      <c r="D43" s="397" t="e">
        <f>C43/$C$60</f>
        <v>#DIV/0!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rec'!$Q:$Q)</f>
        <v>0</v>
      </c>
      <c r="D44" s="397" t="e">
        <f>C44/$C$60</f>
        <v>#DIV/0!</v>
      </c>
      <c r="E44" s="115">
        <v>758</v>
      </c>
      <c r="F44" s="121" t="s">
        <v>52</v>
      </c>
      <c r="G44" s="225" t="e">
        <f>+SUMIF('Recap dep rec'!#REF!,E44,'Recap dep rec'!$Q$47:$Q$56)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rec'!$Q:$Q)</f>
        <v>0</v>
      </c>
      <c r="D47" s="397" t="e">
        <f>C47/$C$60</f>
        <v>#DIV/0!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rec'!$Q$47:$Q$56)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rec'!$Q:$Q)</f>
        <v>0</v>
      </c>
      <c r="D51" s="397" t="e">
        <f>C51/$C$60</f>
        <v>#DIV/0!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rec'!$O:$O)</f>
        <v>0</v>
      </c>
      <c r="D56" s="138" t="e">
        <f t="shared" ref="D56:D58" si="5">C56/$C$60</f>
        <v>#DIV/0!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SUMIF('Recap dep rec'!$A:$A,A57,'Recap dep rec'!$Q:$Q)</f>
        <v>0</v>
      </c>
      <c r="D57" s="397" t="e">
        <f t="shared" si="5"/>
        <v>#DIV/0!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SUMIF('Recap dep rec'!$A:$A,A58,'Recap dep rec'!$Q:$Q)</f>
        <v>0</v>
      </c>
      <c r="D58" s="397" t="e">
        <f t="shared" si="5"/>
        <v>#DIV/0!</v>
      </c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0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rec'!Q43</f>
        <v>0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19">
    <tabColor theme="7" tint="0.39997558519241921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35.2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Demarchage Europe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48.508874999999996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rec'!$R:$R)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rec'!$R:$R)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rec'!$R:$R)</f>
        <v>48.508874999999996</v>
      </c>
      <c r="D7" s="397">
        <f>C7/$C$60</f>
        <v>1.4368799079760622E-3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rec'!$R:$R)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27108.573744437497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rec'!$R:$R)</f>
        <v>26500</v>
      </c>
      <c r="D12" s="397">
        <f t="shared" ref="D12:D18" si="1">C12/$C$60</f>
        <v>0.78495569236280271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rec'!$R:$R)</f>
        <v>333.17236743749999</v>
      </c>
      <c r="D13" s="397">
        <f t="shared" si="1"/>
        <v>9.8688885418134684E-3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SUMIF('Recap dep rec'!$A:$A,A14,'Recap dep rec'!$R:$R)</f>
        <v>117.43425000000001</v>
      </c>
      <c r="D14" s="397">
        <f t="shared" si="1"/>
        <v>3.478516340220999E-3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rec'!$R:$R)</f>
        <v>80.274262499999992</v>
      </c>
      <c r="D15" s="397">
        <f t="shared" si="1"/>
        <v>2.3778014830038064E-3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rec'!$R:$R)</f>
        <v>22.716139500000001</v>
      </c>
      <c r="D16" s="397">
        <f t="shared" si="1"/>
        <v>6.728740758125476E-4</v>
      </c>
      <c r="E16" s="115">
        <v>740</v>
      </c>
      <c r="F16" s="123" t="s">
        <v>101</v>
      </c>
      <c r="G16" s="225" t="e">
        <f>+SUMIF('Recap dep rec'!#REF!,E16,'Recap dep rec'!$R$47:$R$56)</f>
        <v>#REF!</v>
      </c>
      <c r="H16" s="398" t="e">
        <f>G16/G60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rec'!$R:$R)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rec'!$R:$R)</f>
        <v>54.976724999999995</v>
      </c>
      <c r="D18" s="397">
        <f t="shared" si="1"/>
        <v>1.6284638957062038E-3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/>
      <c r="H20" s="397"/>
    </row>
    <row r="21" spans="1:8">
      <c r="A21" s="220"/>
      <c r="B21" s="380" t="s">
        <v>104</v>
      </c>
      <c r="C21" s="382">
        <f>SUM(C22:C28)</f>
        <v>1307.754667125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rec'!$R:$R)</f>
        <v>258.60073499999999</v>
      </c>
      <c r="D22" s="397">
        <f t="shared" ref="D22:D28" si="2">C22/$C$60</f>
        <v>7.6600044900926286E-3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rec'!$R:$R)</f>
        <v>468.22924799999998</v>
      </c>
      <c r="D23" s="397">
        <f t="shared" si="2"/>
        <v>1.3869404284843564E-2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rec'!$R:$R)</f>
        <v>0.5625</v>
      </c>
      <c r="D24" s="397">
        <f t="shared" si="2"/>
        <v>1.6661795356757606E-5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rec'!$R:$R)</f>
        <v>376.92</v>
      </c>
      <c r="D25" s="397">
        <f t="shared" si="2"/>
        <v>1.1164735832656137E-2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rec'!$R:$R)</f>
        <v>50.459396625000004</v>
      </c>
      <c r="D26" s="397">
        <f t="shared" si="2"/>
        <v>1.4946562495843829E-3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rec'!$R:$R)</f>
        <v>35.202824999999997</v>
      </c>
      <c r="D27" s="397">
        <f t="shared" si="2"/>
        <v>1.0427418064528897E-3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rec'!$R:$R)</f>
        <v>117.77996250000001</v>
      </c>
      <c r="D28" s="397">
        <f t="shared" si="2"/>
        <v>3.4887566796472625E-3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24.412500000000001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rec'!$R:$R)</f>
        <v>0</v>
      </c>
      <c r="D31" s="397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rec'!$R:$R)</f>
        <v>24.412500000000001</v>
      </c>
      <c r="D32" s="397">
        <f t="shared" si="3"/>
        <v>7.2312191848328006E-4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5270.6174999999994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rec'!$R:$R)</f>
        <v>5263.7999999999993</v>
      </c>
      <c r="D35" s="397">
        <f t="shared" ref="D35:D36" si="4">C35/$C$60</f>
        <v>0.15591885937582342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rec'!$R:$R)</f>
        <v>6.8174999999999999</v>
      </c>
      <c r="D36" s="397">
        <f t="shared" si="4"/>
        <v>2.0194095972390216E-4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rec'!$R:$R)</f>
        <v>0</v>
      </c>
      <c r="D39" s="397">
        <f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rec'!$R:$R)</f>
        <v>0</v>
      </c>
      <c r="D43" s="397">
        <f t="shared" ref="D43:D44" si="5"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rec'!$R:$R)</f>
        <v>0</v>
      </c>
      <c r="D44" s="397">
        <f t="shared" si="5"/>
        <v>0</v>
      </c>
      <c r="E44" s="115">
        <v>758</v>
      </c>
      <c r="F44" s="121" t="s">
        <v>52</v>
      </c>
      <c r="G44" s="225" t="e">
        <f>+SUMIF('Recap dep rec'!#REF!,E44,'Recap dep rec'!$R$47:$R$56)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rec'!$R:$R)</f>
        <v>0</v>
      </c>
      <c r="D47" s="397">
        <f t="shared" ref="D47" si="6"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rec'!$R$47:$R$56)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rec'!$R:$R)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rec'!$Q:$Q)</f>
        <v>0</v>
      </c>
      <c r="D56" s="138">
        <f t="shared" ref="D56:D58" si="7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396">
        <f>SUMIF('Recap dep rec'!$A:$A,A57,'Recap dep rec'!$R:$R)</f>
        <v>0</v>
      </c>
      <c r="D57" s="397">
        <f t="shared" si="7"/>
        <v>0</v>
      </c>
      <c r="E57" s="144"/>
      <c r="F57" s="121" t="s">
        <v>125</v>
      </c>
      <c r="G57" s="142"/>
      <c r="H57" s="122"/>
    </row>
    <row r="58" spans="1:9">
      <c r="B58" s="121" t="s">
        <v>125</v>
      </c>
      <c r="C58" s="396">
        <f>SUMIF('Recap dep rec'!$A:$A,A58,'Recap dep rec'!$R:$R)</f>
        <v>0</v>
      </c>
      <c r="D58" s="397">
        <f t="shared" si="7"/>
        <v>0</v>
      </c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33759.867286562498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rec'!R43</f>
        <v>-45.225000000005821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24">
    <tabColor theme="7" tint="0.39997558519241921"/>
  </sheetPr>
  <dimension ref="A1:I64"/>
  <sheetViews>
    <sheetView workbookViewId="0"/>
    <sheetView workbookViewId="1"/>
  </sheetViews>
  <sheetFormatPr baseColWidth="10" defaultRowHeight="15"/>
  <cols>
    <col min="1" max="1" width="5.28515625" customWidth="1"/>
    <col min="2" max="2" width="50.85546875" bestFit="1" customWidth="1"/>
    <col min="5" max="5" width="5.42578125" customWidth="1"/>
    <col min="6" max="6" width="33" bestFit="1" customWidth="1"/>
  </cols>
  <sheetData>
    <row r="1" spans="1:8" ht="31.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MP2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86.238000000000014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rec'!$S:$S)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rec'!$S:$S)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rec'!$S:$S)</f>
        <v>86.238000000000014</v>
      </c>
      <c r="D7" s="397">
        <f>C7/$C$60</f>
        <v>3.4921572756479785E-3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rec'!$S:$S)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14531.908879000002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rec'!$S:$S)</f>
        <v>13450</v>
      </c>
      <c r="D12" s="397">
        <f>C12/$C$60</f>
        <v>0.54464986847405206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rec'!$S:$S)</f>
        <v>592.30643100000009</v>
      </c>
      <c r="D13" s="397">
        <f>C13/$C$60</f>
        <v>2.3985101839441286E-2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SUMIF('Recap dep rec'!$A:$A,A14,'Recap dep rec'!$S:$S)</f>
        <v>208.77200000000005</v>
      </c>
      <c r="D14" s="397">
        <f t="shared" ref="D14:D16" si="1">C14/$C$60</f>
        <v>8.4540998023096524E-3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rec'!$S:$S)</f>
        <v>142.7098</v>
      </c>
      <c r="D15" s="397">
        <f t="shared" si="1"/>
        <v>5.7789497249039617E-3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rec'!$S:$S)</f>
        <v>40.384248000000007</v>
      </c>
      <c r="D16" s="397">
        <f t="shared" si="1"/>
        <v>1.6353364581132717E-3</v>
      </c>
      <c r="E16" s="115">
        <v>740</v>
      </c>
      <c r="F16" s="123" t="s">
        <v>101</v>
      </c>
      <c r="G16" s="225" t="e">
        <f>+SUMIF('Recap dep rec'!#REF!,E16,'Recap dep rec'!$S$47:$S$56)</f>
        <v>#REF!</v>
      </c>
      <c r="H16" s="398" t="e">
        <f>G16/C60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rec'!$S:$S)</f>
        <v>0</v>
      </c>
      <c r="D17" s="397">
        <f>C17/$C$60</f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rec'!$S:$S)</f>
        <v>97.736400000000003</v>
      </c>
      <c r="D18" s="397">
        <f>C18/$C$60</f>
        <v>3.957778245734375E-3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/>
      <c r="H20" s="397"/>
    </row>
    <row r="21" spans="1:8">
      <c r="A21" s="220"/>
      <c r="B21" s="380" t="s">
        <v>104</v>
      </c>
      <c r="C21" s="382">
        <f>SUM(C22:C28)</f>
        <v>2324.8971860000001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rec'!$S:$S)</f>
        <v>459.73464000000001</v>
      </c>
      <c r="D22" s="397">
        <f>C22/$C$60</f>
        <v>1.8616684848250239E-2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rec'!$S:$S)</f>
        <v>832.40755200000012</v>
      </c>
      <c r="D23" s="397">
        <f t="shared" ref="D23:D28" si="2">C23/$C$60</f>
        <v>3.3707856038186448E-2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rec'!$S:$S)</f>
        <v>1</v>
      </c>
      <c r="D24" s="397">
        <f t="shared" si="2"/>
        <v>4.0494414012940679E-5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rec'!$S:$S)</f>
        <v>670.08000000000015</v>
      </c>
      <c r="D25" s="397">
        <f t="shared" si="2"/>
        <v>2.7134496941791295E-2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rec'!$S:$S)</f>
        <v>89.705594000000019</v>
      </c>
      <c r="D26" s="397">
        <f t="shared" si="2"/>
        <v>3.6325754627127677E-3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rec'!$S:$S)</f>
        <v>62.582800000000006</v>
      </c>
      <c r="D27" s="397">
        <f t="shared" si="2"/>
        <v>2.5342538132890639E-3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rec'!$S:$S)</f>
        <v>209.38660000000004</v>
      </c>
      <c r="D28" s="397">
        <f t="shared" si="2"/>
        <v>8.4789876691620056E-3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43.400000000000006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rec'!$S:$S)</f>
        <v>0</v>
      </c>
      <c r="D31" s="397">
        <f t="shared" ref="D31:D32" si="3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rec'!$S:$S)</f>
        <v>43.400000000000006</v>
      </c>
      <c r="D32" s="397">
        <f t="shared" si="3"/>
        <v>1.7574575681616256E-3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7708.32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rec'!$S:$S)</f>
        <v>7696.2</v>
      </c>
      <c r="D35" s="397">
        <f t="shared" ref="D35:D36" si="4">C35/$C$60</f>
        <v>0.31165310912639405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rec'!$S:$S)</f>
        <v>12.120000000000003</v>
      </c>
      <c r="D36" s="397">
        <f t="shared" si="4"/>
        <v>4.9079229783684111E-4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rec'!$S:$S)</f>
        <v>0</v>
      </c>
      <c r="D39" s="397"/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rec'!$S:$S)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rec'!$S:$S)</f>
        <v>0</v>
      </c>
      <c r="D44" s="397">
        <f>C44/$C$60</f>
        <v>0</v>
      </c>
      <c r="E44" s="115">
        <v>758</v>
      </c>
      <c r="F44" s="121" t="s">
        <v>52</v>
      </c>
      <c r="G44" s="225" t="e">
        <f>+SUMIF('Recap dep rec'!#REF!,E44,'Recap dep rec'!$S$47:$S$56)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rec'!$S:$S)</f>
        <v>0</v>
      </c>
      <c r="D47" s="397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rec'!$S$47:$S$56)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rec'!$S:$S)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rec'!$W:$W)</f>
        <v>0</v>
      </c>
      <c r="D56" s="138">
        <f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143"/>
      <c r="D57" s="122"/>
      <c r="E57" s="144"/>
      <c r="F57" s="121" t="s">
        <v>125</v>
      </c>
      <c r="G57" s="142"/>
      <c r="H57" s="122"/>
    </row>
    <row r="58" spans="1:9">
      <c r="B58" s="121" t="s">
        <v>125</v>
      </c>
      <c r="C58" s="143"/>
      <c r="D58" s="122"/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24694.764065000003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rec'!S43</f>
        <v>-80.399999999997817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21">
    <tabColor theme="7" tint="0.39997558519241921"/>
  </sheetPr>
  <dimension ref="A1:I64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</cols>
  <sheetData>
    <row r="1" spans="1:8" ht="43.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IBTM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118.57725000000001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rec'!$T:$T)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rec'!$T:$T)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rec'!$T:$T)</f>
        <v>118.57725000000001</v>
      </c>
      <c r="D7" s="397">
        <f>C7/$C$60</f>
        <v>8.9379156959840903E-4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rec'!$T:$T)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118187.62470862499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rec'!$T:$T)</f>
        <v>116700</v>
      </c>
      <c r="D12" s="397">
        <f t="shared" ref="D12:D18" si="1">C12/$C$60</f>
        <v>0.8796415515803776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rec'!$T:$T)</f>
        <v>814.42134262500008</v>
      </c>
      <c r="D13" s="397">
        <f t="shared" si="1"/>
        <v>6.1388076560996516E-3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SUMIF('Recap dep rec'!$A:$A,A14,'Recap dep rec'!$T:$T)</f>
        <v>287.06150000000002</v>
      </c>
      <c r="D14" s="397">
        <f t="shared" si="1"/>
        <v>2.1637636954497906E-3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rec'!$T:$T)</f>
        <v>196.22597500000001</v>
      </c>
      <c r="D15" s="397">
        <f t="shared" si="1"/>
        <v>1.4790790155044763E-3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rec'!$T:$T)</f>
        <v>55.528341000000005</v>
      </c>
      <c r="D16" s="397">
        <f t="shared" si="1"/>
        <v>4.1855215110474979E-4</v>
      </c>
      <c r="E16" s="115">
        <v>740</v>
      </c>
      <c r="F16" s="123" t="s">
        <v>101</v>
      </c>
      <c r="G16" s="225" t="e">
        <f>+SUMIF('Recap dep rec'!#REF!,E16,'Recap dep rec'!$T$47:$T$56)</f>
        <v>#REF!</v>
      </c>
      <c r="H16" s="398" t="e">
        <f>G16/G60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rec'!$T:$T)</f>
        <v>0</v>
      </c>
      <c r="D17" s="397">
        <f t="shared" si="1"/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rec'!$T:$T)</f>
        <v>134.38755</v>
      </c>
      <c r="D18" s="397">
        <f t="shared" si="1"/>
        <v>1.0129637788781969E-3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/>
      <c r="H20" s="397"/>
    </row>
    <row r="21" spans="1:8">
      <c r="A21" s="220"/>
      <c r="B21" s="380" t="s">
        <v>104</v>
      </c>
      <c r="C21" s="382">
        <f>SUM(C22:C28)</f>
        <v>3196.7336307500004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rec'!$T:$T)</f>
        <v>632.13513</v>
      </c>
      <c r="D22" s="397">
        <f>C22/$C$60</f>
        <v>4.7648014272636133E-3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rec'!$T:$T)</f>
        <v>1144.5603840000001</v>
      </c>
      <c r="D23" s="397">
        <f t="shared" ref="D23:D28" si="2">C23/$C$60</f>
        <v>8.6272739679450969E-3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rec'!$T:$T)</f>
        <v>1.375</v>
      </c>
      <c r="D24" s="397">
        <f t="shared" ref="D24" si="3">C24/$C$60</f>
        <v>1.0364242788543438E-5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rec'!$T:$T)</f>
        <v>921.36000000000013</v>
      </c>
      <c r="D25" s="397">
        <f t="shared" si="2"/>
        <v>6.9448718077471877E-3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rec'!$T:$T)</f>
        <v>123.34519175000001</v>
      </c>
      <c r="D26" s="397">
        <f t="shared" si="2"/>
        <v>9.2973055570650558E-4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rec'!$T:$T)</f>
        <v>86.051349999999999</v>
      </c>
      <c r="D27" s="397">
        <f t="shared" ref="D27" si="4">C27/$C$60</f>
        <v>6.4862333358685624E-4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rec'!$T:$T)</f>
        <v>287.90657500000003</v>
      </c>
      <c r="D28" s="397">
        <f t="shared" si="2"/>
        <v>2.1701335590676297E-3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59.675000000000011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rec'!$T:$T)</f>
        <v>0</v>
      </c>
      <c r="D31" s="397">
        <f t="shared" ref="D31:D32" si="5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rec'!$T:$T)</f>
        <v>59.675000000000011</v>
      </c>
      <c r="D32" s="397">
        <f t="shared" si="5"/>
        <v>4.4980813702278526E-4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11105.065000000001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rec'!$T:$T)</f>
        <v>11088.4</v>
      </c>
      <c r="D35" s="397">
        <f t="shared" ref="D35:D36" si="6">C35/$C$60</f>
        <v>8.3580268899261859E-2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rec'!$T:$T)</f>
        <v>16.665000000000003</v>
      </c>
      <c r="D36" s="397">
        <f t="shared" si="6"/>
        <v>1.2561462259714649E-4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rec'!$T:$T)</f>
        <v>0</v>
      </c>
      <c r="D39" s="397">
        <f t="shared" ref="D39" si="7">C39/$C$60</f>
        <v>0</v>
      </c>
      <c r="E39" s="115"/>
      <c r="F39" s="135"/>
      <c r="G39" s="124"/>
      <c r="H39" s="122"/>
    </row>
    <row r="40" spans="1:8">
      <c r="A40" t="str">
        <f t="shared" si="0"/>
        <v/>
      </c>
      <c r="B40" s="123"/>
      <c r="C40" s="119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rec'!$T:$T)</f>
        <v>0</v>
      </c>
      <c r="D43" s="397">
        <f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rec'!$T:$T)</f>
        <v>0</v>
      </c>
      <c r="D44" s="397">
        <f>C44/$C$60</f>
        <v>0</v>
      </c>
      <c r="E44" s="115">
        <v>758</v>
      </c>
      <c r="F44" s="121" t="s">
        <v>52</v>
      </c>
      <c r="G44" s="225" t="e">
        <f>+SUMIF('Recap dep rec'!#REF!,E44,'Recap dep rec'!$T$47:$T$56)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rec'!$T:$T)</f>
        <v>0</v>
      </c>
      <c r="D47" s="397">
        <f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rec'!$T$47:$T$56)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rec'!$T:$T)</f>
        <v>0</v>
      </c>
      <c r="D51" s="397">
        <f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2"/>
      <c r="D55" s="384"/>
      <c r="E55" s="115"/>
      <c r="F55" s="123" t="s">
        <v>122</v>
      </c>
      <c r="G55" s="405"/>
      <c r="H55" s="397"/>
    </row>
    <row r="56" spans="1:9" ht="15.75">
      <c r="A56" s="220"/>
      <c r="B56" s="391" t="s">
        <v>5</v>
      </c>
      <c r="C56" s="381">
        <f>SUMIF('Recap dep rec'!$A:$A,A56,'Recap dep rec'!$T:$T)</f>
        <v>0</v>
      </c>
      <c r="D56" s="138">
        <f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143"/>
      <c r="D57" s="122"/>
      <c r="E57" s="144"/>
      <c r="F57" s="121" t="s">
        <v>125</v>
      </c>
      <c r="G57" s="142"/>
      <c r="H57" s="122"/>
    </row>
    <row r="58" spans="1:9">
      <c r="B58" s="121" t="s">
        <v>125</v>
      </c>
      <c r="C58" s="143"/>
      <c r="D58" s="122"/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132667.67558937499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rec'!T43</f>
        <v>-110.55000000001746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25">
    <tabColor theme="7" tint="0.39997558519241921"/>
  </sheetPr>
  <dimension ref="A1:I64"/>
  <sheetViews>
    <sheetView workbookViewId="0"/>
    <sheetView workbookViewId="1"/>
  </sheetViews>
  <sheetFormatPr baseColWidth="10" defaultRowHeight="15"/>
  <cols>
    <col min="1" max="1" width="5.28515625" customWidth="1"/>
    <col min="2" max="2" width="41.85546875" customWidth="1"/>
    <col min="3" max="3" width="10.7109375" customWidth="1"/>
    <col min="4" max="4" width="9.85546875" customWidth="1"/>
    <col min="5" max="5" width="2.42578125" customWidth="1"/>
    <col min="6" max="6" width="30.85546875" customWidth="1"/>
    <col min="7" max="8" width="10" customWidth="1"/>
  </cols>
  <sheetData>
    <row r="1" spans="1:8" ht="33.75" customHeight="1"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>Opération Paris Hiver</v>
      </c>
      <c r="G1" s="371"/>
      <c r="H1" s="372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374" t="s">
        <v>91</v>
      </c>
      <c r="C4" s="378">
        <f>SUM(C5:C8)</f>
        <v>134.74687499999999</v>
      </c>
      <c r="D4" s="376"/>
      <c r="E4" s="115"/>
      <c r="F4" s="374" t="s">
        <v>351</v>
      </c>
      <c r="G4" s="382" t="e">
        <f>SUM(G5:G37)</f>
        <v>#REF!</v>
      </c>
      <c r="H4" s="494" t="e">
        <f>G4/G60</f>
        <v>#REF!</v>
      </c>
    </row>
    <row r="5" spans="1:8">
      <c r="A5" t="str">
        <f>LEFT(B5,3)</f>
        <v>604</v>
      </c>
      <c r="B5" s="121" t="s">
        <v>93</v>
      </c>
      <c r="C5" s="396">
        <f>SUMIF('Recap dep rec'!$A:$A,A5,'Recap dep rec'!$U:$U)</f>
        <v>0</v>
      </c>
      <c r="D5" s="397">
        <f>C5/$C$60</f>
        <v>0</v>
      </c>
      <c r="E5" s="115"/>
      <c r="F5" s="123"/>
      <c r="G5" s="124"/>
      <c r="H5" s="122"/>
    </row>
    <row r="6" spans="1:8">
      <c r="A6" t="str">
        <f t="shared" ref="A6:A51" si="0">LEFT(B6,3)</f>
        <v>605</v>
      </c>
      <c r="B6" s="125" t="s">
        <v>94</v>
      </c>
      <c r="C6" s="396">
        <f>SUMIF('Recap dep rec'!$A:$A,A6,'Recap dep rec'!$U:$U)</f>
        <v>0</v>
      </c>
      <c r="D6" s="397">
        <f>C6/$C$60</f>
        <v>0</v>
      </c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396">
        <f>SUMIF('Recap dep rec'!$A:$A,A7,'Recap dep rec'!$U:$U)</f>
        <v>134.74687499999999</v>
      </c>
      <c r="D7" s="397">
        <f>C7/$C$60</f>
        <v>2.1092550963245182E-3</v>
      </c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396">
        <f>SUMIF('Recap dep rec'!$A:$A,A8,'Recap dep rec'!$U:$U)</f>
        <v>0</v>
      </c>
      <c r="D8" s="397">
        <f>C8/$C$60</f>
        <v>0</v>
      </c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A11" s="220"/>
      <c r="B11" s="380" t="s">
        <v>99</v>
      </c>
      <c r="C11" s="382">
        <f>SUM(C12:C18)</f>
        <v>47807.482623437507</v>
      </c>
      <c r="D11" s="384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396">
        <f>SUMIF('Recap dep rec'!$A:$A,A12,'Recap dep rec'!$U:$U)</f>
        <v>46117</v>
      </c>
      <c r="D12" s="397">
        <f>C12/$C$60</f>
        <v>0.72189071009771333</v>
      </c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396">
        <f>SUMIF('Recap dep rec'!$A:$A,A13,'Recap dep rec'!$U:$U)</f>
        <v>925.47879843750002</v>
      </c>
      <c r="D13" s="397">
        <f t="shared" ref="D13:D16" si="1">C13/$C$60</f>
        <v>1.4486947264228492E-2</v>
      </c>
      <c r="E13" s="115"/>
      <c r="F13" s="131"/>
      <c r="G13" s="124"/>
      <c r="H13" s="122"/>
    </row>
    <row r="14" spans="1:8">
      <c r="A14">
        <v>614</v>
      </c>
      <c r="B14" s="121" t="s">
        <v>289</v>
      </c>
      <c r="C14" s="396">
        <f>SUMIF('Recap dep rec'!$A:$A,A14,'Recap dep rec'!$U:$U)</f>
        <v>326.20625000000001</v>
      </c>
      <c r="D14" s="397">
        <f t="shared" si="1"/>
        <v>5.1062571600670511E-3</v>
      </c>
      <c r="E14" s="115"/>
      <c r="F14" s="131"/>
      <c r="G14" s="225"/>
      <c r="H14" s="397"/>
    </row>
    <row r="15" spans="1:8">
      <c r="A15" t="str">
        <f t="shared" si="0"/>
        <v>615</v>
      </c>
      <c r="B15" s="121" t="s">
        <v>29</v>
      </c>
      <c r="C15" s="396">
        <f>SUMIF('Recap dep rec'!$A:$A,A15,'Recap dep rec'!$U:$U)</f>
        <v>222.98406249999996</v>
      </c>
      <c r="D15" s="397">
        <f t="shared" si="1"/>
        <v>3.4904725636662804E-3</v>
      </c>
      <c r="E15" s="115"/>
      <c r="F15" s="131"/>
      <c r="G15" s="225"/>
      <c r="H15" s="397"/>
    </row>
    <row r="16" spans="1:8">
      <c r="A16" t="str">
        <f t="shared" si="0"/>
        <v>616</v>
      </c>
      <c r="B16" s="121" t="s">
        <v>30</v>
      </c>
      <c r="C16" s="396">
        <f>SUMIF('Recap dep rec'!$A:$A,A16,'Recap dep rec'!$U:$U)</f>
        <v>63.100387500000004</v>
      </c>
      <c r="D16" s="397">
        <f t="shared" si="1"/>
        <v>9.877395220811388E-4</v>
      </c>
      <c r="E16" s="115">
        <v>740</v>
      </c>
      <c r="F16" s="123" t="s">
        <v>101</v>
      </c>
      <c r="G16" s="225" t="e">
        <f>+SUMIF('Recap dep rec'!#REF!,E16,'Recap dep rec'!$U$47:$U$56)</f>
        <v>#REF!</v>
      </c>
      <c r="H16" s="398" t="e">
        <f>G16/C60</f>
        <v>#REF!</v>
      </c>
    </row>
    <row r="17" spans="1:8">
      <c r="A17" t="str">
        <f t="shared" si="0"/>
        <v>617</v>
      </c>
      <c r="B17" s="121" t="s">
        <v>31</v>
      </c>
      <c r="C17" s="396">
        <f>SUMIF('Recap dep rec'!$A:$A,A17,'Recap dep rec'!$U:$U)</f>
        <v>0</v>
      </c>
      <c r="D17" s="397">
        <f>C17/$C$60</f>
        <v>0</v>
      </c>
      <c r="E17" s="115"/>
      <c r="F17" s="129"/>
      <c r="G17" s="225"/>
      <c r="H17" s="397"/>
    </row>
    <row r="18" spans="1:8">
      <c r="A18" t="str">
        <f t="shared" si="0"/>
        <v>618</v>
      </c>
      <c r="B18" s="121" t="s">
        <v>102</v>
      </c>
      <c r="C18" s="396">
        <f>SUMIF('Recap dep rec'!$A:$A,A18,'Recap dep rec'!$U:$U)</f>
        <v>152.71312499999999</v>
      </c>
      <c r="D18" s="397">
        <f>C18/$C$60</f>
        <v>2.3904891091677872E-3</v>
      </c>
      <c r="E18" s="115"/>
      <c r="F18" s="129"/>
      <c r="G18" s="225"/>
      <c r="H18" s="397"/>
    </row>
    <row r="19" spans="1:8">
      <c r="A19" t="str">
        <f t="shared" si="0"/>
        <v/>
      </c>
      <c r="B19" s="121"/>
      <c r="C19" s="127"/>
      <c r="D19" s="122"/>
      <c r="E19" s="115"/>
      <c r="F19" s="131"/>
      <c r="G19" s="225"/>
      <c r="H19" s="397"/>
    </row>
    <row r="20" spans="1:8">
      <c r="A20" t="str">
        <f t="shared" si="0"/>
        <v/>
      </c>
      <c r="B20" s="121"/>
      <c r="C20" s="127"/>
      <c r="D20" s="122"/>
      <c r="E20" s="115" t="s">
        <v>311</v>
      </c>
      <c r="F20" s="132" t="s">
        <v>103</v>
      </c>
      <c r="G20" s="225"/>
      <c r="H20" s="397"/>
    </row>
    <row r="21" spans="1:8">
      <c r="A21" s="220"/>
      <c r="B21" s="380" t="s">
        <v>104</v>
      </c>
      <c r="C21" s="383">
        <f>SUM(C22:C28)</f>
        <v>3632.6518531249999</v>
      </c>
      <c r="D21" s="384"/>
      <c r="E21" s="115"/>
      <c r="F21" s="129"/>
      <c r="G21" s="225"/>
      <c r="H21" s="397"/>
    </row>
    <row r="22" spans="1:8">
      <c r="A22" t="str">
        <f t="shared" si="0"/>
        <v>622</v>
      </c>
      <c r="B22" s="121" t="s">
        <v>296</v>
      </c>
      <c r="C22" s="396">
        <f>SUMIF('Recap dep rec'!$A:$A,A22,'Recap dep rec'!$U:$U)</f>
        <v>718.335375</v>
      </c>
      <c r="D22" s="397">
        <f>C22/$C$60</f>
        <v>1.1244435543228249E-2</v>
      </c>
      <c r="E22" s="115"/>
      <c r="F22" s="129"/>
      <c r="G22" s="225"/>
      <c r="H22" s="397"/>
    </row>
    <row r="23" spans="1:8">
      <c r="A23" t="str">
        <f t="shared" si="0"/>
        <v>623</v>
      </c>
      <c r="B23" s="121" t="s">
        <v>107</v>
      </c>
      <c r="C23" s="396">
        <f>SUMIF('Recap dep rec'!$A:$A,A23,'Recap dep rec'!$U:$U)</f>
        <v>1300.6368</v>
      </c>
      <c r="D23" s="397">
        <f t="shared" ref="D23:D27" si="2">C23/$C$60</f>
        <v>2.0359468810443385E-2</v>
      </c>
      <c r="E23" s="115"/>
      <c r="F23" s="123" t="s">
        <v>108</v>
      </c>
      <c r="G23" s="225"/>
      <c r="H23" s="397"/>
    </row>
    <row r="24" spans="1:8">
      <c r="A24" t="str">
        <f t="shared" si="0"/>
        <v>624</v>
      </c>
      <c r="B24" s="121" t="s">
        <v>295</v>
      </c>
      <c r="C24" s="396">
        <f>SUMIF('Recap dep rec'!$A:$A,A24,'Recap dep rec'!$U:$U)</f>
        <v>1.5625</v>
      </c>
      <c r="D24" s="397">
        <f t="shared" si="2"/>
        <v>2.4458534478124707E-5</v>
      </c>
      <c r="E24" s="115"/>
      <c r="F24" s="123"/>
      <c r="G24" s="225"/>
      <c r="H24" s="397"/>
    </row>
    <row r="25" spans="1:8">
      <c r="A25" t="str">
        <f t="shared" si="0"/>
        <v>625</v>
      </c>
      <c r="B25" s="121" t="s">
        <v>32</v>
      </c>
      <c r="C25" s="396">
        <f>SUMIF('Recap dep rec'!$A:$A,A25,'Recap dep rec'!$U:$U)</f>
        <v>1047</v>
      </c>
      <c r="D25" s="397">
        <f t="shared" si="2"/>
        <v>1.6389174783101802E-2</v>
      </c>
      <c r="E25" s="115"/>
      <c r="F25" s="129"/>
      <c r="G25" s="225"/>
      <c r="H25" s="397"/>
    </row>
    <row r="26" spans="1:8">
      <c r="A26" t="str">
        <f t="shared" si="0"/>
        <v>626</v>
      </c>
      <c r="B26" s="121" t="s">
        <v>33</v>
      </c>
      <c r="C26" s="396">
        <f>SUMIF('Recap dep rec'!$A:$A,A26,'Recap dep rec'!$U:$U)</f>
        <v>140.164990625</v>
      </c>
      <c r="D26" s="397">
        <f t="shared" si="2"/>
        <v>2.1940673637296567E-3</v>
      </c>
      <c r="E26" s="115"/>
      <c r="F26" s="129"/>
      <c r="G26" s="225"/>
      <c r="H26" s="397"/>
    </row>
    <row r="27" spans="1:8">
      <c r="A27" t="str">
        <f t="shared" si="0"/>
        <v>627</v>
      </c>
      <c r="B27" s="121" t="s">
        <v>291</v>
      </c>
      <c r="C27" s="396">
        <f>SUMIF('Recap dep rec'!$A:$A,A27,'Recap dep rec'!$U:$U)</f>
        <v>97.785624999999996</v>
      </c>
      <c r="D27" s="397">
        <f t="shared" si="2"/>
        <v>1.5306835715375828E-3</v>
      </c>
      <c r="E27" s="115"/>
      <c r="F27" s="129"/>
      <c r="G27" s="225"/>
      <c r="H27" s="397"/>
    </row>
    <row r="28" spans="1:8">
      <c r="A28" t="str">
        <f t="shared" si="0"/>
        <v>628</v>
      </c>
      <c r="B28" s="121" t="s">
        <v>34</v>
      </c>
      <c r="C28" s="396">
        <f>SUMIF('Recap dep rec'!$A:$A,A28,'Recap dep rec'!$U:$U)</f>
        <v>327.1665625</v>
      </c>
      <c r="D28" s="397">
        <f t="shared" ref="D28" si="3">C28/$C$60</f>
        <v>5.1212893753573062E-3</v>
      </c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A30" s="220"/>
      <c r="B30" s="380" t="s">
        <v>129</v>
      </c>
      <c r="C30" s="383">
        <f>SUM(C31:C32)</f>
        <v>67.8125</v>
      </c>
      <c r="D30" s="138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396">
        <f>SUMIF('Recap dep rec'!$A:$A,A31,'Recap dep rec'!$U:$U)</f>
        <v>0</v>
      </c>
      <c r="D31" s="397">
        <f t="shared" ref="D31:D32" si="4">C31/$C$60</f>
        <v>0</v>
      </c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396">
        <f>SUMIF('Recap dep rec'!$A:$A,A32,'Recap dep rec'!$U:$U)</f>
        <v>67.8125</v>
      </c>
      <c r="D32" s="397">
        <f t="shared" si="4"/>
        <v>1.0615003963506122E-3</v>
      </c>
      <c r="E32" s="115"/>
      <c r="F32" s="123"/>
      <c r="G32" s="124"/>
      <c r="H32" s="122"/>
    </row>
    <row r="33" spans="1:8">
      <c r="B33" s="121"/>
      <c r="C33" s="206"/>
      <c r="D33" s="122"/>
      <c r="E33" s="115"/>
      <c r="F33" s="123"/>
      <c r="G33" s="124"/>
      <c r="H33" s="122"/>
    </row>
    <row r="34" spans="1:8">
      <c r="A34" s="220"/>
      <c r="B34" s="380" t="s">
        <v>110</v>
      </c>
      <c r="C34" s="383">
        <f>SUM(C35:C36)</f>
        <v>12240.937500000002</v>
      </c>
      <c r="D34" s="387"/>
      <c r="E34" s="115"/>
      <c r="F34" s="129"/>
      <c r="G34" s="124"/>
      <c r="H34" s="122"/>
    </row>
    <row r="35" spans="1:8">
      <c r="A35" t="str">
        <f t="shared" si="0"/>
        <v>641</v>
      </c>
      <c r="B35" s="121" t="s">
        <v>35</v>
      </c>
      <c r="C35" s="396">
        <f>SUMIF('Recap dep rec'!$A:$A,A35,'Recap dep rec'!$U:$U)</f>
        <v>12222.000000000002</v>
      </c>
      <c r="D35" s="397">
        <f t="shared" ref="D35:D36" si="5">C35/$C$60</f>
        <v>0.19131661337064973</v>
      </c>
      <c r="E35" s="115"/>
      <c r="F35" s="129"/>
      <c r="G35" s="124"/>
      <c r="H35" s="122"/>
    </row>
    <row r="36" spans="1:8">
      <c r="A36" t="str">
        <f t="shared" si="0"/>
        <v>645</v>
      </c>
      <c r="B36" s="121" t="s">
        <v>36</v>
      </c>
      <c r="C36" s="396">
        <f>SUMIF('Recap dep rec'!$A:$A,A36,'Recap dep rec'!$U:$U)</f>
        <v>18.9375</v>
      </c>
      <c r="D36" s="397">
        <f t="shared" si="5"/>
        <v>2.9643743787487143E-4</v>
      </c>
      <c r="E36" s="115"/>
      <c r="F36" s="129"/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 t="s">
        <v>312</v>
      </c>
      <c r="F37" s="123" t="s">
        <v>111</v>
      </c>
      <c r="G37" s="124"/>
      <c r="H37" s="122"/>
    </row>
    <row r="38" spans="1:8">
      <c r="A38" s="220"/>
      <c r="B38" s="380" t="s">
        <v>297</v>
      </c>
      <c r="C38" s="383">
        <f>SUM(C39:C40)</f>
        <v>0</v>
      </c>
      <c r="D38" s="138"/>
      <c r="E38" s="115"/>
      <c r="F38" s="135"/>
      <c r="G38" s="124"/>
      <c r="H38" s="122"/>
    </row>
    <row r="39" spans="1:8">
      <c r="A39">
        <v>650</v>
      </c>
      <c r="B39" s="121" t="s">
        <v>37</v>
      </c>
      <c r="C39" s="396">
        <f>SUMIF('Recap dep rec'!$A:$A,A39,'Recap dep rec'!$U:$U)</f>
        <v>0</v>
      </c>
      <c r="D39" s="397"/>
      <c r="E39" s="115"/>
      <c r="F39" s="135"/>
      <c r="G39" s="124"/>
      <c r="H39" s="122"/>
    </row>
    <row r="40" spans="1:8">
      <c r="A40" t="str">
        <f t="shared" si="0"/>
        <v/>
      </c>
      <c r="B40" s="123"/>
      <c r="C40" s="127"/>
      <c r="D40" s="120"/>
      <c r="E40" s="115"/>
      <c r="F40" s="135"/>
      <c r="G40" s="124"/>
      <c r="H40" s="122"/>
    </row>
    <row r="41" spans="1:8">
      <c r="A41" t="str">
        <f t="shared" si="0"/>
        <v/>
      </c>
      <c r="B41" s="121"/>
      <c r="C41" s="127"/>
      <c r="D41" s="122"/>
      <c r="E41" s="115"/>
      <c r="F41" s="136" t="s">
        <v>350</v>
      </c>
      <c r="G41" s="137" t="e">
        <f>SUM(G42:G58)</f>
        <v>#REF!</v>
      </c>
      <c r="H41" s="170" t="e">
        <f>G41/G60</f>
        <v>#REF!</v>
      </c>
    </row>
    <row r="42" spans="1:8">
      <c r="A42" s="220"/>
      <c r="B42" s="380" t="s">
        <v>113</v>
      </c>
      <c r="C42" s="383">
        <f>SUM(C43:C44)</f>
        <v>0</v>
      </c>
      <c r="D42" s="138"/>
      <c r="E42" s="115"/>
      <c r="F42" s="121"/>
      <c r="G42" s="124"/>
      <c r="H42" s="122"/>
    </row>
    <row r="43" spans="1:8">
      <c r="A43" t="str">
        <f t="shared" si="0"/>
        <v>661</v>
      </c>
      <c r="B43" s="121" t="s">
        <v>38</v>
      </c>
      <c r="C43" s="396">
        <f>SUMIF('Recap dep rec'!$A:$A,A43,'Recap dep rec'!$U:$U)</f>
        <v>0</v>
      </c>
      <c r="D43" s="397">
        <f t="shared" ref="D43:D44" si="6">C43/$C$60</f>
        <v>0</v>
      </c>
      <c r="E43" s="115"/>
      <c r="F43" s="123" t="s">
        <v>114</v>
      </c>
      <c r="G43" s="402"/>
      <c r="H43" s="400"/>
    </row>
    <row r="44" spans="1:8">
      <c r="A44" t="str">
        <f t="shared" si="0"/>
        <v>666</v>
      </c>
      <c r="B44" s="121" t="s">
        <v>292</v>
      </c>
      <c r="C44" s="396">
        <f>SUMIF('Recap dep rec'!$A:$A,A44,'Recap dep rec'!$U:$U)</f>
        <v>0</v>
      </c>
      <c r="D44" s="397">
        <f t="shared" si="6"/>
        <v>0</v>
      </c>
      <c r="E44" s="115">
        <v>758</v>
      </c>
      <c r="F44" s="121" t="s">
        <v>52</v>
      </c>
      <c r="G44" s="225" t="e">
        <f>+SUMIF('Recap dep rec'!#REF!,E44,'Recap dep rec'!$U$47:$U$56)</f>
        <v>#REF!</v>
      </c>
      <c r="H44" s="400" t="e">
        <f>G44/$C$60</f>
        <v>#REF!</v>
      </c>
    </row>
    <row r="45" spans="1:8">
      <c r="A45" t="str">
        <f t="shared" si="0"/>
        <v/>
      </c>
      <c r="B45" s="121"/>
      <c r="C45" s="127"/>
      <c r="D45" s="122"/>
      <c r="E45" s="115"/>
      <c r="F45" s="121"/>
      <c r="G45" s="403"/>
      <c r="H45" s="397"/>
    </row>
    <row r="46" spans="1:8">
      <c r="A46" s="220"/>
      <c r="B46" s="380" t="s">
        <v>309</v>
      </c>
      <c r="C46" s="383">
        <f>C47</f>
        <v>0</v>
      </c>
      <c r="D46" s="138"/>
      <c r="E46" s="115"/>
      <c r="F46" s="121"/>
      <c r="G46" s="403"/>
      <c r="H46" s="397"/>
    </row>
    <row r="47" spans="1:8">
      <c r="A47" t="str">
        <f t="shared" si="0"/>
        <v>678</v>
      </c>
      <c r="B47" s="121" t="s">
        <v>308</v>
      </c>
      <c r="C47" s="396">
        <f>SUMIF('Recap dep rec'!$A:$A,A47,'Recap dep rec'!$U:$U)</f>
        <v>0</v>
      </c>
      <c r="D47" s="397">
        <f t="shared" ref="D47" si="7">C47/$C$60</f>
        <v>0</v>
      </c>
      <c r="E47" s="115"/>
      <c r="F47" s="121"/>
      <c r="G47" s="403"/>
      <c r="H47" s="397"/>
    </row>
    <row r="48" spans="1:8">
      <c r="B48" s="121"/>
      <c r="C48" s="127"/>
      <c r="D48" s="122"/>
      <c r="E48" s="115"/>
      <c r="F48" s="121"/>
      <c r="G48" s="403"/>
      <c r="H48" s="397"/>
    </row>
    <row r="49" spans="1:9">
      <c r="A49" s="220" t="str">
        <f t="shared" si="0"/>
        <v xml:space="preserve">68 </v>
      </c>
      <c r="B49" s="380" t="s">
        <v>116</v>
      </c>
      <c r="C49" s="383">
        <f>SUM(C50:C51)</f>
        <v>0</v>
      </c>
      <c r="D49" s="138"/>
      <c r="E49" s="115">
        <v>756</v>
      </c>
      <c r="F49" s="121" t="s">
        <v>51</v>
      </c>
      <c r="G49" s="225" t="e">
        <f>+SUMIF('Recap dep rec'!#REF!,E49,'Recap dep rec'!$U$47:$U$56)</f>
        <v>#REF!</v>
      </c>
      <c r="H49" s="400" t="e">
        <f>G49/$C$60</f>
        <v>#REF!</v>
      </c>
    </row>
    <row r="50" spans="1:9">
      <c r="B50" s="380" t="s">
        <v>117</v>
      </c>
      <c r="C50" s="399"/>
      <c r="D50" s="397"/>
      <c r="E50" s="115"/>
      <c r="F50" s="121" t="s">
        <v>118</v>
      </c>
      <c r="G50" s="225"/>
      <c r="H50" s="397"/>
    </row>
    <row r="51" spans="1:9">
      <c r="A51" t="str">
        <f t="shared" si="0"/>
        <v>681</v>
      </c>
      <c r="B51" s="140" t="s">
        <v>39</v>
      </c>
      <c r="C51" s="396">
        <f>SUMIF('Recap dep rec'!$A:$A,A51,'Recap dep rec'!$U:$U)</f>
        <v>0</v>
      </c>
      <c r="D51" s="397">
        <f t="shared" ref="D51" si="8">C51/$C$60</f>
        <v>0</v>
      </c>
      <c r="E51" s="115"/>
      <c r="F51" s="121"/>
      <c r="G51" s="225"/>
      <c r="H51" s="397"/>
    </row>
    <row r="52" spans="1:9">
      <c r="B52" s="121" t="s">
        <v>119</v>
      </c>
      <c r="C52" s="399"/>
      <c r="D52" s="397"/>
      <c r="E52" s="115"/>
      <c r="F52" s="121"/>
      <c r="G52" s="225"/>
      <c r="H52" s="397"/>
    </row>
    <row r="53" spans="1:9">
      <c r="B53" s="140"/>
      <c r="C53" s="399"/>
      <c r="D53" s="397"/>
      <c r="E53" s="115"/>
      <c r="F53" s="123"/>
      <c r="G53" s="225"/>
      <c r="H53" s="397"/>
    </row>
    <row r="54" spans="1:9">
      <c r="B54" s="140"/>
      <c r="C54" s="127"/>
      <c r="D54" s="122"/>
      <c r="E54" s="115"/>
      <c r="F54" s="123" t="s">
        <v>120</v>
      </c>
      <c r="G54" s="404"/>
      <c r="H54" s="401"/>
    </row>
    <row r="55" spans="1:9">
      <c r="A55" s="220"/>
      <c r="B55" s="380" t="s">
        <v>121</v>
      </c>
      <c r="C55" s="383"/>
      <c r="D55" s="384"/>
      <c r="E55" s="115"/>
      <c r="F55" s="123" t="s">
        <v>122</v>
      </c>
      <c r="G55" s="225"/>
      <c r="H55" s="397"/>
    </row>
    <row r="56" spans="1:9" ht="15.75">
      <c r="A56" s="220"/>
      <c r="B56" s="391" t="s">
        <v>5</v>
      </c>
      <c r="C56" s="381">
        <f>SUMIF('Recap dep rec'!$A:$A,A56,'Recap dep rec'!$X:$X)</f>
        <v>0</v>
      </c>
      <c r="D56" s="138">
        <f t="shared" ref="D56" si="9">C56/$C$60</f>
        <v>0</v>
      </c>
      <c r="E56" s="144"/>
      <c r="F56" s="123" t="s">
        <v>123</v>
      </c>
      <c r="G56" s="142"/>
      <c r="H56" s="122"/>
    </row>
    <row r="57" spans="1:9" ht="15.75">
      <c r="B57" s="121" t="s">
        <v>124</v>
      </c>
      <c r="C57" s="127"/>
      <c r="D57" s="122"/>
      <c r="E57" s="144"/>
      <c r="F57" s="121" t="s">
        <v>125</v>
      </c>
      <c r="G57" s="142"/>
      <c r="H57" s="122"/>
    </row>
    <row r="58" spans="1:9">
      <c r="B58" s="121" t="s">
        <v>125</v>
      </c>
      <c r="C58" s="127"/>
      <c r="D58" s="122"/>
      <c r="F58" s="121"/>
      <c r="G58" s="142"/>
      <c r="H58" s="122"/>
    </row>
    <row r="59" spans="1:9">
      <c r="B59" s="145"/>
      <c r="C59" s="146"/>
      <c r="D59" s="147"/>
      <c r="F59" s="121"/>
      <c r="G59" s="142"/>
      <c r="H59" s="122"/>
    </row>
    <row r="60" spans="1:9">
      <c r="B60" s="148" t="s">
        <v>126</v>
      </c>
      <c r="C60" s="149">
        <f>C55+C56+C49+C42+C38+C34+C30+C21+C11+C4+C46</f>
        <v>63883.631351562508</v>
      </c>
      <c r="D60" s="150"/>
      <c r="F60" s="148" t="s">
        <v>127</v>
      </c>
      <c r="G60" s="151" t="e">
        <f>+G41+G4</f>
        <v>#REF!</v>
      </c>
      <c r="H60" s="150"/>
      <c r="I60" s="31" t="e">
        <f>G60-C60</f>
        <v>#REF!</v>
      </c>
    </row>
    <row r="61" spans="1:9">
      <c r="B61" s="115"/>
      <c r="C61" s="152">
        <f>C60-'Recap dep rec'!U43</f>
        <v>-125.62499999999272</v>
      </c>
      <c r="D61" s="153"/>
      <c r="F61" s="115"/>
      <c r="G61" s="152"/>
      <c r="H61" s="154"/>
    </row>
    <row r="62" spans="1:9" ht="15.75">
      <c r="B62" s="115"/>
      <c r="C62" s="155"/>
      <c r="D62" s="156"/>
      <c r="F62" s="144"/>
      <c r="G62" s="155"/>
      <c r="H62" s="154"/>
    </row>
    <row r="63" spans="1:9" ht="15.75">
      <c r="B63" s="144"/>
      <c r="C63" s="155"/>
      <c r="D63" s="156"/>
      <c r="F63" s="144"/>
      <c r="G63" s="155"/>
      <c r="H63" s="153"/>
    </row>
    <row r="64" spans="1:9" ht="15.75">
      <c r="C64" s="157"/>
      <c r="D64" s="35"/>
      <c r="G64" s="157"/>
      <c r="H64" s="156"/>
    </row>
  </sheetData>
  <pageMargins left="0" right="0" top="0.74803149606299213" bottom="0.74803149606299213" header="0.31496062992125984" footer="0.31496062992125984"/>
  <pageSetup paperSize="9" scale="80" orientation="portrait" horizontalDpi="0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27">
    <tabColor rgb="FF7030A0"/>
  </sheetPr>
  <dimension ref="A1:H61"/>
  <sheetViews>
    <sheetView workbookViewId="0"/>
    <sheetView workbookViewId="1"/>
  </sheetViews>
  <sheetFormatPr baseColWidth="10" defaultRowHeight="15"/>
  <cols>
    <col min="1" max="1" width="41.85546875" customWidth="1"/>
    <col min="2" max="2" width="12.7109375" style="31" customWidth="1"/>
    <col min="3" max="3" width="9.85546875" customWidth="1"/>
    <col min="4" max="4" width="2.42578125" customWidth="1"/>
    <col min="5" max="5" width="30.85546875" customWidth="1"/>
    <col min="6" max="7" width="10" customWidth="1"/>
  </cols>
  <sheetData>
    <row r="1" spans="1:8" ht="34.5" customHeight="1">
      <c r="A1" s="367" t="s">
        <v>178</v>
      </c>
      <c r="B1" s="370" t="s">
        <v>298</v>
      </c>
      <c r="C1" s="373"/>
      <c r="D1" s="371"/>
      <c r="E1" s="371"/>
      <c r="F1" s="373" t="str">
        <f ca="1">RIGHT(CELL("nomfichier",A1),LEN(CELL("nomfichier",A1))-FIND("]",CELL("nomfichier",A1)))</f>
        <v xml:space="preserve">Action Second semestre </v>
      </c>
      <c r="G1" s="372"/>
    </row>
    <row r="2" spans="1:8" ht="15.75">
      <c r="A2" s="109"/>
      <c r="B2" s="203"/>
      <c r="C2" s="111"/>
      <c r="D2" s="110"/>
      <c r="E2" s="110"/>
      <c r="F2" s="110"/>
      <c r="G2" s="111"/>
    </row>
    <row r="3" spans="1:8">
      <c r="A3" s="112" t="s">
        <v>87</v>
      </c>
      <c r="B3" s="204" t="s">
        <v>88</v>
      </c>
      <c r="C3" s="114" t="s">
        <v>89</v>
      </c>
      <c r="D3" s="115"/>
      <c r="E3" s="112" t="s">
        <v>90</v>
      </c>
      <c r="F3" s="112" t="s">
        <v>88</v>
      </c>
      <c r="G3" s="114" t="s">
        <v>89</v>
      </c>
    </row>
    <row r="4" spans="1:8">
      <c r="A4" s="116" t="s">
        <v>91</v>
      </c>
      <c r="B4" s="375"/>
      <c r="C4" s="376" t="e">
        <f>SUM(C5:C8)</f>
        <v>#REF!</v>
      </c>
      <c r="D4" s="377"/>
      <c r="E4" s="116" t="s">
        <v>92</v>
      </c>
      <c r="F4" s="382"/>
      <c r="G4" s="384" t="e">
        <f>SUM(G5:G37)</f>
        <v>#REF!</v>
      </c>
      <c r="H4" s="395"/>
    </row>
    <row r="5" spans="1:8">
      <c r="A5" s="121" t="s">
        <v>93</v>
      </c>
      <c r="B5" s="206" t="e">
        <f>#REF!+'Opération Paris Hiver'!C5+'MP2'!C5+#REF!+#REF!+IBTM!C5+#REF!+'Demarchage Europe'!C5+'Operation Paris été'!C5+'Ev. Scandinavie'!C5+'Eductours 1et 2'!C5</f>
        <v>#REF!</v>
      </c>
      <c r="C5" s="397"/>
      <c r="D5" s="115"/>
      <c r="E5" s="123"/>
      <c r="F5" s="124"/>
      <c r="G5" s="122"/>
    </row>
    <row r="6" spans="1:8">
      <c r="A6" s="125" t="s">
        <v>94</v>
      </c>
      <c r="B6" s="206" t="e">
        <f>#REF!+'Opération Paris Hiver'!C6+'MP2'!C6+#REF!+#REF!+IBTM!C6+#REF!+'Demarchage Europe'!C6+'Operation Paris été'!C6+'Ev. Scandinavie'!C6+'Eductours 1et 2'!C6</f>
        <v>#REF!</v>
      </c>
      <c r="C6" s="398" t="e">
        <f>B6/B57</f>
        <v>#REF!</v>
      </c>
      <c r="D6" s="115"/>
      <c r="E6" s="123" t="s">
        <v>95</v>
      </c>
      <c r="F6" s="124"/>
      <c r="G6" s="126"/>
    </row>
    <row r="7" spans="1:8" ht="24.75" customHeight="1">
      <c r="A7" s="125" t="s">
        <v>96</v>
      </c>
      <c r="B7" s="206" t="e">
        <f>#REF!+'Opération Paris Hiver'!C7+'MP2'!C7+#REF!+#REF!+IBTM!C7+#REF!+'Demarchage Europe'!C7+'Operation Paris été'!C7+'Ev. Scandinavie'!C7+'Eductours 1et 2'!C7</f>
        <v>#REF!</v>
      </c>
      <c r="C7" s="398" t="e">
        <f>B7/B57</f>
        <v>#REF!</v>
      </c>
      <c r="D7" s="115"/>
      <c r="E7" s="129"/>
      <c r="F7" s="124"/>
      <c r="G7" s="122"/>
    </row>
    <row r="8" spans="1:8">
      <c r="A8" s="121" t="s">
        <v>97</v>
      </c>
      <c r="B8" s="206" t="e">
        <f>#REF!+'Opération Paris Hiver'!C8+'MP2'!C8+#REF!+#REF!+IBTM!C8+#REF!+'Demarchage Europe'!C8+'Operation Paris été'!C8+'Ev. Scandinavie'!C8+'Eductours 1et 2'!C8</f>
        <v>#REF!</v>
      </c>
      <c r="C8" s="397"/>
      <c r="D8" s="115"/>
      <c r="E8" s="129"/>
      <c r="F8" s="124"/>
      <c r="G8" s="122"/>
    </row>
    <row r="9" spans="1:8">
      <c r="A9" s="121"/>
      <c r="B9" s="206"/>
      <c r="C9" s="122"/>
      <c r="D9" s="115"/>
      <c r="E9" s="129"/>
      <c r="F9" s="124"/>
      <c r="G9" s="122"/>
    </row>
    <row r="10" spans="1:8">
      <c r="A10" s="129"/>
      <c r="B10" s="206"/>
      <c r="C10" s="122"/>
      <c r="D10" s="115"/>
      <c r="E10" s="123" t="s">
        <v>98</v>
      </c>
      <c r="F10" s="124"/>
      <c r="G10" s="122"/>
      <c r="H10" s="15"/>
    </row>
    <row r="11" spans="1:8">
      <c r="A11" s="380" t="s">
        <v>99</v>
      </c>
      <c r="B11" s="381"/>
      <c r="C11" s="384" t="e">
        <f>SUM(C12:C18)</f>
        <v>#REF!</v>
      </c>
      <c r="D11" s="377"/>
      <c r="E11" s="121"/>
      <c r="F11" s="124"/>
      <c r="G11" s="122"/>
    </row>
    <row r="12" spans="1:8">
      <c r="A12" s="121" t="s">
        <v>100</v>
      </c>
      <c r="B12" s="206" t="e">
        <f>#REF!+'Opération Paris Hiver'!C12+'MP2'!C12+#REF!+#REF!+IBTM!C12+#REF!+'Demarchage Europe'!C12+'Operation Paris été'!C12+'Ev. Scandinavie'!C12+'Eductours 1et 2'!C12</f>
        <v>#REF!</v>
      </c>
      <c r="C12" s="398">
        <v>0.45</v>
      </c>
      <c r="D12" s="115"/>
      <c r="E12" s="130"/>
      <c r="F12" s="124"/>
      <c r="G12" s="122"/>
    </row>
    <row r="13" spans="1:8">
      <c r="A13" s="121" t="s">
        <v>128</v>
      </c>
      <c r="B13" s="206" t="e">
        <f>#REF!+'Opération Paris Hiver'!C13+'MP2'!C13+#REF!+#REF!+IBTM!C13+#REF!+'Demarchage Europe'!C13+'Operation Paris été'!C13+'Ev. Scandinavie'!C13+'Eductours 1et 2'!C13</f>
        <v>#REF!</v>
      </c>
      <c r="C13" s="398" t="e">
        <f>B13/B57</f>
        <v>#REF!</v>
      </c>
      <c r="D13" s="115"/>
      <c r="E13" s="131"/>
      <c r="F13" s="124"/>
      <c r="G13" s="122"/>
    </row>
    <row r="14" spans="1:8">
      <c r="A14" s="121">
        <v>614</v>
      </c>
      <c r="B14" s="206" t="s">
        <v>289</v>
      </c>
      <c r="C14" s="398"/>
      <c r="D14" s="115"/>
      <c r="E14" s="131"/>
      <c r="F14" s="124"/>
      <c r="G14" s="397"/>
    </row>
    <row r="15" spans="1:8">
      <c r="A15" s="121" t="s">
        <v>29</v>
      </c>
      <c r="B15" s="206" t="e">
        <f>#REF!+'Opération Paris Hiver'!C15+'MP2'!C15+#REF!+#REF!+IBTM!C15+#REF!+'Demarchage Europe'!C15+'Operation Paris été'!C15+'Ev. Scandinavie'!C15+'Eductours 1et 2'!C15</f>
        <v>#REF!</v>
      </c>
      <c r="C15" s="398" t="e">
        <f>B15/B57</f>
        <v>#REF!</v>
      </c>
      <c r="D15" s="115"/>
      <c r="E15" s="131"/>
      <c r="F15" s="124"/>
      <c r="G15" s="397"/>
    </row>
    <row r="16" spans="1:8">
      <c r="A16" s="121" t="s">
        <v>30</v>
      </c>
      <c r="B16" s="206" t="e">
        <f>#REF!+'Opération Paris Hiver'!C16+'MP2'!C16+#REF!+#REF!+IBTM!C16+#REF!+'Demarchage Europe'!C16+'Operation Paris été'!C16+'Ev. Scandinavie'!C16+'Eductours 1et 2'!C16</f>
        <v>#REF!</v>
      </c>
      <c r="C16" s="398" t="e">
        <f>B16/B57</f>
        <v>#REF!</v>
      </c>
      <c r="D16" s="115"/>
      <c r="E16" s="123" t="s">
        <v>101</v>
      </c>
      <c r="F16" s="124" t="e">
        <f>#REF!+'Opération Paris Hiver'!G16+'MP2'!G16+#REF!+#REF!+IBTM!G16+#REF!+'Demarchage Europe'!G16+'Operation Paris été'!G16+'Ev. Scandinavie'!G16+'Eductours 1et 2'!G16</f>
        <v>#REF!</v>
      </c>
      <c r="G16" s="398" t="e">
        <f>F16/B57</f>
        <v>#REF!</v>
      </c>
    </row>
    <row r="17" spans="1:8">
      <c r="A17" s="121" t="s">
        <v>31</v>
      </c>
      <c r="B17" s="206"/>
      <c r="C17" s="397"/>
      <c r="D17" s="115"/>
      <c r="E17" s="129"/>
      <c r="F17" s="124"/>
      <c r="G17" s="397"/>
    </row>
    <row r="18" spans="1:8">
      <c r="A18" s="121" t="s">
        <v>102</v>
      </c>
      <c r="B18" s="206" t="e">
        <f>#REF!+'Opération Paris Hiver'!C18+'MP2'!C18+#REF!+#REF!+IBTM!C18+#REF!+'Demarchage Europe'!C18+'Operation Paris été'!C18+'Ev. Scandinavie'!C18+'Eductours 1et 2'!C18</f>
        <v>#REF!</v>
      </c>
      <c r="C18" s="397"/>
      <c r="D18" s="115"/>
      <c r="E18" s="129"/>
      <c r="F18" s="124"/>
      <c r="G18" s="397"/>
    </row>
    <row r="19" spans="1:8">
      <c r="A19" s="121"/>
      <c r="B19" s="206"/>
      <c r="C19" s="122"/>
      <c r="D19" s="115"/>
      <c r="E19" s="131"/>
      <c r="F19" s="124"/>
      <c r="G19" s="397"/>
    </row>
    <row r="20" spans="1:8">
      <c r="A20" s="121"/>
      <c r="B20" s="206"/>
      <c r="C20" s="122"/>
      <c r="D20" s="115"/>
      <c r="E20" s="132" t="s">
        <v>103</v>
      </c>
      <c r="F20" s="124"/>
      <c r="G20" s="397"/>
    </row>
    <row r="21" spans="1:8">
      <c r="A21" s="380" t="s">
        <v>104</v>
      </c>
      <c r="B21" s="381"/>
      <c r="C21" s="384" t="e">
        <f>SUM(C22:C28)</f>
        <v>#VALUE!</v>
      </c>
      <c r="D21" s="377"/>
      <c r="E21" s="129"/>
      <c r="F21" s="124"/>
      <c r="G21" s="397"/>
    </row>
    <row r="22" spans="1:8">
      <c r="A22" s="121" t="s">
        <v>105</v>
      </c>
      <c r="B22" s="206" t="s">
        <v>296</v>
      </c>
      <c r="C22" s="398" t="e">
        <f>B22/B57</f>
        <v>#VALUE!</v>
      </c>
      <c r="D22" s="115"/>
      <c r="E22" s="129"/>
      <c r="F22" s="124"/>
      <c r="G22" s="397"/>
    </row>
    <row r="23" spans="1:8">
      <c r="A23" s="121" t="s">
        <v>107</v>
      </c>
      <c r="B23" s="206" t="e">
        <f>#REF!+'Opération Paris Hiver'!C23+'MP2'!C23+#REF!+#REF!+IBTM!C23+#REF!+'Demarchage Europe'!C23+'Operation Paris été'!C23+'Ev. Scandinavie'!C23+'Eductours 1et 2'!C23</f>
        <v>#REF!</v>
      </c>
      <c r="C23" s="397"/>
      <c r="D23" s="115"/>
      <c r="E23" s="123" t="s">
        <v>108</v>
      </c>
      <c r="F23" s="124"/>
      <c r="G23" s="397"/>
    </row>
    <row r="24" spans="1:8">
      <c r="A24" s="121" t="s">
        <v>107</v>
      </c>
      <c r="B24" s="206" t="s">
        <v>295</v>
      </c>
      <c r="C24" s="397"/>
      <c r="D24" s="115"/>
      <c r="E24" s="123"/>
      <c r="F24" s="124"/>
      <c r="G24" s="397"/>
    </row>
    <row r="25" spans="1:8">
      <c r="A25" s="121" t="s">
        <v>32</v>
      </c>
      <c r="B25" s="206" t="e">
        <f>#REF!+'Opération Paris Hiver'!C25+'MP2'!C25+#REF!+#REF!+IBTM!C25+#REF!+'Demarchage Europe'!C25+'Operation Paris été'!C25+'Ev. Scandinavie'!C25+'Eductours 1et 2'!C25</f>
        <v>#REF!</v>
      </c>
      <c r="C25" s="398" t="e">
        <f>B25/B57</f>
        <v>#REF!</v>
      </c>
      <c r="D25" s="115"/>
      <c r="E25" s="129"/>
      <c r="F25" s="124"/>
      <c r="G25" s="397"/>
    </row>
    <row r="26" spans="1:8">
      <c r="A26" s="121" t="s">
        <v>33</v>
      </c>
      <c r="B26" s="206" t="e">
        <f>#REF!+'Opération Paris Hiver'!C26+'MP2'!C26+#REF!+#REF!+IBTM!C26+#REF!+'Demarchage Europe'!C26+'Operation Paris été'!C26+'Ev. Scandinavie'!C26+'Eductours 1et 2'!C26</f>
        <v>#REF!</v>
      </c>
      <c r="C26" s="398" t="e">
        <f>B26/B57</f>
        <v>#REF!</v>
      </c>
      <c r="D26" s="115"/>
      <c r="E26" s="129"/>
      <c r="F26" s="124"/>
      <c r="G26" s="397"/>
    </row>
    <row r="27" spans="1:8">
      <c r="A27" s="121" t="s">
        <v>33</v>
      </c>
      <c r="B27" s="206" t="s">
        <v>291</v>
      </c>
      <c r="C27" s="398"/>
      <c r="D27" s="115"/>
      <c r="E27" s="129"/>
      <c r="F27" s="124"/>
      <c r="G27" s="397"/>
    </row>
    <row r="28" spans="1:8">
      <c r="A28" s="121" t="s">
        <v>34</v>
      </c>
      <c r="B28" s="206" t="e">
        <f>#REF!+'Opération Paris Hiver'!C28+'MP2'!C28+#REF!+#REF!+IBTM!C28+#REF!+'Demarchage Europe'!C28+'Operation Paris été'!C28+'Ev. Scandinavie'!C28+'Eductours 1et 2'!C28</f>
        <v>#REF!</v>
      </c>
      <c r="C28" s="398" t="e">
        <f>B28/B57</f>
        <v>#REF!</v>
      </c>
      <c r="D28" s="115"/>
      <c r="E28" s="129"/>
      <c r="F28" s="124"/>
      <c r="G28" s="122"/>
    </row>
    <row r="29" spans="1:8">
      <c r="A29" s="121"/>
      <c r="B29" s="206"/>
      <c r="C29" s="122"/>
      <c r="D29" s="115"/>
      <c r="E29" s="123" t="s">
        <v>109</v>
      </c>
      <c r="F29" s="124"/>
      <c r="G29" s="122"/>
      <c r="H29" s="15"/>
    </row>
    <row r="30" spans="1:8">
      <c r="A30" s="380" t="s">
        <v>129</v>
      </c>
      <c r="B30" s="381"/>
      <c r="C30" s="138" t="e">
        <f>SUM(C31:C32)</f>
        <v>#REF!</v>
      </c>
      <c r="D30" s="377"/>
      <c r="E30" s="123"/>
      <c r="F30" s="124"/>
      <c r="G30" s="122"/>
    </row>
    <row r="31" spans="1:8">
      <c r="A31" s="121" t="s">
        <v>130</v>
      </c>
      <c r="B31" s="206" t="e">
        <f>#REF!+'Opération Paris Hiver'!C31+'MP2'!C31+#REF!+#REF!+IBTM!C31+#REF!+'Demarchage Europe'!C31+'Operation Paris été'!C31+'Ev. Scandinavie'!C31+'Eductours 1et 2'!C31</f>
        <v>#REF!</v>
      </c>
      <c r="C31" s="398" t="e">
        <f>B31/B57</f>
        <v>#REF!</v>
      </c>
      <c r="D31" s="115"/>
      <c r="E31" s="123"/>
      <c r="F31" s="124"/>
      <c r="G31" s="122"/>
    </row>
    <row r="32" spans="1:8">
      <c r="A32" s="121" t="s">
        <v>131</v>
      </c>
      <c r="B32" s="206" t="e">
        <f>#REF!+'Opération Paris Hiver'!C32+'MP2'!C32+#REF!+#REF!+IBTM!C32+#REF!+'Demarchage Europe'!C32+'Operation Paris été'!C32+'Ev. Scandinavie'!C32+'Eductours 1et 2'!C32</f>
        <v>#REF!</v>
      </c>
      <c r="C32" s="398" t="e">
        <f>B32/B57</f>
        <v>#REF!</v>
      </c>
      <c r="D32" s="115"/>
      <c r="E32" s="123"/>
      <c r="F32" s="124"/>
      <c r="G32" s="122"/>
    </row>
    <row r="33" spans="1:8">
      <c r="A33" s="121"/>
      <c r="B33" s="206"/>
      <c r="C33" s="128"/>
      <c r="D33" s="115"/>
      <c r="E33" s="123"/>
      <c r="F33" s="124"/>
      <c r="G33" s="122"/>
    </row>
    <row r="34" spans="1:8">
      <c r="A34" s="380" t="s">
        <v>110</v>
      </c>
      <c r="B34" s="381"/>
      <c r="C34" s="138" t="e">
        <f>SUM(C35:C36)</f>
        <v>#REF!</v>
      </c>
      <c r="D34" s="377"/>
      <c r="E34" s="129"/>
      <c r="F34" s="124"/>
      <c r="G34" s="122"/>
    </row>
    <row r="35" spans="1:8">
      <c r="A35" s="121" t="s">
        <v>35</v>
      </c>
      <c r="B35" s="206" t="e">
        <f>#REF!+'Opération Paris Hiver'!C35+'MP2'!C35+#REF!+#REF!+IBTM!C35+#REF!+'Demarchage Europe'!C35+'Operation Paris été'!C35+'Ev. Scandinavie'!C35+'Eductours 1et 2'!C35</f>
        <v>#REF!</v>
      </c>
      <c r="C35" s="400">
        <v>0.25</v>
      </c>
      <c r="D35" s="115"/>
      <c r="E35" s="129"/>
      <c r="F35" s="124"/>
      <c r="G35" s="122"/>
    </row>
    <row r="36" spans="1:8">
      <c r="A36" s="121" t="s">
        <v>36</v>
      </c>
      <c r="B36" s="206" t="e">
        <f>#REF!+'Opération Paris Hiver'!C36+'MP2'!C36+#REF!+#REF!+IBTM!C36+#REF!+'Demarchage Europe'!C36+'Operation Paris été'!C36+'Ev. Scandinavie'!C36+'Eductours 1et 2'!C36</f>
        <v>#REF!</v>
      </c>
      <c r="C36" s="398" t="e">
        <f>B36/B57</f>
        <v>#REF!</v>
      </c>
      <c r="D36" s="115"/>
      <c r="E36" s="129"/>
      <c r="F36" s="124"/>
      <c r="G36" s="122"/>
    </row>
    <row r="37" spans="1:8">
      <c r="A37" s="121"/>
      <c r="B37" s="206"/>
      <c r="C37" s="122"/>
      <c r="D37" s="115"/>
      <c r="E37" s="123" t="s">
        <v>111</v>
      </c>
      <c r="F37" s="124"/>
      <c r="G37" s="122"/>
      <c r="H37" s="15"/>
    </row>
    <row r="38" spans="1:8">
      <c r="A38" s="380" t="s">
        <v>129</v>
      </c>
      <c r="B38" s="381" t="s">
        <v>297</v>
      </c>
      <c r="C38" s="138">
        <f>SUM(C39:C40)</f>
        <v>0</v>
      </c>
      <c r="D38" s="377"/>
      <c r="E38" s="135"/>
      <c r="F38" s="124"/>
      <c r="G38" s="122"/>
    </row>
    <row r="39" spans="1:8">
      <c r="A39" s="121">
        <v>650</v>
      </c>
      <c r="B39" s="206" t="e">
        <f>#REF!+'Opération Paris Hiver'!C39+'MP2'!C39+#REF!+#REF!+IBTM!C39+#REF!+'Demarchage Europe'!C39+'Operation Paris été'!C39+'Ev. Scandinavie'!C39+'Eductours 1et 2'!C39</f>
        <v>#REF!</v>
      </c>
      <c r="C39" s="397"/>
      <c r="D39" s="115"/>
      <c r="E39" s="135"/>
      <c r="F39" s="124"/>
      <c r="G39" s="122"/>
    </row>
    <row r="40" spans="1:8">
      <c r="A40" s="123"/>
      <c r="B40" s="206"/>
      <c r="C40" s="120"/>
      <c r="D40" s="115"/>
      <c r="E40" s="135"/>
      <c r="F40" s="124"/>
      <c r="G40" s="122"/>
    </row>
    <row r="41" spans="1:8">
      <c r="A41" s="121"/>
      <c r="B41" s="206"/>
      <c r="C41" s="122"/>
      <c r="D41" s="115"/>
      <c r="E41" s="136" t="s">
        <v>112</v>
      </c>
      <c r="F41" s="137" t="e">
        <f>F16</f>
        <v>#REF!</v>
      </c>
      <c r="G41" s="170" t="e">
        <f>F41/B57</f>
        <v>#REF!</v>
      </c>
    </row>
    <row r="42" spans="1:8">
      <c r="A42" s="380" t="s">
        <v>113</v>
      </c>
      <c r="B42" s="381" t="e">
        <f>#REF!+'Opération Paris Hiver'!C42+'MP2'!C42+#REF!+#REF!+IBTM!C42+#REF!+'Demarchage Europe'!C42+'Operation Paris été'!C42+'Ev. Scandinavie'!C42+'Eductours 1et 2'!C42</f>
        <v>#REF!</v>
      </c>
      <c r="C42" s="138">
        <f>SUM(C43:C44)</f>
        <v>0</v>
      </c>
      <c r="D42" s="377"/>
      <c r="E42" s="121"/>
      <c r="F42" s="124"/>
      <c r="G42" s="122"/>
    </row>
    <row r="43" spans="1:8">
      <c r="A43" s="121" t="s">
        <v>38</v>
      </c>
      <c r="B43" s="206"/>
      <c r="C43" s="401"/>
      <c r="D43" s="115"/>
      <c r="E43" s="123" t="s">
        <v>114</v>
      </c>
      <c r="F43" s="119" t="e">
        <f>F44+F46</f>
        <v>#REF!</v>
      </c>
      <c r="G43" s="400" t="e">
        <f>F43/B57</f>
        <v>#REF!</v>
      </c>
    </row>
    <row r="44" spans="1:8">
      <c r="A44" s="121"/>
      <c r="B44" s="206" t="s">
        <v>292</v>
      </c>
      <c r="C44" s="397"/>
      <c r="D44" s="115"/>
      <c r="E44" s="121" t="s">
        <v>52</v>
      </c>
      <c r="F44" s="124" t="e">
        <f>#REF!+'Opération Paris Hiver'!G44+'MP2'!G44+#REF!+#REF!+IBTM!G44+#REF!+'Demarchage Europe'!G44+'Operation Paris été'!G44+'Ev. Scandinavie'!G44+'Eductours 1et 2'!G44</f>
        <v>#REF!</v>
      </c>
      <c r="G44" s="397"/>
    </row>
    <row r="45" spans="1:8">
      <c r="A45" s="121"/>
      <c r="B45" s="206"/>
      <c r="C45" s="122"/>
      <c r="D45" s="115"/>
      <c r="E45" s="121" t="s">
        <v>115</v>
      </c>
      <c r="F45" s="139"/>
      <c r="G45" s="397"/>
    </row>
    <row r="46" spans="1:8">
      <c r="A46" s="380" t="s">
        <v>116</v>
      </c>
      <c r="B46" s="381"/>
      <c r="C46" s="138">
        <f>SUM(C47:C48)</f>
        <v>0</v>
      </c>
      <c r="D46" s="377"/>
      <c r="E46" s="121" t="s">
        <v>51</v>
      </c>
      <c r="F46" s="124" t="e">
        <f>#REF!+'Opération Paris Hiver'!G49+'MP2'!G49+#REF!+#REF!+IBTM!G49+#REF!+'Demarchage Europe'!G49+'Operation Paris été'!G49+'Ev. Scandinavie'!G49+'Eductours 1et 2'!G49</f>
        <v>#REF!</v>
      </c>
      <c r="G46" s="397"/>
    </row>
    <row r="47" spans="1:8">
      <c r="A47" s="123"/>
      <c r="B47" s="381"/>
      <c r="C47" s="397"/>
      <c r="D47" s="115"/>
      <c r="E47" s="121" t="s">
        <v>118</v>
      </c>
      <c r="F47" s="124"/>
      <c r="G47" s="397"/>
    </row>
    <row r="48" spans="1:8">
      <c r="A48" s="140" t="s">
        <v>39</v>
      </c>
      <c r="B48" s="206"/>
      <c r="C48" s="401"/>
      <c r="D48" s="115"/>
      <c r="E48" s="121"/>
      <c r="F48" s="124"/>
      <c r="G48" s="397"/>
    </row>
    <row r="49" spans="1:8">
      <c r="A49" s="121" t="s">
        <v>119</v>
      </c>
      <c r="B49" s="206" t="e">
        <f>#REF!+'Opération Paris Hiver'!C52+'MP2'!C52+#REF!+#REF!+IBTM!C52+#REF!+'Demarchage Europe'!C52+'Operation Paris été'!C52+'Ev. Scandinavie'!C52+'Eductours 1et 2'!C52</f>
        <v>#REF!</v>
      </c>
      <c r="C49" s="397"/>
      <c r="D49" s="115"/>
      <c r="E49" s="121"/>
      <c r="F49" s="124"/>
      <c r="G49" s="397"/>
    </row>
    <row r="50" spans="1:8">
      <c r="A50" s="140"/>
      <c r="B50" s="206"/>
      <c r="C50" s="397"/>
      <c r="D50" s="115"/>
      <c r="E50" s="123"/>
      <c r="F50" s="124"/>
      <c r="G50" s="397"/>
    </row>
    <row r="51" spans="1:8">
      <c r="A51" s="140"/>
      <c r="B51" s="206"/>
      <c r="C51" s="122"/>
      <c r="D51" s="115"/>
      <c r="E51" s="123" t="s">
        <v>120</v>
      </c>
      <c r="F51" s="141"/>
      <c r="G51" s="401"/>
    </row>
    <row r="52" spans="1:8">
      <c r="A52" s="380" t="s">
        <v>121</v>
      </c>
      <c r="B52" s="381"/>
      <c r="C52" s="384"/>
      <c r="D52" s="377"/>
      <c r="E52" s="121" t="s">
        <v>122</v>
      </c>
      <c r="F52" s="124">
        <f>'Recap dep rec'!AA59</f>
        <v>0</v>
      </c>
      <c r="G52" s="397"/>
    </row>
    <row r="53" spans="1:8" ht="15.75">
      <c r="A53" s="388"/>
      <c r="B53" s="392" t="e">
        <f>#REF!+'Opération Paris Hiver'!C56+'MP2'!C56+#REF!+#REF!+IBTM!C56+#REF!+'Demarchage Europe'!C56+'Operation Paris été'!C56+'Ev. Scandinavie'!C56+'Eductours 1et 2'!C56</f>
        <v>#REF!</v>
      </c>
      <c r="C53" s="138" t="e">
        <f>B53/B57</f>
        <v>#REF!</v>
      </c>
      <c r="D53" s="389"/>
      <c r="E53" s="121" t="s">
        <v>123</v>
      </c>
      <c r="F53" s="142"/>
      <c r="G53" s="122"/>
      <c r="H53" s="15"/>
    </row>
    <row r="54" spans="1:8" ht="15.75">
      <c r="A54" s="121" t="s">
        <v>124</v>
      </c>
      <c r="B54" s="206" t="e">
        <f>#REF!+'Opération Paris Hiver'!C57+'MP2'!C57+#REF!+#REF!+IBTM!C57+#REF!+'Demarchage Europe'!C57+'Operation Paris été'!C57+'Ev. Scandinavie'!C57+'Eductours 1et 2'!C57</f>
        <v>#REF!</v>
      </c>
      <c r="C54" s="122"/>
      <c r="D54" s="144"/>
      <c r="E54" s="121" t="s">
        <v>125</v>
      </c>
      <c r="F54" s="142"/>
      <c r="G54" s="122"/>
    </row>
    <row r="55" spans="1:8">
      <c r="A55" s="121" t="s">
        <v>125</v>
      </c>
      <c r="B55" s="206" t="e">
        <f>#REF!+'Opération Paris Hiver'!C58+'MP2'!C58+#REF!+#REF!+IBTM!C58+#REF!+'Demarchage Europe'!C58+'Operation Paris été'!C58+'Ev. Scandinavie'!C58+'Eductours 1et 2'!C58</f>
        <v>#REF!</v>
      </c>
      <c r="C55" s="122"/>
      <c r="E55" s="121"/>
      <c r="F55" s="142"/>
      <c r="G55" s="122"/>
    </row>
    <row r="56" spans="1:8">
      <c r="A56" s="145"/>
      <c r="B56" s="206"/>
      <c r="C56" s="147"/>
      <c r="E56" s="121"/>
      <c r="F56" s="142"/>
      <c r="G56" s="122"/>
    </row>
    <row r="57" spans="1:8">
      <c r="A57" s="148" t="s">
        <v>126</v>
      </c>
      <c r="B57" s="149" t="e">
        <f>SUM(B5:B56)</f>
        <v>#REF!</v>
      </c>
      <c r="C57" s="150" t="e">
        <f>C52+C53+C46+C42+C38+C34+C30+C21+C11+C4</f>
        <v>#REF!</v>
      </c>
      <c r="E57" s="148" t="s">
        <v>127</v>
      </c>
      <c r="F57" s="151" t="e">
        <f>F46+F44+F41</f>
        <v>#REF!</v>
      </c>
      <c r="G57" s="150"/>
    </row>
    <row r="58" spans="1:8">
      <c r="A58" s="115"/>
      <c r="B58" s="208" t="e">
        <f>B57-#REF!-'Opération Paris Hiver'!C60-'MP2'!C60-#REF!-#REF!-IBTM!C60-#REF!-'Demarchage Europe'!C60-'Operation Paris été'!C60-'Ev. Scandinavie'!C60-'Eductours 1et 2'!C60</f>
        <v>#REF!</v>
      </c>
      <c r="C58" s="153"/>
      <c r="E58" s="115"/>
      <c r="F58" s="152"/>
      <c r="G58" s="154"/>
    </row>
    <row r="59" spans="1:8" ht="15.75">
      <c r="A59" s="115"/>
      <c r="B59" s="209"/>
      <c r="C59" s="156"/>
      <c r="E59" s="144"/>
      <c r="F59" s="155"/>
      <c r="G59" s="154"/>
    </row>
    <row r="60" spans="1:8" ht="15.75">
      <c r="A60" s="144"/>
      <c r="B60" s="209"/>
      <c r="C60" s="156"/>
      <c r="E60" s="144"/>
      <c r="F60" s="155"/>
      <c r="G60" s="153"/>
    </row>
    <row r="61" spans="1:8" ht="15.75">
      <c r="C61" s="35"/>
      <c r="F61" s="157"/>
      <c r="G61" s="156"/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29">
    <tabColor rgb="FFFF0000"/>
  </sheetPr>
  <dimension ref="A1:H60"/>
  <sheetViews>
    <sheetView workbookViewId="0"/>
    <sheetView workbookViewId="1"/>
  </sheetViews>
  <sheetFormatPr baseColWidth="10" defaultRowHeight="15"/>
  <cols>
    <col min="1" max="1" width="7.5703125" bestFit="1" customWidth="1"/>
    <col min="2" max="2" width="50.85546875" bestFit="1" customWidth="1"/>
    <col min="5" max="5" width="5.42578125" customWidth="1"/>
    <col min="6" max="6" width="33" bestFit="1" customWidth="1"/>
    <col min="7" max="7" width="12.42578125" bestFit="1" customWidth="1"/>
  </cols>
  <sheetData>
    <row r="1" spans="1:8" ht="37.5" customHeight="1">
      <c r="B1" s="642" t="s">
        <v>179</v>
      </c>
      <c r="C1" s="643"/>
      <c r="D1" s="643"/>
      <c r="E1" s="643"/>
      <c r="F1" s="643"/>
      <c r="G1" s="643"/>
      <c r="H1" s="644"/>
    </row>
    <row r="2" spans="1:8" ht="15.75">
      <c r="B2" s="109"/>
      <c r="C2" s="110"/>
      <c r="D2" s="111"/>
      <c r="E2" s="110"/>
      <c r="F2" s="110"/>
      <c r="G2" s="110"/>
      <c r="H2" s="111"/>
    </row>
    <row r="3" spans="1:8">
      <c r="B3" s="112" t="s">
        <v>87</v>
      </c>
      <c r="C3" s="113" t="s">
        <v>88</v>
      </c>
      <c r="D3" s="114" t="s">
        <v>89</v>
      </c>
      <c r="E3" s="115"/>
      <c r="F3" s="112" t="s">
        <v>90</v>
      </c>
      <c r="G3" s="112" t="s">
        <v>88</v>
      </c>
      <c r="H3" s="114" t="s">
        <v>89</v>
      </c>
    </row>
    <row r="4" spans="1:8">
      <c r="B4" s="116" t="s">
        <v>91</v>
      </c>
      <c r="C4" s="117"/>
      <c r="D4" s="118"/>
      <c r="E4" s="115"/>
      <c r="F4" s="116" t="s">
        <v>351</v>
      </c>
      <c r="G4" s="119"/>
      <c r="H4" s="120"/>
    </row>
    <row r="5" spans="1:8">
      <c r="A5" t="str">
        <f>LEFT(B5,3)</f>
        <v>604</v>
      </c>
      <c r="B5" s="121" t="s">
        <v>93</v>
      </c>
      <c r="C5" s="206"/>
      <c r="D5" s="122"/>
      <c r="E5" s="115"/>
      <c r="F5" s="123"/>
      <c r="G5" s="124"/>
      <c r="H5" s="122"/>
    </row>
    <row r="6" spans="1:8">
      <c r="A6" t="str">
        <f t="shared" ref="A6:A47" si="0">LEFT(B6,3)</f>
        <v>605</v>
      </c>
      <c r="B6" s="125" t="s">
        <v>94</v>
      </c>
      <c r="C6" s="206"/>
      <c r="D6" s="122"/>
      <c r="E6" s="115"/>
      <c r="F6" s="123" t="s">
        <v>95</v>
      </c>
      <c r="G6" s="124"/>
      <c r="H6" s="126"/>
    </row>
    <row r="7" spans="1:8">
      <c r="A7" t="str">
        <f t="shared" si="0"/>
        <v>606</v>
      </c>
      <c r="B7" s="125" t="s">
        <v>96</v>
      </c>
      <c r="C7" s="206"/>
      <c r="D7" s="122"/>
      <c r="E7" s="115"/>
      <c r="F7" s="129"/>
      <c r="G7" s="124"/>
      <c r="H7" s="122"/>
    </row>
    <row r="8" spans="1:8">
      <c r="A8" t="str">
        <f t="shared" si="0"/>
        <v>607</v>
      </c>
      <c r="B8" s="121" t="s">
        <v>97</v>
      </c>
      <c r="C8" s="206"/>
      <c r="D8" s="122"/>
      <c r="E8" s="115"/>
      <c r="F8" s="129"/>
      <c r="G8" s="124"/>
      <c r="H8" s="122"/>
    </row>
    <row r="9" spans="1:8">
      <c r="A9" t="str">
        <f t="shared" si="0"/>
        <v/>
      </c>
      <c r="B9" s="121"/>
      <c r="C9" s="127"/>
      <c r="D9" s="122"/>
      <c r="E9" s="115"/>
      <c r="F9" s="129"/>
      <c r="G9" s="124"/>
      <c r="H9" s="122"/>
    </row>
    <row r="10" spans="1:8">
      <c r="A10" t="str">
        <f t="shared" si="0"/>
        <v/>
      </c>
      <c r="B10" s="129"/>
      <c r="C10" s="127"/>
      <c r="D10" s="122"/>
      <c r="E10" s="115"/>
      <c r="F10" s="123" t="s">
        <v>98</v>
      </c>
      <c r="G10" s="124"/>
      <c r="H10" s="122"/>
    </row>
    <row r="11" spans="1:8">
      <c r="B11" s="123" t="s">
        <v>99</v>
      </c>
      <c r="C11" s="119"/>
      <c r="D11" s="120"/>
      <c r="E11" s="115"/>
      <c r="F11" s="121"/>
      <c r="G11" s="124"/>
      <c r="H11" s="122"/>
    </row>
    <row r="12" spans="1:8">
      <c r="A12" t="str">
        <f t="shared" si="0"/>
        <v>611</v>
      </c>
      <c r="B12" s="121" t="s">
        <v>100</v>
      </c>
      <c r="C12" s="206"/>
      <c r="D12" s="122"/>
      <c r="E12" s="115"/>
      <c r="F12" s="130"/>
      <c r="G12" s="124"/>
      <c r="H12" s="122"/>
    </row>
    <row r="13" spans="1:8">
      <c r="A13" t="str">
        <f t="shared" si="0"/>
        <v>613</v>
      </c>
      <c r="B13" s="121" t="s">
        <v>128</v>
      </c>
      <c r="C13" s="206"/>
      <c r="D13" s="122"/>
      <c r="E13" s="115"/>
      <c r="F13" s="131"/>
      <c r="G13" s="124"/>
      <c r="H13" s="122"/>
    </row>
    <row r="14" spans="1:8">
      <c r="A14" t="str">
        <f t="shared" si="0"/>
        <v>615</v>
      </c>
      <c r="B14" s="121" t="s">
        <v>29</v>
      </c>
      <c r="C14" s="206"/>
      <c r="D14" s="122"/>
      <c r="E14" s="115"/>
      <c r="F14" s="131"/>
      <c r="G14" s="124"/>
      <c r="H14" s="122"/>
    </row>
    <row r="15" spans="1:8">
      <c r="A15" t="str">
        <f t="shared" si="0"/>
        <v>616</v>
      </c>
      <c r="B15" s="121" t="s">
        <v>30</v>
      </c>
      <c r="C15" s="206"/>
      <c r="D15" s="122"/>
      <c r="E15" s="115"/>
      <c r="F15" s="123" t="s">
        <v>101</v>
      </c>
      <c r="G15" s="124"/>
      <c r="H15" s="122"/>
    </row>
    <row r="16" spans="1:8">
      <c r="A16" t="str">
        <f t="shared" si="0"/>
        <v>617</v>
      </c>
      <c r="B16" s="121" t="s">
        <v>31</v>
      </c>
      <c r="C16" s="206"/>
      <c r="D16" s="122"/>
      <c r="E16" s="115"/>
      <c r="F16" s="129"/>
      <c r="G16" s="124"/>
      <c r="H16" s="122"/>
    </row>
    <row r="17" spans="1:8">
      <c r="A17" t="str">
        <f t="shared" si="0"/>
        <v>618</v>
      </c>
      <c r="B17" s="121" t="s">
        <v>102</v>
      </c>
      <c r="C17" s="206"/>
      <c r="D17" s="122"/>
      <c r="E17" s="115"/>
      <c r="F17" s="129"/>
      <c r="G17" s="124"/>
      <c r="H17" s="122"/>
    </row>
    <row r="18" spans="1:8">
      <c r="A18" t="str">
        <f t="shared" si="0"/>
        <v/>
      </c>
      <c r="B18" s="121"/>
      <c r="C18" s="127"/>
      <c r="D18" s="122"/>
      <c r="E18" s="115"/>
      <c r="F18" s="131"/>
      <c r="G18" s="124"/>
      <c r="H18" s="122"/>
    </row>
    <row r="19" spans="1:8">
      <c r="A19" t="str">
        <f t="shared" si="0"/>
        <v/>
      </c>
      <c r="B19" s="121"/>
      <c r="C19" s="127"/>
      <c r="D19" s="122"/>
      <c r="E19" s="115"/>
      <c r="F19" s="132" t="s">
        <v>103</v>
      </c>
      <c r="G19" s="124"/>
      <c r="H19" s="122"/>
    </row>
    <row r="20" spans="1:8">
      <c r="B20" s="123" t="s">
        <v>104</v>
      </c>
      <c r="C20" s="119"/>
      <c r="D20" s="120"/>
      <c r="E20" s="115"/>
      <c r="F20" s="129"/>
      <c r="G20" s="124"/>
      <c r="H20" s="122"/>
    </row>
    <row r="21" spans="1:8">
      <c r="A21" t="str">
        <f t="shared" si="0"/>
        <v/>
      </c>
      <c r="B21" s="123"/>
      <c r="C21" s="119"/>
      <c r="D21" s="120"/>
      <c r="E21" s="115"/>
      <c r="F21" s="129"/>
      <c r="G21" s="124"/>
      <c r="H21" s="122"/>
    </row>
    <row r="22" spans="1:8">
      <c r="A22" t="str">
        <f t="shared" si="0"/>
        <v>622</v>
      </c>
      <c r="B22" s="121" t="s">
        <v>105</v>
      </c>
      <c r="C22" s="206"/>
      <c r="D22" s="122"/>
      <c r="E22" s="115"/>
      <c r="F22" s="129"/>
      <c r="G22" s="124"/>
      <c r="H22" s="122"/>
    </row>
    <row r="23" spans="1:8">
      <c r="A23" t="str">
        <f t="shared" si="0"/>
        <v xml:space="preserve">et </v>
      </c>
      <c r="B23" s="121" t="s">
        <v>106</v>
      </c>
      <c r="C23" s="206"/>
      <c r="D23" s="122"/>
      <c r="E23" s="115"/>
      <c r="F23" s="123"/>
      <c r="G23" s="124"/>
      <c r="H23" s="122"/>
    </row>
    <row r="24" spans="1:8">
      <c r="A24" t="str">
        <f t="shared" si="0"/>
        <v>623</v>
      </c>
      <c r="B24" s="121" t="s">
        <v>107</v>
      </c>
      <c r="C24" s="206"/>
      <c r="D24" s="122"/>
      <c r="E24" s="115"/>
      <c r="F24" s="123" t="s">
        <v>108</v>
      </c>
      <c r="G24" s="124"/>
      <c r="H24" s="122"/>
    </row>
    <row r="25" spans="1:8">
      <c r="A25" t="str">
        <f t="shared" si="0"/>
        <v>625</v>
      </c>
      <c r="B25" s="121" t="s">
        <v>32</v>
      </c>
      <c r="C25" s="206"/>
      <c r="D25" s="122"/>
      <c r="E25" s="115"/>
      <c r="F25" s="129"/>
      <c r="G25" s="124"/>
      <c r="H25" s="122"/>
    </row>
    <row r="26" spans="1:8">
      <c r="A26" t="str">
        <f t="shared" si="0"/>
        <v>626</v>
      </c>
      <c r="B26" s="121" t="s">
        <v>33</v>
      </c>
      <c r="C26" s="206"/>
      <c r="D26" s="122"/>
      <c r="E26" s="115"/>
      <c r="F26" s="129"/>
      <c r="G26" s="124"/>
      <c r="H26" s="122"/>
    </row>
    <row r="27" spans="1:8">
      <c r="A27" s="212">
        <v>627</v>
      </c>
      <c r="B27" s="121" t="s">
        <v>174</v>
      </c>
      <c r="C27" s="206" t="e">
        <f>'Recap dep rec'!C22+'Recap dep rec'!#REF!</f>
        <v>#REF!</v>
      </c>
      <c r="D27" s="122"/>
      <c r="E27" s="115"/>
      <c r="F27" s="129"/>
      <c r="G27" s="124"/>
      <c r="H27" s="122"/>
    </row>
    <row r="28" spans="1:8">
      <c r="A28" t="str">
        <f t="shared" si="0"/>
        <v>628</v>
      </c>
      <c r="B28" s="121" t="s">
        <v>34</v>
      </c>
      <c r="C28" s="206"/>
      <c r="D28" s="122"/>
      <c r="E28" s="115"/>
      <c r="F28" s="129"/>
      <c r="G28" s="124"/>
      <c r="H28" s="122"/>
    </row>
    <row r="29" spans="1:8">
      <c r="A29" t="str">
        <f t="shared" si="0"/>
        <v/>
      </c>
      <c r="B29" s="121"/>
      <c r="C29" s="127"/>
      <c r="D29" s="122"/>
      <c r="E29" s="115"/>
      <c r="F29" s="123" t="s">
        <v>109</v>
      </c>
      <c r="G29" s="124"/>
      <c r="H29" s="122"/>
    </row>
    <row r="30" spans="1:8">
      <c r="B30" s="123" t="s">
        <v>129</v>
      </c>
      <c r="C30" s="127"/>
      <c r="D30" s="122"/>
      <c r="E30" s="115"/>
      <c r="F30" s="123"/>
      <c r="G30" s="124"/>
      <c r="H30" s="122"/>
    </row>
    <row r="31" spans="1:8">
      <c r="A31" t="str">
        <f t="shared" si="0"/>
        <v>631</v>
      </c>
      <c r="B31" s="121" t="s">
        <v>130</v>
      </c>
      <c r="C31" s="127"/>
      <c r="D31" s="122"/>
      <c r="E31" s="115"/>
      <c r="F31" s="123"/>
      <c r="G31" s="124"/>
      <c r="H31" s="122"/>
    </row>
    <row r="32" spans="1:8">
      <c r="A32" t="str">
        <f t="shared" si="0"/>
        <v>635</v>
      </c>
      <c r="B32" s="121" t="s">
        <v>131</v>
      </c>
      <c r="C32" s="206"/>
      <c r="D32" s="122"/>
      <c r="E32" s="115"/>
      <c r="F32" s="123"/>
      <c r="G32" s="124"/>
      <c r="H32" s="122"/>
    </row>
    <row r="33" spans="1:8">
      <c r="B33" s="123" t="s">
        <v>110</v>
      </c>
      <c r="C33" s="133"/>
      <c r="D33" s="134"/>
      <c r="E33" s="115"/>
      <c r="F33" s="129"/>
      <c r="G33" s="124"/>
      <c r="H33" s="122"/>
    </row>
    <row r="34" spans="1:8">
      <c r="A34" t="str">
        <f t="shared" si="0"/>
        <v>641</v>
      </c>
      <c r="B34" s="121" t="s">
        <v>35</v>
      </c>
      <c r="C34" s="206"/>
      <c r="D34" s="122"/>
      <c r="E34" s="115"/>
      <c r="F34" s="129"/>
      <c r="G34" s="124"/>
      <c r="H34" s="122"/>
    </row>
    <row r="35" spans="1:8">
      <c r="A35" t="str">
        <f t="shared" si="0"/>
        <v>645</v>
      </c>
      <c r="B35" s="121" t="s">
        <v>36</v>
      </c>
      <c r="C35" s="206"/>
      <c r="D35" s="122"/>
      <c r="E35" s="115"/>
      <c r="F35" s="129"/>
      <c r="G35" s="124"/>
      <c r="H35" s="122"/>
    </row>
    <row r="36" spans="1:8">
      <c r="A36" t="str">
        <f t="shared" si="0"/>
        <v/>
      </c>
      <c r="B36" s="121"/>
      <c r="C36" s="127"/>
      <c r="D36" s="122"/>
      <c r="E36" s="115"/>
      <c r="F36" s="123" t="s">
        <v>111</v>
      </c>
      <c r="G36" s="124"/>
      <c r="H36" s="122"/>
    </row>
    <row r="37" spans="1:8">
      <c r="A37" t="str">
        <f t="shared" si="0"/>
        <v/>
      </c>
      <c r="B37" s="121"/>
      <c r="C37" s="127"/>
      <c r="D37" s="122"/>
      <c r="E37" s="115"/>
      <c r="F37" s="135"/>
      <c r="G37" s="124"/>
      <c r="H37" s="122"/>
    </row>
    <row r="38" spans="1:8">
      <c r="A38" t="str">
        <f t="shared" si="0"/>
        <v xml:space="preserve">65 </v>
      </c>
      <c r="B38" s="121" t="s">
        <v>37</v>
      </c>
      <c r="C38" s="127"/>
      <c r="D38" s="122"/>
      <c r="E38" s="115"/>
      <c r="F38" s="135"/>
      <c r="G38" s="124"/>
      <c r="H38" s="122"/>
    </row>
    <row r="39" spans="1:8">
      <c r="A39" t="str">
        <f t="shared" si="0"/>
        <v/>
      </c>
      <c r="B39" s="123"/>
      <c r="C39" s="119"/>
      <c r="D39" s="120"/>
      <c r="E39" s="115"/>
      <c r="F39" s="135"/>
      <c r="G39" s="124"/>
      <c r="H39" s="122"/>
    </row>
    <row r="40" spans="1:8">
      <c r="A40" t="str">
        <f t="shared" si="0"/>
        <v/>
      </c>
      <c r="B40" s="121"/>
      <c r="C40" s="127"/>
      <c r="D40" s="122"/>
      <c r="E40" s="115"/>
      <c r="F40" s="136"/>
      <c r="G40" s="137">
        <f>G15</f>
        <v>0</v>
      </c>
      <c r="H40" s="138"/>
    </row>
    <row r="41" spans="1:8">
      <c r="B41" s="123" t="s">
        <v>113</v>
      </c>
      <c r="C41" s="127"/>
      <c r="D41" s="122"/>
      <c r="E41" s="115"/>
      <c r="F41" s="121"/>
      <c r="G41" s="124"/>
      <c r="H41" s="122"/>
    </row>
    <row r="42" spans="1:8">
      <c r="A42" t="str">
        <f t="shared" si="0"/>
        <v>661</v>
      </c>
      <c r="B42" s="121" t="s">
        <v>38</v>
      </c>
      <c r="C42" s="206">
        <f>SUMIF('Recap dep rec'!$A:$A,A42,'Recap dep rec'!$Z:$Z)</f>
        <v>0</v>
      </c>
      <c r="D42" s="122" t="e">
        <f t="shared" ref="D42" si="1">C42/$C$56</f>
        <v>#REF!</v>
      </c>
      <c r="E42" s="115"/>
      <c r="F42" s="123" t="s">
        <v>114</v>
      </c>
      <c r="G42" s="119"/>
      <c r="H42" s="120"/>
    </row>
    <row r="43" spans="1:8">
      <c r="A43" t="str">
        <f t="shared" si="0"/>
        <v/>
      </c>
      <c r="B43" s="121"/>
      <c r="C43" s="127"/>
      <c r="D43" s="122"/>
      <c r="E43" s="115"/>
      <c r="F43" s="121" t="s">
        <v>52</v>
      </c>
      <c r="G43" s="124"/>
      <c r="H43" s="122"/>
    </row>
    <row r="44" spans="1:8">
      <c r="A44" t="str">
        <f t="shared" si="0"/>
        <v/>
      </c>
      <c r="B44" s="121"/>
      <c r="C44" s="127"/>
      <c r="D44" s="122"/>
      <c r="E44" s="115"/>
      <c r="F44" s="121" t="s">
        <v>115</v>
      </c>
      <c r="G44" s="139"/>
      <c r="H44" s="122"/>
    </row>
    <row r="45" spans="1:8">
      <c r="A45" t="str">
        <f t="shared" si="0"/>
        <v xml:space="preserve">68 </v>
      </c>
      <c r="B45" s="123" t="s">
        <v>116</v>
      </c>
      <c r="C45" s="127"/>
      <c r="D45" s="122"/>
      <c r="E45" s="115"/>
      <c r="F45" s="121" t="s">
        <v>51</v>
      </c>
      <c r="G45" s="124">
        <f>'Recap dep rec'!AA47</f>
        <v>0</v>
      </c>
      <c r="H45" s="122"/>
    </row>
    <row r="46" spans="1:8">
      <c r="A46" t="str">
        <f t="shared" si="0"/>
        <v>aux</v>
      </c>
      <c r="B46" s="123" t="s">
        <v>117</v>
      </c>
      <c r="C46" s="127"/>
      <c r="D46" s="122"/>
      <c r="E46" s="115"/>
      <c r="F46" s="121" t="s">
        <v>118</v>
      </c>
      <c r="G46" s="124"/>
      <c r="H46" s="122"/>
    </row>
    <row r="47" spans="1:8">
      <c r="A47" t="str">
        <f t="shared" si="0"/>
        <v>681</v>
      </c>
      <c r="B47" s="140" t="s">
        <v>39</v>
      </c>
      <c r="C47" s="206">
        <f>SUMIF('Recap dep rec'!$A:$A,A47,'Recap dep rec'!$Z:$Z)</f>
        <v>0</v>
      </c>
      <c r="D47" s="122" t="e">
        <f t="shared" ref="D47" si="2">C47/$C$56</f>
        <v>#REF!</v>
      </c>
      <c r="E47" s="115"/>
      <c r="F47" s="121"/>
      <c r="G47" s="124"/>
      <c r="H47" s="122"/>
    </row>
    <row r="48" spans="1:8">
      <c r="B48" s="121" t="s">
        <v>119</v>
      </c>
      <c r="C48" s="127"/>
      <c r="D48" s="122"/>
      <c r="E48" s="115"/>
      <c r="F48" s="121"/>
      <c r="G48" s="124"/>
      <c r="H48" s="122"/>
    </row>
    <row r="49" spans="1:8">
      <c r="B49" s="140"/>
      <c r="C49" s="127"/>
      <c r="D49" s="122"/>
      <c r="E49" s="115"/>
      <c r="F49" s="123"/>
      <c r="G49" s="124"/>
      <c r="H49" s="122"/>
    </row>
    <row r="50" spans="1:8">
      <c r="B50" s="140"/>
      <c r="C50" s="127"/>
      <c r="D50" s="122"/>
      <c r="E50" s="115"/>
      <c r="F50" s="123" t="s">
        <v>120</v>
      </c>
      <c r="G50" s="141"/>
      <c r="H50" s="120"/>
    </row>
    <row r="51" spans="1:8">
      <c r="B51" s="123" t="s">
        <v>121</v>
      </c>
      <c r="C51" s="119"/>
      <c r="D51" s="120"/>
      <c r="E51" s="115"/>
      <c r="F51" s="121" t="s">
        <v>122</v>
      </c>
      <c r="G51" s="142"/>
      <c r="H51" s="122"/>
    </row>
    <row r="52" spans="1:8" ht="15.75">
      <c r="A52" t="s">
        <v>175</v>
      </c>
      <c r="B52" s="140" t="s">
        <v>5</v>
      </c>
      <c r="C52" s="206">
        <f>SUMIF('Recap dep rec'!$A:$A,A52,'Recap dep rec'!$Z:$Z)</f>
        <v>0</v>
      </c>
      <c r="D52" s="122" t="e">
        <f t="shared" ref="D52" si="3">C52/$C$56</f>
        <v>#REF!</v>
      </c>
      <c r="E52" s="144"/>
      <c r="F52" s="121" t="s">
        <v>123</v>
      </c>
      <c r="G52" s="142"/>
      <c r="H52" s="122"/>
    </row>
    <row r="53" spans="1:8" ht="15.75">
      <c r="B53" s="121" t="s">
        <v>124</v>
      </c>
      <c r="C53" s="143"/>
      <c r="D53" s="122"/>
      <c r="E53" s="144"/>
      <c r="F53" s="121" t="s">
        <v>125</v>
      </c>
      <c r="G53" s="142"/>
      <c r="H53" s="122"/>
    </row>
    <row r="54" spans="1:8">
      <c r="B54" s="121" t="s">
        <v>125</v>
      </c>
      <c r="C54" s="143"/>
      <c r="D54" s="122"/>
      <c r="F54" s="121"/>
      <c r="G54" s="142"/>
      <c r="H54" s="122"/>
    </row>
    <row r="55" spans="1:8">
      <c r="B55" s="145"/>
      <c r="C55" s="146"/>
      <c r="D55" s="147"/>
      <c r="F55" s="121"/>
      <c r="G55" s="142"/>
      <c r="H55" s="122"/>
    </row>
    <row r="56" spans="1:8">
      <c r="B56" s="148" t="s">
        <v>126</v>
      </c>
      <c r="C56" s="149" t="e">
        <f>SUM(C5:C55)</f>
        <v>#REF!</v>
      </c>
      <c r="D56" s="150"/>
      <c r="F56" s="148" t="s">
        <v>127</v>
      </c>
      <c r="G56" s="151">
        <f>SUM(G43:G55)</f>
        <v>0</v>
      </c>
      <c r="H56" s="150"/>
    </row>
    <row r="57" spans="1:8">
      <c r="B57" s="115"/>
      <c r="C57" s="152" t="e">
        <f>C56-'Recap dep rec'!Z43</f>
        <v>#REF!</v>
      </c>
      <c r="D57" s="153"/>
      <c r="F57" s="115"/>
      <c r="G57" s="152"/>
      <c r="H57" s="154"/>
    </row>
    <row r="58" spans="1:8" ht="15.75">
      <c r="B58" s="115"/>
      <c r="C58" s="155"/>
      <c r="D58" s="156"/>
      <c r="F58" s="144"/>
      <c r="G58" s="155"/>
      <c r="H58" s="154"/>
    </row>
    <row r="59" spans="1:8" ht="15.75">
      <c r="B59" s="144"/>
      <c r="C59" s="155"/>
      <c r="D59" s="156"/>
      <c r="F59" s="144"/>
      <c r="G59" s="155"/>
      <c r="H59" s="153"/>
    </row>
    <row r="60" spans="1:8" ht="15.75">
      <c r="C60" s="157"/>
      <c r="D60" s="35"/>
      <c r="G60" s="157"/>
      <c r="H60" s="156"/>
    </row>
  </sheetData>
  <mergeCells count="1">
    <mergeCell ref="B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38</vt:i4>
      </vt:variant>
      <vt:variant>
        <vt:lpstr>Plages nommées</vt:lpstr>
      </vt:variant>
      <vt:variant>
        <vt:i4>4</vt:i4>
      </vt:variant>
    </vt:vector>
  </HeadingPairs>
  <TitlesOfParts>
    <vt:vector size="42" baseType="lpstr">
      <vt:lpstr>Valo (2)</vt:lpstr>
      <vt:lpstr>AGENDA</vt:lpstr>
      <vt:lpstr>Valo</vt:lpstr>
      <vt:lpstr>Salaires</vt:lpstr>
      <vt:lpstr>ACHATS</vt:lpstr>
      <vt:lpstr>Dépenses</vt:lpstr>
      <vt:lpstr>Analytique</vt:lpstr>
      <vt:lpstr>BUDGET PAR ACTION</vt:lpstr>
      <vt:lpstr>Recap dep rec</vt:lpstr>
      <vt:lpstr>Budget Global</vt:lpstr>
      <vt:lpstr>budget 2019</vt:lpstr>
      <vt:lpstr>BUDGET GLOBAL 2019</vt:lpstr>
      <vt:lpstr>Gouvernance A</vt:lpstr>
      <vt:lpstr>Ecosysteme B</vt:lpstr>
      <vt:lpstr>MODELE 2</vt:lpstr>
      <vt:lpstr>modele</vt:lpstr>
      <vt:lpstr>Cellule Gds EV</vt:lpstr>
      <vt:lpstr>ACTIONS 2019</vt:lpstr>
      <vt:lpstr>Actions 1er Sem 2019</vt:lpstr>
      <vt:lpstr>Actions 2e Sem 2019</vt:lpstr>
      <vt:lpstr>Mice Place</vt:lpstr>
      <vt:lpstr>Workshop Berlin</vt:lpstr>
      <vt:lpstr>SBE LYON</vt:lpstr>
      <vt:lpstr>DEV. INTERNATIONNAL</vt:lpstr>
      <vt:lpstr>WS LYON</vt:lpstr>
      <vt:lpstr>Heavent</vt:lpstr>
      <vt:lpstr>Imex</vt:lpstr>
      <vt:lpstr>WS Europe</vt:lpstr>
      <vt:lpstr>Actions 1er semestre 2018</vt:lpstr>
      <vt:lpstr>Eductours 1et 2</vt:lpstr>
      <vt:lpstr>Operation Paris été</vt:lpstr>
      <vt:lpstr>Ev. Scandinavie</vt:lpstr>
      <vt:lpstr>Demarchage Europe</vt:lpstr>
      <vt:lpstr>MP2</vt:lpstr>
      <vt:lpstr>IBTM</vt:lpstr>
      <vt:lpstr>Opération Paris Hiver</vt:lpstr>
      <vt:lpstr>Action Second semestre </vt:lpstr>
      <vt:lpstr>Budget D</vt:lpstr>
      <vt:lpstr>choix2</vt:lpstr>
      <vt:lpstr>liste_ope</vt:lpstr>
      <vt:lpstr>salon</vt:lpstr>
      <vt:lpstr>'BUDGET PAR ACTION'!Zone_d_impression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Malika BOULDI</dc:creator>
  <cp:lastModifiedBy>DjiDji</cp:lastModifiedBy>
  <cp:lastPrinted>2019-07-02T14:40:39Z</cp:lastPrinted>
  <dcterms:created xsi:type="dcterms:W3CDTF">2015-05-25T07:10:09Z</dcterms:created>
  <dcterms:modified xsi:type="dcterms:W3CDTF">2019-07-05T09:34:07Z</dcterms:modified>
</cp:coreProperties>
</file>