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ACA5EF72-1D78-469D-9917-92B85A18981E}" xr6:coauthVersionLast="38" xr6:coauthVersionMax="38" xr10:uidLastSave="{00000000-0000-0000-0000-000000000000}"/>
  <bookViews>
    <workbookView xWindow="0" yWindow="0" windowWidth="19200" windowHeight="10650" activeTab="4" xr2:uid="{00000000-000D-0000-FFFF-FFFF00000000}"/>
  </bookViews>
  <sheets>
    <sheet name="Clients" sheetId="1" r:id="rId1"/>
    <sheet name="Produits" sheetId="2" r:id="rId2"/>
    <sheet name="Fichier des commandes" sheetId="7" r:id="rId3"/>
    <sheet name="Commandes passées" sheetId="5" r:id="rId4"/>
    <sheet name="Facture" sheetId="8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8" l="1"/>
  <c r="B21" i="8" s="1"/>
  <c r="A20" i="8"/>
  <c r="A18" i="8"/>
  <c r="C18" i="8" s="1"/>
  <c r="A17" i="8"/>
  <c r="C17" i="8" s="1"/>
  <c r="C20" i="8"/>
  <c r="A19" i="8"/>
  <c r="C19" i="8" s="1"/>
  <c r="D21" i="8"/>
  <c r="D20" i="8"/>
  <c r="D19" i="8"/>
  <c r="D18" i="8"/>
  <c r="D17" i="8"/>
  <c r="B11" i="8"/>
  <c r="B12" i="8"/>
  <c r="E6" i="8"/>
  <c r="E10" i="8" s="1"/>
  <c r="E30" i="8"/>
  <c r="E3" i="8"/>
  <c r="E18" i="8" l="1"/>
  <c r="E19" i="8"/>
  <c r="C21" i="8"/>
  <c r="E21" i="8" s="1"/>
  <c r="B18" i="8"/>
  <c r="E20" i="8"/>
  <c r="B17" i="8"/>
  <c r="E11" i="8"/>
  <c r="E8" i="8"/>
  <c r="E7" i="8"/>
  <c r="E17" i="8"/>
  <c r="E9" i="8"/>
  <c r="B19" i="8"/>
  <c r="B20" i="8"/>
  <c r="E23" i="8" l="1"/>
  <c r="E24" i="8" s="1"/>
  <c r="E25" i="8" s="1"/>
  <c r="E26" i="8" s="1"/>
  <c r="E27" i="8" s="1"/>
  <c r="E28" i="8" s="1"/>
</calcChain>
</file>

<file path=xl/sharedStrings.xml><?xml version="1.0" encoding="utf-8"?>
<sst xmlns="http://schemas.openxmlformats.org/spreadsheetml/2006/main" count="376" uniqueCount="203">
  <si>
    <t>Société</t>
  </si>
  <si>
    <t>Adresse</t>
  </si>
  <si>
    <t>CP</t>
  </si>
  <si>
    <t>Ville</t>
  </si>
  <si>
    <t>Pays</t>
  </si>
  <si>
    <t>N° Intracommunautaire communiqué</t>
  </si>
  <si>
    <t>Amoranzoni</t>
  </si>
  <si>
    <t>115 via Luigi</t>
  </si>
  <si>
    <t>Roma</t>
  </si>
  <si>
    <t>Italie</t>
  </si>
  <si>
    <t>IT 09 568 741 258</t>
  </si>
  <si>
    <t>Amiral</t>
  </si>
  <si>
    <t>22 rue Jean Jaurès</t>
  </si>
  <si>
    <t>Catero</t>
  </si>
  <si>
    <t>111 cale Réal</t>
  </si>
  <si>
    <t>Madrid</t>
  </si>
  <si>
    <t>Espagne</t>
  </si>
  <si>
    <t>ES 02 336 480 030</t>
  </si>
  <si>
    <t>Cattia</t>
  </si>
  <si>
    <t>43 calle de Sporto</t>
  </si>
  <si>
    <t>Valencia</t>
  </si>
  <si>
    <t>ES 02 559 663 411</t>
  </si>
  <si>
    <t>Constructil</t>
  </si>
  <si>
    <t>Zolligerstrasse 27</t>
  </si>
  <si>
    <t>Zurich</t>
  </si>
  <si>
    <t>Suisse</t>
  </si>
  <si>
    <t>Elan</t>
  </si>
  <si>
    <t>16 rue de la Jonchère</t>
  </si>
  <si>
    <t>France</t>
  </si>
  <si>
    <t>Faezza</t>
  </si>
  <si>
    <t>101 calle de Flore</t>
  </si>
  <si>
    <t>Guibier</t>
  </si>
  <si>
    <t xml:space="preserve">8 Place de l’hôtel de ville </t>
  </si>
  <si>
    <t>Kariste</t>
  </si>
  <si>
    <t>19 Avenue François Mitterand</t>
  </si>
  <si>
    <t>Klaper-Bau</t>
  </si>
  <si>
    <t>Bergstrasse 22</t>
  </si>
  <si>
    <t>Autriche</t>
  </si>
  <si>
    <t>Mounier</t>
  </si>
  <si>
    <t>15 rue Lavalles</t>
  </si>
  <si>
    <t>Paris</t>
  </si>
  <si>
    <t>Nascito</t>
  </si>
  <si>
    <t>52 calle Inzi</t>
  </si>
  <si>
    <t>Padzekas</t>
  </si>
  <si>
    <t>Prossomo</t>
  </si>
  <si>
    <t>Siprava</t>
  </si>
  <si>
    <t>413 via Primavera</t>
  </si>
  <si>
    <t>IT 11 658 442 154</t>
  </si>
  <si>
    <t>Vancetel</t>
  </si>
  <si>
    <t>169 rue Baudoin</t>
  </si>
  <si>
    <t>Bruges</t>
  </si>
  <si>
    <t>Belgique</t>
  </si>
  <si>
    <t>Vandemol</t>
  </si>
  <si>
    <t>Bergplatz 52</t>
  </si>
  <si>
    <t>Antwerp</t>
  </si>
  <si>
    <t>Vitari</t>
  </si>
  <si>
    <t>65 rue de Soissons</t>
  </si>
  <si>
    <t>Zinnani</t>
  </si>
  <si>
    <t>79 via Marana</t>
  </si>
  <si>
    <t>Napoli</t>
  </si>
  <si>
    <t>Hamburg</t>
  </si>
  <si>
    <t>Allemagne</t>
  </si>
  <si>
    <t>DE 45 542 136 994</t>
  </si>
  <si>
    <t>Impasse du Berger</t>
  </si>
  <si>
    <t>L-9142</t>
  </si>
  <si>
    <t xml:space="preserve">Burden </t>
  </si>
  <si>
    <t>LU 15 669 995 520</t>
  </si>
  <si>
    <t>La Spezia</t>
  </si>
  <si>
    <t>Salsburg</t>
  </si>
  <si>
    <t>Leogang</t>
  </si>
  <si>
    <t>AT 22 336 669 885</t>
  </si>
  <si>
    <t>BE 21 447 852 236</t>
  </si>
  <si>
    <t>Liège</t>
  </si>
  <si>
    <t>Dessenheim</t>
  </si>
  <si>
    <t>Munch House</t>
  </si>
  <si>
    <t>Munwiller</t>
  </si>
  <si>
    <t>Bantzenheim</t>
  </si>
  <si>
    <t>Particulier</t>
  </si>
  <si>
    <t>Matrice produits</t>
  </si>
  <si>
    <t>Référence Produit</t>
  </si>
  <si>
    <t>Désignation</t>
  </si>
  <si>
    <t>Rondin gris 6*25*100</t>
  </si>
  <si>
    <t>Rondin jaune 6*20*50</t>
  </si>
  <si>
    <t>Rondin rouge 6*20*50</t>
  </si>
  <si>
    <t>P001</t>
  </si>
  <si>
    <t>P002</t>
  </si>
  <si>
    <t>P003</t>
  </si>
  <si>
    <t>P004</t>
  </si>
  <si>
    <t>CHB01</t>
  </si>
  <si>
    <t>CHG02</t>
  </si>
  <si>
    <t>C001</t>
  </si>
  <si>
    <t>C002</t>
  </si>
  <si>
    <t>C003</t>
  </si>
  <si>
    <t>PREL1</t>
  </si>
  <si>
    <t>PREL2</t>
  </si>
  <si>
    <t>PREL3</t>
  </si>
  <si>
    <t>Chaux blanche sac 25 kgs</t>
  </si>
  <si>
    <t>Chaux grise sac 25 kgs</t>
  </si>
  <si>
    <t>Mortier sac 35 kgs</t>
  </si>
  <si>
    <t>Ciment prompt sac 25 kgs</t>
  </si>
  <si>
    <t>Ciment gris sac 25 kgs</t>
  </si>
  <si>
    <t>Ciment blanc sac 25 kgs</t>
  </si>
  <si>
    <t>Prélinteau béton en 1m</t>
  </si>
  <si>
    <t>Prélinteau béton en 1m30</t>
  </si>
  <si>
    <t>Prélinteau béton en 1m50</t>
  </si>
  <si>
    <t>Rondin  sable 6*25*100</t>
  </si>
  <si>
    <t>Prix Unitaire H.T.</t>
  </si>
  <si>
    <t>P005</t>
  </si>
  <si>
    <t>P006</t>
  </si>
  <si>
    <t>P007</t>
  </si>
  <si>
    <t>P008</t>
  </si>
  <si>
    <t>Parpaings creux 10*20*50</t>
  </si>
  <si>
    <t>Parpaings creux 15*20*50</t>
  </si>
  <si>
    <t>Parpaings creux 20*20*50</t>
  </si>
  <si>
    <t>Parpaings creux 25*20*50</t>
  </si>
  <si>
    <t>Parpaings poteaux 15*20*50</t>
  </si>
  <si>
    <t>Parpaings poteaux 20*20*50</t>
  </si>
  <si>
    <t>Parpaings chainage 15*20*50</t>
  </si>
  <si>
    <t>Parpaings chainage 20*20*50</t>
  </si>
  <si>
    <t>Date de la commande</t>
  </si>
  <si>
    <t>Date de la facture</t>
  </si>
  <si>
    <t>Numéro commande</t>
  </si>
  <si>
    <t>Acompte versé à la commande (en €)</t>
  </si>
  <si>
    <t>Réf. Pdt 1</t>
  </si>
  <si>
    <t>Q</t>
  </si>
  <si>
    <t>Réf. Pdt 2</t>
  </si>
  <si>
    <t>Réf. Pdt 3</t>
  </si>
  <si>
    <t>Réf. Pdt 4</t>
  </si>
  <si>
    <t>Réf. Pdt 5</t>
  </si>
  <si>
    <t>-</t>
  </si>
  <si>
    <t>MR03</t>
  </si>
  <si>
    <t>RN001</t>
  </si>
  <si>
    <t>RN002</t>
  </si>
  <si>
    <t>RN003</t>
  </si>
  <si>
    <t>RN004</t>
  </si>
  <si>
    <t>RN005</t>
  </si>
  <si>
    <t>C1112-1</t>
  </si>
  <si>
    <t>C1112-2</t>
  </si>
  <si>
    <t>C1112-3</t>
  </si>
  <si>
    <t>C1112-4</t>
  </si>
  <si>
    <t>C1112-5</t>
  </si>
  <si>
    <t>C1112-6</t>
  </si>
  <si>
    <t>C1112-7</t>
  </si>
  <si>
    <t>C1112-8</t>
  </si>
  <si>
    <t>C1112-9</t>
  </si>
  <si>
    <t>C1112-10</t>
  </si>
  <si>
    <t>C1112-11</t>
  </si>
  <si>
    <t>C1112-12</t>
  </si>
  <si>
    <t>C1112-13</t>
  </si>
  <si>
    <t>C1112-14</t>
  </si>
  <si>
    <t>C1112-15</t>
  </si>
  <si>
    <t>Comptant</t>
  </si>
  <si>
    <t>30 JFDM</t>
  </si>
  <si>
    <t>60 JFDM</t>
  </si>
  <si>
    <t>Paiement</t>
  </si>
  <si>
    <t>30 jours</t>
  </si>
  <si>
    <t>Coordonnées GOTHAM</t>
  </si>
  <si>
    <t>Date facture</t>
  </si>
  <si>
    <t>Nom Société</t>
  </si>
  <si>
    <t>Rue</t>
  </si>
  <si>
    <t>Code postal</t>
  </si>
  <si>
    <t xml:space="preserve"> </t>
  </si>
  <si>
    <t>Date commande</t>
  </si>
  <si>
    <t>N° intracommunau-taire</t>
  </si>
  <si>
    <t>Échéance</t>
  </si>
  <si>
    <t>Référence produit</t>
  </si>
  <si>
    <t>P.U</t>
  </si>
  <si>
    <t>Quantité</t>
  </si>
  <si>
    <t>Montant</t>
  </si>
  <si>
    <t>Brut</t>
  </si>
  <si>
    <t>Remise</t>
  </si>
  <si>
    <t>Net commercial</t>
  </si>
  <si>
    <t>Escompte</t>
  </si>
  <si>
    <t>Net financier</t>
  </si>
  <si>
    <t>Frais de port</t>
  </si>
  <si>
    <t>Net HT</t>
  </si>
  <si>
    <t>TVA 20%</t>
  </si>
  <si>
    <t>Net TTC</t>
  </si>
  <si>
    <t>Acompte</t>
  </si>
  <si>
    <t>Net à payer</t>
  </si>
  <si>
    <t>Matrice commandes</t>
  </si>
  <si>
    <t>Détail des commandes du mois</t>
  </si>
  <si>
    <t>Conditions d'octroi des remises</t>
  </si>
  <si>
    <t>Taux de remise</t>
  </si>
  <si>
    <t>Montant brut</t>
  </si>
  <si>
    <t>Inférieur à 1000€ HT</t>
  </si>
  <si>
    <t>Entre 1000€ HT et 5000 HT</t>
  </si>
  <si>
    <t>Supérieur à 5000€ HT</t>
  </si>
  <si>
    <t>Conditions d'octroi des escomptes</t>
  </si>
  <si>
    <t>Taux d'escompte</t>
  </si>
  <si>
    <t>Jour de la facture</t>
  </si>
  <si>
    <t>Tarif des frais de port</t>
  </si>
  <si>
    <t>Montant du port</t>
  </si>
  <si>
    <t>Lieu de livraison et conditions</t>
  </si>
  <si>
    <t>40€ HT</t>
  </si>
  <si>
    <t>70€ HT</t>
  </si>
  <si>
    <t>80 € HT</t>
  </si>
  <si>
    <t>100 € HT</t>
  </si>
  <si>
    <t>France - Montant brut inférieur à 1000€ HT</t>
  </si>
  <si>
    <t>France - Montant brut supérieur à 1000 € HT</t>
  </si>
  <si>
    <t>Union européenne</t>
  </si>
  <si>
    <t>Hors Union européenne</t>
  </si>
  <si>
    <t>Luxembourg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</si>
</sst>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Fill="1" applyBorder="1" applyAlignment="1">
      <alignment horizontal="center" vertical="top" wrapText="1"/>
    </xf>
    <xf numFmtId="0" fontId="0" fillId="0" borderId="0" xfId="0"/>
    <xf numFmtId="0" fontId="0" fillId="0" borderId="0" xfId="0" applyBorder="1" applyAlignment="1">
      <alignment horizontal="center"/>
    </xf>
    <xf numFmtId="0" fontId="3" fillId="2" borderId="0" xfId="0" applyFont="1" applyFill="1"/>
    <xf numFmtId="0" fontId="3" fillId="2" borderId="4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justify" vertical="center" wrapText="1"/>
    </xf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0" xfId="0" applyFont="1" applyBorder="1"/>
    <xf numFmtId="0" fontId="3" fillId="0" borderId="0" xfId="0" applyFont="1"/>
    <xf numFmtId="0" fontId="3" fillId="0" borderId="0" xfId="0" applyFont="1" applyBorder="1" applyAlignment="1"/>
    <xf numFmtId="0" fontId="3" fillId="0" borderId="8" xfId="0" applyFont="1" applyBorder="1"/>
    <xf numFmtId="0" fontId="5" fillId="0" borderId="10" xfId="0" applyFont="1" applyBorder="1"/>
    <xf numFmtId="14" fontId="5" fillId="0" borderId="10" xfId="0" applyNumberFormat="1" applyFont="1" applyBorder="1"/>
    <xf numFmtId="0" fontId="5" fillId="0" borderId="10" xfId="0" applyFont="1" applyBorder="1" applyAlignment="1">
      <alignment horizontal="center"/>
    </xf>
    <xf numFmtId="0" fontId="5" fillId="0" borderId="9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10" xfId="0" applyFont="1" applyBorder="1" applyAlignment="1"/>
    <xf numFmtId="0" fontId="3" fillId="0" borderId="9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9" xfId="0" applyFont="1" applyBorder="1"/>
    <xf numFmtId="0" fontId="5" fillId="0" borderId="10" xfId="0" applyFont="1" applyFill="1" applyBorder="1"/>
    <xf numFmtId="0" fontId="5" fillId="0" borderId="13" xfId="0" applyFont="1" applyFill="1" applyBorder="1"/>
    <xf numFmtId="0" fontId="5" fillId="0" borderId="10" xfId="0" applyFont="1" applyBorder="1" applyAlignment="1">
      <alignment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wrapText="1"/>
    </xf>
    <xf numFmtId="14" fontId="5" fillId="0" borderId="10" xfId="0" applyNumberFormat="1" applyFont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/>
    <xf numFmtId="0" fontId="5" fillId="0" borderId="8" xfId="0" applyFont="1" applyBorder="1" applyAlignment="1">
      <alignment horizontal="center"/>
    </xf>
    <xf numFmtId="0" fontId="5" fillId="2" borderId="1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3" fillId="0" borderId="11" xfId="0" applyFont="1" applyBorder="1"/>
    <xf numFmtId="0" fontId="3" fillId="0" borderId="16" xfId="0" applyFont="1" applyBorder="1"/>
    <xf numFmtId="0" fontId="5" fillId="2" borderId="10" xfId="0" applyFont="1" applyFill="1" applyBorder="1" applyAlignment="1">
      <alignment horizontal="left"/>
    </xf>
    <xf numFmtId="10" fontId="3" fillId="0" borderId="0" xfId="0" applyNumberFormat="1" applyFont="1"/>
    <xf numFmtId="9" fontId="3" fillId="0" borderId="0" xfId="0" applyNumberFormat="1" applyFont="1"/>
    <xf numFmtId="165" fontId="3" fillId="0" borderId="0" xfId="0" applyNumberFormat="1" applyFont="1"/>
    <xf numFmtId="165" fontId="5" fillId="2" borderId="10" xfId="0" applyNumberFormat="1" applyFont="1" applyFill="1" applyBorder="1" applyAlignment="1">
      <alignment horizontal="center" vertical="center"/>
    </xf>
    <xf numFmtId="165" fontId="5" fillId="0" borderId="15" xfId="0" applyNumberFormat="1" applyFont="1" applyBorder="1"/>
    <xf numFmtId="165" fontId="5" fillId="0" borderId="13" xfId="0" applyNumberFormat="1" applyFont="1" applyBorder="1"/>
    <xf numFmtId="165" fontId="5" fillId="2" borderId="10" xfId="0" applyNumberFormat="1" applyFont="1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textRotation="48" wrapText="1"/>
    </xf>
    <xf numFmtId="0" fontId="5" fillId="0" borderId="7" xfId="0" applyFont="1" applyBorder="1" applyAlignment="1">
      <alignment horizontal="center" vertical="center" textRotation="48" wrapText="1"/>
    </xf>
    <xf numFmtId="0" fontId="5" fillId="0" borderId="9" xfId="0" applyFont="1" applyBorder="1" applyAlignment="1">
      <alignment horizontal="center" vertical="center" textRotation="48" wrapText="1"/>
    </xf>
    <xf numFmtId="0" fontId="5" fillId="0" borderId="8" xfId="0" applyFont="1" applyBorder="1" applyAlignment="1">
      <alignment horizontal="center" vertical="center" textRotation="48" wrapText="1"/>
    </xf>
    <xf numFmtId="0" fontId="5" fillId="0" borderId="11" xfId="0" applyFont="1" applyBorder="1" applyAlignment="1">
      <alignment horizontal="center" vertical="center" textRotation="48" wrapText="1"/>
    </xf>
    <xf numFmtId="0" fontId="5" fillId="0" borderId="12" xfId="0" applyFont="1" applyBorder="1" applyAlignment="1">
      <alignment horizontal="center" vertical="center" textRotation="48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workbookViewId="0">
      <selection activeCell="I10" sqref="I10"/>
    </sheetView>
  </sheetViews>
  <sheetFormatPr baseColWidth="10" defaultRowHeight="15" x14ac:dyDescent="0.25"/>
  <cols>
    <col min="1" max="1" width="23.7109375" style="4" customWidth="1"/>
    <col min="2" max="2" width="34" style="4" customWidth="1"/>
    <col min="3" max="3" width="13" style="4" customWidth="1"/>
    <col min="4" max="4" width="17.7109375" style="4" customWidth="1"/>
    <col min="5" max="5" width="23.7109375" style="4" customWidth="1"/>
    <col min="6" max="6" width="32.140625" style="4" customWidth="1"/>
    <col min="7" max="16384" width="11.42578125" style="4"/>
  </cols>
  <sheetData>
    <row r="1" spans="1:6" ht="29.25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</row>
    <row r="2" spans="1:6" ht="16.5" customHeight="1" x14ac:dyDescent="0.25">
      <c r="A2" s="5" t="s">
        <v>6</v>
      </c>
      <c r="B2" s="5" t="s">
        <v>7</v>
      </c>
      <c r="C2" s="5">
        <v>5407</v>
      </c>
      <c r="D2" s="5" t="s">
        <v>8</v>
      </c>
      <c r="E2" s="5" t="s">
        <v>9</v>
      </c>
      <c r="F2" s="5" t="s">
        <v>10</v>
      </c>
    </row>
    <row r="3" spans="1:6" ht="16.5" customHeight="1" x14ac:dyDescent="0.25">
      <c r="A3" s="5" t="s">
        <v>11</v>
      </c>
      <c r="B3" s="5" t="s">
        <v>12</v>
      </c>
      <c r="C3" s="5">
        <v>68600</v>
      </c>
      <c r="D3" s="5" t="s">
        <v>73</v>
      </c>
      <c r="E3" s="5" t="s">
        <v>28</v>
      </c>
      <c r="F3" s="5" t="s">
        <v>77</v>
      </c>
    </row>
    <row r="4" spans="1:6" ht="16.5" customHeight="1" x14ac:dyDescent="0.25">
      <c r="A4" s="5" t="s">
        <v>13</v>
      </c>
      <c r="B4" s="5" t="s">
        <v>14</v>
      </c>
      <c r="C4" s="5">
        <v>11000</v>
      </c>
      <c r="D4" s="5" t="s">
        <v>15</v>
      </c>
      <c r="E4" s="5" t="s">
        <v>16</v>
      </c>
      <c r="F4" s="5" t="s">
        <v>17</v>
      </c>
    </row>
    <row r="5" spans="1:6" ht="16.5" customHeight="1" x14ac:dyDescent="0.25">
      <c r="A5" s="5" t="s">
        <v>18</v>
      </c>
      <c r="B5" s="5" t="s">
        <v>19</v>
      </c>
      <c r="C5" s="5">
        <v>11200</v>
      </c>
      <c r="D5" s="5" t="s">
        <v>20</v>
      </c>
      <c r="E5" s="5" t="s">
        <v>16</v>
      </c>
      <c r="F5" s="5" t="s">
        <v>21</v>
      </c>
    </row>
    <row r="6" spans="1:6" ht="16.5" customHeight="1" x14ac:dyDescent="0.25">
      <c r="A6" s="5" t="s">
        <v>22</v>
      </c>
      <c r="B6" s="5" t="s">
        <v>23</v>
      </c>
      <c r="C6" s="5">
        <v>8032</v>
      </c>
      <c r="D6" s="5" t="s">
        <v>24</v>
      </c>
      <c r="E6" s="5" t="s">
        <v>25</v>
      </c>
      <c r="F6" s="5"/>
    </row>
    <row r="7" spans="1:6" ht="16.5" customHeight="1" x14ac:dyDescent="0.25">
      <c r="A7" s="5" t="s">
        <v>26</v>
      </c>
      <c r="B7" s="5" t="s">
        <v>27</v>
      </c>
      <c r="C7" s="5">
        <v>68740</v>
      </c>
      <c r="D7" s="5" t="s">
        <v>74</v>
      </c>
      <c r="E7" s="5" t="s">
        <v>28</v>
      </c>
      <c r="F7" s="5"/>
    </row>
    <row r="8" spans="1:6" ht="16.5" customHeight="1" x14ac:dyDescent="0.25">
      <c r="A8" s="5" t="s">
        <v>29</v>
      </c>
      <c r="B8" s="5" t="s">
        <v>30</v>
      </c>
      <c r="C8" s="5">
        <v>4000</v>
      </c>
      <c r="D8" s="5" t="s">
        <v>72</v>
      </c>
      <c r="E8" s="5" t="s">
        <v>51</v>
      </c>
      <c r="F8" s="5" t="s">
        <v>71</v>
      </c>
    </row>
    <row r="9" spans="1:6" ht="16.5" customHeight="1" x14ac:dyDescent="0.25">
      <c r="A9" s="5" t="s">
        <v>31</v>
      </c>
      <c r="B9" s="5" t="s">
        <v>32</v>
      </c>
      <c r="C9" s="5">
        <v>68250</v>
      </c>
      <c r="D9" s="5" t="s">
        <v>75</v>
      </c>
      <c r="E9" s="5" t="s">
        <v>28</v>
      </c>
      <c r="F9" s="5"/>
    </row>
    <row r="10" spans="1:6" ht="16.5" customHeight="1" x14ac:dyDescent="0.25">
      <c r="A10" s="5" t="s">
        <v>33</v>
      </c>
      <c r="B10" s="5" t="s">
        <v>34</v>
      </c>
      <c r="C10" s="5">
        <v>68490</v>
      </c>
      <c r="D10" s="5" t="s">
        <v>76</v>
      </c>
      <c r="E10" s="5" t="s">
        <v>28</v>
      </c>
      <c r="F10" s="5" t="s">
        <v>77</v>
      </c>
    </row>
    <row r="11" spans="1:6" ht="16.5" customHeight="1" x14ac:dyDescent="0.25">
      <c r="A11" s="5" t="s">
        <v>35</v>
      </c>
      <c r="B11" s="5" t="s">
        <v>36</v>
      </c>
      <c r="C11" s="5">
        <v>20253</v>
      </c>
      <c r="D11" s="5" t="s">
        <v>60</v>
      </c>
      <c r="E11" s="5" t="s">
        <v>61</v>
      </c>
      <c r="F11" s="5" t="s">
        <v>62</v>
      </c>
    </row>
    <row r="12" spans="1:6" ht="16.5" customHeight="1" x14ac:dyDescent="0.25">
      <c r="A12" s="5" t="s">
        <v>38</v>
      </c>
      <c r="B12" s="5" t="s">
        <v>39</v>
      </c>
      <c r="C12" s="5">
        <v>75000</v>
      </c>
      <c r="D12" s="5" t="s">
        <v>40</v>
      </c>
      <c r="E12" s="5" t="s">
        <v>28</v>
      </c>
      <c r="F12" s="5"/>
    </row>
    <row r="13" spans="1:6" ht="16.5" customHeight="1" x14ac:dyDescent="0.25">
      <c r="A13" s="5" t="s">
        <v>41</v>
      </c>
      <c r="B13" s="5" t="s">
        <v>42</v>
      </c>
      <c r="C13" s="5">
        <v>19121</v>
      </c>
      <c r="D13" s="5" t="s">
        <v>67</v>
      </c>
      <c r="E13" s="5" t="s">
        <v>9</v>
      </c>
      <c r="F13" s="5" t="s">
        <v>77</v>
      </c>
    </row>
    <row r="14" spans="1:6" ht="16.5" customHeight="1" x14ac:dyDescent="0.25">
      <c r="A14" s="5" t="s">
        <v>43</v>
      </c>
      <c r="B14" s="5" t="s">
        <v>68</v>
      </c>
      <c r="C14" s="5">
        <v>5771</v>
      </c>
      <c r="D14" s="5" t="s">
        <v>69</v>
      </c>
      <c r="E14" s="5" t="s">
        <v>37</v>
      </c>
      <c r="F14" s="5" t="s">
        <v>70</v>
      </c>
    </row>
    <row r="15" spans="1:6" ht="16.5" customHeight="1" x14ac:dyDescent="0.25">
      <c r="A15" s="5" t="s">
        <v>44</v>
      </c>
      <c r="B15" s="5" t="s">
        <v>63</v>
      </c>
      <c r="C15" s="5" t="s">
        <v>64</v>
      </c>
      <c r="D15" s="5" t="s">
        <v>65</v>
      </c>
      <c r="E15" s="5" t="s">
        <v>202</v>
      </c>
      <c r="F15" s="5" t="s">
        <v>66</v>
      </c>
    </row>
    <row r="16" spans="1:6" ht="16.5" customHeight="1" x14ac:dyDescent="0.25">
      <c r="A16" s="5" t="s">
        <v>45</v>
      </c>
      <c r="B16" s="5" t="s">
        <v>46</v>
      </c>
      <c r="C16" s="5">
        <v>9000</v>
      </c>
      <c r="D16" s="5" t="s">
        <v>8</v>
      </c>
      <c r="E16" s="5" t="s">
        <v>9</v>
      </c>
      <c r="F16" s="5" t="s">
        <v>47</v>
      </c>
    </row>
    <row r="17" spans="1:6" ht="16.5" customHeight="1" x14ac:dyDescent="0.25">
      <c r="A17" s="5" t="s">
        <v>48</v>
      </c>
      <c r="B17" s="5" t="s">
        <v>49</v>
      </c>
      <c r="C17" s="5">
        <v>1500</v>
      </c>
      <c r="D17" s="5" t="s">
        <v>50</v>
      </c>
      <c r="E17" s="5" t="s">
        <v>51</v>
      </c>
      <c r="F17" s="5" t="s">
        <v>77</v>
      </c>
    </row>
    <row r="18" spans="1:6" ht="16.5" customHeight="1" x14ac:dyDescent="0.25">
      <c r="A18" s="5" t="s">
        <v>52</v>
      </c>
      <c r="B18" s="5" t="s">
        <v>53</v>
      </c>
      <c r="C18" s="5">
        <v>5520</v>
      </c>
      <c r="D18" s="5" t="s">
        <v>54</v>
      </c>
      <c r="E18" s="5" t="s">
        <v>51</v>
      </c>
      <c r="F18" s="5" t="s">
        <v>77</v>
      </c>
    </row>
    <row r="19" spans="1:6" ht="16.5" customHeight="1" x14ac:dyDescent="0.25">
      <c r="A19" s="5" t="s">
        <v>55</v>
      </c>
      <c r="B19" s="5" t="s">
        <v>56</v>
      </c>
      <c r="C19" s="5">
        <v>68740</v>
      </c>
      <c r="D19" s="5" t="s">
        <v>74</v>
      </c>
      <c r="E19" s="5" t="s">
        <v>28</v>
      </c>
      <c r="F19" s="5"/>
    </row>
    <row r="20" spans="1:6" ht="16.5" customHeight="1" x14ac:dyDescent="0.25">
      <c r="A20" s="5" t="s">
        <v>57</v>
      </c>
      <c r="B20" s="5" t="s">
        <v>58</v>
      </c>
      <c r="C20" s="5">
        <v>6650</v>
      </c>
      <c r="D20" s="5" t="s">
        <v>59</v>
      </c>
      <c r="E20" s="5" t="s">
        <v>9</v>
      </c>
      <c r="F20" s="5" t="s">
        <v>77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5"/>
  <sheetViews>
    <sheetView workbookViewId="0">
      <selection activeCell="C31" sqref="C31"/>
    </sheetView>
  </sheetViews>
  <sheetFormatPr baseColWidth="10" defaultRowHeight="15" x14ac:dyDescent="0.25"/>
  <cols>
    <col min="1" max="1" width="29" style="2" customWidth="1"/>
    <col min="2" max="2" width="27.5703125" style="2" customWidth="1"/>
    <col min="3" max="3" width="31.85546875" style="2" customWidth="1"/>
    <col min="4" max="16384" width="11.42578125" style="2"/>
  </cols>
  <sheetData>
    <row r="1" spans="1:3" x14ac:dyDescent="0.25">
      <c r="A1" s="52" t="s">
        <v>78</v>
      </c>
      <c r="B1" s="53"/>
      <c r="C1" s="54"/>
    </row>
    <row r="2" spans="1:3" x14ac:dyDescent="0.25">
      <c r="A2" s="5" t="s">
        <v>79</v>
      </c>
      <c r="B2" s="5" t="s">
        <v>80</v>
      </c>
      <c r="C2" s="5" t="s">
        <v>106</v>
      </c>
    </row>
    <row r="3" spans="1:3" x14ac:dyDescent="0.25">
      <c r="A3" s="5" t="s">
        <v>84</v>
      </c>
      <c r="B3" s="5" t="s">
        <v>111</v>
      </c>
      <c r="C3" s="5">
        <v>0.9</v>
      </c>
    </row>
    <row r="4" spans="1:3" ht="15.75" customHeight="1" x14ac:dyDescent="0.25">
      <c r="A4" s="5" t="s">
        <v>85</v>
      </c>
      <c r="B4" s="5" t="s">
        <v>112</v>
      </c>
      <c r="C4" s="5">
        <v>1.1499999999999999</v>
      </c>
    </row>
    <row r="5" spans="1:3" ht="15.75" customHeight="1" x14ac:dyDescent="0.25">
      <c r="A5" s="5" t="s">
        <v>86</v>
      </c>
      <c r="B5" s="5" t="s">
        <v>113</v>
      </c>
      <c r="C5" s="5">
        <v>1.25</v>
      </c>
    </row>
    <row r="6" spans="1:3" ht="15.75" customHeight="1" x14ac:dyDescent="0.25">
      <c r="A6" s="5" t="s">
        <v>87</v>
      </c>
      <c r="B6" s="5" t="s">
        <v>114</v>
      </c>
      <c r="C6" s="5">
        <v>1.9</v>
      </c>
    </row>
    <row r="7" spans="1:3" ht="15.75" customHeight="1" x14ac:dyDescent="0.25">
      <c r="A7" s="5" t="s">
        <v>107</v>
      </c>
      <c r="B7" s="5" t="s">
        <v>115</v>
      </c>
      <c r="C7" s="5">
        <v>1.55</v>
      </c>
    </row>
    <row r="8" spans="1:3" ht="15.75" customHeight="1" x14ac:dyDescent="0.25">
      <c r="A8" s="5" t="s">
        <v>108</v>
      </c>
      <c r="B8" s="5" t="s">
        <v>116</v>
      </c>
      <c r="C8" s="5">
        <v>1.6</v>
      </c>
    </row>
    <row r="9" spans="1:3" ht="15.75" customHeight="1" x14ac:dyDescent="0.25">
      <c r="A9" s="5" t="s">
        <v>109</v>
      </c>
      <c r="B9" s="5" t="s">
        <v>117</v>
      </c>
      <c r="C9" s="5">
        <v>1.55</v>
      </c>
    </row>
    <row r="10" spans="1:3" ht="15.75" customHeight="1" x14ac:dyDescent="0.25">
      <c r="A10" s="5" t="s">
        <v>110</v>
      </c>
      <c r="B10" s="5" t="s">
        <v>118</v>
      </c>
      <c r="C10" s="5">
        <v>1.65</v>
      </c>
    </row>
    <row r="11" spans="1:3" ht="15.75" customHeight="1" x14ac:dyDescent="0.25">
      <c r="A11" s="5" t="s">
        <v>88</v>
      </c>
      <c r="B11" s="5" t="s">
        <v>96</v>
      </c>
      <c r="C11" s="5">
        <v>12.5</v>
      </c>
    </row>
    <row r="12" spans="1:3" ht="15.75" customHeight="1" x14ac:dyDescent="0.25">
      <c r="A12" s="5" t="s">
        <v>89</v>
      </c>
      <c r="B12" s="5" t="s">
        <v>97</v>
      </c>
      <c r="C12" s="5">
        <v>10.55</v>
      </c>
    </row>
    <row r="13" spans="1:3" ht="15.75" customHeight="1" x14ac:dyDescent="0.25">
      <c r="A13" s="5" t="s">
        <v>130</v>
      </c>
      <c r="B13" s="5" t="s">
        <v>98</v>
      </c>
      <c r="C13" s="5">
        <v>8.65</v>
      </c>
    </row>
    <row r="14" spans="1:3" ht="15.75" customHeight="1" x14ac:dyDescent="0.25">
      <c r="A14" s="5" t="s">
        <v>90</v>
      </c>
      <c r="B14" s="5" t="s">
        <v>99</v>
      </c>
      <c r="C14" s="5">
        <v>17.27</v>
      </c>
    </row>
    <row r="15" spans="1:3" ht="15.75" customHeight="1" x14ac:dyDescent="0.25">
      <c r="A15" s="5" t="s">
        <v>91</v>
      </c>
      <c r="B15" s="5" t="s">
        <v>100</v>
      </c>
      <c r="C15" s="5">
        <v>4.38</v>
      </c>
    </row>
    <row r="16" spans="1:3" ht="15.75" customHeight="1" x14ac:dyDescent="0.25">
      <c r="A16" s="5" t="s">
        <v>92</v>
      </c>
      <c r="B16" s="5" t="s">
        <v>101</v>
      </c>
      <c r="C16" s="5">
        <v>15.5</v>
      </c>
    </row>
    <row r="17" spans="1:3" ht="15.75" customHeight="1" x14ac:dyDescent="0.25">
      <c r="A17" s="5" t="s">
        <v>93</v>
      </c>
      <c r="B17" s="5" t="s">
        <v>102</v>
      </c>
      <c r="C17" s="5">
        <v>11.85</v>
      </c>
    </row>
    <row r="18" spans="1:3" ht="15.75" customHeight="1" x14ac:dyDescent="0.25">
      <c r="A18" s="5" t="s">
        <v>94</v>
      </c>
      <c r="B18" s="5" t="s">
        <v>103</v>
      </c>
      <c r="C18" s="5">
        <v>14.73</v>
      </c>
    </row>
    <row r="19" spans="1:3" ht="15.75" customHeight="1" x14ac:dyDescent="0.25">
      <c r="A19" s="5" t="s">
        <v>95</v>
      </c>
      <c r="B19" s="5" t="s">
        <v>104</v>
      </c>
      <c r="C19" s="5">
        <v>17</v>
      </c>
    </row>
    <row r="20" spans="1:3" ht="15.75" customHeight="1" x14ac:dyDescent="0.25">
      <c r="A20" s="5" t="s">
        <v>131</v>
      </c>
      <c r="B20" s="5" t="s">
        <v>81</v>
      </c>
      <c r="C20" s="5">
        <v>4.9000000000000004</v>
      </c>
    </row>
    <row r="21" spans="1:3" ht="15.75" customHeight="1" x14ac:dyDescent="0.25">
      <c r="A21" s="5" t="s">
        <v>132</v>
      </c>
      <c r="B21" s="5" t="s">
        <v>105</v>
      </c>
      <c r="C21" s="5">
        <v>4.9000000000000004</v>
      </c>
    </row>
    <row r="22" spans="1:3" ht="15.75" customHeight="1" x14ac:dyDescent="0.25">
      <c r="A22" s="5" t="s">
        <v>133</v>
      </c>
      <c r="B22" s="5" t="s">
        <v>82</v>
      </c>
      <c r="C22" s="5">
        <v>2.2000000000000002</v>
      </c>
    </row>
    <row r="23" spans="1:3" ht="15.75" customHeight="1" x14ac:dyDescent="0.25">
      <c r="A23" s="5" t="s">
        <v>134</v>
      </c>
      <c r="B23" s="5" t="s">
        <v>83</v>
      </c>
      <c r="C23" s="5">
        <v>2.2000000000000002</v>
      </c>
    </row>
    <row r="24" spans="1:3" ht="15.75" customHeight="1" x14ac:dyDescent="0.25"/>
    <row r="25" spans="1:3" x14ac:dyDescent="0.25">
      <c r="A25" s="3"/>
      <c r="B25" s="1"/>
      <c r="C25" s="1"/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7"/>
  <sheetViews>
    <sheetView workbookViewId="0">
      <selection activeCell="A6" sqref="A6"/>
    </sheetView>
  </sheetViews>
  <sheetFormatPr baseColWidth="10" defaultRowHeight="15" x14ac:dyDescent="0.25"/>
  <cols>
    <col min="1" max="1" width="13.85546875" style="2" customWidth="1"/>
    <col min="2" max="2" width="14" style="2" customWidth="1"/>
    <col min="3" max="3" width="13.7109375" style="2" customWidth="1"/>
    <col min="4" max="4" width="13" style="2" customWidth="1"/>
    <col min="5" max="5" width="13.7109375" style="2" customWidth="1"/>
    <col min="6" max="6" width="14" style="2" customWidth="1"/>
    <col min="7" max="16384" width="11.42578125" style="2"/>
  </cols>
  <sheetData>
    <row r="1" spans="1:6" x14ac:dyDescent="0.25">
      <c r="A1" s="55" t="s">
        <v>180</v>
      </c>
      <c r="B1" s="55"/>
      <c r="C1" s="55"/>
      <c r="D1" s="55"/>
      <c r="E1" s="55"/>
      <c r="F1" s="55"/>
    </row>
    <row r="2" spans="1:6" ht="45" x14ac:dyDescent="0.25">
      <c r="A2" s="5" t="s">
        <v>121</v>
      </c>
      <c r="B2" s="5" t="s">
        <v>119</v>
      </c>
      <c r="C2" s="5" t="s">
        <v>120</v>
      </c>
      <c r="D2" s="5" t="s">
        <v>0</v>
      </c>
      <c r="E2" s="5" t="s">
        <v>154</v>
      </c>
      <c r="F2" s="5" t="s">
        <v>122</v>
      </c>
    </row>
    <row r="3" spans="1:6" x14ac:dyDescent="0.25">
      <c r="A3" s="5" t="s">
        <v>136</v>
      </c>
      <c r="B3" s="8">
        <v>43374</v>
      </c>
      <c r="C3" s="8">
        <v>43407</v>
      </c>
      <c r="D3" s="5" t="s">
        <v>35</v>
      </c>
      <c r="E3" s="5" t="s">
        <v>152</v>
      </c>
      <c r="F3" s="5">
        <v>100</v>
      </c>
    </row>
    <row r="4" spans="1:6" x14ac:dyDescent="0.25">
      <c r="A4" s="5" t="s">
        <v>137</v>
      </c>
      <c r="B4" s="8">
        <v>43388</v>
      </c>
      <c r="C4" s="8">
        <v>43409</v>
      </c>
      <c r="D4" s="5" t="s">
        <v>22</v>
      </c>
      <c r="E4" s="5" t="s">
        <v>152</v>
      </c>
      <c r="F4" s="5">
        <v>800</v>
      </c>
    </row>
    <row r="5" spans="1:6" x14ac:dyDescent="0.25">
      <c r="A5" s="5" t="s">
        <v>138</v>
      </c>
      <c r="B5" s="8">
        <v>43407</v>
      </c>
      <c r="C5" s="8">
        <v>43409</v>
      </c>
      <c r="D5" s="5" t="s">
        <v>41</v>
      </c>
      <c r="E5" s="5" t="s">
        <v>153</v>
      </c>
      <c r="F5" s="5">
        <v>0</v>
      </c>
    </row>
    <row r="6" spans="1:6" x14ac:dyDescent="0.25">
      <c r="A6" s="5" t="s">
        <v>139</v>
      </c>
      <c r="B6" s="8">
        <v>43398</v>
      </c>
      <c r="C6" s="8">
        <v>43411</v>
      </c>
      <c r="D6" s="5" t="s">
        <v>11</v>
      </c>
      <c r="E6" s="5" t="s">
        <v>151</v>
      </c>
      <c r="F6" s="5">
        <v>100</v>
      </c>
    </row>
    <row r="7" spans="1:6" x14ac:dyDescent="0.25">
      <c r="A7" s="5" t="s">
        <v>140</v>
      </c>
      <c r="B7" s="8">
        <v>43398</v>
      </c>
      <c r="C7" s="8">
        <v>43411</v>
      </c>
      <c r="D7" s="5" t="s">
        <v>33</v>
      </c>
      <c r="E7" s="5" t="s">
        <v>151</v>
      </c>
      <c r="F7" s="5">
        <v>1200</v>
      </c>
    </row>
    <row r="8" spans="1:6" x14ac:dyDescent="0.25">
      <c r="A8" s="5" t="s">
        <v>141</v>
      </c>
      <c r="B8" s="8">
        <v>43413</v>
      </c>
      <c r="C8" s="8">
        <v>43415</v>
      </c>
      <c r="D8" s="5" t="s">
        <v>41</v>
      </c>
      <c r="E8" s="5" t="s">
        <v>151</v>
      </c>
      <c r="F8" s="5">
        <v>0</v>
      </c>
    </row>
    <row r="9" spans="1:6" x14ac:dyDescent="0.25">
      <c r="A9" s="5" t="s">
        <v>142</v>
      </c>
      <c r="B9" s="8">
        <v>43405</v>
      </c>
      <c r="C9" s="8">
        <v>43415</v>
      </c>
      <c r="D9" s="5" t="s">
        <v>31</v>
      </c>
      <c r="E9" s="5" t="s">
        <v>155</v>
      </c>
      <c r="F9" s="5">
        <v>250</v>
      </c>
    </row>
    <row r="10" spans="1:6" x14ac:dyDescent="0.25">
      <c r="A10" s="5" t="s">
        <v>143</v>
      </c>
      <c r="B10" s="8">
        <v>43412</v>
      </c>
      <c r="C10" s="8">
        <v>43419</v>
      </c>
      <c r="D10" s="5" t="s">
        <v>52</v>
      </c>
      <c r="E10" s="5" t="s">
        <v>151</v>
      </c>
      <c r="F10" s="5">
        <v>100</v>
      </c>
    </row>
    <row r="11" spans="1:6" x14ac:dyDescent="0.25">
      <c r="A11" s="5" t="s">
        <v>144</v>
      </c>
      <c r="B11" s="8">
        <v>43415</v>
      </c>
      <c r="C11" s="8">
        <v>43419</v>
      </c>
      <c r="D11" s="5" t="s">
        <v>13</v>
      </c>
      <c r="E11" s="8">
        <v>43434</v>
      </c>
      <c r="F11" s="5">
        <v>0</v>
      </c>
    </row>
    <row r="12" spans="1:6" x14ac:dyDescent="0.25">
      <c r="A12" s="5" t="s">
        <v>145</v>
      </c>
      <c r="B12" s="8">
        <v>43419</v>
      </c>
      <c r="C12" s="8">
        <v>43424</v>
      </c>
      <c r="D12" s="5" t="s">
        <v>55</v>
      </c>
      <c r="E12" s="8">
        <v>43434</v>
      </c>
      <c r="F12" s="5">
        <v>150</v>
      </c>
    </row>
    <row r="13" spans="1:6" x14ac:dyDescent="0.25">
      <c r="A13" s="5" t="s">
        <v>146</v>
      </c>
      <c r="B13" s="8">
        <v>43419</v>
      </c>
      <c r="C13" s="8">
        <v>43424</v>
      </c>
      <c r="D13" s="5" t="s">
        <v>55</v>
      </c>
      <c r="E13" s="8">
        <v>43434</v>
      </c>
      <c r="F13" s="5">
        <v>250</v>
      </c>
    </row>
    <row r="14" spans="1:6" x14ac:dyDescent="0.25">
      <c r="A14" s="5" t="s">
        <v>147</v>
      </c>
      <c r="B14" s="8">
        <v>43419</v>
      </c>
      <c r="C14" s="8">
        <v>43430</v>
      </c>
      <c r="D14" s="5" t="s">
        <v>57</v>
      </c>
      <c r="E14" s="5" t="s">
        <v>151</v>
      </c>
      <c r="F14" s="5">
        <v>0</v>
      </c>
    </row>
    <row r="15" spans="1:6" x14ac:dyDescent="0.25">
      <c r="A15" s="5" t="s">
        <v>148</v>
      </c>
      <c r="B15" s="8">
        <v>43419</v>
      </c>
      <c r="C15" s="8">
        <v>43430</v>
      </c>
      <c r="D15" s="5" t="s">
        <v>33</v>
      </c>
      <c r="E15" s="5" t="s">
        <v>151</v>
      </c>
      <c r="F15" s="5">
        <v>0</v>
      </c>
    </row>
    <row r="16" spans="1:6" x14ac:dyDescent="0.25">
      <c r="A16" s="5" t="s">
        <v>149</v>
      </c>
      <c r="B16" s="8">
        <v>43419</v>
      </c>
      <c r="C16" s="8">
        <v>43432</v>
      </c>
      <c r="D16" s="5" t="s">
        <v>33</v>
      </c>
      <c r="E16" s="5" t="s">
        <v>151</v>
      </c>
      <c r="F16" s="5">
        <v>400</v>
      </c>
    </row>
    <row r="17" spans="1:6" x14ac:dyDescent="0.25">
      <c r="A17" s="5" t="s">
        <v>150</v>
      </c>
      <c r="B17" s="8">
        <v>43420</v>
      </c>
      <c r="C17" s="8">
        <v>43434</v>
      </c>
      <c r="D17" s="5" t="s">
        <v>41</v>
      </c>
      <c r="E17" s="5" t="s">
        <v>151</v>
      </c>
      <c r="F17" s="5">
        <v>100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"/>
  <sheetViews>
    <sheetView workbookViewId="0">
      <selection activeCell="C6" sqref="C6"/>
    </sheetView>
  </sheetViews>
  <sheetFormatPr baseColWidth="10" defaultRowHeight="15" x14ac:dyDescent="0.25"/>
  <cols>
    <col min="1" max="1" width="13.28515625" style="2" customWidth="1"/>
    <col min="2" max="2" width="13.42578125" style="2" customWidth="1"/>
    <col min="3" max="3" width="14" style="2" customWidth="1"/>
    <col min="4" max="4" width="13.28515625" style="2" customWidth="1"/>
    <col min="5" max="5" width="13.42578125" style="2" customWidth="1"/>
    <col min="6" max="6" width="13.28515625" style="2" customWidth="1"/>
    <col min="7" max="7" width="14.140625" style="2" customWidth="1"/>
    <col min="8" max="8" width="13.28515625" style="2" customWidth="1"/>
    <col min="9" max="9" width="13.42578125" style="2" customWidth="1"/>
    <col min="10" max="10" width="13.140625" style="2" customWidth="1"/>
    <col min="11" max="11" width="13.85546875" style="2" customWidth="1"/>
    <col min="12" max="16384" width="11.42578125" style="2"/>
  </cols>
  <sheetData>
    <row r="1" spans="1:11" x14ac:dyDescent="0.25">
      <c r="A1" s="55" t="s">
        <v>181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31.5" x14ac:dyDescent="0.25">
      <c r="A2" s="6" t="s">
        <v>121</v>
      </c>
      <c r="B2" s="6" t="s">
        <v>123</v>
      </c>
      <c r="C2" s="6" t="s">
        <v>124</v>
      </c>
      <c r="D2" s="6" t="s">
        <v>125</v>
      </c>
      <c r="E2" s="6" t="s">
        <v>124</v>
      </c>
      <c r="F2" s="7" t="s">
        <v>126</v>
      </c>
      <c r="G2" s="6" t="s">
        <v>124</v>
      </c>
      <c r="H2" s="6" t="s">
        <v>127</v>
      </c>
      <c r="I2" s="6" t="s">
        <v>124</v>
      </c>
      <c r="J2" s="6" t="s">
        <v>128</v>
      </c>
      <c r="K2" s="6" t="s">
        <v>124</v>
      </c>
    </row>
    <row r="3" spans="1:11" x14ac:dyDescent="0.25">
      <c r="A3" s="5" t="s">
        <v>136</v>
      </c>
      <c r="B3" s="5" t="s">
        <v>84</v>
      </c>
      <c r="C3" s="5">
        <v>260</v>
      </c>
      <c r="D3" s="5" t="s">
        <v>91</v>
      </c>
      <c r="E3" s="5">
        <v>10</v>
      </c>
      <c r="F3" s="5" t="s">
        <v>129</v>
      </c>
      <c r="G3" s="5" t="s">
        <v>129</v>
      </c>
      <c r="H3" s="5" t="s">
        <v>129</v>
      </c>
      <c r="I3" s="5" t="s">
        <v>129</v>
      </c>
      <c r="J3" s="5" t="s">
        <v>129</v>
      </c>
      <c r="K3" s="5" t="s">
        <v>129</v>
      </c>
    </row>
    <row r="4" spans="1:11" x14ac:dyDescent="0.25">
      <c r="A4" s="5" t="s">
        <v>137</v>
      </c>
      <c r="B4" s="5" t="s">
        <v>86</v>
      </c>
      <c r="C4" s="5">
        <v>850</v>
      </c>
      <c r="D4" s="5" t="s">
        <v>109</v>
      </c>
      <c r="E4" s="5">
        <v>100</v>
      </c>
      <c r="F4" s="5" t="s">
        <v>130</v>
      </c>
      <c r="G4" s="5">
        <v>8</v>
      </c>
      <c r="H4" s="5" t="s">
        <v>93</v>
      </c>
      <c r="I4" s="5">
        <v>22</v>
      </c>
      <c r="J4" s="5" t="s">
        <v>88</v>
      </c>
      <c r="K4" s="5">
        <v>2</v>
      </c>
    </row>
    <row r="5" spans="1:11" x14ac:dyDescent="0.25">
      <c r="A5" s="5" t="s">
        <v>138</v>
      </c>
      <c r="B5" s="5" t="s">
        <v>110</v>
      </c>
      <c r="C5" s="5">
        <v>12</v>
      </c>
      <c r="D5" s="5" t="s">
        <v>85</v>
      </c>
      <c r="E5" s="5">
        <v>80</v>
      </c>
      <c r="F5" s="5" t="s">
        <v>129</v>
      </c>
      <c r="G5" s="5" t="s">
        <v>129</v>
      </c>
      <c r="H5" s="5" t="s">
        <v>129</v>
      </c>
      <c r="I5" s="5" t="s">
        <v>129</v>
      </c>
      <c r="J5" s="5" t="s">
        <v>129</v>
      </c>
      <c r="K5" s="5" t="s">
        <v>129</v>
      </c>
    </row>
    <row r="6" spans="1:11" x14ac:dyDescent="0.25">
      <c r="A6" s="5" t="s">
        <v>139</v>
      </c>
      <c r="B6" s="5" t="s">
        <v>131</v>
      </c>
      <c r="C6" s="5">
        <v>50</v>
      </c>
      <c r="D6" s="5" t="s">
        <v>132</v>
      </c>
      <c r="E6" s="5">
        <v>100</v>
      </c>
      <c r="F6" s="5" t="s">
        <v>129</v>
      </c>
      <c r="G6" s="5" t="s">
        <v>129</v>
      </c>
      <c r="H6" s="5" t="s">
        <v>129</v>
      </c>
      <c r="I6" s="5" t="s">
        <v>129</v>
      </c>
      <c r="J6" s="5" t="s">
        <v>129</v>
      </c>
      <c r="K6" s="5" t="s">
        <v>129</v>
      </c>
    </row>
    <row r="7" spans="1:11" x14ac:dyDescent="0.25">
      <c r="A7" s="5" t="s">
        <v>140</v>
      </c>
      <c r="B7" s="5" t="s">
        <v>86</v>
      </c>
      <c r="C7" s="5">
        <v>2500</v>
      </c>
      <c r="D7" s="5" t="s">
        <v>109</v>
      </c>
      <c r="E7" s="5">
        <v>500</v>
      </c>
      <c r="F7" s="5" t="s">
        <v>91</v>
      </c>
      <c r="G7" s="5">
        <v>300</v>
      </c>
      <c r="H7" s="5" t="s">
        <v>129</v>
      </c>
      <c r="I7" s="5" t="s">
        <v>129</v>
      </c>
      <c r="J7" s="5" t="s">
        <v>129</v>
      </c>
      <c r="K7" s="5" t="s">
        <v>129</v>
      </c>
    </row>
    <row r="8" spans="1:11" x14ac:dyDescent="0.25">
      <c r="A8" s="5" t="s">
        <v>141</v>
      </c>
      <c r="B8" s="5" t="s">
        <v>88</v>
      </c>
      <c r="C8" s="5">
        <v>8</v>
      </c>
      <c r="D8" s="5" t="s">
        <v>89</v>
      </c>
      <c r="E8" s="5">
        <v>8</v>
      </c>
      <c r="F8" s="5" t="s">
        <v>129</v>
      </c>
      <c r="G8" s="5" t="s">
        <v>129</v>
      </c>
      <c r="H8" s="5" t="s">
        <v>129</v>
      </c>
      <c r="I8" s="5" t="s">
        <v>129</v>
      </c>
      <c r="J8" s="5" t="s">
        <v>129</v>
      </c>
      <c r="K8" s="5" t="s">
        <v>129</v>
      </c>
    </row>
    <row r="9" spans="1:11" x14ac:dyDescent="0.25">
      <c r="A9" s="5" t="s">
        <v>142</v>
      </c>
      <c r="B9" s="5" t="s">
        <v>92</v>
      </c>
      <c r="C9" s="5">
        <v>3</v>
      </c>
      <c r="D9" s="5" t="s">
        <v>134</v>
      </c>
      <c r="E9" s="5">
        <v>25</v>
      </c>
      <c r="F9" s="5" t="s">
        <v>129</v>
      </c>
      <c r="G9" s="5" t="s">
        <v>129</v>
      </c>
      <c r="H9" s="5" t="s">
        <v>129</v>
      </c>
      <c r="I9" s="5" t="s">
        <v>129</v>
      </c>
      <c r="J9" s="5" t="s">
        <v>129</v>
      </c>
      <c r="K9" s="5" t="s">
        <v>129</v>
      </c>
    </row>
    <row r="10" spans="1:11" x14ac:dyDescent="0.25">
      <c r="A10" s="5" t="s">
        <v>143</v>
      </c>
      <c r="B10" s="5" t="s">
        <v>131</v>
      </c>
      <c r="C10" s="5">
        <v>10</v>
      </c>
      <c r="D10" s="5" t="s">
        <v>132</v>
      </c>
      <c r="E10" s="5">
        <v>10</v>
      </c>
      <c r="F10" s="5" t="s">
        <v>133</v>
      </c>
      <c r="G10" s="5">
        <v>10</v>
      </c>
      <c r="H10" s="5" t="s">
        <v>134</v>
      </c>
      <c r="I10" s="5">
        <v>10</v>
      </c>
      <c r="J10" s="5" t="s">
        <v>135</v>
      </c>
      <c r="K10" s="5">
        <v>10</v>
      </c>
    </row>
    <row r="11" spans="1:11" x14ac:dyDescent="0.25">
      <c r="A11" s="5" t="s">
        <v>144</v>
      </c>
      <c r="B11" s="5" t="s">
        <v>93</v>
      </c>
      <c r="C11" s="5">
        <v>50</v>
      </c>
      <c r="D11" s="5" t="s">
        <v>129</v>
      </c>
      <c r="E11" s="5" t="s">
        <v>129</v>
      </c>
      <c r="F11" s="5" t="s">
        <v>129</v>
      </c>
      <c r="G11" s="5" t="s">
        <v>129</v>
      </c>
      <c r="H11" s="5" t="s">
        <v>129</v>
      </c>
      <c r="I11" s="5" t="s">
        <v>129</v>
      </c>
      <c r="J11" s="5" t="s">
        <v>129</v>
      </c>
      <c r="K11" s="5" t="s">
        <v>129</v>
      </c>
    </row>
    <row r="12" spans="1:11" x14ac:dyDescent="0.25">
      <c r="A12" s="5" t="s">
        <v>145</v>
      </c>
      <c r="B12" s="5" t="s">
        <v>90</v>
      </c>
      <c r="C12" s="5">
        <v>12</v>
      </c>
      <c r="D12" s="5" t="s">
        <v>91</v>
      </c>
      <c r="E12" s="5">
        <v>12</v>
      </c>
      <c r="F12" s="5" t="s">
        <v>92</v>
      </c>
      <c r="G12" s="5">
        <v>12</v>
      </c>
      <c r="H12" s="5" t="s">
        <v>129</v>
      </c>
      <c r="I12" s="5" t="s">
        <v>129</v>
      </c>
      <c r="J12" s="5" t="s">
        <v>129</v>
      </c>
      <c r="K12" s="5" t="s">
        <v>129</v>
      </c>
    </row>
    <row r="13" spans="1:11" x14ac:dyDescent="0.25">
      <c r="A13" s="5" t="s">
        <v>146</v>
      </c>
      <c r="B13" s="5" t="s">
        <v>86</v>
      </c>
      <c r="C13" s="5">
        <v>560</v>
      </c>
      <c r="D13" s="5" t="s">
        <v>109</v>
      </c>
      <c r="E13" s="5">
        <v>85</v>
      </c>
      <c r="F13" s="5" t="s">
        <v>130</v>
      </c>
      <c r="G13" s="5">
        <v>60</v>
      </c>
      <c r="H13" s="5" t="s">
        <v>93</v>
      </c>
      <c r="I13" s="5">
        <v>12</v>
      </c>
      <c r="J13" s="5" t="s">
        <v>88</v>
      </c>
      <c r="K13" s="5">
        <v>4</v>
      </c>
    </row>
    <row r="14" spans="1:11" x14ac:dyDescent="0.25">
      <c r="A14" s="5" t="s">
        <v>147</v>
      </c>
      <c r="B14" s="5" t="s">
        <v>110</v>
      </c>
      <c r="C14" s="5">
        <v>8</v>
      </c>
      <c r="D14" s="5" t="s">
        <v>93</v>
      </c>
      <c r="E14" s="5">
        <v>10</v>
      </c>
      <c r="F14" s="5" t="s">
        <v>129</v>
      </c>
      <c r="G14" s="5" t="s">
        <v>129</v>
      </c>
      <c r="H14" s="5" t="s">
        <v>129</v>
      </c>
      <c r="I14" s="5" t="s">
        <v>129</v>
      </c>
      <c r="J14" s="5" t="s">
        <v>129</v>
      </c>
      <c r="K14" s="5" t="s">
        <v>129</v>
      </c>
    </row>
    <row r="15" spans="1:11" x14ac:dyDescent="0.25">
      <c r="A15" s="5" t="s">
        <v>148</v>
      </c>
      <c r="B15" s="5" t="s">
        <v>85</v>
      </c>
      <c r="C15" s="5">
        <v>500</v>
      </c>
      <c r="D15" s="5" t="s">
        <v>109</v>
      </c>
      <c r="E15" s="5">
        <v>80</v>
      </c>
      <c r="F15" s="5" t="s">
        <v>89</v>
      </c>
      <c r="G15" s="5">
        <v>4</v>
      </c>
      <c r="H15" s="5" t="s">
        <v>129</v>
      </c>
      <c r="I15" s="5" t="s">
        <v>129</v>
      </c>
      <c r="J15" s="5" t="s">
        <v>129</v>
      </c>
      <c r="K15" s="5" t="s">
        <v>129</v>
      </c>
    </row>
    <row r="16" spans="1:11" x14ac:dyDescent="0.25">
      <c r="A16" s="5" t="s">
        <v>149</v>
      </c>
      <c r="B16" s="5" t="s">
        <v>134</v>
      </c>
      <c r="C16" s="5">
        <v>100</v>
      </c>
      <c r="D16" s="5" t="s">
        <v>84</v>
      </c>
      <c r="E16" s="5">
        <v>100</v>
      </c>
      <c r="F16" s="5" t="s">
        <v>85</v>
      </c>
      <c r="G16" s="5">
        <v>50</v>
      </c>
      <c r="H16" s="5" t="s">
        <v>89</v>
      </c>
      <c r="I16" s="5">
        <v>12</v>
      </c>
      <c r="J16" s="5" t="s">
        <v>129</v>
      </c>
      <c r="K16" s="5" t="s">
        <v>129</v>
      </c>
    </row>
    <row r="17" spans="1:11" x14ac:dyDescent="0.25">
      <c r="A17" s="5" t="s">
        <v>150</v>
      </c>
      <c r="B17" s="5" t="s">
        <v>134</v>
      </c>
      <c r="C17" s="5">
        <v>120</v>
      </c>
      <c r="D17" s="5" t="s">
        <v>133</v>
      </c>
      <c r="E17" s="5">
        <v>120</v>
      </c>
      <c r="F17" s="5" t="s">
        <v>129</v>
      </c>
      <c r="G17" s="5" t="s">
        <v>129</v>
      </c>
      <c r="H17" s="5" t="s">
        <v>129</v>
      </c>
      <c r="I17" s="5" t="s">
        <v>129</v>
      </c>
      <c r="J17" s="5" t="s">
        <v>129</v>
      </c>
      <c r="K17" s="5" t="s">
        <v>129</v>
      </c>
    </row>
  </sheetData>
  <mergeCells count="1">
    <mergeCell ref="A1:K1"/>
  </mergeCells>
  <pageMargins left="0.7" right="0.7" top="0.75" bottom="0.75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3"/>
  <sheetViews>
    <sheetView tabSelected="1" topLeftCell="A7" workbookViewId="0">
      <selection activeCell="F20" sqref="F20"/>
    </sheetView>
  </sheetViews>
  <sheetFormatPr baseColWidth="10" defaultRowHeight="15" x14ac:dyDescent="0.25"/>
  <cols>
    <col min="1" max="1" width="20.42578125" style="13" customWidth="1"/>
    <col min="2" max="2" width="20.5703125" style="13" customWidth="1"/>
    <col min="3" max="3" width="12.5703125" style="13" customWidth="1"/>
    <col min="4" max="4" width="22.85546875" style="13" customWidth="1"/>
    <col min="5" max="5" width="20.42578125" style="13" customWidth="1"/>
    <col min="6" max="6" width="19.5703125" style="13" customWidth="1"/>
    <col min="7" max="7" width="31.28515625" style="13" customWidth="1"/>
    <col min="8" max="8" width="37.5703125" style="13" customWidth="1"/>
    <col min="9" max="16384" width="11.42578125" style="13"/>
  </cols>
  <sheetData>
    <row r="1" spans="1:10" ht="15.75" thickBot="1" x14ac:dyDescent="0.3">
      <c r="A1" s="9"/>
      <c r="B1" s="10"/>
      <c r="C1" s="10"/>
      <c r="D1" s="10"/>
      <c r="E1" s="11"/>
      <c r="F1" s="12"/>
    </row>
    <row r="2" spans="1:10" ht="18" customHeight="1" thickBot="1" x14ac:dyDescent="0.3">
      <c r="A2" s="56" t="s">
        <v>156</v>
      </c>
      <c r="B2" s="57"/>
      <c r="C2" s="14"/>
      <c r="D2" s="14"/>
      <c r="E2" s="15"/>
    </row>
    <row r="3" spans="1:10" ht="15.75" thickBot="1" x14ac:dyDescent="0.3">
      <c r="A3" s="58"/>
      <c r="B3" s="59"/>
      <c r="C3" s="14"/>
      <c r="D3" s="16" t="s">
        <v>157</v>
      </c>
      <c r="E3" s="17">
        <f>VLOOKUP(B10,'Fichier des commandes'!A1:F17,3,FALSE)</f>
        <v>43411</v>
      </c>
    </row>
    <row r="4" spans="1:10" x14ac:dyDescent="0.25">
      <c r="A4" s="58"/>
      <c r="B4" s="59"/>
      <c r="C4" s="14"/>
      <c r="D4" s="12"/>
      <c r="E4" s="15"/>
    </row>
    <row r="5" spans="1:10" ht="15.75" thickBot="1" x14ac:dyDescent="0.3">
      <c r="A5" s="58"/>
      <c r="B5" s="59"/>
      <c r="C5" s="14"/>
      <c r="D5" s="12"/>
      <c r="E5" s="15"/>
    </row>
    <row r="6" spans="1:10" ht="15.75" thickBot="1" x14ac:dyDescent="0.3">
      <c r="A6" s="60"/>
      <c r="B6" s="61"/>
      <c r="C6" s="14"/>
      <c r="D6" s="16" t="s">
        <v>158</v>
      </c>
      <c r="E6" s="18" t="str">
        <f>VLOOKUP($B$10,'Fichier des commandes'!A3:F17,4,FALSE)</f>
        <v>Amiral</v>
      </c>
    </row>
    <row r="7" spans="1:10" ht="15.75" thickBot="1" x14ac:dyDescent="0.3">
      <c r="A7" s="19"/>
      <c r="B7" s="20"/>
      <c r="C7" s="14"/>
      <c r="D7" s="21" t="s">
        <v>159</v>
      </c>
      <c r="E7" s="18" t="str">
        <f>VLOOKUP(Facture!$E$6,Clients!$A$1:$F$20,2,FALSE)</f>
        <v>22 rue Jean Jaurès</v>
      </c>
    </row>
    <row r="8" spans="1:10" ht="15.75" thickBot="1" x14ac:dyDescent="0.3">
      <c r="A8" s="22"/>
      <c r="B8" s="23"/>
      <c r="C8" s="14"/>
      <c r="D8" s="16" t="s">
        <v>160</v>
      </c>
      <c r="E8" s="18">
        <f>VLOOKUP($E$6,Clients!$A$1:$F$20,3,FALSE)</f>
        <v>68600</v>
      </c>
      <c r="H8" s="14"/>
      <c r="I8" s="14"/>
      <c r="J8" s="14"/>
    </row>
    <row r="9" spans="1:10" ht="15.75" thickBot="1" x14ac:dyDescent="0.3">
      <c r="A9" s="24" t="s">
        <v>161</v>
      </c>
      <c r="B9" s="12"/>
      <c r="C9" s="12"/>
      <c r="D9" s="25" t="s">
        <v>3</v>
      </c>
      <c r="E9" s="18" t="str">
        <f>VLOOKUP($E$6,Clients!$A$1:$F$20,4,FALSE)</f>
        <v>Dessenheim</v>
      </c>
      <c r="H9" s="14"/>
      <c r="I9" s="14"/>
    </row>
    <row r="10" spans="1:10" ht="15.75" thickBot="1" x14ac:dyDescent="0.3">
      <c r="A10" s="21" t="s">
        <v>121</v>
      </c>
      <c r="B10" s="18" t="s">
        <v>139</v>
      </c>
      <c r="C10" s="12"/>
      <c r="D10" s="26" t="s">
        <v>4</v>
      </c>
      <c r="E10" s="18" t="str">
        <f>VLOOKUP($E$6,Clients!$A$1:$F$20,5,FALSE)</f>
        <v>France</v>
      </c>
      <c r="H10" s="14"/>
      <c r="I10" s="14"/>
      <c r="J10" s="14"/>
    </row>
    <row r="11" spans="1:10" ht="21" customHeight="1" thickBot="1" x14ac:dyDescent="0.3">
      <c r="A11" s="27" t="s">
        <v>162</v>
      </c>
      <c r="B11" s="28">
        <f>VLOOKUP(Facture!$B$10,'Fichier des commandes'!$A$1:$F$17,2,FALSE)</f>
        <v>43398</v>
      </c>
      <c r="C11" s="12"/>
      <c r="D11" s="29" t="s">
        <v>163</v>
      </c>
      <c r="E11" s="18" t="str">
        <f>IFERROR(VLOOKUP($E$6,Clients!$A$1:$F$20,6,FALSE),"")</f>
        <v>Particulier</v>
      </c>
      <c r="H11" s="14"/>
      <c r="I11" s="14"/>
      <c r="J11" s="14"/>
    </row>
    <row r="12" spans="1:10" ht="30" customHeight="1" thickBot="1" x14ac:dyDescent="0.3">
      <c r="A12" s="27" t="s">
        <v>164</v>
      </c>
      <c r="B12" s="30" t="str">
        <f>VLOOKUP(Facture!$B$10,'Fichier des commandes'!$A$2:$F$17,5,FALSE)</f>
        <v>Comptant</v>
      </c>
      <c r="C12" s="12"/>
      <c r="D12" s="31"/>
      <c r="E12" s="32"/>
      <c r="H12" s="14"/>
      <c r="I12" s="14"/>
      <c r="J12" s="14"/>
    </row>
    <row r="13" spans="1:10" x14ac:dyDescent="0.25">
      <c r="A13" s="24"/>
      <c r="B13" s="12"/>
      <c r="C13" s="12"/>
      <c r="D13" s="33"/>
      <c r="E13" s="34"/>
      <c r="G13" s="62" t="s">
        <v>182</v>
      </c>
      <c r="H13" s="62"/>
      <c r="I13" s="14"/>
      <c r="J13" s="14"/>
    </row>
    <row r="14" spans="1:10" x14ac:dyDescent="0.25">
      <c r="A14" s="24"/>
      <c r="B14" s="12"/>
      <c r="C14" s="12"/>
      <c r="D14" s="12"/>
      <c r="E14" s="15"/>
      <c r="G14" s="13" t="s">
        <v>183</v>
      </c>
      <c r="H14" s="14" t="s">
        <v>184</v>
      </c>
      <c r="I14" s="14"/>
      <c r="J14" s="14"/>
    </row>
    <row r="15" spans="1:10" ht="15.75" thickBot="1" x14ac:dyDescent="0.3">
      <c r="A15" s="24"/>
      <c r="B15" s="12"/>
      <c r="C15" s="12"/>
      <c r="D15" s="12"/>
      <c r="E15" s="15"/>
      <c r="G15" s="45">
        <v>0</v>
      </c>
      <c r="H15" s="13" t="s">
        <v>185</v>
      </c>
    </row>
    <row r="16" spans="1:10" ht="15.75" thickBot="1" x14ac:dyDescent="0.3">
      <c r="A16" s="35" t="s">
        <v>165</v>
      </c>
      <c r="B16" s="35" t="s">
        <v>80</v>
      </c>
      <c r="C16" s="35" t="s">
        <v>166</v>
      </c>
      <c r="D16" s="36" t="s">
        <v>167</v>
      </c>
      <c r="E16" s="36" t="s">
        <v>168</v>
      </c>
      <c r="G16" s="45">
        <v>0.02</v>
      </c>
      <c r="H16" s="13" t="s">
        <v>186</v>
      </c>
    </row>
    <row r="17" spans="1:8" ht="15.75" thickBot="1" x14ac:dyDescent="0.3">
      <c r="A17" s="35" t="str">
        <f>IFERROR(VLOOKUP(Facture!$B$10,'Commandes passées'!$A$3:$K$17,2,FALSE),"")</f>
        <v>RN001</v>
      </c>
      <c r="B17" s="37" t="str">
        <f>IFERROR(VLOOKUP($A$17,Produits!$A$1:$C$23,2,FALSE),"")</f>
        <v>Rondin gris 6*25*100</v>
      </c>
      <c r="C17" s="35">
        <f>IFERROR(VLOOKUP($A$17,Produits!$A$1:$C$23,3,FALSE),"")</f>
        <v>4.9000000000000004</v>
      </c>
      <c r="D17" s="35">
        <f>IFERROR(VLOOKUP($B$10,'Commandes passées'!$A$3:$K$17,3,FALSE),"")</f>
        <v>50</v>
      </c>
      <c r="E17" s="48">
        <f>IFERROR(C17*D17,"")</f>
        <v>245.00000000000003</v>
      </c>
      <c r="G17" s="45">
        <v>0.03</v>
      </c>
      <c r="H17" s="13" t="s">
        <v>187</v>
      </c>
    </row>
    <row r="18" spans="1:8" ht="15.75" thickBot="1" x14ac:dyDescent="0.3">
      <c r="A18" s="35" t="str">
        <f>IFERROR(VLOOKUP(Facture!$B$10,'Commandes passées'!$A$3:$K$17,4,FALSE),"")</f>
        <v>RN002</v>
      </c>
      <c r="B18" s="37" t="str">
        <f>IFERROR(VLOOKUP($A$18,Produits!$A$1:$C$23,2,FALSE),"")</f>
        <v>Rondin  sable 6*25*100</v>
      </c>
      <c r="C18" s="35">
        <f>IFERROR(VLOOKUP($A$18,Produits!$A$1:$C$23,3,FALSE),"")</f>
        <v>4.9000000000000004</v>
      </c>
      <c r="D18" s="35">
        <f>IFERROR(VLOOKUP($B$10,'Commandes passées'!$A$3:$K$17,5,FALSE),"")</f>
        <v>100</v>
      </c>
      <c r="E18" s="48">
        <f t="shared" ref="E18:E21" si="0">IFERROR(C18*D18,"")</f>
        <v>490.00000000000006</v>
      </c>
    </row>
    <row r="19" spans="1:8" ht="15.75" thickBot="1" x14ac:dyDescent="0.3">
      <c r="A19" s="35" t="str">
        <f>IFERROR(VLOOKUP(Facture!$B$10,'Commandes passées'!$A$3:$K$17,6,FALSE),"")</f>
        <v>-</v>
      </c>
      <c r="B19" s="37" t="str">
        <f>IFERROR(VLOOKUP($A$19,Produits!$A$1:$C$23,2,FALSE),"")</f>
        <v/>
      </c>
      <c r="C19" s="35" t="str">
        <f>IFERROR(VLOOKUP($A$19,Produits!$A$1:$C$23,3,FALSE),"")</f>
        <v/>
      </c>
      <c r="D19" s="35" t="str">
        <f>IFERROR(VLOOKUP($B$10,'Commandes passées'!$A$3:$K$17,7,FALSE),"")</f>
        <v>-</v>
      </c>
      <c r="E19" s="48" t="str">
        <f t="shared" si="0"/>
        <v/>
      </c>
      <c r="G19" s="62" t="s">
        <v>188</v>
      </c>
      <c r="H19" s="62"/>
    </row>
    <row r="20" spans="1:8" ht="15.75" thickBot="1" x14ac:dyDescent="0.3">
      <c r="A20" s="35" t="str">
        <f>IFERROR(VLOOKUP(Facture!$B$10,'Commandes passées'!$A$3:$K$17,8,FALSE),"")</f>
        <v>-</v>
      </c>
      <c r="B20" s="37" t="str">
        <f>IFERROR(VLOOKUP($A$20,Produits!$A$1:$C$23,2,FALSE),"")</f>
        <v/>
      </c>
      <c r="C20" s="35" t="str">
        <f>IFERROR(VLOOKUP($A$20,Produits!$A$1:$C$23,3,FALSE),"")</f>
        <v/>
      </c>
      <c r="D20" s="35" t="str">
        <f>IFERROR(VLOOKUP($B$10,'Commandes passées'!$A$3:$K$17,9,FALSE),"")</f>
        <v>-</v>
      </c>
      <c r="E20" s="48" t="str">
        <f t="shared" si="0"/>
        <v/>
      </c>
      <c r="G20" s="13" t="s">
        <v>189</v>
      </c>
      <c r="H20" s="13" t="s">
        <v>154</v>
      </c>
    </row>
    <row r="21" spans="1:8" ht="15.75" thickBot="1" x14ac:dyDescent="0.3">
      <c r="A21" s="35" t="str">
        <f>IFERROR(VLOOKUP(Facture!$B$10,'Commandes passées'!$A$3:$K$17,10,FALSE),"")</f>
        <v>-</v>
      </c>
      <c r="B21" s="37" t="str">
        <f>IFERROR(VLOOKUP($A$21,Produits!$A$1:$C$23,2,FALSE),"")</f>
        <v/>
      </c>
      <c r="C21" s="35" t="str">
        <f>IFERROR(VLOOKUP($A$21,Produits!$A$1:$C$23,3,FALSE),"")</f>
        <v/>
      </c>
      <c r="D21" s="35" t="str">
        <f>IFERROR(VLOOKUP($B$10,'Commandes passées'!$A$3:$K$17,11,FALSE),"")</f>
        <v>-</v>
      </c>
      <c r="E21" s="48" t="str">
        <f t="shared" si="0"/>
        <v/>
      </c>
      <c r="G21" s="46">
        <v>0.02</v>
      </c>
      <c r="H21" s="13" t="s">
        <v>190</v>
      </c>
    </row>
    <row r="22" spans="1:8" ht="15.75" thickBot="1" x14ac:dyDescent="0.3">
      <c r="A22" s="24"/>
      <c r="B22" s="12"/>
      <c r="C22" s="12"/>
      <c r="D22" s="12"/>
      <c r="E22" s="15"/>
    </row>
    <row r="23" spans="1:8" x14ac:dyDescent="0.25">
      <c r="A23" s="24"/>
      <c r="B23" s="12"/>
      <c r="C23" s="12"/>
      <c r="D23" s="38" t="s">
        <v>169</v>
      </c>
      <c r="E23" s="49">
        <f>SUM(E17:E21)</f>
        <v>735.00000000000011</v>
      </c>
      <c r="G23" s="62" t="s">
        <v>191</v>
      </c>
      <c r="H23" s="62"/>
    </row>
    <row r="24" spans="1:8" ht="15.75" thickBot="1" x14ac:dyDescent="0.3">
      <c r="A24" s="24"/>
      <c r="B24" s="12"/>
      <c r="C24" s="12"/>
      <c r="D24" s="39" t="s">
        <v>170</v>
      </c>
      <c r="E24" s="50">
        <f>IF($E$23&lt;1000,$E$23*0,IF($E$23&gt;5000,$E$23*0.03,$E$23*0.02))</f>
        <v>0</v>
      </c>
      <c r="G24" s="13" t="s">
        <v>192</v>
      </c>
      <c r="H24" s="13" t="s">
        <v>193</v>
      </c>
    </row>
    <row r="25" spans="1:8" x14ac:dyDescent="0.25">
      <c r="A25" s="24"/>
      <c r="B25" s="12"/>
      <c r="C25" s="12"/>
      <c r="D25" s="38" t="s">
        <v>171</v>
      </c>
      <c r="E25" s="49">
        <f>$E$23-$E$24</f>
        <v>735.00000000000011</v>
      </c>
      <c r="G25" s="47" t="s">
        <v>194</v>
      </c>
      <c r="H25" s="13" t="s">
        <v>198</v>
      </c>
    </row>
    <row r="26" spans="1:8" ht="15.75" thickBot="1" x14ac:dyDescent="0.3">
      <c r="A26" s="24"/>
      <c r="B26" s="12"/>
      <c r="C26" s="12"/>
      <c r="D26" s="40" t="s">
        <v>172</v>
      </c>
      <c r="E26" s="50">
        <f>IF(B12="Comptant",Facture!E25*0.02,Facture!E25*0)</f>
        <v>14.700000000000003</v>
      </c>
      <c r="G26" s="47" t="s">
        <v>195</v>
      </c>
      <c r="H26" s="13" t="s">
        <v>199</v>
      </c>
    </row>
    <row r="27" spans="1:8" x14ac:dyDescent="0.25">
      <c r="A27" s="24"/>
      <c r="B27" s="12"/>
      <c r="C27" s="12"/>
      <c r="D27" s="41" t="s">
        <v>173</v>
      </c>
      <c r="E27" s="49">
        <f>$E$25-$E$26</f>
        <v>720.30000000000007</v>
      </c>
      <c r="G27" s="47" t="s">
        <v>196</v>
      </c>
      <c r="H27" s="13" t="s">
        <v>200</v>
      </c>
    </row>
    <row r="28" spans="1:8" ht="15.75" thickBot="1" x14ac:dyDescent="0.3">
      <c r="A28" s="24"/>
      <c r="B28" s="12"/>
      <c r="C28" s="12"/>
      <c r="D28" s="40" t="s">
        <v>174</v>
      </c>
      <c r="E28" s="50">
        <f>IF(AND($E$10="France",$E$27&lt;1000),40,IF(AND($E$10="France",$E$27&gt;=1000),70,80))</f>
        <v>40</v>
      </c>
      <c r="G28" s="47" t="s">
        <v>197</v>
      </c>
      <c r="H28" s="13" t="s">
        <v>201</v>
      </c>
    </row>
    <row r="29" spans="1:8" x14ac:dyDescent="0.25">
      <c r="A29" s="24"/>
      <c r="B29" s="12"/>
      <c r="C29" s="12"/>
      <c r="D29" s="41" t="s">
        <v>175</v>
      </c>
      <c r="E29" s="49"/>
    </row>
    <row r="30" spans="1:8" ht="15.75" thickBot="1" x14ac:dyDescent="0.3">
      <c r="A30" s="24"/>
      <c r="B30" s="12"/>
      <c r="C30" s="12"/>
      <c r="D30" s="40" t="s">
        <v>176</v>
      </c>
      <c r="E30" s="50">
        <f>$E$29*0.2</f>
        <v>0</v>
      </c>
    </row>
    <row r="31" spans="1:8" x14ac:dyDescent="0.25">
      <c r="A31" s="24"/>
      <c r="B31" s="12"/>
      <c r="C31" s="12"/>
      <c r="D31" s="41" t="s">
        <v>177</v>
      </c>
      <c r="E31" s="49"/>
    </row>
    <row r="32" spans="1:8" ht="15.75" thickBot="1" x14ac:dyDescent="0.3">
      <c r="A32" s="24"/>
      <c r="B32" s="12"/>
      <c r="C32" s="12"/>
      <c r="D32" s="40" t="s">
        <v>178</v>
      </c>
      <c r="E32" s="50"/>
    </row>
    <row r="33" spans="1:5" ht="15.75" thickBot="1" x14ac:dyDescent="0.3">
      <c r="A33" s="42"/>
      <c r="B33" s="43"/>
      <c r="C33" s="43"/>
      <c r="D33" s="44" t="s">
        <v>179</v>
      </c>
      <c r="E33" s="51"/>
    </row>
  </sheetData>
  <mergeCells count="4">
    <mergeCell ref="A2:B6"/>
    <mergeCell ref="G13:H13"/>
    <mergeCell ref="G19:H19"/>
    <mergeCell ref="G23:H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Clients</vt:lpstr>
      <vt:lpstr>Produits</vt:lpstr>
      <vt:lpstr>Fichier des commandes</vt:lpstr>
      <vt:lpstr>Commandes passées</vt:lpstr>
      <vt:lpstr>Facture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DjiDji</cp:lastModifiedBy>
  <cp:lastPrinted>2016-11-28T14:21:38Z</cp:lastPrinted>
  <dcterms:created xsi:type="dcterms:W3CDTF">2016-11-27T10:00:21Z</dcterms:created>
  <dcterms:modified xsi:type="dcterms:W3CDTF">2018-11-18T15:58:29Z</dcterms:modified>
</cp:coreProperties>
</file>