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AA154620-B649-450B-BD1C-5080B2993138}" xr6:coauthVersionLast="45" xr6:coauthVersionMax="45" xr10:uidLastSave="{00000000-0000-0000-0000-000000000000}"/>
  <bookViews>
    <workbookView xWindow="15" yWindow="0" windowWidth="19185" windowHeight="14760" tabRatio="336" firstSheet="1" activeTab="2" xr2:uid="{00000000-000D-0000-FFFF-FFFF00000000}"/>
  </bookViews>
  <sheets>
    <sheet name="Essai tcd" sheetId="7" r:id="rId1"/>
    <sheet name="Baes de données" sheetId="1" r:id="rId2"/>
    <sheet name="TCD" sheetId="2" r:id="rId3"/>
    <sheet name="Feuil3" sheetId="3" r:id="rId4"/>
    <sheet name="Feuil4" sheetId="4" r:id="rId5"/>
    <sheet name="Feuil5" sheetId="5" r:id="rId6"/>
    <sheet name="Feuil6" sheetId="6" r:id="rId7"/>
  </sheets>
  <definedNames>
    <definedName name="_xlnm._FilterDatabase" localSheetId="1" hidden="1">'Baes de données'!$V$1:$X$1</definedName>
    <definedName name="_xlnm._FilterDatabase" localSheetId="4" hidden="1">Feuil4!$A$3:$A$142</definedName>
    <definedName name="Segment_diam">#N/A</definedName>
    <definedName name="Segment_forme">#N/A</definedName>
    <definedName name="Segment_mat1">#N/A</definedName>
    <definedName name="Segment_mat2">#N/A</definedName>
    <definedName name="Segment_Origine">#N/A</definedName>
  </definedNames>
  <calcPr calcId="191029"/>
  <pivotCaches>
    <pivotCache cacheId="1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  <x14:slicerCache r:id="rId11"/>
        <x14:slicerCache r:id="rId12"/>
        <x14:slicerCache r:id="rId13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W1" i="1" l="1"/>
  <c r="X1" i="1"/>
  <c r="V1" i="1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E4" i="6" l="1"/>
  <c r="E3" i="6"/>
  <c r="R30" i="1" l="1"/>
  <c r="R28" i="1"/>
  <c r="R31" i="1"/>
  <c r="R32" i="1"/>
  <c r="R33" i="1"/>
  <c r="R38" i="1"/>
  <c r="R35" i="1"/>
  <c r="R36" i="1"/>
  <c r="R37" i="1"/>
  <c r="R41" i="1"/>
  <c r="R42" i="1"/>
  <c r="R43" i="1"/>
  <c r="R44" i="1"/>
  <c r="R45" i="1"/>
  <c r="R46" i="1"/>
  <c r="R48" i="1"/>
  <c r="R49" i="1"/>
  <c r="R50" i="1"/>
  <c r="R51" i="1"/>
  <c r="R52" i="1"/>
  <c r="R53" i="1"/>
  <c r="R54" i="1"/>
  <c r="R55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80" i="1"/>
  <c r="R78" i="1"/>
  <c r="R79" i="1"/>
  <c r="R83" i="1"/>
  <c r="R84" i="1"/>
  <c r="R85" i="1"/>
  <c r="R86" i="1"/>
  <c r="R87" i="1"/>
  <c r="R89" i="1"/>
  <c r="R90" i="1"/>
  <c r="R91" i="1"/>
  <c r="R92" i="1"/>
  <c r="R93" i="1"/>
  <c r="R94" i="1"/>
  <c r="R95" i="1"/>
  <c r="R96" i="1"/>
  <c r="R97" i="1"/>
  <c r="R98" i="1"/>
  <c r="R104" i="1"/>
  <c r="R105" i="1"/>
  <c r="R106" i="1"/>
  <c r="R109" i="1"/>
  <c r="R110" i="1"/>
  <c r="R112" i="1"/>
  <c r="R113" i="1"/>
  <c r="T113" i="1" l="1"/>
  <c r="T106" i="1"/>
  <c r="T105" i="1"/>
  <c r="T104" i="1"/>
  <c r="T97" i="1"/>
  <c r="T96" i="1"/>
  <c r="T95" i="1"/>
  <c r="T93" i="1"/>
  <c r="T91" i="1"/>
  <c r="T89" i="1"/>
  <c r="T86" i="1"/>
  <c r="T85" i="1"/>
  <c r="T83" i="1"/>
  <c r="T79" i="1"/>
  <c r="T80" i="1"/>
  <c r="T76" i="1"/>
  <c r="T74" i="1"/>
  <c r="T73" i="1"/>
  <c r="T72" i="1"/>
  <c r="T71" i="1"/>
  <c r="T69" i="1"/>
  <c r="T68" i="1"/>
  <c r="T66" i="1"/>
  <c r="T64" i="1"/>
  <c r="T55" i="1"/>
  <c r="T53" i="1"/>
  <c r="T52" i="1"/>
  <c r="T51" i="1"/>
  <c r="T50" i="1"/>
  <c r="T49" i="1"/>
  <c r="T46" i="1"/>
  <c r="T45" i="1"/>
  <c r="T43" i="1"/>
  <c r="T42" i="1"/>
  <c r="T37" i="1"/>
  <c r="T38" i="1"/>
  <c r="T33" i="1"/>
  <c r="T32" i="1"/>
  <c r="T30" i="1"/>
  <c r="T28" i="1"/>
  <c r="S113" i="1"/>
  <c r="S106" i="1"/>
  <c r="AB106" i="1" s="1"/>
  <c r="AC106" i="1" s="1"/>
  <c r="S105" i="1"/>
  <c r="S104" i="1"/>
  <c r="S97" i="1"/>
  <c r="S96" i="1"/>
  <c r="S95" i="1"/>
  <c r="AB95" i="1" s="1"/>
  <c r="AC95" i="1" s="1"/>
  <c r="S93" i="1"/>
  <c r="AB93" i="1" s="1"/>
  <c r="AC93" i="1" s="1"/>
  <c r="S91" i="1"/>
  <c r="S89" i="1"/>
  <c r="S86" i="1"/>
  <c r="AB86" i="1" s="1"/>
  <c r="AC86" i="1" s="1"/>
  <c r="S85" i="1"/>
  <c r="AB85" i="1" s="1"/>
  <c r="AC85" i="1" s="1"/>
  <c r="S83" i="1"/>
  <c r="S79" i="1"/>
  <c r="S80" i="1"/>
  <c r="S76" i="1"/>
  <c r="AB76" i="1" s="1"/>
  <c r="AC76" i="1" s="1"/>
  <c r="S74" i="1"/>
  <c r="AB74" i="1" s="1"/>
  <c r="AC74" i="1" s="1"/>
  <c r="S73" i="1"/>
  <c r="S72" i="1"/>
  <c r="S71" i="1"/>
  <c r="AB71" i="1" s="1"/>
  <c r="AC71" i="1" s="1"/>
  <c r="S69" i="1"/>
  <c r="S68" i="1"/>
  <c r="AB68" i="1" s="1"/>
  <c r="AC68" i="1" s="1"/>
  <c r="S66" i="1"/>
  <c r="S64" i="1"/>
  <c r="S55" i="1"/>
  <c r="AB55" i="1" s="1"/>
  <c r="AC55" i="1" s="1"/>
  <c r="S53" i="1"/>
  <c r="S52" i="1"/>
  <c r="S51" i="1"/>
  <c r="S50" i="1"/>
  <c r="AB50" i="1" s="1"/>
  <c r="AC50" i="1" s="1"/>
  <c r="S49" i="1"/>
  <c r="S46" i="1"/>
  <c r="AB46" i="1" s="1"/>
  <c r="AC46" i="1" s="1"/>
  <c r="S45" i="1"/>
  <c r="AB45" i="1" s="1"/>
  <c r="AC45" i="1" s="1"/>
  <c r="S43" i="1"/>
  <c r="S42" i="1"/>
  <c r="S37" i="1"/>
  <c r="S38" i="1"/>
  <c r="AB38" i="1" s="1"/>
  <c r="AC38" i="1" s="1"/>
  <c r="S33" i="1"/>
  <c r="S32" i="1"/>
  <c r="S30" i="1"/>
  <c r="AB30" i="1" s="1"/>
  <c r="AC30" i="1" s="1"/>
  <c r="S28" i="1"/>
  <c r="AB28" i="1" s="1"/>
  <c r="AC28" i="1" s="1"/>
  <c r="S112" i="1"/>
  <c r="S110" i="1"/>
  <c r="AB110" i="1" s="1"/>
  <c r="AC110" i="1" s="1"/>
  <c r="S109" i="1"/>
  <c r="AB109" i="1" s="1"/>
  <c r="AC109" i="1" s="1"/>
  <c r="S98" i="1"/>
  <c r="AB98" i="1" s="1"/>
  <c r="AC98" i="1" s="1"/>
  <c r="S94" i="1"/>
  <c r="AB94" i="1" s="1"/>
  <c r="AC94" i="1" s="1"/>
  <c r="S92" i="1"/>
  <c r="S90" i="1"/>
  <c r="AB90" i="1" s="1"/>
  <c r="AC90" i="1" s="1"/>
  <c r="S87" i="1"/>
  <c r="S84" i="1"/>
  <c r="AB84" i="1" s="1"/>
  <c r="AC84" i="1" s="1"/>
  <c r="S78" i="1"/>
  <c r="AB78" i="1" s="1"/>
  <c r="AC78" i="1" s="1"/>
  <c r="S77" i="1"/>
  <c r="S75" i="1"/>
  <c r="AB75" i="1" s="1"/>
  <c r="AC75" i="1" s="1"/>
  <c r="S70" i="1"/>
  <c r="S67" i="1"/>
  <c r="AB67" i="1" s="1"/>
  <c r="AC67" i="1" s="1"/>
  <c r="S65" i="1"/>
  <c r="S63" i="1"/>
  <c r="AB63" i="1" s="1"/>
  <c r="AC63" i="1" s="1"/>
  <c r="S62" i="1"/>
  <c r="S61" i="1"/>
  <c r="S54" i="1"/>
  <c r="AB54" i="1" s="1"/>
  <c r="AC54" i="1" s="1"/>
  <c r="S48" i="1"/>
  <c r="S44" i="1"/>
  <c r="S41" i="1"/>
  <c r="AB41" i="1" s="1"/>
  <c r="AC41" i="1" s="1"/>
  <c r="S36" i="1"/>
  <c r="S35" i="1"/>
  <c r="AB35" i="1" s="1"/>
  <c r="AC35" i="1" s="1"/>
  <c r="S31" i="1"/>
  <c r="Z28" i="1" l="1"/>
  <c r="AA28" i="1" s="1"/>
  <c r="AE28" i="1" s="1"/>
  <c r="Z30" i="1"/>
  <c r="AA30" i="1" s="1"/>
  <c r="AE30" i="1" s="1"/>
  <c r="Z90" i="1"/>
  <c r="AA90" i="1" s="1"/>
  <c r="AE90" i="1" s="1"/>
  <c r="Z71" i="1"/>
  <c r="AA71" i="1" s="1"/>
  <c r="AE71" i="1" s="1"/>
  <c r="Z50" i="1"/>
  <c r="AA50" i="1" s="1"/>
  <c r="AE50" i="1" s="1"/>
  <c r="Z42" i="1"/>
  <c r="AA42" i="1" s="1"/>
  <c r="AB42" i="1"/>
  <c r="AC42" i="1" s="1"/>
  <c r="Z49" i="1"/>
  <c r="AA49" i="1" s="1"/>
  <c r="AB49" i="1"/>
  <c r="AC49" i="1" s="1"/>
  <c r="AB89" i="1"/>
  <c r="AC89" i="1" s="1"/>
  <c r="Z89" i="1"/>
  <c r="AA89" i="1" s="1"/>
  <c r="Z77" i="1"/>
  <c r="AA77" i="1" s="1"/>
  <c r="AB77" i="1"/>
  <c r="AC77" i="1" s="1"/>
  <c r="Z37" i="1"/>
  <c r="AA37" i="1" s="1"/>
  <c r="AB37" i="1"/>
  <c r="AC37" i="1" s="1"/>
  <c r="Z52" i="1"/>
  <c r="AA52" i="1" s="1"/>
  <c r="AB52" i="1"/>
  <c r="AC52" i="1" s="1"/>
  <c r="AB66" i="1"/>
  <c r="AC66" i="1" s="1"/>
  <c r="Z66" i="1"/>
  <c r="AA66" i="1" s="1"/>
  <c r="AB72" i="1"/>
  <c r="AC72" i="1" s="1"/>
  <c r="Z72" i="1"/>
  <c r="AA72" i="1" s="1"/>
  <c r="AB80" i="1"/>
  <c r="AC80" i="1" s="1"/>
  <c r="Z80" i="1"/>
  <c r="AA80" i="1" s="1"/>
  <c r="Z105" i="1"/>
  <c r="AA105" i="1" s="1"/>
  <c r="AB105" i="1"/>
  <c r="AC105" i="1" s="1"/>
  <c r="Z106" i="1"/>
  <c r="AA106" i="1" s="1"/>
  <c r="AE106" i="1" s="1"/>
  <c r="Z68" i="1"/>
  <c r="AA68" i="1" s="1"/>
  <c r="AE68" i="1" s="1"/>
  <c r="Z45" i="1"/>
  <c r="AA45" i="1" s="1"/>
  <c r="AE45" i="1" s="1"/>
  <c r="Z67" i="1"/>
  <c r="AA67" i="1" s="1"/>
  <c r="AE67" i="1" s="1"/>
  <c r="Z85" i="1"/>
  <c r="AA85" i="1" s="1"/>
  <c r="AE85" i="1" s="1"/>
  <c r="Z109" i="1"/>
  <c r="AA109" i="1" s="1"/>
  <c r="AE109" i="1" s="1"/>
  <c r="Z93" i="1"/>
  <c r="AA93" i="1" s="1"/>
  <c r="AE93" i="1" s="1"/>
  <c r="Z55" i="1"/>
  <c r="AA55" i="1" s="1"/>
  <c r="AE55" i="1" s="1"/>
  <c r="Z95" i="1"/>
  <c r="AA95" i="1" s="1"/>
  <c r="AE95" i="1" s="1"/>
  <c r="Z92" i="1"/>
  <c r="AA92" i="1" s="1"/>
  <c r="AB92" i="1"/>
  <c r="AC92" i="1" s="1"/>
  <c r="Z32" i="1"/>
  <c r="AA32" i="1" s="1"/>
  <c r="AB32" i="1"/>
  <c r="AC32" i="1" s="1"/>
  <c r="AB53" i="1"/>
  <c r="AC53" i="1" s="1"/>
  <c r="Z53" i="1"/>
  <c r="AA53" i="1" s="1"/>
  <c r="Z73" i="1"/>
  <c r="AA73" i="1" s="1"/>
  <c r="AB73" i="1"/>
  <c r="AC73" i="1" s="1"/>
  <c r="Z79" i="1"/>
  <c r="AA79" i="1" s="1"/>
  <c r="AB79" i="1"/>
  <c r="AC79" i="1" s="1"/>
  <c r="Z36" i="1"/>
  <c r="AA36" i="1" s="1"/>
  <c r="AB36" i="1"/>
  <c r="AC36" i="1" s="1"/>
  <c r="Z65" i="1"/>
  <c r="AA65" i="1" s="1"/>
  <c r="AB65" i="1"/>
  <c r="AC65" i="1" s="1"/>
  <c r="Z48" i="1"/>
  <c r="AA48" i="1" s="1"/>
  <c r="AB48" i="1"/>
  <c r="AC48" i="1" s="1"/>
  <c r="Z87" i="1"/>
  <c r="AA87" i="1" s="1"/>
  <c r="AB87" i="1"/>
  <c r="AC87" i="1" s="1"/>
  <c r="AB51" i="1"/>
  <c r="AC51" i="1" s="1"/>
  <c r="Z51" i="1"/>
  <c r="AA51" i="1" s="1"/>
  <c r="Z64" i="1"/>
  <c r="AA64" i="1" s="1"/>
  <c r="AB64" i="1"/>
  <c r="AC64" i="1" s="1"/>
  <c r="Z104" i="1"/>
  <c r="AA104" i="1" s="1"/>
  <c r="AB104" i="1"/>
  <c r="AC104" i="1" s="1"/>
  <c r="Z110" i="1"/>
  <c r="AA110" i="1" s="1"/>
  <c r="AE110" i="1" s="1"/>
  <c r="Z41" i="1"/>
  <c r="AA41" i="1" s="1"/>
  <c r="AE41" i="1" s="1"/>
  <c r="Z63" i="1"/>
  <c r="AA63" i="1" s="1"/>
  <c r="AE63" i="1" s="1"/>
  <c r="Z78" i="1"/>
  <c r="AA78" i="1" s="1"/>
  <c r="AE78" i="1" s="1"/>
  <c r="Z98" i="1"/>
  <c r="AA98" i="1" s="1"/>
  <c r="AE98" i="1" s="1"/>
  <c r="Z84" i="1"/>
  <c r="AA84" i="1" s="1"/>
  <c r="AE84" i="1" s="1"/>
  <c r="Z46" i="1"/>
  <c r="AA46" i="1" s="1"/>
  <c r="AE46" i="1" s="1"/>
  <c r="Z86" i="1"/>
  <c r="AA86" i="1" s="1"/>
  <c r="AE86" i="1" s="1"/>
  <c r="Z61" i="1"/>
  <c r="AA61" i="1" s="1"/>
  <c r="AB61" i="1"/>
  <c r="AC61" i="1" s="1"/>
  <c r="Z96" i="1"/>
  <c r="AA96" i="1" s="1"/>
  <c r="AB96" i="1"/>
  <c r="AC96" i="1" s="1"/>
  <c r="Z31" i="1"/>
  <c r="AA31" i="1" s="1"/>
  <c r="AB31" i="1"/>
  <c r="AC31" i="1" s="1"/>
  <c r="AB44" i="1"/>
  <c r="AC44" i="1" s="1"/>
  <c r="Z44" i="1"/>
  <c r="AA44" i="1" s="1"/>
  <c r="Z62" i="1"/>
  <c r="AA62" i="1" s="1"/>
  <c r="AB62" i="1"/>
  <c r="AC62" i="1" s="1"/>
  <c r="Z70" i="1"/>
  <c r="AA70" i="1" s="1"/>
  <c r="AB70" i="1"/>
  <c r="AC70" i="1" s="1"/>
  <c r="Z112" i="1"/>
  <c r="AA112" i="1" s="1"/>
  <c r="AB112" i="1"/>
  <c r="AC112" i="1" s="1"/>
  <c r="AB33" i="1"/>
  <c r="AC33" i="1" s="1"/>
  <c r="Z33" i="1"/>
  <c r="AA33" i="1" s="1"/>
  <c r="Z43" i="1"/>
  <c r="AA43" i="1" s="1"/>
  <c r="AB43" i="1"/>
  <c r="AC43" i="1" s="1"/>
  <c r="Z69" i="1"/>
  <c r="AA69" i="1" s="1"/>
  <c r="AB69" i="1"/>
  <c r="AC69" i="1" s="1"/>
  <c r="Z83" i="1"/>
  <c r="AA83" i="1" s="1"/>
  <c r="AB83" i="1"/>
  <c r="AC83" i="1" s="1"/>
  <c r="AB91" i="1"/>
  <c r="AC91" i="1" s="1"/>
  <c r="Z91" i="1"/>
  <c r="AA91" i="1" s="1"/>
  <c r="AB97" i="1"/>
  <c r="AC97" i="1" s="1"/>
  <c r="Z97" i="1"/>
  <c r="AA97" i="1" s="1"/>
  <c r="Z113" i="1"/>
  <c r="AA113" i="1" s="1"/>
  <c r="AB113" i="1"/>
  <c r="AC113" i="1" s="1"/>
  <c r="Z38" i="1"/>
  <c r="AA38" i="1" s="1"/>
  <c r="AE38" i="1" s="1"/>
  <c r="Z54" i="1"/>
  <c r="AA54" i="1" s="1"/>
  <c r="AE54" i="1" s="1"/>
  <c r="Z75" i="1"/>
  <c r="AA75" i="1" s="1"/>
  <c r="AE75" i="1" s="1"/>
  <c r="Z94" i="1"/>
  <c r="AA94" i="1" s="1"/>
  <c r="AE94" i="1" s="1"/>
  <c r="Z74" i="1"/>
  <c r="AA74" i="1" s="1"/>
  <c r="AE74" i="1" s="1"/>
  <c r="Z35" i="1"/>
  <c r="AA35" i="1" s="1"/>
  <c r="AE35" i="1" s="1"/>
  <c r="Z76" i="1"/>
  <c r="AA76" i="1" s="1"/>
  <c r="AE76" i="1" s="1"/>
  <c r="U113" i="1"/>
  <c r="T112" i="1"/>
  <c r="T110" i="1"/>
  <c r="T109" i="1"/>
  <c r="T98" i="1"/>
  <c r="T94" i="1"/>
  <c r="T92" i="1"/>
  <c r="T90" i="1"/>
  <c r="T87" i="1"/>
  <c r="T84" i="1"/>
  <c r="T78" i="1"/>
  <c r="T77" i="1"/>
  <c r="T75" i="1"/>
  <c r="T70" i="1"/>
  <c r="T67" i="1"/>
  <c r="T65" i="1"/>
  <c r="T63" i="1"/>
  <c r="T62" i="1"/>
  <c r="T61" i="1"/>
  <c r="T54" i="1"/>
  <c r="T48" i="1"/>
  <c r="T44" i="1"/>
  <c r="T41" i="1"/>
  <c r="T36" i="1"/>
  <c r="T35" i="1"/>
  <c r="T31" i="1"/>
  <c r="AD113" i="1" l="1"/>
  <c r="AE105" i="1"/>
  <c r="AE52" i="1"/>
  <c r="AE77" i="1"/>
  <c r="AE49" i="1"/>
  <c r="AE91" i="1"/>
  <c r="AE33" i="1"/>
  <c r="AE44" i="1"/>
  <c r="AE51" i="1"/>
  <c r="AE83" i="1"/>
  <c r="AE43" i="1"/>
  <c r="AE112" i="1"/>
  <c r="AE62" i="1"/>
  <c r="AE31" i="1"/>
  <c r="AE61" i="1"/>
  <c r="AE64" i="1"/>
  <c r="AE87" i="1"/>
  <c r="AE65" i="1"/>
  <c r="AE79" i="1"/>
  <c r="AE92" i="1"/>
  <c r="AE37" i="1"/>
  <c r="AE42" i="1"/>
  <c r="AE80" i="1"/>
  <c r="AE66" i="1"/>
  <c r="AE89" i="1"/>
  <c r="AE97" i="1"/>
  <c r="AE53" i="1"/>
  <c r="AE113" i="1"/>
  <c r="AE69" i="1"/>
  <c r="AE70" i="1"/>
  <c r="AE96" i="1"/>
  <c r="AE104" i="1"/>
  <c r="AE48" i="1"/>
  <c r="AE36" i="1"/>
  <c r="AE73" i="1"/>
  <c r="AE32" i="1"/>
  <c r="AE72" i="1"/>
  <c r="U62" i="1"/>
  <c r="U112" i="1"/>
  <c r="U110" i="1"/>
  <c r="U109" i="1"/>
  <c r="U106" i="1"/>
  <c r="U105" i="1"/>
  <c r="U104" i="1"/>
  <c r="U98" i="1"/>
  <c r="U97" i="1"/>
  <c r="U96" i="1"/>
  <c r="U95" i="1"/>
  <c r="U94" i="1"/>
  <c r="AL93" i="1"/>
  <c r="AJ93" i="1"/>
  <c r="AM93" i="1" s="1"/>
  <c r="AI93" i="1"/>
  <c r="U93" i="1"/>
  <c r="U92" i="1"/>
  <c r="AL91" i="1"/>
  <c r="AJ91" i="1"/>
  <c r="AM91" i="1" s="1"/>
  <c r="AI91" i="1"/>
  <c r="U91" i="1"/>
  <c r="U90" i="1"/>
  <c r="AL89" i="1"/>
  <c r="AJ89" i="1"/>
  <c r="AM89" i="1" s="1"/>
  <c r="AI89" i="1"/>
  <c r="U89" i="1"/>
  <c r="U87" i="1"/>
  <c r="AL86" i="1"/>
  <c r="AJ86" i="1"/>
  <c r="AM86" i="1" s="1"/>
  <c r="AI86" i="1"/>
  <c r="U86" i="1"/>
  <c r="U85" i="1"/>
  <c r="U84" i="1"/>
  <c r="AL83" i="1"/>
  <c r="AJ83" i="1"/>
  <c r="AM83" i="1" s="1"/>
  <c r="AI83" i="1"/>
  <c r="U83" i="1"/>
  <c r="U79" i="1"/>
  <c r="U78" i="1"/>
  <c r="AL80" i="1"/>
  <c r="AJ80" i="1"/>
  <c r="AM80" i="1" s="1"/>
  <c r="AI80" i="1"/>
  <c r="U80" i="1"/>
  <c r="U77" i="1"/>
  <c r="U76" i="1"/>
  <c r="U75" i="1"/>
  <c r="AL74" i="1"/>
  <c r="AJ74" i="1"/>
  <c r="AM74" i="1" s="1"/>
  <c r="AI74" i="1"/>
  <c r="U74" i="1"/>
  <c r="U73" i="1"/>
  <c r="U72" i="1"/>
  <c r="AL71" i="1"/>
  <c r="AJ71" i="1"/>
  <c r="AM71" i="1" s="1"/>
  <c r="AI71" i="1"/>
  <c r="U71" i="1"/>
  <c r="U70" i="1"/>
  <c r="U69" i="1"/>
  <c r="U68" i="1"/>
  <c r="U67" i="1"/>
  <c r="AL66" i="1"/>
  <c r="AJ66" i="1"/>
  <c r="AM66" i="1" s="1"/>
  <c r="AI66" i="1"/>
  <c r="U66" i="1"/>
  <c r="U65" i="1"/>
  <c r="AL64" i="1"/>
  <c r="AJ64" i="1"/>
  <c r="AM64" i="1" s="1"/>
  <c r="AI64" i="1"/>
  <c r="U64" i="1"/>
  <c r="U63" i="1"/>
  <c r="U61" i="1"/>
  <c r="U55" i="1"/>
  <c r="U54" i="1"/>
  <c r="U53" i="1"/>
  <c r="U52" i="1"/>
  <c r="U51" i="1"/>
  <c r="U50" i="1"/>
  <c r="U49" i="1"/>
  <c r="U48" i="1"/>
  <c r="U46" i="1"/>
  <c r="U45" i="1"/>
  <c r="U44" i="1"/>
  <c r="U43" i="1"/>
  <c r="U42" i="1"/>
  <c r="U41" i="1"/>
  <c r="U37" i="1"/>
  <c r="U36" i="1"/>
  <c r="U35" i="1"/>
  <c r="U38" i="1"/>
  <c r="U33" i="1"/>
  <c r="U32" i="1"/>
  <c r="U31" i="1"/>
  <c r="U30" i="1"/>
  <c r="U28" i="1"/>
  <c r="AF113" i="1" l="1"/>
  <c r="AD44" i="1"/>
  <c r="AD75" i="1"/>
  <c r="AF75" i="1" s="1"/>
  <c r="AD90" i="1"/>
  <c r="AF90" i="1" s="1"/>
  <c r="AD96" i="1"/>
  <c r="AF96" i="1" s="1"/>
  <c r="AD112" i="1"/>
  <c r="AF112" i="1" s="1"/>
  <c r="AD41" i="1"/>
  <c r="AF41" i="1" s="1"/>
  <c r="AD45" i="1"/>
  <c r="AF45" i="1" s="1"/>
  <c r="AD70" i="1"/>
  <c r="AF70" i="1" s="1"/>
  <c r="AD76" i="1"/>
  <c r="AF76" i="1" s="1"/>
  <c r="AD92" i="1"/>
  <c r="AF92" i="1" s="1"/>
  <c r="AD106" i="1"/>
  <c r="AF106" i="1" s="1"/>
  <c r="AD31" i="1"/>
  <c r="AF31" i="1" s="1"/>
  <c r="AD35" i="1"/>
  <c r="AF35" i="1" s="1"/>
  <c r="AD42" i="1"/>
  <c r="AF42" i="1" s="1"/>
  <c r="AD46" i="1"/>
  <c r="AF46" i="1" s="1"/>
  <c r="AD55" i="1"/>
  <c r="AF55" i="1" s="1"/>
  <c r="AD67" i="1"/>
  <c r="AF67" i="1" s="1"/>
  <c r="AD77" i="1"/>
  <c r="AF77" i="1" s="1"/>
  <c r="AD85" i="1"/>
  <c r="AF85" i="1" s="1"/>
  <c r="AD94" i="1"/>
  <c r="AF94" i="1" s="1"/>
  <c r="AD98" i="1"/>
  <c r="AF98" i="1" s="1"/>
  <c r="AD109" i="1"/>
  <c r="AF109" i="1" s="1"/>
  <c r="AD28" i="1"/>
  <c r="AF28" i="1" s="1"/>
  <c r="AD37" i="1"/>
  <c r="AF37" i="1" s="1"/>
  <c r="AD49" i="1"/>
  <c r="AF49" i="1" s="1"/>
  <c r="AD63" i="1"/>
  <c r="AF63" i="1" s="1"/>
  <c r="AD79" i="1"/>
  <c r="AF79" i="1" s="1"/>
  <c r="AD54" i="1"/>
  <c r="AF54" i="1" s="1"/>
  <c r="AD65" i="1"/>
  <c r="AF65" i="1" s="1"/>
  <c r="AD84" i="1"/>
  <c r="AF84" i="1" s="1"/>
  <c r="AD97" i="1"/>
  <c r="AF97" i="1" s="1"/>
  <c r="AD62" i="1"/>
  <c r="AF62" i="1" s="1"/>
  <c r="AD32" i="1"/>
  <c r="AF32" i="1" s="1"/>
  <c r="AD36" i="1"/>
  <c r="AF36" i="1" s="1"/>
  <c r="AD48" i="1"/>
  <c r="AF48" i="1" s="1"/>
  <c r="AD52" i="1"/>
  <c r="AF52" i="1" s="1"/>
  <c r="AD61" i="1"/>
  <c r="AF61" i="1" s="1"/>
  <c r="AD68" i="1"/>
  <c r="AF68" i="1" s="1"/>
  <c r="AD73" i="1"/>
  <c r="AF73" i="1" s="1"/>
  <c r="AD78" i="1"/>
  <c r="AF78" i="1" s="1"/>
  <c r="AD87" i="1"/>
  <c r="AF87" i="1" s="1"/>
  <c r="AD95" i="1"/>
  <c r="AF95" i="1" s="1"/>
  <c r="AD104" i="1"/>
  <c r="AF104" i="1" s="1"/>
  <c r="AD110" i="1"/>
  <c r="AF110" i="1" s="1"/>
  <c r="AD66" i="1"/>
  <c r="AF66" i="1" s="1"/>
  <c r="AD71" i="1"/>
  <c r="AF71" i="1" s="1"/>
  <c r="AD93" i="1"/>
  <c r="AF93" i="1" s="1"/>
  <c r="AD33" i="1"/>
  <c r="AF33" i="1" s="1"/>
  <c r="AD53" i="1"/>
  <c r="AF53" i="1" s="1"/>
  <c r="AD69" i="1"/>
  <c r="AF69" i="1" s="1"/>
  <c r="AD74" i="1"/>
  <c r="AF74" i="1" s="1"/>
  <c r="AD89" i="1"/>
  <c r="AF89" i="1" s="1"/>
  <c r="AD105" i="1"/>
  <c r="AF105" i="1" s="1"/>
  <c r="AD51" i="1"/>
  <c r="AF51" i="1" s="1"/>
  <c r="AD72" i="1"/>
  <c r="AF72" i="1" s="1"/>
  <c r="AD43" i="1"/>
  <c r="AF43" i="1" s="1"/>
  <c r="AD80" i="1"/>
  <c r="AF80" i="1" s="1"/>
  <c r="AD86" i="1"/>
  <c r="AF86" i="1" s="1"/>
  <c r="AD38" i="1"/>
  <c r="AF38" i="1" s="1"/>
  <c r="AD50" i="1"/>
  <c r="AF50" i="1" s="1"/>
  <c r="AD64" i="1"/>
  <c r="AF64" i="1" s="1"/>
  <c r="AD83" i="1"/>
  <c r="AF83" i="1" s="1"/>
  <c r="AD91" i="1"/>
  <c r="AF91" i="1" s="1"/>
  <c r="AD30" i="1"/>
  <c r="AF30" i="1" s="1"/>
  <c r="AF44" i="1"/>
  <c r="AD26" i="1"/>
  <c r="AK89" i="1"/>
  <c r="AK80" i="1"/>
  <c r="AK74" i="1"/>
  <c r="AK86" i="1"/>
  <c r="AK91" i="1"/>
  <c r="AK93" i="1"/>
  <c r="AK64" i="1"/>
  <c r="AK66" i="1"/>
  <c r="AK71" i="1"/>
  <c r="AK83" i="1"/>
  <c r="Q13" i="5" l="1"/>
  <c r="Q12" i="5"/>
  <c r="R11" i="5"/>
  <c r="Q11" i="5"/>
  <c r="AA4" i="5"/>
  <c r="Q4" i="5"/>
  <c r="P4" i="5"/>
</calcChain>
</file>

<file path=xl/sharedStrings.xml><?xml version="1.0" encoding="utf-8"?>
<sst xmlns="http://schemas.openxmlformats.org/spreadsheetml/2006/main" count="604" uniqueCount="77">
  <si>
    <t>Facture N°</t>
  </si>
  <si>
    <t>N° déclarat° export</t>
  </si>
  <si>
    <t>Date déclarat° export</t>
  </si>
  <si>
    <t>Réf article</t>
  </si>
  <si>
    <t>Désignation</t>
  </si>
  <si>
    <t>N° fiche Tech</t>
  </si>
  <si>
    <t>N° déclarat° import</t>
  </si>
  <si>
    <t>Qté livrée</t>
  </si>
  <si>
    <t>Poids net/ pièce</t>
  </si>
  <si>
    <t>LG PCE</t>
  </si>
  <si>
    <t>NBRE PCE/BAR</t>
  </si>
  <si>
    <t>Participat° dans la FB</t>
  </si>
  <si>
    <t>Poids brut/pièce</t>
  </si>
  <si>
    <t>Poids brut total</t>
  </si>
  <si>
    <t xml:space="preserve">Poids copeaux/
pièce
</t>
  </si>
  <si>
    <t>Poids déchet  copeaux total</t>
  </si>
  <si>
    <t>Poids déchet  fin de barre total</t>
  </si>
  <si>
    <t>% Déchet</t>
  </si>
  <si>
    <t>ACIER</t>
  </si>
  <si>
    <t>S 300 Pb</t>
  </si>
  <si>
    <t>Rond</t>
  </si>
  <si>
    <t>Hex</t>
  </si>
  <si>
    <t>INSERT M10</t>
  </si>
  <si>
    <t>LAITON</t>
  </si>
  <si>
    <t>INSERTO ESAG,M6 8*6</t>
  </si>
  <si>
    <t>BRONZINA 16/18X10.3</t>
  </si>
  <si>
    <t>E35530672 F</t>
  </si>
  <si>
    <t>ARMATURE INTERIEUR ZINGUE</t>
  </si>
  <si>
    <t>LE1PM2118S112249-A</t>
  </si>
  <si>
    <t>EMBOUT H 11.5</t>
  </si>
  <si>
    <t>INOX 304 L</t>
  </si>
  <si>
    <t>LE1PM2118S112250-B</t>
  </si>
  <si>
    <t>EMBOUT H 10</t>
  </si>
  <si>
    <t>HEX</t>
  </si>
  <si>
    <t>ROND</t>
  </si>
  <si>
    <t>INSERTI M8 12*12 laiton hex12</t>
  </si>
  <si>
    <t>510090</t>
  </si>
  <si>
    <t xml:space="preserve"> POIDS/ BAR</t>
  </si>
  <si>
    <t>larg</t>
  </si>
  <si>
    <t>lg</t>
  </si>
  <si>
    <t>num fact2020</t>
  </si>
  <si>
    <t>N° FACTUTRE</t>
  </si>
  <si>
    <t>N° DEC</t>
  </si>
  <si>
    <t>200200</t>
  </si>
  <si>
    <t>EMBOUT DE TIGE</t>
  </si>
  <si>
    <t>PERNO DISINNESTO RULLO G16922290</t>
  </si>
  <si>
    <t>INSERT D8</t>
  </si>
  <si>
    <t>INSERT LAITON D8</t>
  </si>
  <si>
    <t>POIDS NET TOTAL</t>
  </si>
  <si>
    <t>POIDS BRUT/PCE</t>
  </si>
  <si>
    <t>POIDS COPEAUX/PCE</t>
  </si>
  <si>
    <t>POIDS COPEAUX TOTAL</t>
  </si>
  <si>
    <t xml:space="preserve">POIDS DECHET total </t>
  </si>
  <si>
    <t>vente</t>
  </si>
  <si>
    <t>achat</t>
  </si>
  <si>
    <t>30*22</t>
  </si>
  <si>
    <t>Carrée</t>
  </si>
  <si>
    <t>STOCK INITIAL</t>
  </si>
  <si>
    <t xml:space="preserve">TUBE </t>
  </si>
  <si>
    <t>Origine</t>
  </si>
  <si>
    <t>mat1</t>
  </si>
  <si>
    <t>mat2</t>
  </si>
  <si>
    <t>forme</t>
  </si>
  <si>
    <t>diam</t>
  </si>
  <si>
    <t>vide1</t>
  </si>
  <si>
    <t>vide2</t>
  </si>
  <si>
    <t>Participat° dans la FB2</t>
  </si>
  <si>
    <t>Poids déchet  fin de barre total3</t>
  </si>
  <si>
    <t>Total général</t>
  </si>
  <si>
    <t>POIDS BRUT UTILISE (Kg)</t>
  </si>
  <si>
    <t>QTE ACHETEE (Kg)</t>
  </si>
  <si>
    <t>QTE STOCK INIT (Kg)</t>
  </si>
  <si>
    <t>stock (Kg)</t>
  </si>
  <si>
    <t>Somme de QTE ACHETEE (Kg)</t>
  </si>
  <si>
    <t>Somme de QTE STOCK INIT (Kg)</t>
  </si>
  <si>
    <t>Somme de POIDS BRUT UTILISE (Kg)</t>
  </si>
  <si>
    <t>Somme de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</si>
</sst>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/yy;@"/>
    <numFmt numFmtId="165" formatCode="0.000"/>
    <numFmt numFmtId="166" formatCode="#,##0.000000&quot; Kg&quot;"/>
    <numFmt numFmtId="167" formatCode="#,##0.000&quot; Kg&quot;"/>
    <numFmt numFmtId="168" formatCode="#,##0.00000&quot; Kg&quot;"/>
    <numFmt numFmtId="169" formatCode="0;0;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u/>
      <sz val="12.3"/>
      <color theme="10"/>
      <name val="Calibri"/>
      <family val="2"/>
    </font>
    <font>
      <sz val="10"/>
      <name val="Cambria"/>
      <family val="1"/>
      <scheme val="major"/>
    </font>
    <font>
      <sz val="10"/>
      <color rgb="FFFF0000"/>
      <name val="Cambria"/>
      <family val="1"/>
      <scheme val="major"/>
    </font>
    <font>
      <sz val="10"/>
      <color theme="1"/>
      <name val="Cambria"/>
      <family val="1"/>
      <scheme val="major"/>
    </font>
    <font>
      <sz val="10"/>
      <color rgb="FF000000"/>
      <name val="Cambria"/>
      <family val="1"/>
      <scheme val="major"/>
    </font>
    <font>
      <sz val="10"/>
      <name val="Arial"/>
      <family val="2"/>
    </font>
    <font>
      <u/>
      <sz val="11"/>
      <color theme="10"/>
      <name val="Calibri"/>
      <family val="2"/>
    </font>
    <font>
      <sz val="11"/>
      <name val="Calibri"/>
      <family val="2"/>
    </font>
    <font>
      <sz val="11"/>
      <name val="Calibri"/>
      <family val="2"/>
      <scheme val="minor"/>
    </font>
    <font>
      <sz val="9"/>
      <color theme="1"/>
      <name val="Cambria"/>
      <family val="1"/>
      <scheme val="major"/>
    </font>
    <font>
      <b/>
      <sz val="1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lightTrellis"/>
    </fill>
    <fill>
      <patternFill patternType="solid">
        <fgColor rgb="FF00B0F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8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9" fontId="1" fillId="0" borderId="0" applyFont="0" applyFill="0" applyBorder="0" applyAlignment="0" applyProtection="0"/>
    <xf numFmtId="0" fontId="2" fillId="0" borderId="0">
      <alignment vertical="top"/>
    </xf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23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65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6" fontId="4" fillId="0" borderId="1" xfId="0" applyNumberFormat="1" applyFont="1" applyFill="1" applyBorder="1" applyAlignment="1">
      <alignment horizontal="center" vertical="center" wrapText="1"/>
    </xf>
    <xf numFmtId="167" fontId="4" fillId="0" borderId="1" xfId="0" applyNumberFormat="1" applyFont="1" applyFill="1" applyBorder="1" applyAlignment="1">
      <alignment horizontal="center" vertical="center" wrapText="1"/>
    </xf>
    <xf numFmtId="166" fontId="7" fillId="0" borderId="1" xfId="0" applyNumberFormat="1" applyFont="1" applyFill="1" applyBorder="1" applyAlignment="1">
      <alignment horizontal="center" vertical="center" wrapText="1"/>
    </xf>
    <xf numFmtId="167" fontId="7" fillId="0" borderId="1" xfId="0" applyNumberFormat="1" applyFont="1" applyFill="1" applyBorder="1" applyAlignment="1">
      <alignment horizontal="center" vertical="center" wrapText="1"/>
    </xf>
    <xf numFmtId="10" fontId="6" fillId="0" borderId="3" xfId="1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Fill="1" applyBorder="1" applyAlignment="1">
      <alignment horizontal="center" vertical="center" wrapText="1"/>
    </xf>
    <xf numFmtId="3" fontId="7" fillId="0" borderId="1" xfId="0" applyNumberFormat="1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68" fontId="7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0" fontId="6" fillId="0" borderId="0" xfId="1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7" fontId="7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165" fontId="6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 wrapText="1"/>
    </xf>
    <xf numFmtId="3" fontId="7" fillId="0" borderId="0" xfId="0" applyNumberFormat="1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7" fontId="4" fillId="0" borderId="0" xfId="0" applyNumberFormat="1" applyFont="1" applyFill="1" applyBorder="1" applyAlignment="1">
      <alignment horizontal="center" vertical="center" wrapText="1"/>
    </xf>
    <xf numFmtId="166" fontId="4" fillId="6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167" fontId="4" fillId="3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14" fontId="8" fillId="0" borderId="6" xfId="0" applyNumberFormat="1" applyFont="1" applyFill="1" applyBorder="1" applyAlignment="1">
      <alignment horizontal="center" vertical="center"/>
    </xf>
    <xf numFmtId="0" fontId="8" fillId="0" borderId="1" xfId="6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14" fontId="8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7" applyFont="1" applyFill="1" applyBorder="1" applyAlignment="1" applyProtection="1">
      <alignment horizontal="center" vertical="center"/>
      <protection locked="0"/>
    </xf>
    <xf numFmtId="0" fontId="11" fillId="0" borderId="1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>
      <alignment horizontal="center" vertical="center" wrapText="1"/>
    </xf>
    <xf numFmtId="3" fontId="4" fillId="0" borderId="5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>
      <alignment horizontal="center" vertical="center" wrapText="1"/>
    </xf>
    <xf numFmtId="166" fontId="4" fillId="0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7" fontId="7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3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3" fontId="6" fillId="0" borderId="9" xfId="0" applyNumberFormat="1" applyFont="1" applyFill="1" applyBorder="1" applyAlignment="1">
      <alignment horizontal="center" vertical="center" wrapText="1"/>
    </xf>
    <xf numFmtId="166" fontId="4" fillId="0" borderId="9" xfId="0" applyNumberFormat="1" applyFont="1" applyFill="1" applyBorder="1" applyAlignment="1">
      <alignment horizontal="center" vertical="center" wrapText="1"/>
    </xf>
    <xf numFmtId="167" fontId="4" fillId="0" borderId="9" xfId="0" applyNumberFormat="1" applyFont="1" applyFill="1" applyBorder="1" applyAlignment="1">
      <alignment horizontal="center" vertical="center" wrapText="1"/>
    </xf>
    <xf numFmtId="166" fontId="7" fillId="0" borderId="9" xfId="0" applyNumberFormat="1" applyFont="1" applyFill="1" applyBorder="1" applyAlignment="1">
      <alignment horizontal="center" vertical="center" wrapText="1"/>
    </xf>
    <xf numFmtId="167" fontId="7" fillId="0" borderId="9" xfId="0" applyNumberFormat="1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" fontId="4" fillId="0" borderId="9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168" fontId="7" fillId="0" borderId="9" xfId="0" applyNumberFormat="1" applyFont="1" applyFill="1" applyBorder="1" applyAlignment="1">
      <alignment horizontal="center" vertical="center" wrapText="1"/>
    </xf>
    <xf numFmtId="0" fontId="6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  <xf numFmtId="0" fontId="6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/>
    </xf>
    <xf numFmtId="3" fontId="6" fillId="0" borderId="10" xfId="0" applyNumberFormat="1" applyFont="1" applyFill="1" applyBorder="1" applyAlignment="1">
      <alignment horizontal="center" vertical="center" wrapText="1"/>
    </xf>
    <xf numFmtId="166" fontId="4" fillId="0" borderId="10" xfId="0" applyNumberFormat="1" applyFont="1" applyFill="1" applyBorder="1" applyAlignment="1">
      <alignment horizontal="center" vertical="center" wrapText="1"/>
    </xf>
    <xf numFmtId="167" fontId="4" fillId="0" borderId="10" xfId="0" applyNumberFormat="1" applyFont="1" applyFill="1" applyBorder="1" applyAlignment="1">
      <alignment horizontal="center" vertical="center" wrapText="1"/>
    </xf>
    <xf numFmtId="166" fontId="7" fillId="0" borderId="10" xfId="0" applyNumberFormat="1" applyFont="1" applyFill="1" applyBorder="1" applyAlignment="1">
      <alignment horizontal="center" vertical="center" wrapText="1"/>
    </xf>
    <xf numFmtId="167" fontId="7" fillId="0" borderId="10" xfId="0" applyNumberFormat="1" applyFont="1" applyFill="1" applyBorder="1" applyAlignment="1">
      <alignment horizontal="center" vertical="center" wrapText="1"/>
    </xf>
    <xf numFmtId="3" fontId="4" fillId="0" borderId="10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 wrapText="1"/>
    </xf>
    <xf numFmtId="4" fontId="7" fillId="0" borderId="10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8" fillId="0" borderId="10" xfId="6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4" fontId="8" fillId="0" borderId="10" xfId="0" applyNumberFormat="1" applyFont="1" applyFill="1" applyBorder="1" applyAlignment="1">
      <alignment horizontal="center" vertical="center" wrapText="1"/>
    </xf>
    <xf numFmtId="0" fontId="10" fillId="0" borderId="10" xfId="7" applyFont="1" applyFill="1" applyBorder="1" applyAlignment="1" applyProtection="1">
      <alignment horizontal="center" vertical="center"/>
      <protection locked="0"/>
    </xf>
    <xf numFmtId="0" fontId="8" fillId="0" borderId="10" xfId="0" applyNumberFormat="1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14" fontId="8" fillId="0" borderId="8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8" fillId="0" borderId="9" xfId="6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14" fontId="8" fillId="0" borderId="9" xfId="0" applyNumberFormat="1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11" fillId="0" borderId="5" xfId="0" applyFont="1" applyFill="1" applyBorder="1" applyAlignment="1" applyProtection="1">
      <alignment horizontal="center" vertical="center"/>
      <protection locked="0"/>
    </xf>
    <xf numFmtId="0" fontId="10" fillId="0" borderId="9" xfId="7" applyFont="1" applyFill="1" applyBorder="1" applyAlignment="1" applyProtection="1">
      <alignment horizontal="center" vertical="center"/>
      <protection locked="0"/>
    </xf>
    <xf numFmtId="0" fontId="8" fillId="0" borderId="9" xfId="0" applyNumberFormat="1" applyFont="1" applyFill="1" applyBorder="1" applyAlignment="1">
      <alignment horizontal="center" vertical="center"/>
    </xf>
    <xf numFmtId="165" fontId="6" fillId="0" borderId="9" xfId="0" applyNumberFormat="1" applyFont="1" applyFill="1" applyBorder="1" applyAlignment="1">
      <alignment horizontal="center" vertical="center" wrapText="1"/>
    </xf>
    <xf numFmtId="165" fontId="6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center" wrapText="1"/>
    </xf>
    <xf numFmtId="0" fontId="6" fillId="0" borderId="8" xfId="0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0" fontId="6" fillId="0" borderId="12" xfId="1" applyNumberFormat="1" applyFont="1" applyFill="1" applyBorder="1" applyAlignment="1">
      <alignment horizontal="center" vertical="center" wrapText="1"/>
    </xf>
    <xf numFmtId="10" fontId="6" fillId="0" borderId="13" xfId="1" applyNumberFormat="1" applyFont="1" applyFill="1" applyBorder="1" applyAlignment="1">
      <alignment horizontal="center" vertical="center" wrapText="1"/>
    </xf>
    <xf numFmtId="10" fontId="6" fillId="0" borderId="14" xfId="1" applyNumberFormat="1" applyFont="1" applyFill="1" applyBorder="1" applyAlignment="1">
      <alignment horizontal="center" vertical="center" wrapText="1"/>
    </xf>
    <xf numFmtId="10" fontId="6" fillId="0" borderId="15" xfId="1" applyNumberFormat="1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8" borderId="9" xfId="0" applyFont="1" applyFill="1" applyBorder="1" applyAlignment="1">
      <alignment horizontal="center" vertical="center" wrapText="1"/>
    </xf>
    <xf numFmtId="49" fontId="4" fillId="8" borderId="9" xfId="0" applyNumberFormat="1" applyFont="1" applyFill="1" applyBorder="1" applyAlignment="1">
      <alignment horizontal="center" vertical="center" wrapText="1"/>
    </xf>
    <xf numFmtId="0" fontId="5" fillId="8" borderId="9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10" fontId="4" fillId="0" borderId="15" xfId="1" applyNumberFormat="1" applyFont="1" applyFill="1" applyBorder="1" applyAlignment="1">
      <alignment horizontal="center" vertical="center" wrapText="1"/>
    </xf>
    <xf numFmtId="14" fontId="8" fillId="0" borderId="7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4" fillId="7" borderId="9" xfId="0" applyNumberFormat="1" applyFont="1" applyFill="1" applyBorder="1" applyAlignment="1">
      <alignment horizontal="center" vertical="center" wrapText="1"/>
    </xf>
    <xf numFmtId="0" fontId="10" fillId="0" borderId="1" xfId="7" applyNumberFormat="1" applyFont="1" applyFill="1" applyBorder="1" applyAlignment="1" applyProtection="1">
      <alignment horizontal="center" vertical="center"/>
      <protection locked="0"/>
    </xf>
    <xf numFmtId="0" fontId="0" fillId="0" borderId="1" xfId="0" applyNumberFormat="1" applyFill="1" applyBorder="1" applyAlignment="1" applyProtection="1">
      <alignment horizontal="center" vertical="center" wrapText="1"/>
    </xf>
    <xf numFmtId="0" fontId="10" fillId="0" borderId="5" xfId="7" applyNumberFormat="1" applyFont="1" applyFill="1" applyBorder="1" applyAlignment="1" applyProtection="1">
      <alignment horizontal="center" vertical="center"/>
      <protection locked="0"/>
    </xf>
    <xf numFmtId="0" fontId="10" fillId="0" borderId="10" xfId="7" applyNumberFormat="1" applyFont="1" applyFill="1" applyBorder="1" applyAlignment="1" applyProtection="1">
      <alignment horizontal="center" vertical="center"/>
      <protection locked="0"/>
    </xf>
    <xf numFmtId="0" fontId="10" fillId="0" borderId="9" xfId="7" applyNumberFormat="1" applyFont="1" applyFill="1" applyBorder="1" applyAlignment="1" applyProtection="1">
      <alignment horizontal="center" vertical="center"/>
      <protection locked="0"/>
    </xf>
    <xf numFmtId="0" fontId="6" fillId="7" borderId="1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 wrapText="1"/>
    </xf>
    <xf numFmtId="0" fontId="4" fillId="7" borderId="5" xfId="0" applyNumberFormat="1" applyFont="1" applyFill="1" applyBorder="1" applyAlignment="1">
      <alignment horizontal="center" vertical="center" wrapText="1"/>
    </xf>
    <xf numFmtId="0" fontId="6" fillId="7" borderId="10" xfId="0" applyNumberFormat="1" applyFont="1" applyFill="1" applyBorder="1" applyAlignment="1">
      <alignment horizontal="center" vertical="center"/>
    </xf>
    <xf numFmtId="0" fontId="6" fillId="7" borderId="1" xfId="0" applyNumberFormat="1" applyFont="1" applyFill="1" applyBorder="1" applyAlignment="1">
      <alignment horizontal="center" vertical="center" wrapText="1"/>
    </xf>
    <xf numFmtId="0" fontId="6" fillId="7" borderId="9" xfId="0" applyNumberFormat="1" applyFont="1" applyFill="1" applyBorder="1" applyAlignment="1">
      <alignment horizontal="center" vertical="center" wrapText="1"/>
    </xf>
    <xf numFmtId="0" fontId="4" fillId="7" borderId="10" xfId="0" applyNumberFormat="1" applyFont="1" applyFill="1" applyBorder="1" applyAlignment="1">
      <alignment horizontal="center" vertical="center" wrapText="1"/>
    </xf>
    <xf numFmtId="0" fontId="6" fillId="7" borderId="10" xfId="0" applyNumberFormat="1" applyFont="1" applyFill="1" applyBorder="1" applyAlignment="1">
      <alignment horizontal="center" vertical="center" wrapText="1"/>
    </xf>
    <xf numFmtId="0" fontId="6" fillId="7" borderId="9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6" fillId="7" borderId="0" xfId="0" applyNumberFormat="1" applyFont="1" applyFill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 wrapText="1"/>
    </xf>
    <xf numFmtId="0" fontId="4" fillId="0" borderId="5" xfId="0" applyNumberFormat="1" applyFont="1" applyFill="1" applyBorder="1" applyAlignment="1">
      <alignment horizontal="center" vertical="center" wrapText="1"/>
    </xf>
    <xf numFmtId="0" fontId="4" fillId="0" borderId="9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center" vertical="center"/>
    </xf>
    <xf numFmtId="0" fontId="0" fillId="0" borderId="5" xfId="0" applyNumberFormat="1" applyFill="1" applyBorder="1" applyAlignment="1" applyProtection="1">
      <alignment horizontal="center" vertical="center" wrapText="1"/>
    </xf>
    <xf numFmtId="0" fontId="6" fillId="0" borderId="10" xfId="0" applyNumberFormat="1" applyFont="1" applyBorder="1" applyAlignment="1">
      <alignment horizontal="center" vertical="center"/>
    </xf>
    <xf numFmtId="0" fontId="0" fillId="0" borderId="10" xfId="0" applyNumberFormat="1" applyFill="1" applyBorder="1" applyAlignment="1" applyProtection="1">
      <alignment horizontal="center" vertical="center" wrapText="1"/>
    </xf>
    <xf numFmtId="0" fontId="6" fillId="0" borderId="9" xfId="0" applyNumberFormat="1" applyFont="1" applyBorder="1" applyAlignment="1">
      <alignment horizontal="center" vertical="center"/>
    </xf>
    <xf numFmtId="0" fontId="0" fillId="0" borderId="9" xfId="0" applyNumberFormat="1" applyFill="1" applyBorder="1" applyAlignment="1" applyProtection="1">
      <alignment horizontal="center" vertical="center" wrapText="1"/>
    </xf>
    <xf numFmtId="0" fontId="8" fillId="0" borderId="1" xfId="2" applyNumberFormat="1" applyFont="1" applyFill="1" applyBorder="1" applyAlignment="1">
      <alignment horizontal="center" vertical="center"/>
    </xf>
    <xf numFmtId="0" fontId="8" fillId="0" borderId="9" xfId="2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169" fontId="4" fillId="8" borderId="9" xfId="0" applyNumberFormat="1" applyFont="1" applyFill="1" applyBorder="1" applyAlignment="1">
      <alignment horizontal="center" vertical="center" wrapText="1"/>
    </xf>
    <xf numFmtId="169" fontId="6" fillId="0" borderId="1" xfId="0" applyNumberFormat="1" applyFont="1" applyBorder="1" applyAlignment="1">
      <alignment horizontal="center" vertical="center"/>
    </xf>
    <xf numFmtId="169" fontId="6" fillId="0" borderId="5" xfId="0" applyNumberFormat="1" applyFont="1" applyBorder="1" applyAlignment="1">
      <alignment horizontal="center" vertical="center"/>
    </xf>
    <xf numFmtId="169" fontId="6" fillId="0" borderId="10" xfId="0" applyNumberFormat="1" applyFont="1" applyBorder="1" applyAlignment="1">
      <alignment horizontal="center" vertical="center"/>
    </xf>
    <xf numFmtId="169" fontId="6" fillId="0" borderId="9" xfId="0" applyNumberFormat="1" applyFont="1" applyBorder="1" applyAlignment="1">
      <alignment horizontal="center" vertical="center"/>
    </xf>
    <xf numFmtId="169" fontId="6" fillId="0" borderId="1" xfId="0" applyNumberFormat="1" applyFont="1" applyFill="1" applyBorder="1" applyAlignment="1">
      <alignment horizontal="center" vertical="center"/>
    </xf>
    <xf numFmtId="169" fontId="6" fillId="0" borderId="0" xfId="0" applyNumberFormat="1" applyFont="1" applyAlignment="1">
      <alignment horizontal="center" vertical="center"/>
    </xf>
    <xf numFmtId="14" fontId="4" fillId="0" borderId="9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10" xfId="0" applyNumberFormat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 wrapText="1"/>
    </xf>
    <xf numFmtId="14" fontId="4" fillId="0" borderId="5" xfId="0" applyNumberFormat="1" applyFont="1" applyFill="1" applyBorder="1" applyAlignment="1">
      <alignment horizontal="center" vertical="center" wrapText="1"/>
    </xf>
    <xf numFmtId="14" fontId="4" fillId="0" borderId="10" xfId="0" applyNumberFormat="1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9" xfId="0" applyNumberFormat="1" applyFont="1" applyFill="1" applyBorder="1" applyAlignment="1">
      <alignment horizontal="center" vertical="center" wrapText="1"/>
    </xf>
    <xf numFmtId="14" fontId="6" fillId="0" borderId="10" xfId="0" applyNumberFormat="1" applyFont="1" applyFill="1" applyBorder="1" applyAlignment="1">
      <alignment horizontal="center" vertical="center" wrapText="1"/>
    </xf>
    <xf numFmtId="14" fontId="4" fillId="0" borderId="9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13" fillId="0" borderId="0" xfId="2" applyNumberFormat="1" applyFont="1" applyBorder="1" applyAlignment="1">
      <alignment horizontal="center" vertical="center" wrapText="1"/>
    </xf>
    <xf numFmtId="14" fontId="6" fillId="0" borderId="0" xfId="0" applyNumberFormat="1" applyFont="1" applyAlignment="1">
      <alignment horizontal="center" vertical="center"/>
    </xf>
    <xf numFmtId="14" fontId="0" fillId="0" borderId="0" xfId="0" pivotButton="1" applyNumberFormat="1" applyAlignment="1">
      <alignment wrapText="1"/>
    </xf>
    <xf numFmtId="0" fontId="0" fillId="0" borderId="0" xfId="0" applyAlignment="1">
      <alignment wrapText="1"/>
    </xf>
  </cellXfs>
  <cellStyles count="8">
    <cellStyle name="Lien hypertexte" xfId="7" builtinId="8"/>
    <cellStyle name="Lien hypertexte 2" xfId="3" xr:uid="{00000000-0005-0000-0000-000001000000}"/>
    <cellStyle name="Normal" xfId="0" builtinId="0"/>
    <cellStyle name="Normal 2" xfId="2" xr:uid="{00000000-0005-0000-0000-000003000000}"/>
    <cellStyle name="Normal 2 2" xfId="4" xr:uid="{00000000-0005-0000-0000-000004000000}"/>
    <cellStyle name="Normal 3" xfId="6" xr:uid="{00000000-0005-0000-0000-000005000000}"/>
    <cellStyle name="Pourcentage" xfId="1" builtinId="5"/>
    <cellStyle name="Pourcentage 2" xfId="5" xr:uid="{00000000-0005-0000-0000-000007000000}"/>
  </cellStyles>
  <dxfs count="838"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alignment wrapText="1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alignment wrapText="1"/>
    </dxf>
    <dxf>
      <alignment wrapText="1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alignment wrapText="1"/>
    </dxf>
    <dxf>
      <alignment wrapText="1"/>
    </dxf>
    <dxf>
      <alignment wrapText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169" formatCode="0;0;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lightTrellis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lightTrellis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numFmt numFmtId="30" formatCode="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mbria"/>
        <family val="1"/>
        <scheme val="maj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ck">
          <color indexed="64"/>
        </left>
        <right style="thick">
          <color indexed="64"/>
        </right>
        <top style="thick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mbria"/>
        <family val="1"/>
        <scheme val="major"/>
      </font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9" defaultPivotStyle="PivotStyleLight16"/>
  <colors>
    <mruColors>
      <color rgb="FFF6324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7/relationships/slicerCache" Target="slicerCaches/slicerCache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</xdr:colOff>
      <xdr:row>0</xdr:row>
      <xdr:rowOff>9525</xdr:rowOff>
    </xdr:from>
    <xdr:to>
      <xdr:col>0</xdr:col>
      <xdr:colOff>1295399</xdr:colOff>
      <xdr:row>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Origine">
              <a:extLst>
                <a:ext uri="{FF2B5EF4-FFF2-40B4-BE49-F238E27FC236}">
                  <a16:creationId xmlns:a16="http://schemas.microsoft.com/office/drawing/2014/main" id="{9A1CB83D-DBE8-41F5-A62B-0AD5970069B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Orig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24" y="9525"/>
              <a:ext cx="128587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1295400</xdr:colOff>
      <xdr:row>0</xdr:row>
      <xdr:rowOff>0</xdr:rowOff>
    </xdr:from>
    <xdr:to>
      <xdr:col>1</xdr:col>
      <xdr:colOff>895350</xdr:colOff>
      <xdr:row>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at1">
              <a:extLst>
                <a:ext uri="{FF2B5EF4-FFF2-40B4-BE49-F238E27FC236}">
                  <a16:creationId xmlns:a16="http://schemas.microsoft.com/office/drawing/2014/main" id="{4D5263E2-D24C-4340-A338-37AD19E066F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95400" y="0"/>
              <a:ext cx="10763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</xdr:col>
      <xdr:colOff>942975</xdr:colOff>
      <xdr:row>0</xdr:row>
      <xdr:rowOff>0</xdr:rowOff>
    </xdr:from>
    <xdr:to>
      <xdr:col>2</xdr:col>
      <xdr:colOff>923925</xdr:colOff>
      <xdr:row>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mat2">
              <a:extLst>
                <a:ext uri="{FF2B5EF4-FFF2-40B4-BE49-F238E27FC236}">
                  <a16:creationId xmlns:a16="http://schemas.microsoft.com/office/drawing/2014/main" id="{C28194A0-5F0E-437C-AA53-0BE721BDB6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at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19350" y="0"/>
              <a:ext cx="10287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3</xdr:col>
      <xdr:colOff>276225</xdr:colOff>
      <xdr:row>0</xdr:row>
      <xdr:rowOff>0</xdr:rowOff>
    </xdr:from>
    <xdr:to>
      <xdr:col>4</xdr:col>
      <xdr:colOff>352425</xdr:colOff>
      <xdr:row>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forme">
              <a:extLst>
                <a:ext uri="{FF2B5EF4-FFF2-40B4-BE49-F238E27FC236}">
                  <a16:creationId xmlns:a16="http://schemas.microsoft.com/office/drawing/2014/main" id="{78EDAEB4-811F-46FF-9876-73599724981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rm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752850" y="0"/>
              <a:ext cx="1228725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571500</xdr:colOff>
      <xdr:row>0</xdr:row>
      <xdr:rowOff>9525</xdr:rowOff>
    </xdr:from>
    <xdr:to>
      <xdr:col>5</xdr:col>
      <xdr:colOff>104775</xdr:colOff>
      <xdr:row>6</xdr:row>
      <xdr:rowOff>57150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diam">
              <a:extLst>
                <a:ext uri="{FF2B5EF4-FFF2-40B4-BE49-F238E27FC236}">
                  <a16:creationId xmlns:a16="http://schemas.microsoft.com/office/drawing/2014/main" id="{AB51D101-2F0F-4E32-A159-D8EBF3B494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iam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200650" y="9525"/>
              <a:ext cx="108585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171450</xdr:colOff>
      <xdr:row>9</xdr:row>
      <xdr:rowOff>66675</xdr:rowOff>
    </xdr:from>
    <xdr:to>
      <xdr:col>7</xdr:col>
      <xdr:colOff>466725</xdr:colOff>
      <xdr:row>11</xdr:row>
      <xdr:rowOff>171450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BB7DCFD4-E169-46A1-9FE6-AE6E9CE0E2BB}"/>
            </a:ext>
          </a:extLst>
        </xdr:cNvPr>
        <xdr:cNvSpPr txBox="1"/>
      </xdr:nvSpPr>
      <xdr:spPr>
        <a:xfrm>
          <a:off x="4800600" y="3114675"/>
          <a:ext cx="3371850" cy="676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100"/>
            <a:t>Tu peux ajouter dans la fenetre lignes les informations qui t'interessent, en les glissant dans les champs concernés 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3883.590446527778" createdVersion="6" refreshedVersion="6" minRefreshableVersion="3" recordCount="112" xr:uid="{00A9E6E4-4891-4EE0-816E-50518C887357}">
  <cacheSource type="worksheet">
    <worksheetSource name="Tableau1"/>
  </cacheSource>
  <cacheFields count="40">
    <cacheField name="Facture N°" numFmtId="0">
      <sharedItems containsString="0" containsBlank="1" containsNumber="1" containsInteger="1" minValue="201700019" maxValue="201900104" count="50">
        <m/>
        <n v="201700019"/>
        <n v="201700021"/>
        <n v="201700027"/>
        <n v="201700034"/>
        <n v="201700044"/>
        <n v="201700038"/>
        <n v="201700054"/>
        <n v="201700061"/>
        <n v="201700065"/>
        <n v="201700072"/>
        <n v="201700076"/>
        <n v="201700081"/>
        <n v="201700085"/>
        <n v="201700095"/>
        <n v="201700098"/>
        <n v="201700108"/>
        <n v="201700114"/>
        <n v="201800002"/>
        <n v="201800007"/>
        <n v="201800011"/>
        <n v="201800014"/>
        <n v="201800023"/>
        <n v="201800026"/>
        <n v="201800033"/>
        <n v="201800048"/>
        <n v="201800052"/>
        <n v="201800056"/>
        <n v="201800060"/>
        <n v="201800073"/>
        <n v="201800084"/>
        <n v="201800081"/>
        <n v="201800087"/>
        <n v="201800102"/>
        <n v="201900001"/>
        <n v="201900004"/>
        <n v="201900011"/>
        <n v="201900020"/>
        <n v="201900023"/>
        <n v="201900026"/>
        <n v="201900034"/>
        <n v="201900036"/>
        <n v="201900048"/>
        <n v="201900070"/>
        <n v="201900075"/>
        <n v="201900078"/>
        <n v="201900085"/>
        <n v="201900092"/>
        <n v="201900094"/>
        <n v="201900104"/>
      </sharedItems>
    </cacheField>
    <cacheField name="Origine" numFmtId="0">
      <sharedItems count="3">
        <s v="STOCK INITIAL"/>
        <s v="achat"/>
        <s v="vente"/>
      </sharedItems>
    </cacheField>
    <cacheField name="N° déclarat° export" numFmtId="0">
      <sharedItems containsString="0" containsBlank="1" containsNumber="1" containsInteger="1" minValue="530052" maxValue="549600"/>
    </cacheField>
    <cacheField name="Date déclarat° export" numFmtId="0">
      <sharedItems containsSemiMixedTypes="0" containsString="0" containsNumber="1" containsInteger="1" minValue="42735" maxValue="43848" count="61">
        <n v="42735"/>
        <n v="42754"/>
        <n v="42801"/>
        <n v="42816"/>
        <n v="42818"/>
        <n v="42832"/>
        <n v="42839"/>
        <n v="42857"/>
        <n v="42861"/>
        <n v="42866"/>
        <n v="42885"/>
        <n v="42893"/>
        <n v="42923"/>
        <n v="42950"/>
        <n v="42984"/>
        <n v="43003"/>
        <n v="43017"/>
        <n v="43043"/>
        <n v="43045"/>
        <n v="43067"/>
        <n v="43076"/>
        <n v="43106"/>
        <n v="43113"/>
        <n v="43138"/>
        <n v="43148"/>
        <n v="43166"/>
        <n v="43194"/>
        <n v="43200"/>
        <n v="43217"/>
        <n v="43263"/>
        <n v="43289"/>
        <n v="43297"/>
        <n v="43320"/>
        <n v="43350"/>
        <n v="43411"/>
        <n v="43412"/>
        <n v="43416"/>
        <n v="43435"/>
        <n v="43470"/>
        <n v="43491"/>
        <n v="43502"/>
        <n v="43516"/>
        <n v="43524"/>
        <n v="43531"/>
        <n v="43554"/>
        <n v="43563"/>
        <n v="43581"/>
        <n v="43592"/>
        <n v="43623"/>
        <n v="43685"/>
        <n v="43696"/>
        <n v="43715"/>
        <n v="43734"/>
        <n v="43743"/>
        <n v="43745"/>
        <n v="43759"/>
        <n v="43776"/>
        <n v="43805"/>
        <n v="43810"/>
        <n v="43826"/>
        <n v="43848"/>
      </sharedItems>
    </cacheField>
    <cacheField name="Réf article" numFmtId="49">
      <sharedItems containsBlank="1" containsMixedTypes="1" containsNumber="1" containsInteger="1" minValue="510020" maxValue="512800"/>
    </cacheField>
    <cacheField name="Désignation" numFmtId="0">
      <sharedItems containsBlank="1"/>
    </cacheField>
    <cacheField name="N° fiche Tech" numFmtId="0">
      <sharedItems containsString="0" containsBlank="1" containsNumber="1" containsInteger="1" minValue="138" maxValue="146" count="5">
        <m/>
        <n v="146"/>
        <n v="139"/>
        <n v="141"/>
        <n v="138"/>
      </sharedItems>
    </cacheField>
    <cacheField name="mat1" numFmtId="0">
      <sharedItems count="1">
        <s v="LAITON"/>
      </sharedItems>
    </cacheField>
    <cacheField name="mat2" numFmtId="0">
      <sharedItems count="1">
        <s v="LAITON"/>
      </sharedItems>
    </cacheField>
    <cacheField name="forme" numFmtId="0">
      <sharedItems count="4">
        <s v="Carrée"/>
        <s v="HEX"/>
        <s v="ROND"/>
        <s v="TUBE "/>
      </sharedItems>
    </cacheField>
    <cacheField name="diam" numFmtId="0">
      <sharedItems containsMixedTypes="1" containsNumber="1" minValue="4" maxValue="27" count="21">
        <n v="6"/>
        <n v="8"/>
        <n v="10"/>
        <n v="12"/>
        <n v="14"/>
        <n v="17"/>
        <n v="19"/>
        <n v="27"/>
        <n v="4"/>
        <n v="5"/>
        <n v="7"/>
        <n v="9"/>
        <n v="10.5"/>
        <n v="11"/>
        <n v="13"/>
        <n v="15"/>
        <n v="22"/>
        <n v="23"/>
        <n v="24"/>
        <n v="18"/>
        <s v="30*22"/>
      </sharedItems>
    </cacheField>
    <cacheField name="lg" numFmtId="0">
      <sharedItems containsNonDate="0" containsString="0" containsBlank="1"/>
    </cacheField>
    <cacheField name="larg" numFmtId="0">
      <sharedItems containsNonDate="0" containsString="0" containsBlank="1"/>
    </cacheField>
    <cacheField name="N° déclarat° import" numFmtId="0">
      <sharedItems containsNonDate="0" containsString="0" containsBlank="1" count="1">
        <m/>
      </sharedItems>
    </cacheField>
    <cacheField name="Qté livrée" numFmtId="0">
      <sharedItems containsString="0" containsBlank="1" containsNumber="1" containsInteger="1" minValue="500" maxValue="27000"/>
    </cacheField>
    <cacheField name="Poids net/ pièce" numFmtId="0">
      <sharedItems containsString="0" containsBlank="1" containsNumber="1" minValue="1.446E-3" maxValue="7.4759999999999993E-2"/>
    </cacheField>
    <cacheField name="LG PCE" numFmtId="0">
      <sharedItems containsString="0" containsBlank="1" containsNumber="1" minValue="6" maxValue="39.5"/>
    </cacheField>
    <cacheField name="NBRE PCE/BAR" numFmtId="0">
      <sharedItems containsString="0" containsBlank="1" containsNumber="1" containsInteger="1" minValue="65" maxValue="311"/>
    </cacheField>
    <cacheField name=" POIDS/ BAR" numFmtId="0">
      <sharedItems containsString="0" containsBlank="1" containsNumber="1" minValue="1.0385550000000003" maxValue="10.258380000000001"/>
    </cacheField>
    <cacheField name="POIDS NET TOTAL" numFmtId="0">
      <sharedItems containsString="0" containsBlank="1" containsNumber="1" minValue="1.446" maxValue="209.32799999999997"/>
    </cacheField>
    <cacheField name="POIDS BRUT/PCE" numFmtId="0">
      <sharedItems containsString="0" containsBlank="1" containsNumber="1" minValue="4.8117299035369768E-3" maxValue="0.15782123076923077"/>
    </cacheField>
    <cacheField name="POIDS BRUT UTILISE (Kg)" numFmtId="169">
      <sharedItems containsSemiMixedTypes="0" containsString="0" containsNumber="1" minValue="0" maxValue="441.89944615384616"/>
    </cacheField>
    <cacheField name="QTE ACHETEE (Kg)" numFmtId="0">
      <sharedItems containsString="0" containsBlank="1" containsNumber="1" minValue="1.32" maxValue="3060" count="21">
        <m/>
        <n v="211"/>
        <n v="1964"/>
        <n v="250"/>
        <n v="150.4"/>
        <n v="2548"/>
        <n v="314"/>
        <n v="306"/>
        <n v="201"/>
        <n v="447"/>
        <n v="150"/>
        <n v="200"/>
        <n v="3060"/>
        <n v="412"/>
        <n v="621"/>
        <n v="1031"/>
        <n v="709"/>
        <n v="1.32"/>
        <n v="3.3"/>
        <n v="6.6"/>
        <n v="2.19"/>
      </sharedItems>
    </cacheField>
    <cacheField name="QTE STOCK INIT (Kg)" numFmtId="0">
      <sharedItems containsString="0" containsBlank="1" containsNumber="1" minValue="23.352" maxValue="460.75200000000001"/>
    </cacheField>
    <cacheField name="stock (Kg)" numFmtId="0">
      <sharedItems containsMixedTypes="1" containsNumber="1" minValue="-326.42802078456577" maxValue="3003.9177692307685"/>
    </cacheField>
    <cacheField name="POIDS COPEAUX/PCE" numFmtId="0">
      <sharedItems containsString="0" containsBlank="1" containsNumber="1" minValue="3.0901039999999998E-3" maxValue="7.6748381538461544E-2"/>
    </cacheField>
    <cacheField name="POIDS COPEAUX TOTAL" numFmtId="0">
      <sharedItems containsString="0" containsBlank="1" containsNumber="1" minValue="2.96649984" maxValue="214.89546830769231"/>
    </cacheField>
    <cacheField name="Participat° dans la FB" numFmtId="0">
      <sharedItems containsString="0" containsBlank="1" containsNumber="1" minValue="4.1130891089108927E-4" maxValue="4.0627247524752472E-3"/>
    </cacheField>
    <cacheField name="Poids déchet  fin de barre total" numFmtId="0">
      <sharedItems containsString="0" containsBlank="1" containsNumber="1" minValue="0.41130891089108929" maxValue="15.681589734653462"/>
    </cacheField>
    <cacheField name="POIDS DECHET total " numFmtId="0">
      <sharedItems containsString="0" containsBlank="1" containsNumber="1" minValue="0" maxValue="232.57144615384618"/>
    </cacheField>
    <cacheField name="vide1" numFmtId="0">
      <sharedItems containsString="0" containsBlank="1" containsNumber="1" minValue="3.48223084990099" maxValue="226.27109761462302" count="54">
        <m/>
        <n v="6.8617227722772309"/>
        <n v="161.62221258187358"/>
        <n v="75.318267613256481"/>
        <n v="68.617227722772313"/>
        <n v="202.02776572734197"/>
        <n v="13.331333367546399"/>
        <n v="78.854029038645791"/>
        <n v="119.39397623762382"/>
        <n v="121.21665943640518"/>
        <n v="99.646068052338336"/>
        <n v="62.441677227722806"/>
        <n v="58.435677927745047"/>
        <n v="26.327570860537481"/>
        <n v="41.170336633663389"/>
        <n v="46.38472296390929"/>
        <n v="20.585168316831695"/>
        <n v="88.892216920030464"/>
        <n v="127.83329203960395"/>
        <n v="105.05443817821782"/>
        <n v="94.147834516570612"/>
        <n v="82.340673267326778"/>
        <n v="24.73451908419343"/>
        <n v="92.76944592781858"/>
        <n v="153.54110195277988"/>
        <n v="71.552354232593672"/>
        <n v="44.446108460015232"/>
        <n v="80.96713768425073"/>
        <n v="218.18998698552934"/>
        <n v="59.249115217968225"/>
        <n v="96.97332754912415"/>
        <n v="80.811106290936792"/>
        <n v="185.26651485148523"/>
        <n v="125.25721475095203"/>
        <n v="3.7659133806628242"/>
        <n v="152.18249052333803"/>
        <n v="41.918264415841598"/>
        <n v="137.37888069459254"/>
        <n v="117.17610412185834"/>
        <n v="63.161899220476897"/>
        <n v="68.645069102721962"/>
        <n v="226.27109761462302"/>
        <n v="48.053054737257646"/>
        <n v="8.4356459726847266"/>
        <n v="18.82956690331412"/>
        <n v="137.23445544554463"/>
        <n v="44.285558772277248"/>
        <n v="24.482626851485158"/>
        <n v="40.405553145468396"/>
        <n v="39.015755683168337"/>
        <n v="31.407717594727956"/>
        <n v="62.740116921842656"/>
        <n v="37.65913380662824"/>
        <n v="3.48223084990099"/>
      </sharedItems>
    </cacheField>
    <cacheField name="vide2" numFmtId="0">
      <sharedItems containsString="0" containsBlank="1" containsNumber="1" minValue="-6.3003485392231653" maxValue="10.588854804749928"/>
    </cacheField>
    <cacheField name="Participat° dans la FB2" numFmtId="0">
      <sharedItems containsString="0" containsBlank="1" containsNumber="1" minValue="2.8400000000000002E-4" maxValue="9.2720000000000007E-3"/>
    </cacheField>
    <cacheField name="Poids brut/pièce" numFmtId="0">
      <sharedItems containsString="0" containsBlank="1" containsNumber="1" minValue="4.5869999999999999E-3" maxValue="0.14954500000000001"/>
    </cacheField>
    <cacheField name="Poids brut total" numFmtId="0">
      <sharedItems containsString="0" containsBlank="1" containsNumber="1" minValue="9.7350000000000012" maxValue="418.72600000000006"/>
    </cacheField>
    <cacheField name="Poids copeaux/_x000a_pièce_x000a_" numFmtId="0">
      <sharedItems containsString="0" containsBlank="1" containsNumber="1" minValue="2.9429999999999994E-3" maxValue="8.2273000000000013E-2"/>
    </cacheField>
    <cacheField name="Poids déchet  copeaux total" numFmtId="0">
      <sharedItems containsString="0" containsBlank="1" containsNumber="1" minValue="0" maxValue="222.13710000000003"/>
    </cacheField>
    <cacheField name="Poids déchet  fin de barre total3" numFmtId="0">
      <sharedItems containsString="0" containsBlank="1" containsNumber="1" minValue="0" maxValue="25.961600000000001"/>
    </cacheField>
    <cacheField name="% Déchet" numFmtId="0">
      <sharedItems containsString="0" containsBlank="1" containsNumber="1" minValue="0.43708269131997951" maxValue="0.93191571746636115"/>
    </cacheField>
    <cacheField name="stock" numFmtId="0" formula="'QTE STOCK INIT (Kg)'+'QTE ACHETEE (Kg)'-'POIDS BRUT UTILISE (Kg)'" databaseField="0"/>
  </cacheFields>
  <extLst>
    <ext xmlns:x14="http://schemas.microsoft.com/office/spreadsheetml/2009/9/main" uri="{725AE2AE-9491-48be-B2B4-4EB974FC3084}">
      <x14:pivotCacheDefinition pivotCacheId="4202663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2">
  <r>
    <x v="0"/>
    <x v="0"/>
    <m/>
    <x v="0"/>
    <m/>
    <m/>
    <x v="0"/>
    <x v="0"/>
    <x v="0"/>
    <x v="0"/>
    <x v="0"/>
    <m/>
    <m/>
    <x v="0"/>
    <m/>
    <m/>
    <m/>
    <m/>
    <m/>
    <m/>
    <m/>
    <n v="0"/>
    <x v="0"/>
    <n v="123.69000000000001"/>
    <n v="123.69000000000001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1"/>
    <m/>
    <m/>
    <x v="0"/>
    <m/>
    <m/>
    <m/>
    <m/>
    <m/>
    <m/>
    <m/>
    <n v="0"/>
    <x v="0"/>
    <n v="40.067999999999998"/>
    <s v="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2"/>
    <m/>
    <m/>
    <x v="0"/>
    <m/>
    <m/>
    <m/>
    <m/>
    <m/>
    <m/>
    <m/>
    <n v="0"/>
    <x v="0"/>
    <n v="346.42499999999995"/>
    <n v="346.42499999999995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3"/>
    <m/>
    <m/>
    <x v="0"/>
    <m/>
    <m/>
    <m/>
    <m/>
    <m/>
    <m/>
    <m/>
    <n v="0"/>
    <x v="0"/>
    <n v="77.183999999999997"/>
    <s v="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4"/>
    <m/>
    <m/>
    <x v="0"/>
    <m/>
    <m/>
    <m/>
    <m/>
    <m/>
    <m/>
    <m/>
    <n v="0"/>
    <x v="0"/>
    <n v="293.25899999999996"/>
    <n v="293.25899999999996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5"/>
    <m/>
    <m/>
    <x v="0"/>
    <m/>
    <m/>
    <m/>
    <m/>
    <m/>
    <m/>
    <m/>
    <n v="0"/>
    <x v="0"/>
    <n v="238.87200000000001"/>
    <n v="238.87200000000001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6"/>
    <m/>
    <m/>
    <x v="0"/>
    <m/>
    <m/>
    <m/>
    <m/>
    <m/>
    <m/>
    <m/>
    <n v="0"/>
    <x v="0"/>
    <n v="24.21"/>
    <n v="24.21"/>
    <m/>
    <m/>
    <m/>
    <m/>
    <m/>
    <x v="0"/>
    <m/>
    <m/>
    <m/>
    <m/>
    <m/>
    <m/>
    <m/>
    <m/>
  </r>
  <r>
    <x v="0"/>
    <x v="0"/>
    <m/>
    <x v="0"/>
    <m/>
    <m/>
    <x v="0"/>
    <x v="0"/>
    <x v="0"/>
    <x v="1"/>
    <x v="7"/>
    <m/>
    <m/>
    <x v="0"/>
    <m/>
    <m/>
    <m/>
    <m/>
    <m/>
    <m/>
    <m/>
    <n v="0"/>
    <x v="0"/>
    <n v="48.87"/>
    <n v="48.87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8"/>
    <m/>
    <m/>
    <x v="0"/>
    <m/>
    <m/>
    <m/>
    <m/>
    <m/>
    <m/>
    <m/>
    <n v="0"/>
    <x v="0"/>
    <n v="47.628"/>
    <n v="47.628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9"/>
    <m/>
    <m/>
    <x v="0"/>
    <m/>
    <m/>
    <m/>
    <m/>
    <m/>
    <m/>
    <m/>
    <n v="0"/>
    <x v="0"/>
    <n v="82.641000000000005"/>
    <n v="82.641000000000005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0"/>
    <m/>
    <m/>
    <x v="0"/>
    <m/>
    <m/>
    <m/>
    <m/>
    <m/>
    <m/>
    <m/>
    <n v="0"/>
    <x v="0"/>
    <n v="48.113999999999997"/>
    <s v="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0"/>
    <m/>
    <m/>
    <x v="0"/>
    <m/>
    <m/>
    <m/>
    <m/>
    <m/>
    <m/>
    <m/>
    <n v="0"/>
    <x v="0"/>
    <n v="100.29300000000001"/>
    <s v="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1"/>
    <m/>
    <m/>
    <x v="0"/>
    <m/>
    <m/>
    <m/>
    <m/>
    <m/>
    <m/>
    <m/>
    <n v="0"/>
    <x v="0"/>
    <n v="116.511"/>
    <n v="116.511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2"/>
    <m/>
    <m/>
    <x v="0"/>
    <m/>
    <m/>
    <m/>
    <m/>
    <m/>
    <m/>
    <m/>
    <n v="0"/>
    <x v="0"/>
    <n v="182.25"/>
    <n v="182.25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3"/>
    <m/>
    <m/>
    <x v="0"/>
    <m/>
    <m/>
    <m/>
    <m/>
    <m/>
    <m/>
    <m/>
    <n v="0"/>
    <x v="0"/>
    <n v="61.274999999999999"/>
    <n v="61.274999999999999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3"/>
    <m/>
    <m/>
    <x v="0"/>
    <m/>
    <m/>
    <m/>
    <m/>
    <m/>
    <m/>
    <m/>
    <n v="0"/>
    <x v="0"/>
    <n v="23.352"/>
    <n v="23.352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4"/>
    <m/>
    <m/>
    <x v="0"/>
    <m/>
    <m/>
    <m/>
    <m/>
    <m/>
    <m/>
    <m/>
    <n v="0"/>
    <x v="0"/>
    <n v="140.34299999999999"/>
    <n v="140.34299999999999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4"/>
    <m/>
    <m/>
    <x v="0"/>
    <m/>
    <m/>
    <m/>
    <m/>
    <m/>
    <m/>
    <m/>
    <n v="0"/>
    <x v="0"/>
    <n v="460.75200000000001"/>
    <n v="460.75200000000001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5"/>
    <m/>
    <m/>
    <x v="0"/>
    <m/>
    <m/>
    <m/>
    <m/>
    <m/>
    <m/>
    <m/>
    <n v="0"/>
    <x v="0"/>
    <n v="68.399999999999991"/>
    <n v="68.399999999999991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5"/>
    <m/>
    <m/>
    <x v="0"/>
    <m/>
    <m/>
    <m/>
    <m/>
    <m/>
    <m/>
    <m/>
    <n v="0"/>
    <x v="0"/>
    <n v="122.976"/>
    <n v="122.976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6"/>
    <m/>
    <m/>
    <x v="0"/>
    <m/>
    <m/>
    <m/>
    <m/>
    <m/>
    <m/>
    <m/>
    <n v="0"/>
    <x v="0"/>
    <n v="206.01000000000002"/>
    <s v="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7"/>
    <m/>
    <m/>
    <x v="0"/>
    <m/>
    <m/>
    <m/>
    <m/>
    <m/>
    <m/>
    <m/>
    <n v="0"/>
    <x v="0"/>
    <n v="299.88"/>
    <n v="299.88"/>
    <m/>
    <m/>
    <m/>
    <m/>
    <m/>
    <x v="0"/>
    <m/>
    <m/>
    <m/>
    <m/>
    <m/>
    <m/>
    <m/>
    <m/>
  </r>
  <r>
    <x v="0"/>
    <x v="0"/>
    <m/>
    <x v="0"/>
    <m/>
    <m/>
    <x v="0"/>
    <x v="0"/>
    <x v="0"/>
    <x v="2"/>
    <x v="18"/>
    <m/>
    <m/>
    <x v="0"/>
    <m/>
    <m/>
    <m/>
    <m/>
    <m/>
    <m/>
    <m/>
    <n v="0"/>
    <x v="0"/>
    <n v="46.68"/>
    <n v="46.68"/>
    <m/>
    <m/>
    <m/>
    <m/>
    <m/>
    <x v="0"/>
    <m/>
    <m/>
    <m/>
    <m/>
    <m/>
    <m/>
    <m/>
    <m/>
  </r>
  <r>
    <x v="0"/>
    <x v="1"/>
    <m/>
    <x v="1"/>
    <m/>
    <m/>
    <x v="0"/>
    <x v="0"/>
    <x v="0"/>
    <x v="2"/>
    <x v="19"/>
    <m/>
    <m/>
    <x v="0"/>
    <m/>
    <m/>
    <m/>
    <m/>
    <m/>
    <m/>
    <m/>
    <n v="0"/>
    <x v="1"/>
    <m/>
    <s v=""/>
    <m/>
    <m/>
    <m/>
    <m/>
    <n v="0"/>
    <x v="0"/>
    <m/>
    <m/>
    <m/>
    <m/>
    <m/>
    <m/>
    <m/>
    <m/>
  </r>
  <r>
    <x v="0"/>
    <x v="1"/>
    <m/>
    <x v="1"/>
    <m/>
    <m/>
    <x v="0"/>
    <x v="0"/>
    <x v="0"/>
    <x v="2"/>
    <x v="16"/>
    <m/>
    <m/>
    <x v="0"/>
    <m/>
    <m/>
    <m/>
    <m/>
    <m/>
    <m/>
    <m/>
    <n v="0"/>
    <x v="2"/>
    <m/>
    <s v=""/>
    <m/>
    <m/>
    <m/>
    <m/>
    <m/>
    <x v="0"/>
    <m/>
    <m/>
    <m/>
    <m/>
    <m/>
    <m/>
    <m/>
    <m/>
  </r>
  <r>
    <x v="1"/>
    <x v="2"/>
    <n v="546390"/>
    <x v="2"/>
    <n v="512800"/>
    <s v="PERNO DISINNESTO RULLO G16922290"/>
    <x v="0"/>
    <x v="0"/>
    <x v="0"/>
    <x v="2"/>
    <x v="10"/>
    <m/>
    <m/>
    <x v="0"/>
    <n v="1000"/>
    <n v="3.421E-3"/>
    <n v="24.5"/>
    <n v="101"/>
    <n v="1.0385550000000003"/>
    <n v="3.4209999999999998"/>
    <n v="1.0282722772277231E-2"/>
    <n v="10.28272277227723"/>
    <x v="0"/>
    <m/>
    <s v=""/>
    <n v="6.4504138613861416E-3"/>
    <n v="6.4504138613861413"/>
    <n v="4.1130891089108927E-4"/>
    <n v="0.41130891089108929"/>
    <n v="6.8617227722772309"/>
    <x v="1"/>
    <n v="0"/>
    <n v="6.0400000000000004E-4"/>
    <n v="9.7350000000000006E-3"/>
    <n v="9.7350000000000012"/>
    <n v="3.6510000000000006E-3"/>
    <n v="3.6510000000000007"/>
    <n v="0.60400000000000009"/>
    <n v="0.43708269131997951"/>
  </r>
  <r>
    <x v="0"/>
    <x v="1"/>
    <m/>
    <x v="3"/>
    <m/>
    <m/>
    <x v="0"/>
    <x v="0"/>
    <x v="0"/>
    <x v="2"/>
    <x v="10"/>
    <m/>
    <m/>
    <x v="0"/>
    <m/>
    <m/>
    <m/>
    <m/>
    <m/>
    <m/>
    <m/>
    <n v="0"/>
    <x v="3"/>
    <m/>
    <s v=""/>
    <m/>
    <m/>
    <m/>
    <m/>
    <m/>
    <x v="0"/>
    <m/>
    <m/>
    <m/>
    <m/>
    <m/>
    <m/>
    <m/>
    <m/>
  </r>
  <r>
    <x v="2"/>
    <x v="2"/>
    <n v="546763"/>
    <x v="4"/>
    <s v="200200"/>
    <s v="EMBOUT DE TIGE"/>
    <x v="1"/>
    <x v="0"/>
    <x v="0"/>
    <x v="2"/>
    <x v="16"/>
    <m/>
    <m/>
    <x v="0"/>
    <n v="2000"/>
    <n v="7.4759999999999993E-2"/>
    <n v="39.5"/>
    <n v="65"/>
    <n v="10.258380000000001"/>
    <n v="149.51999999999998"/>
    <n v="0.15782123076923077"/>
    <n v="315.64246153846153"/>
    <x v="0"/>
    <m/>
    <s v=""/>
    <n v="7.6748381538461544E-2"/>
    <n v="153.49676307692309"/>
    <n v="4.0627247524752472E-3"/>
    <n v="8.1254495049504953"/>
    <n v="166.12246153846155"/>
    <x v="2"/>
    <n v="-4.5002489565879671"/>
    <m/>
    <m/>
    <m/>
    <m/>
    <m/>
    <m/>
    <m/>
  </r>
  <r>
    <x v="3"/>
    <x v="2"/>
    <n v="547184"/>
    <x v="5"/>
    <n v="510020"/>
    <s v="INSERTO ESAG,M6 8*6"/>
    <x v="2"/>
    <x v="0"/>
    <x v="0"/>
    <x v="1"/>
    <x v="1"/>
    <m/>
    <m/>
    <x v="0"/>
    <n v="20000"/>
    <n v="1.446E-3"/>
    <n v="6"/>
    <n v="311"/>
    <n v="1.4964479999999998"/>
    <n v="28.92"/>
    <n v="4.8117299035369768E-3"/>
    <n v="96.234598070739537"/>
    <x v="0"/>
    <m/>
    <s v=""/>
    <n v="3.1732607073954979E-3"/>
    <n v="63.465214147909954"/>
    <n v="5.9265267326732659E-4"/>
    <n v="11.853053465346532"/>
    <n v="67.314598070739535"/>
    <x v="3"/>
    <n v="8.0036695425169455"/>
    <n v="2.8400000000000002E-4"/>
    <n v="4.5869999999999999E-3"/>
    <n v="91.74"/>
    <n v="2.9429999999999994E-3"/>
    <n v="58.859999999999985"/>
    <n v="5.6800000000000006"/>
    <n v="0.70350991933725737"/>
  </r>
  <r>
    <x v="3"/>
    <x v="2"/>
    <n v="547184"/>
    <x v="5"/>
    <n v="512800"/>
    <s v="PERNO DISINNESTO RULLO G16922290"/>
    <x v="0"/>
    <x v="0"/>
    <x v="0"/>
    <x v="2"/>
    <x v="10"/>
    <m/>
    <m/>
    <x v="0"/>
    <n v="10000"/>
    <n v="3.421E-3"/>
    <n v="24.5"/>
    <n v="101"/>
    <n v="1.0385550000000003"/>
    <n v="34.21"/>
    <n v="1.0282722772277231E-2"/>
    <n v="102.82722772277231"/>
    <x v="0"/>
    <m/>
    <s v=""/>
    <n v="6.4504138613861416E-3"/>
    <n v="64.504138613861414"/>
    <n v="4.1130891089108927E-4"/>
    <n v="4.1130891089108923"/>
    <n v="68.617227722772299"/>
    <x v="4"/>
    <n v="0"/>
    <n v="6.0400000000000004E-4"/>
    <n v="9.7350000000000006E-3"/>
    <n v="97.350000000000009"/>
    <n v="3.6510000000000006E-3"/>
    <n v="0"/>
    <n v="0"/>
    <n v="0.43708269131997951"/>
  </r>
  <r>
    <x v="4"/>
    <x v="2"/>
    <n v="547321"/>
    <x v="6"/>
    <s v="200200"/>
    <s v="EMBOUT DE TIGE"/>
    <x v="0"/>
    <x v="0"/>
    <x v="0"/>
    <x v="2"/>
    <x v="16"/>
    <m/>
    <m/>
    <x v="0"/>
    <n v="2500"/>
    <n v="7.4759999999999993E-2"/>
    <n v="39.5"/>
    <n v="65"/>
    <n v="10.258380000000001"/>
    <n v="186.89999999999998"/>
    <n v="0.15782123076923077"/>
    <n v="394.5530769230769"/>
    <x v="0"/>
    <m/>
    <s v=""/>
    <n v="7.6748381538461544E-2"/>
    <n v="191.87095384615387"/>
    <n v="4.0627247524752472E-3"/>
    <n v="10.156811881188117"/>
    <n v="207.65307692307692"/>
    <x v="5"/>
    <n v="-5.6253111957349518"/>
    <m/>
    <m/>
    <m/>
    <m/>
    <m/>
    <m/>
    <m/>
  </r>
  <r>
    <x v="0"/>
    <x v="1"/>
    <m/>
    <x v="7"/>
    <m/>
    <m/>
    <x v="0"/>
    <x v="0"/>
    <x v="0"/>
    <x v="1"/>
    <x v="1"/>
    <m/>
    <m/>
    <x v="0"/>
    <m/>
    <m/>
    <m/>
    <m/>
    <m/>
    <m/>
    <m/>
    <n v="0"/>
    <x v="4"/>
    <m/>
    <s v=""/>
    <m/>
    <m/>
    <m/>
    <m/>
    <m/>
    <x v="0"/>
    <m/>
    <m/>
    <m/>
    <m/>
    <m/>
    <m/>
    <m/>
    <m/>
  </r>
  <r>
    <x v="5"/>
    <x v="2"/>
    <n v="547817"/>
    <x v="8"/>
    <n v="510020"/>
    <s v="INSERTO ESAG,M6 8*6"/>
    <x v="2"/>
    <x v="0"/>
    <x v="0"/>
    <x v="1"/>
    <x v="1"/>
    <m/>
    <m/>
    <x v="0"/>
    <n v="3540"/>
    <n v="1.446E-3"/>
    <n v="6"/>
    <n v="311"/>
    <n v="1.4964479999999998"/>
    <n v="5.1188400000000005"/>
    <n v="4.8117299035369768E-3"/>
    <n v="17.033523858520898"/>
    <x v="0"/>
    <m/>
    <s v=""/>
    <n v="3.1732607073954979E-3"/>
    <n v="11.233342904180063"/>
    <n v="5.9265267326732659E-4"/>
    <n v="2.0979904633663362"/>
    <n v="11.914683858520897"/>
    <x v="6"/>
    <n v="1.4166495090255022"/>
    <n v="2.8400000000000002E-4"/>
    <n v="4.5869999999999999E-3"/>
    <n v="16.23798"/>
    <n v="3.3179999999999998E-3"/>
    <n v="11.745719999999999"/>
    <n v="1.00536"/>
    <n v="0.78526269893176359"/>
  </r>
  <r>
    <x v="5"/>
    <x v="2"/>
    <n v="547817"/>
    <x v="8"/>
    <n v="510090"/>
    <s v="INSERTI M8 12*12 laiton hex12"/>
    <x v="3"/>
    <x v="0"/>
    <x v="0"/>
    <x v="1"/>
    <x v="3"/>
    <m/>
    <m/>
    <x v="0"/>
    <n v="5100"/>
    <n v="3.2499999999999999E-3"/>
    <n v="12"/>
    <n v="186"/>
    <n v="3.3670079999999998"/>
    <n v="16.574999999999999"/>
    <n v="1.8102193548387095E-2"/>
    <n v="92.321187096774182"/>
    <x v="0"/>
    <m/>
    <s v=""/>
    <n v="1.4128105806451612E-2"/>
    <n v="72.053339612903216"/>
    <n v="1.3334685148514848E-3"/>
    <n v="6.8006894257425721"/>
    <n v="75.746187096774179"/>
    <x v="7"/>
    <n v="3.1078419418716123"/>
    <n v="6.3900000000000003E-4"/>
    <n v="1.0307999999999999E-2"/>
    <n v="52.570799999999998"/>
    <n v="6.4189999999999994E-3"/>
    <n v="32.736899999999999"/>
    <n v="3.2589000000000001"/>
    <n v="0.68471090415211477"/>
  </r>
  <r>
    <x v="5"/>
    <x v="2"/>
    <n v="547817"/>
    <x v="8"/>
    <n v="512800"/>
    <s v="PERNO DISINNESTO RULLO G16922290"/>
    <x v="0"/>
    <x v="0"/>
    <x v="0"/>
    <x v="2"/>
    <x v="10"/>
    <m/>
    <m/>
    <x v="0"/>
    <n v="17400"/>
    <n v="3.421E-3"/>
    <n v="24.5"/>
    <n v="101"/>
    <n v="1.0385550000000003"/>
    <n v="59.525399999999998"/>
    <n v="1.0282722772277231E-2"/>
    <n v="178.91937623762382"/>
    <x v="0"/>
    <m/>
    <s v=""/>
    <n v="6.4504138613861416E-3"/>
    <n v="112.23720118811886"/>
    <n v="4.1130891089108927E-4"/>
    <n v="7.1567750495049536"/>
    <n v="119.39397623762383"/>
    <x v="8"/>
    <n v="0"/>
    <n v="6.0400000000000004E-4"/>
    <n v="9.7350000000000006E-3"/>
    <n v="169.38900000000001"/>
    <n v="5.6780000000000008E-3"/>
    <n v="98.797200000000018"/>
    <n v="10.509600000000001"/>
    <n v="0.6453004622496149"/>
  </r>
  <r>
    <x v="6"/>
    <x v="2"/>
    <n v="547903"/>
    <x v="9"/>
    <s v="200200"/>
    <s v="EMBOUT DE TIGE"/>
    <x v="0"/>
    <x v="0"/>
    <x v="0"/>
    <x v="2"/>
    <x v="16"/>
    <m/>
    <m/>
    <x v="0"/>
    <n v="1500"/>
    <n v="7.4759999999999993E-2"/>
    <n v="39.5"/>
    <n v="65"/>
    <n v="10.258380000000001"/>
    <n v="112.13999999999999"/>
    <n v="0.15782123076923077"/>
    <n v="236.73184615384616"/>
    <x v="0"/>
    <m/>
    <s v=""/>
    <n v="7.6748381538461544E-2"/>
    <n v="115.12257230769231"/>
    <n v="4.0627247524752472E-3"/>
    <n v="6.0940871287128706"/>
    <n v="124.59184615384618"/>
    <x v="9"/>
    <n v="-3.3751867174409966"/>
    <m/>
    <m/>
    <m/>
    <m/>
    <m/>
    <m/>
    <m/>
  </r>
  <r>
    <x v="0"/>
    <x v="1"/>
    <m/>
    <x v="10"/>
    <m/>
    <m/>
    <x v="0"/>
    <x v="0"/>
    <x v="0"/>
    <x v="2"/>
    <x v="10"/>
    <m/>
    <m/>
    <x v="0"/>
    <m/>
    <m/>
    <m/>
    <m/>
    <m/>
    <m/>
    <m/>
    <n v="0"/>
    <x v="3"/>
    <m/>
    <s v=""/>
    <m/>
    <m/>
    <m/>
    <m/>
    <m/>
    <x v="0"/>
    <m/>
    <m/>
    <m/>
    <m/>
    <m/>
    <m/>
    <m/>
    <m/>
  </r>
  <r>
    <x v="0"/>
    <x v="1"/>
    <m/>
    <x v="10"/>
    <m/>
    <m/>
    <x v="0"/>
    <x v="0"/>
    <x v="0"/>
    <x v="1"/>
    <x v="3"/>
    <m/>
    <m/>
    <x v="0"/>
    <m/>
    <m/>
    <m/>
    <m/>
    <m/>
    <m/>
    <m/>
    <n v="0"/>
    <x v="3"/>
    <m/>
    <s v=""/>
    <m/>
    <m/>
    <m/>
    <m/>
    <m/>
    <x v="0"/>
    <m/>
    <m/>
    <m/>
    <m/>
    <m/>
    <m/>
    <m/>
    <m/>
  </r>
  <r>
    <x v="7"/>
    <x v="2"/>
    <n v="548450"/>
    <x v="11"/>
    <n v="510020"/>
    <s v="INSERTO ESAG,M6 8*6"/>
    <x v="2"/>
    <x v="0"/>
    <x v="0"/>
    <x v="1"/>
    <x v="1"/>
    <m/>
    <m/>
    <x v="0"/>
    <n v="26460"/>
    <n v="1.446E-3"/>
    <n v="6"/>
    <n v="311"/>
    <n v="1.4964479999999998"/>
    <n v="38.261160000000004"/>
    <n v="4.8117299035369768E-3"/>
    <n v="127.31837324758841"/>
    <x v="0"/>
    <m/>
    <s v=""/>
    <n v="3.1732607073954979E-3"/>
    <n v="83.964478317684879"/>
    <n v="5.9265267326732659E-4"/>
    <n v="15.681589734653462"/>
    <n v="89.057213247588408"/>
    <x v="10"/>
    <n v="10.588854804749928"/>
    <n v="2.8400000000000002E-4"/>
    <n v="4.5869999999999999E-3"/>
    <n v="121.37201999999999"/>
    <n v="3.3179999999999998E-3"/>
    <n v="87.794280000000001"/>
    <n v="7.5146400000000009"/>
    <n v="0.78526269893176359"/>
  </r>
  <r>
    <x v="7"/>
    <x v="2"/>
    <n v="548450"/>
    <x v="11"/>
    <n v="512800"/>
    <s v="PERNO DISINNESTO RULLO G16922290"/>
    <x v="0"/>
    <x v="0"/>
    <x v="0"/>
    <x v="2"/>
    <x v="10"/>
    <m/>
    <m/>
    <x v="0"/>
    <n v="9100"/>
    <n v="3.421E-3"/>
    <n v="24.5"/>
    <n v="101"/>
    <n v="1.0385550000000003"/>
    <n v="31.1311"/>
    <n v="1.0282722772277231E-2"/>
    <n v="93.57277722772281"/>
    <x v="0"/>
    <m/>
    <s v=""/>
    <n v="6.4504138613861416E-3"/>
    <n v="58.698766138613891"/>
    <n v="4.1130891089108927E-4"/>
    <n v="3.7429110891089121"/>
    <n v="62.441677227722806"/>
    <x v="11"/>
    <n v="0"/>
    <n v="6.0400000000000004E-4"/>
    <n v="9.7350000000000006E-3"/>
    <n v="88.58850000000001"/>
    <n v="5.6780000000000008E-3"/>
    <n v="51.669800000000009"/>
    <n v="5.4964000000000004"/>
    <n v="0.6453004622496149"/>
  </r>
  <r>
    <x v="8"/>
    <x v="2"/>
    <n v="549084"/>
    <x v="12"/>
    <s v="200200"/>
    <s v="EMBOUT DE TIGE"/>
    <x v="0"/>
    <x v="0"/>
    <x v="0"/>
    <x v="2"/>
    <x v="16"/>
    <m/>
    <m/>
    <x v="0"/>
    <n v="1500"/>
    <n v="7.4759999999999993E-2"/>
    <n v="39.5"/>
    <n v="65"/>
    <n v="10.258380000000001"/>
    <n v="112.13999999999999"/>
    <n v="0.15782123076923077"/>
    <n v="236.73184615384616"/>
    <x v="0"/>
    <m/>
    <s v=""/>
    <n v="7.6748381538461544E-2"/>
    <n v="115.12257230769231"/>
    <n v="4.0627247524752472E-3"/>
    <n v="6.0940871287128706"/>
    <n v="124.59184615384618"/>
    <x v="9"/>
    <n v="-3.3751867174409966"/>
    <n v="9.2720000000000007E-3"/>
    <n v="0.14954500000000001"/>
    <n v="224.31750000000002"/>
    <n v="8.2273000000000013E-2"/>
    <n v="123.40950000000002"/>
    <n v="13.908000000000001"/>
    <n v="0.61215687585676559"/>
  </r>
  <r>
    <x v="9"/>
    <x v="2"/>
    <n v="549089"/>
    <x v="12"/>
    <n v="510020"/>
    <s v="INSERTO ESAG,M6 8*6"/>
    <x v="2"/>
    <x v="0"/>
    <x v="0"/>
    <x v="1"/>
    <x v="1"/>
    <m/>
    <m/>
    <x v="0"/>
    <n v="15517"/>
    <n v="1.446E-3"/>
    <n v="6"/>
    <n v="311"/>
    <n v="1.4964479999999998"/>
    <n v="22.437581999999999"/>
    <n v="4.8117299035369768E-3"/>
    <n v="74.663612913183272"/>
    <x v="0"/>
    <m/>
    <s v=""/>
    <n v="3.1732607073954979E-3"/>
    <n v="49.239486396655941"/>
    <n v="5.9265267326732659E-4"/>
    <n v="9.1961915310891076"/>
    <n v="52.226030913183273"/>
    <x v="12"/>
    <n v="6.2096470145617744"/>
    <n v="2.8400000000000002E-4"/>
    <n v="4.5869999999999999E-3"/>
    <n v="71.176479"/>
    <n v="3.3179999999999998E-3"/>
    <n v="51.485405999999998"/>
    <n v="4.406828"/>
    <n v="0.78526269893176359"/>
  </r>
  <r>
    <x v="9"/>
    <x v="2"/>
    <n v="549089"/>
    <x v="12"/>
    <n v="511040"/>
    <s v="BRONZINA 16/18X10.3"/>
    <x v="4"/>
    <x v="0"/>
    <x v="0"/>
    <x v="2"/>
    <x v="19"/>
    <m/>
    <m/>
    <x v="0"/>
    <n v="865"/>
    <n v="3.676E-3"/>
    <n v="10.3"/>
    <n v="210"/>
    <n v="6.8671800000000003"/>
    <n v="3.1797400000000002"/>
    <n v="3.2700857142857143E-2"/>
    <n v="28.286241428571429"/>
    <x v="0"/>
    <m/>
    <s v=""/>
    <n v="2.7716822857142855E-2"/>
    <n v="23.975051771428571"/>
    <n v="2.719675247524752E-3"/>
    <n v="2.3525190891089105"/>
    <n v="25.106501428571431"/>
    <x v="13"/>
    <n v="1.2210694319660504"/>
    <n v="1.9103773584905662E-3"/>
    <n v="3.0991000000000001E-2"/>
    <n v="26.807214999999999"/>
    <n v="2.6970622641509436E-2"/>
    <n v="23.329588584905661"/>
    <n v="1.6524764150943398"/>
    <n v="0.93191571746636115"/>
  </r>
  <r>
    <x v="9"/>
    <x v="2"/>
    <n v="549089"/>
    <x v="12"/>
    <n v="512800"/>
    <s v="PERNO DISINNESTO RULLO G16922290"/>
    <x v="0"/>
    <x v="0"/>
    <x v="0"/>
    <x v="2"/>
    <x v="10"/>
    <m/>
    <m/>
    <x v="0"/>
    <n v="6000"/>
    <n v="3.421E-3"/>
    <n v="24.5"/>
    <n v="101"/>
    <n v="1.0385550000000003"/>
    <n v="20.526"/>
    <n v="1.0282722772277231E-2"/>
    <n v="61.696336633663385"/>
    <x v="0"/>
    <m/>
    <s v=""/>
    <n v="6.4504138613861416E-3"/>
    <n v="38.702483168316853"/>
    <n v="4.1130891089108927E-4"/>
    <n v="2.4678534653465358"/>
    <n v="41.170336633663382"/>
    <x v="14"/>
    <n v="0"/>
    <n v="6.0400000000000004E-4"/>
    <n v="9.7350000000000006E-3"/>
    <n v="58.410000000000004"/>
    <n v="5.6780000000000008E-3"/>
    <n v="34.068000000000005"/>
    <n v="3.6240000000000001"/>
    <n v="0.6453004622496149"/>
  </r>
  <r>
    <x v="0"/>
    <x v="1"/>
    <m/>
    <x v="12"/>
    <m/>
    <m/>
    <x v="0"/>
    <x v="0"/>
    <x v="0"/>
    <x v="1"/>
    <x v="1"/>
    <m/>
    <m/>
    <x v="0"/>
    <m/>
    <m/>
    <m/>
    <m/>
    <m/>
    <m/>
    <m/>
    <n v="0"/>
    <x v="4"/>
    <m/>
    <s v=""/>
    <m/>
    <m/>
    <m/>
    <m/>
    <m/>
    <x v="0"/>
    <m/>
    <m/>
    <m/>
    <m/>
    <m/>
    <m/>
    <m/>
    <m/>
  </r>
  <r>
    <x v="10"/>
    <x v="2"/>
    <n v="549600"/>
    <x v="13"/>
    <n v="510090"/>
    <s v="INSERTI M8 12*12 laiton hex12"/>
    <x v="3"/>
    <x v="0"/>
    <x v="0"/>
    <x v="1"/>
    <x v="3"/>
    <m/>
    <m/>
    <x v="0"/>
    <n v="3000"/>
    <n v="3.2499999999999999E-3"/>
    <n v="12"/>
    <n v="186"/>
    <n v="3.3670079999999998"/>
    <n v="9.75"/>
    <n v="1.8102193548387095E-2"/>
    <n v="54.306580645161283"/>
    <x v="0"/>
    <m/>
    <s v=""/>
    <n v="1.4128105806451612E-2"/>
    <n v="42.384317419354836"/>
    <n v="1.3334685148514848E-3"/>
    <n v="4.0004055445544546"/>
    <n v="44.556580645161283"/>
    <x v="15"/>
    <n v="1.8281423187480073"/>
    <n v="6.3900000000000003E-4"/>
    <n v="1.0307999999999999E-2"/>
    <n v="30.923999999999999"/>
    <n v="6.4189999999999994E-3"/>
    <n v="19.256999999999998"/>
    <n v="1.917"/>
    <n v="0.68471090415211477"/>
  </r>
  <r>
    <x v="10"/>
    <x v="2"/>
    <n v="549600"/>
    <x v="13"/>
    <n v="512800"/>
    <s v="PERNO DISINNESTO RULLO G16922290"/>
    <x v="0"/>
    <x v="0"/>
    <x v="0"/>
    <x v="2"/>
    <x v="10"/>
    <m/>
    <m/>
    <x v="0"/>
    <n v="3000"/>
    <n v="3.421E-3"/>
    <n v="24.5"/>
    <n v="101"/>
    <n v="1.0385550000000003"/>
    <n v="10.263"/>
    <n v="1.0282722772277231E-2"/>
    <n v="30.848168316831693"/>
    <x v="0"/>
    <m/>
    <s v=""/>
    <n v="6.4504138613861416E-3"/>
    <n v="19.351241584158426"/>
    <n v="4.1130891089108927E-4"/>
    <n v="1.2339267326732679"/>
    <n v="20.585168316831691"/>
    <x v="16"/>
    <n v="0"/>
    <m/>
    <m/>
    <m/>
    <m/>
    <m/>
    <m/>
    <m/>
  </r>
  <r>
    <x v="11"/>
    <x v="2"/>
    <n v="530052"/>
    <x v="14"/>
    <s v="200200"/>
    <s v="EMBOUT DE TIGE"/>
    <x v="0"/>
    <x v="0"/>
    <x v="0"/>
    <x v="2"/>
    <x v="16"/>
    <m/>
    <m/>
    <x v="0"/>
    <n v="1500"/>
    <n v="7.4759999999999993E-2"/>
    <n v="39.5"/>
    <n v="65"/>
    <n v="10.258380000000001"/>
    <n v="112.13999999999999"/>
    <n v="0.15782123076923077"/>
    <n v="236.73184615384616"/>
    <x v="0"/>
    <m/>
    <s v=""/>
    <n v="7.6748381538461544E-2"/>
    <n v="115.12257230769231"/>
    <n v="4.0627247524752472E-3"/>
    <n v="6.0940871287128706"/>
    <n v="124.59184615384618"/>
    <x v="9"/>
    <n v="-3.3751867174409966"/>
    <m/>
    <m/>
    <m/>
    <m/>
    <m/>
    <m/>
    <m/>
  </r>
  <r>
    <x v="12"/>
    <x v="2"/>
    <n v="530407"/>
    <x v="15"/>
    <s v="200200"/>
    <s v="EMBOUT DE TIGE"/>
    <x v="0"/>
    <x v="0"/>
    <x v="0"/>
    <x v="2"/>
    <x v="16"/>
    <m/>
    <m/>
    <x v="0"/>
    <n v="1100"/>
    <n v="7.4759999999999993E-2"/>
    <n v="39.5"/>
    <n v="65"/>
    <n v="10.258380000000001"/>
    <n v="82.23599999999999"/>
    <n v="0.15782123076923077"/>
    <n v="173.60335384615385"/>
    <x v="0"/>
    <m/>
    <s v=""/>
    <n v="7.6748381538461544E-2"/>
    <n v="84.423219692307697"/>
    <n v="4.0627247524752472E-3"/>
    <n v="4.4689972277227721"/>
    <n v="91.367353846153861"/>
    <x v="17"/>
    <n v="-2.4751369261233975"/>
    <m/>
    <m/>
    <m/>
    <m/>
    <m/>
    <m/>
    <m/>
  </r>
  <r>
    <x v="13"/>
    <x v="2"/>
    <n v="530684"/>
    <x v="16"/>
    <n v="511040"/>
    <s v="BRONZINA 16/18X10.3"/>
    <x v="4"/>
    <x v="0"/>
    <x v="0"/>
    <x v="2"/>
    <x v="19"/>
    <m/>
    <m/>
    <x v="0"/>
    <n v="4200"/>
    <n v="3.676E-3"/>
    <n v="10.3"/>
    <n v="210"/>
    <n v="6.8671800000000003"/>
    <n v="15.4392"/>
    <n v="3.2700857142857143E-2"/>
    <n v="137.34360000000001"/>
    <x v="0"/>
    <m/>
    <s v=""/>
    <n v="2.7716822857142855E-2"/>
    <n v="116.41065599999999"/>
    <n v="2.719675247524752E-3"/>
    <n v="11.422636039603958"/>
    <n v="121.90440000000001"/>
    <x v="18"/>
    <n v="5.9288920396039373"/>
    <n v="1.9103773584905662E-3"/>
    <n v="3.0991000000000001E-2"/>
    <n v="130.16220000000001"/>
    <n v="2.6970622641509436E-2"/>
    <n v="113.27661509433963"/>
    <n v="8.0235849056603783"/>
    <n v="0.93191571746636115"/>
  </r>
  <r>
    <x v="14"/>
    <x v="2"/>
    <n v="531288"/>
    <x v="17"/>
    <s v="200200"/>
    <s v="EMBOUT DE TIGE"/>
    <x v="0"/>
    <x v="0"/>
    <x v="0"/>
    <x v="2"/>
    <x v="16"/>
    <m/>
    <m/>
    <x v="0"/>
    <n v="1300"/>
    <n v="7.4759999999999993E-2"/>
    <n v="39.5"/>
    <n v="65"/>
    <n v="10.258380000000001"/>
    <n v="97.187999999999988"/>
    <n v="0.15782123076923077"/>
    <n v="205.16759999999999"/>
    <x v="0"/>
    <m/>
    <s v=""/>
    <n v="7.6748381538461544E-2"/>
    <n v="99.772896000000003"/>
    <n v="4.0627247524752472E-3"/>
    <n v="5.2815421782178218"/>
    <n v="107.9796"/>
    <x v="19"/>
    <n v="-2.9251618217821829"/>
    <m/>
    <m/>
    <m/>
    <m/>
    <m/>
    <m/>
    <m/>
  </r>
  <r>
    <x v="15"/>
    <x v="2"/>
    <n v="531306"/>
    <x v="18"/>
    <n v="510020"/>
    <s v="INSERTO ESAG,M6 8*6"/>
    <x v="2"/>
    <x v="0"/>
    <x v="0"/>
    <x v="1"/>
    <x v="1"/>
    <m/>
    <m/>
    <x v="0"/>
    <n v="25000"/>
    <n v="1.446E-3"/>
    <n v="6"/>
    <n v="311"/>
    <n v="1.4964479999999998"/>
    <n v="36.15"/>
    <n v="4.8117299035369768E-3"/>
    <n v="120.29324758842442"/>
    <x v="0"/>
    <m/>
    <s v=""/>
    <n v="3.1732607073954979E-3"/>
    <n v="79.331517684887444"/>
    <n v="5.9265267326732659E-4"/>
    <n v="14.816316831683165"/>
    <n v="84.14324758842443"/>
    <x v="20"/>
    <n v="10.004586928146182"/>
    <n v="2.8400000000000002E-4"/>
    <n v="4.5869999999999999E-3"/>
    <n v="114.675"/>
    <n v="3.3179999999999998E-3"/>
    <n v="82.949999999999989"/>
    <n v="7.1000000000000005"/>
    <n v="0.78526269893176359"/>
  </r>
  <r>
    <x v="15"/>
    <x v="2"/>
    <n v="531306"/>
    <x v="18"/>
    <n v="512800"/>
    <s v="PERNO DISINNESTO RULLO G16922290"/>
    <x v="0"/>
    <x v="0"/>
    <x v="0"/>
    <x v="2"/>
    <x v="10"/>
    <m/>
    <m/>
    <x v="0"/>
    <n v="12000"/>
    <n v="3.421E-3"/>
    <n v="24.5"/>
    <n v="101"/>
    <n v="1.0385550000000003"/>
    <n v="41.052"/>
    <n v="1.0282722772277231E-2"/>
    <n v="123.39267326732677"/>
    <x v="0"/>
    <m/>
    <s v=""/>
    <n v="6.4504138613861416E-3"/>
    <n v="77.404966336633706"/>
    <n v="4.1130891089108927E-4"/>
    <n v="4.9357069306930716"/>
    <n v="82.340673267326764"/>
    <x v="21"/>
    <n v="0"/>
    <n v="6.0400000000000004E-4"/>
    <n v="9.7350000000000006E-3"/>
    <n v="116.82000000000001"/>
    <n v="5.6780000000000008E-3"/>
    <n v="68.13600000000001"/>
    <n v="7.2480000000000002"/>
    <n v="0.6453004622496149"/>
  </r>
  <r>
    <x v="0"/>
    <x v="1"/>
    <m/>
    <x v="19"/>
    <m/>
    <m/>
    <x v="0"/>
    <x v="0"/>
    <x v="0"/>
    <x v="2"/>
    <x v="16"/>
    <m/>
    <m/>
    <x v="0"/>
    <m/>
    <m/>
    <m/>
    <m/>
    <m/>
    <m/>
    <m/>
    <n v="0"/>
    <x v="5"/>
    <m/>
    <s v=""/>
    <m/>
    <m/>
    <m/>
    <m/>
    <m/>
    <x v="0"/>
    <m/>
    <m/>
    <m/>
    <m/>
    <m/>
    <m/>
    <m/>
    <m/>
  </r>
  <r>
    <x v="0"/>
    <x v="1"/>
    <m/>
    <x v="19"/>
    <m/>
    <m/>
    <x v="0"/>
    <x v="0"/>
    <x v="0"/>
    <x v="2"/>
    <x v="19"/>
    <m/>
    <m/>
    <x v="0"/>
    <m/>
    <m/>
    <m/>
    <m/>
    <m/>
    <m/>
    <m/>
    <n v="0"/>
    <x v="6"/>
    <m/>
    <s v=""/>
    <m/>
    <m/>
    <m/>
    <m/>
    <m/>
    <x v="0"/>
    <m/>
    <m/>
    <m/>
    <m/>
    <m/>
    <m/>
    <m/>
    <m/>
  </r>
  <r>
    <x v="0"/>
    <x v="1"/>
    <m/>
    <x v="19"/>
    <m/>
    <m/>
    <x v="0"/>
    <x v="0"/>
    <x v="0"/>
    <x v="2"/>
    <x v="10"/>
    <m/>
    <m/>
    <x v="0"/>
    <m/>
    <m/>
    <m/>
    <m/>
    <m/>
    <m/>
    <m/>
    <n v="0"/>
    <x v="7"/>
    <m/>
    <s v=""/>
    <m/>
    <m/>
    <m/>
    <m/>
    <m/>
    <x v="0"/>
    <m/>
    <m/>
    <m/>
    <m/>
    <m/>
    <m/>
    <m/>
    <m/>
  </r>
  <r>
    <x v="0"/>
    <x v="1"/>
    <m/>
    <x v="19"/>
    <m/>
    <m/>
    <x v="0"/>
    <x v="0"/>
    <x v="0"/>
    <x v="1"/>
    <x v="3"/>
    <m/>
    <m/>
    <x v="0"/>
    <m/>
    <m/>
    <m/>
    <m/>
    <m/>
    <m/>
    <m/>
    <n v="0"/>
    <x v="8"/>
    <m/>
    <s v=""/>
    <m/>
    <m/>
    <m/>
    <m/>
    <m/>
    <x v="0"/>
    <m/>
    <m/>
    <m/>
    <m/>
    <m/>
    <m/>
    <m/>
    <m/>
  </r>
  <r>
    <x v="0"/>
    <x v="1"/>
    <m/>
    <x v="19"/>
    <m/>
    <m/>
    <x v="0"/>
    <x v="0"/>
    <x v="0"/>
    <x v="1"/>
    <x v="1"/>
    <m/>
    <m/>
    <x v="0"/>
    <m/>
    <m/>
    <m/>
    <m/>
    <m/>
    <m/>
    <m/>
    <n v="0"/>
    <x v="9"/>
    <m/>
    <s v=""/>
    <m/>
    <m/>
    <m/>
    <m/>
    <m/>
    <x v="0"/>
    <m/>
    <m/>
    <m/>
    <m/>
    <m/>
    <m/>
    <m/>
    <m/>
  </r>
  <r>
    <x v="16"/>
    <x v="2"/>
    <n v="531987"/>
    <x v="20"/>
    <n v="510020"/>
    <s v="INSERTO ESAG,M6 8*6"/>
    <x v="2"/>
    <x v="0"/>
    <x v="0"/>
    <x v="1"/>
    <x v="1"/>
    <m/>
    <m/>
    <x v="0"/>
    <n v="6568"/>
    <n v="1.446E-3"/>
    <n v="6"/>
    <n v="311"/>
    <n v="1.4964479999999998"/>
    <n v="9.4973279999999995"/>
    <n v="4.8117299035369768E-3"/>
    <n v="31.603442006430864"/>
    <x v="0"/>
    <m/>
    <s v=""/>
    <n v="3.1732607073954979E-3"/>
    <n v="20.841976326173629"/>
    <n v="5.9265267326732659E-4"/>
    <n v="3.8925427580198009"/>
    <n v="22.106114006430865"/>
    <x v="22"/>
    <n v="2.6284050777625652"/>
    <n v="2.8400000000000002E-4"/>
    <n v="4.5869999999999999E-3"/>
    <n v="22.934999999999999"/>
    <n v="3.3179999999999998E-3"/>
    <n v="16.59"/>
    <n v="1.4200000000000002"/>
    <n v="0.78526269893176359"/>
  </r>
  <r>
    <x v="16"/>
    <x v="2"/>
    <n v="531987"/>
    <x v="20"/>
    <s v="510090"/>
    <s v="INSERTI M8 12*12 laiton hex12"/>
    <x v="3"/>
    <x v="0"/>
    <x v="0"/>
    <x v="1"/>
    <x v="3"/>
    <m/>
    <m/>
    <x v="0"/>
    <n v="3000"/>
    <n v="3.2499999999999999E-3"/>
    <n v="12"/>
    <n v="186"/>
    <n v="3.3670079999999998"/>
    <n v="9.75"/>
    <n v="1.8102193548387095E-2"/>
    <n v="54.306580645161283"/>
    <x v="0"/>
    <m/>
    <s v=""/>
    <n v="1.4128105806451612E-2"/>
    <n v="42.384317419354836"/>
    <n v="1.3334685148514848E-3"/>
    <n v="4.0004055445544546"/>
    <n v="44.556580645161283"/>
    <x v="15"/>
    <n v="1.8281423187480073"/>
    <m/>
    <m/>
    <m/>
    <m/>
    <m/>
    <m/>
    <m/>
  </r>
  <r>
    <x v="17"/>
    <x v="2"/>
    <n v="532603"/>
    <x v="21"/>
    <s v="510090"/>
    <s v="INSERTI M8 12*12 laiton hex12"/>
    <x v="3"/>
    <x v="0"/>
    <x v="0"/>
    <x v="1"/>
    <x v="3"/>
    <m/>
    <m/>
    <x v="0"/>
    <n v="6000"/>
    <n v="3.2499999999999999E-3"/>
    <n v="12"/>
    <n v="186"/>
    <n v="3.3670079999999998"/>
    <n v="19.5"/>
    <n v="1.8102193548387095E-2"/>
    <n v="108.61316129032257"/>
    <x v="0"/>
    <m/>
    <n v="218.63649032258064"/>
    <n v="1.4128105806451612E-2"/>
    <n v="84.768634838709673"/>
    <n v="1.3334685148514848E-3"/>
    <n v="8.0008110891089093"/>
    <n v="89.113161290322566"/>
    <x v="23"/>
    <n v="3.6562846374960145"/>
    <n v="6.3900000000000003E-4"/>
    <n v="1.0307999999999999E-2"/>
    <n v="61.847999999999999"/>
    <n v="6.4189999999999994E-3"/>
    <n v="38.513999999999996"/>
    <n v="3.8340000000000001"/>
    <n v="0.68471090415211477"/>
  </r>
  <r>
    <x v="18"/>
    <x v="2"/>
    <n v="532778"/>
    <x v="22"/>
    <s v="200200"/>
    <s v="EMBOUT DE TIGE"/>
    <x v="0"/>
    <x v="0"/>
    <x v="0"/>
    <x v="2"/>
    <x v="16"/>
    <m/>
    <m/>
    <x v="0"/>
    <n v="1900"/>
    <n v="7.4759999999999993E-2"/>
    <n v="39.5"/>
    <n v="65"/>
    <n v="10.258380000000001"/>
    <n v="142.04399999999998"/>
    <n v="0.15782123076923077"/>
    <n v="299.86033846153845"/>
    <x v="0"/>
    <m/>
    <s v=""/>
    <n v="7.6748381538461544E-2"/>
    <n v="145.82192492307692"/>
    <n v="4.0627247524752472E-3"/>
    <n v="7.71917702970297"/>
    <n v="157.81633846153846"/>
    <x v="24"/>
    <n v="-4.2752365087585815"/>
    <n v="9.2720000000000007E-3"/>
    <n v="0.14954500000000001"/>
    <n v="284.13550000000004"/>
    <n v="6.5513000000000016E-2"/>
    <n v="124.47470000000003"/>
    <n v="17.616800000000001"/>
    <n v="0.50008358688020338"/>
  </r>
  <r>
    <x v="19"/>
    <x v="2"/>
    <n v="533273"/>
    <x v="23"/>
    <n v="510020"/>
    <s v="INSERTO ESAG,M6 8*6"/>
    <x v="2"/>
    <x v="0"/>
    <x v="0"/>
    <x v="1"/>
    <x v="1"/>
    <m/>
    <m/>
    <x v="0"/>
    <n v="19000"/>
    <n v="1.446E-3"/>
    <n v="6"/>
    <n v="311"/>
    <n v="1.4964479999999998"/>
    <n v="27.474"/>
    <n v="4.8117299035369768E-3"/>
    <n v="91.422868167202566"/>
    <x v="0"/>
    <m/>
    <s v=""/>
    <n v="3.1732607073954979E-3"/>
    <n v="60.291953440514462"/>
    <n v="5.9265267326732659E-4"/>
    <n v="11.260400792079205"/>
    <n v="63.948868167202562"/>
    <x v="25"/>
    <n v="7.6034860653911096"/>
    <m/>
    <m/>
    <m/>
    <m/>
    <m/>
    <m/>
    <m/>
  </r>
  <r>
    <x v="20"/>
    <x v="2"/>
    <n v="533503"/>
    <x v="24"/>
    <s v="200200"/>
    <s v="EMBOUT DE TIGE"/>
    <x v="0"/>
    <x v="0"/>
    <x v="0"/>
    <x v="2"/>
    <x v="16"/>
    <m/>
    <m/>
    <x v="0"/>
    <n v="550"/>
    <n v="7.4759999999999993E-2"/>
    <n v="39.5"/>
    <n v="65"/>
    <n v="10.258380000000001"/>
    <n v="41.117999999999995"/>
    <n v="0.15782123076923077"/>
    <n v="86.801676923076926"/>
    <x v="0"/>
    <m/>
    <s v=""/>
    <n v="7.6748381538461544E-2"/>
    <n v="42.211609846153848"/>
    <n v="4.0627247524752472E-3"/>
    <n v="2.234498613861386"/>
    <n v="45.683676923076931"/>
    <x v="26"/>
    <n v="-1.2375684630616988"/>
    <n v="9.2720000000000007E-3"/>
    <n v="0.14954500000000001"/>
    <n v="82.249750000000006"/>
    <n v="6.5513000000000016E-2"/>
    <n v="36.032150000000009"/>
    <n v="5.0996000000000006"/>
    <n v="0.50008358688020338"/>
  </r>
  <r>
    <x v="21"/>
    <x v="2"/>
    <n v="533899"/>
    <x v="25"/>
    <n v="510020"/>
    <s v="INSERTO ESAG,M6 8*6"/>
    <x v="2"/>
    <x v="0"/>
    <x v="0"/>
    <x v="1"/>
    <x v="1"/>
    <m/>
    <m/>
    <x v="0"/>
    <n v="21500"/>
    <n v="1.446E-3"/>
    <n v="6"/>
    <n v="311"/>
    <n v="1.4964479999999998"/>
    <n v="31.089000000000002"/>
    <n v="4.8117299035369768E-3"/>
    <n v="103.452192926045"/>
    <x v="0"/>
    <m/>
    <s v=""/>
    <n v="3.1732607073954979E-3"/>
    <n v="68.225105209003203"/>
    <n v="5.9265267326732659E-4"/>
    <n v="12.742032475247521"/>
    <n v="72.363192926045002"/>
    <x v="27"/>
    <n v="8.6039447582057278"/>
    <m/>
    <m/>
    <m/>
    <m/>
    <m/>
    <m/>
    <m/>
  </r>
  <r>
    <x v="21"/>
    <x v="2"/>
    <n v="533899"/>
    <x v="25"/>
    <n v="512800"/>
    <s v="PERNO DISINNESTO RULLO G16922290"/>
    <x v="0"/>
    <x v="0"/>
    <x v="0"/>
    <x v="2"/>
    <x v="10"/>
    <m/>
    <m/>
    <x v="0"/>
    <n v="6000"/>
    <n v="3.421E-3"/>
    <n v="24.5"/>
    <n v="101"/>
    <n v="1.0385550000000003"/>
    <n v="20.526"/>
    <n v="1.0282722772277231E-2"/>
    <n v="61.696336633663385"/>
    <x v="0"/>
    <m/>
    <s v=""/>
    <n v="6.4504138613861416E-3"/>
    <n v="38.702483168316853"/>
    <n v="4.1130891089108927E-4"/>
    <n v="2.4678534653465358"/>
    <n v="41.170336633663382"/>
    <x v="14"/>
    <n v="0"/>
    <m/>
    <m/>
    <m/>
    <m/>
    <m/>
    <m/>
    <m/>
  </r>
  <r>
    <x v="22"/>
    <x v="2"/>
    <n v="534593"/>
    <x v="26"/>
    <s v="200200"/>
    <s v="EMBOUT DE TIGE"/>
    <x v="0"/>
    <x v="0"/>
    <x v="0"/>
    <x v="2"/>
    <x v="16"/>
    <m/>
    <m/>
    <x v="0"/>
    <n v="2700"/>
    <n v="7.4759999999999993E-2"/>
    <n v="39.5"/>
    <n v="65"/>
    <n v="10.258380000000001"/>
    <n v="201.85199999999998"/>
    <n v="0.15782123076923077"/>
    <n v="426.11732307692307"/>
    <x v="0"/>
    <m/>
    <s v=""/>
    <n v="7.6748381538461544E-2"/>
    <n v="207.22063015384617"/>
    <n v="4.0627247524752472E-3"/>
    <n v="10.969356831683168"/>
    <n v="224.2653230769231"/>
    <x v="28"/>
    <n v="-6.0753360913937513"/>
    <n v="9.2720000000000007E-3"/>
    <n v="0.14954500000000001"/>
    <n v="403.7715"/>
    <n v="8.2273000000000013E-2"/>
    <n v="222.13710000000003"/>
    <n v="25.034400000000002"/>
    <n v="0.61215687585676559"/>
  </r>
  <r>
    <x v="23"/>
    <x v="2"/>
    <n v="534802"/>
    <x v="27"/>
    <n v="510020"/>
    <s v="INSERTO ESAG,M6 8*6"/>
    <x v="2"/>
    <x v="0"/>
    <x v="0"/>
    <x v="1"/>
    <x v="1"/>
    <m/>
    <m/>
    <x v="0"/>
    <n v="15733"/>
    <n v="1.446E-3"/>
    <n v="6"/>
    <n v="311"/>
    <n v="1.4964479999999998"/>
    <n v="22.749918000000001"/>
    <n v="4.8117299035369768E-3"/>
    <n v="75.702946572347258"/>
    <x v="0"/>
    <m/>
    <s v=""/>
    <n v="3.1732607073954979E-3"/>
    <n v="49.924910709453371"/>
    <n v="5.9265267326732659E-4"/>
    <n v="9.3242045085148497"/>
    <n v="52.953028572347257"/>
    <x v="29"/>
    <n v="6.2960866456209672"/>
    <m/>
    <m/>
    <m/>
    <m/>
    <m/>
    <m/>
    <m/>
  </r>
  <r>
    <x v="24"/>
    <x v="2"/>
    <n v="535277"/>
    <x v="28"/>
    <s v="200200"/>
    <s v="EMBOUT DE TIGE"/>
    <x v="0"/>
    <x v="0"/>
    <x v="0"/>
    <x v="2"/>
    <x v="16"/>
    <m/>
    <m/>
    <x v="0"/>
    <n v="1200"/>
    <n v="7.4759999999999993E-2"/>
    <n v="39.5"/>
    <n v="65"/>
    <n v="10.258380000000001"/>
    <n v="89.711999999999989"/>
    <n v="0.15782123076923077"/>
    <n v="189.38547692307694"/>
    <x v="0"/>
    <m/>
    <s v=""/>
    <n v="7.6748381538461544E-2"/>
    <n v="92.09805784615385"/>
    <n v="4.0627247524752472E-3"/>
    <n v="4.8752697029702965"/>
    <n v="99.673476923076947"/>
    <x v="30"/>
    <n v="-2.7001493739527973"/>
    <n v="9.2720000000000007E-3"/>
    <n v="0.14954500000000001"/>
    <n v="179.45400000000001"/>
    <n v="6.5513000000000016E-2"/>
    <n v="78.615600000000015"/>
    <n v="11.1264"/>
    <n v="0.50008358688020338"/>
  </r>
  <r>
    <x v="25"/>
    <x v="2"/>
    <n v="536321"/>
    <x v="29"/>
    <s v="200200"/>
    <s v="EMBOUT DE TIGE"/>
    <x v="0"/>
    <x v="0"/>
    <x v="0"/>
    <x v="2"/>
    <x v="16"/>
    <m/>
    <m/>
    <x v="0"/>
    <n v="1000"/>
    <n v="7.4759999999999993E-2"/>
    <n v="39.5"/>
    <n v="65"/>
    <n v="10.258380000000001"/>
    <n v="74.759999999999991"/>
    <n v="0.15782123076923077"/>
    <n v="157.82123076923077"/>
    <x v="0"/>
    <m/>
    <s v=""/>
    <n v="7.6748381538461544E-2"/>
    <n v="76.748381538461544"/>
    <n v="4.0627247524752472E-3"/>
    <n v="4.0627247524752477"/>
    <n v="83.061230769230775"/>
    <x v="31"/>
    <n v="-2.2501244782939835"/>
    <n v="9.2720000000000007E-3"/>
    <n v="0.14954500000000001"/>
    <n v="149.54500000000002"/>
    <n v="8.2273000000000013E-2"/>
    <n v="82.27300000000001"/>
    <n v="9.2720000000000002"/>
    <n v="0.61215687585676559"/>
  </r>
  <r>
    <x v="26"/>
    <x v="2"/>
    <n v="536867"/>
    <x v="30"/>
    <n v="512800"/>
    <s v="PERNO DISINNESTO RULLO G16922290"/>
    <x v="0"/>
    <x v="0"/>
    <x v="0"/>
    <x v="2"/>
    <x v="10"/>
    <m/>
    <m/>
    <x v="0"/>
    <n v="27000"/>
    <n v="3.421E-3"/>
    <n v="24.5"/>
    <n v="101"/>
    <n v="1.0385550000000003"/>
    <n v="92.367000000000004"/>
    <n v="1.0282722772277231E-2"/>
    <n v="277.63351485148524"/>
    <x v="0"/>
    <m/>
    <s v=""/>
    <n v="6.4504138613861416E-3"/>
    <n v="174.16117425742581"/>
    <n v="4.1130891089108927E-4"/>
    <n v="11.10534059405941"/>
    <n v="185.26651485148523"/>
    <x v="32"/>
    <n v="0"/>
    <n v="6.0400000000000004E-4"/>
    <n v="9.7350000000000006E-3"/>
    <n v="262.84500000000003"/>
    <n v="5.6780000000000008E-3"/>
    <n v="153.30600000000001"/>
    <n v="16.308"/>
    <n v="0.6453004622496149"/>
  </r>
  <r>
    <x v="27"/>
    <x v="2"/>
    <n v="537031"/>
    <x v="31"/>
    <s v="200200"/>
    <s v="EMBOUT DE TIGE"/>
    <x v="0"/>
    <x v="0"/>
    <x v="0"/>
    <x v="2"/>
    <x v="16"/>
    <m/>
    <m/>
    <x v="0"/>
    <n v="1550"/>
    <n v="7.4759999999999993E-2"/>
    <n v="39.5"/>
    <n v="65"/>
    <n v="10.258380000000001"/>
    <n v="115.87799999999999"/>
    <n v="0.15782123076923077"/>
    <n v="244.62290769230771"/>
    <x v="0"/>
    <m/>
    <s v=""/>
    <n v="7.6748381538461544E-2"/>
    <n v="118.95999138461539"/>
    <n v="4.0627247524752472E-3"/>
    <n v="6.2972233663366328"/>
    <n v="128.74490769230772"/>
    <x v="33"/>
    <n v="-3.4876929413556894"/>
    <n v="9.2720000000000007E-3"/>
    <n v="0.14954500000000001"/>
    <n v="231.79475000000002"/>
    <n v="6.5513000000000016E-2"/>
    <n v="101.54515000000002"/>
    <n v="14.371600000000001"/>
    <n v="0.50008358688020338"/>
  </r>
  <r>
    <x v="28"/>
    <x v="2"/>
    <n v="537461"/>
    <x v="32"/>
    <n v="510020"/>
    <s v="INSERTO ESAG,M6 8*6"/>
    <x v="2"/>
    <x v="0"/>
    <x v="0"/>
    <x v="1"/>
    <x v="1"/>
    <m/>
    <m/>
    <x v="0"/>
    <n v="1000"/>
    <n v="1.446E-3"/>
    <n v="6"/>
    <n v="311"/>
    <n v="1.4964479999999998"/>
    <n v="1.446"/>
    <n v="4.8117299035369768E-3"/>
    <n v="4.8117299035369765"/>
    <x v="0"/>
    <m/>
    <s v=""/>
    <n v="3.1732607073954979E-3"/>
    <n v="3.1732607073954977"/>
    <n v="5.9265267326732659E-4"/>
    <n v="0.59265267326732662"/>
    <n v="3.3657299035369768"/>
    <x v="34"/>
    <n v="0.40018347712584745"/>
    <m/>
    <m/>
    <m/>
    <m/>
    <m/>
    <m/>
    <m/>
  </r>
  <r>
    <x v="28"/>
    <x v="2"/>
    <n v="537461"/>
    <x v="32"/>
    <n v="511040"/>
    <s v="BRONZINA 16/18X10.3"/>
    <x v="4"/>
    <x v="0"/>
    <x v="0"/>
    <x v="2"/>
    <x v="19"/>
    <m/>
    <m/>
    <x v="0"/>
    <n v="5000"/>
    <n v="3.676E-3"/>
    <n v="10.3"/>
    <n v="210"/>
    <n v="6.8671800000000003"/>
    <n v="18.38"/>
    <n v="3.2700857142857143E-2"/>
    <n v="163.50428571428571"/>
    <x v="0"/>
    <m/>
    <s v=""/>
    <n v="2.7716822857142855E-2"/>
    <n v="138.58411428571426"/>
    <n v="2.719675247524752E-3"/>
    <n v="13.598376237623759"/>
    <n v="145.12428571428572"/>
    <x v="35"/>
    <n v="7.0582048090523131"/>
    <n v="1.9103773584905662E-3"/>
    <n v="3.0991000000000001E-2"/>
    <n v="154.95500000000001"/>
    <n v="2.6970622641509436E-2"/>
    <n v="134.85311320754718"/>
    <n v="9.5518867924528319"/>
    <n v="0.93191571746636115"/>
  </r>
  <r>
    <x v="29"/>
    <x v="2"/>
    <n v="537851"/>
    <x v="33"/>
    <n v="510020"/>
    <s v="INSERTO ESAG,M6 8*6"/>
    <x v="2"/>
    <x v="0"/>
    <x v="0"/>
    <x v="1"/>
    <x v="1"/>
    <m/>
    <m/>
    <x v="0"/>
    <n v="20000"/>
    <n v="1.446E-3"/>
    <n v="6"/>
    <n v="311"/>
    <n v="1.4964479999999998"/>
    <n v="28.92"/>
    <n v="4.8117299035369768E-3"/>
    <n v="96.234598070739537"/>
    <x v="0"/>
    <m/>
    <s v=""/>
    <n v="3.1732607073954979E-3"/>
    <n v="63.465214147909954"/>
    <n v="5.9265267326732659E-4"/>
    <n v="11.853053465346532"/>
    <n v="67.314598070739535"/>
    <x v="3"/>
    <n v="8.0036695425169455"/>
    <m/>
    <m/>
    <m/>
    <m/>
    <m/>
    <m/>
    <m/>
  </r>
  <r>
    <x v="30"/>
    <x v="2"/>
    <n v="539092"/>
    <x v="34"/>
    <n v="510020"/>
    <s v="INSERTO ESAG,M6 8*6"/>
    <x v="2"/>
    <x v="0"/>
    <x v="0"/>
    <x v="1"/>
    <x v="1"/>
    <m/>
    <m/>
    <x v="0"/>
    <n v="20000"/>
    <n v="1.446E-3"/>
    <n v="6"/>
    <n v="311"/>
    <n v="1.4964479999999998"/>
    <n v="28.92"/>
    <n v="4.8117299035369768E-3"/>
    <n v="96.234598070739537"/>
    <x v="0"/>
    <m/>
    <s v=""/>
    <n v="3.1732607073954979E-3"/>
    <n v="63.465214147909954"/>
    <n v="5.9265267326732659E-4"/>
    <n v="11.853053465346532"/>
    <n v="67.314598070739535"/>
    <x v="3"/>
    <n v="8.0036695425169455"/>
    <m/>
    <m/>
    <m/>
    <m/>
    <m/>
    <m/>
    <m/>
  </r>
  <r>
    <x v="30"/>
    <x v="2"/>
    <n v="539092"/>
    <x v="34"/>
    <n v="512800"/>
    <s v="PERNO DISINNESTO RULLO G16922290"/>
    <x v="0"/>
    <x v="0"/>
    <x v="0"/>
    <x v="2"/>
    <x v="10"/>
    <m/>
    <m/>
    <x v="0"/>
    <n v="6109"/>
    <n v="3.421E-3"/>
    <n v="24.5"/>
    <n v="101"/>
    <n v="1.0385550000000003"/>
    <n v="20.898889"/>
    <n v="1.0282722772277231E-2"/>
    <n v="62.817153415841602"/>
    <x v="0"/>
    <m/>
    <s v=""/>
    <n v="6.4504138613861416E-3"/>
    <n v="39.405578279207937"/>
    <n v="4.1130891089108927E-4"/>
    <n v="2.5126861366336644"/>
    <n v="41.918264415841605"/>
    <x v="36"/>
    <n v="0"/>
    <n v="6.0400000000000004E-4"/>
    <n v="9.7350000000000006E-3"/>
    <n v="59.471115000000005"/>
    <n v="5.6780000000000008E-3"/>
    <n v="34.686902000000003"/>
    <n v="3.6898360000000001"/>
    <n v="0.6453004622496149"/>
  </r>
  <r>
    <x v="31"/>
    <x v="2"/>
    <n v="539116"/>
    <x v="35"/>
    <s v="200200"/>
    <s v="EMBOUT DE TIGE"/>
    <x v="0"/>
    <x v="0"/>
    <x v="0"/>
    <x v="2"/>
    <x v="16"/>
    <m/>
    <m/>
    <x v="0"/>
    <n v="1700"/>
    <n v="7.4759999999999993E-2"/>
    <n v="39.5"/>
    <n v="65"/>
    <n v="10.258380000000001"/>
    <n v="127.09199999999998"/>
    <n v="0.15782123076923077"/>
    <n v="268.29609230769233"/>
    <x v="0"/>
    <m/>
    <s v=""/>
    <n v="7.6748381538461544E-2"/>
    <n v="130.47224861538461"/>
    <n v="4.0627247524752472E-3"/>
    <n v="6.9066320792079203"/>
    <n v="141.20409230769235"/>
    <x v="37"/>
    <n v="-3.8252116130998104"/>
    <n v="9.2720000000000007E-3"/>
    <n v="0.14954500000000001"/>
    <n v="254.22650000000002"/>
    <n v="6.5513000000000016E-2"/>
    <n v="111.37210000000003"/>
    <n v="15.762400000000001"/>
    <n v="0.50008358688020338"/>
  </r>
  <r>
    <x v="0"/>
    <x v="1"/>
    <m/>
    <x v="36"/>
    <m/>
    <m/>
    <x v="0"/>
    <x v="0"/>
    <x v="0"/>
    <x v="2"/>
    <x v="10"/>
    <m/>
    <m/>
    <x v="0"/>
    <m/>
    <m/>
    <m/>
    <m/>
    <m/>
    <m/>
    <m/>
    <n v="0"/>
    <x v="10"/>
    <m/>
    <s v=""/>
    <m/>
    <m/>
    <m/>
    <m/>
    <m/>
    <x v="0"/>
    <m/>
    <m/>
    <m/>
    <m/>
    <m/>
    <m/>
    <m/>
    <m/>
  </r>
  <r>
    <x v="0"/>
    <x v="1"/>
    <m/>
    <x v="36"/>
    <m/>
    <m/>
    <x v="0"/>
    <x v="0"/>
    <x v="0"/>
    <x v="1"/>
    <x v="1"/>
    <m/>
    <m/>
    <x v="0"/>
    <m/>
    <m/>
    <m/>
    <m/>
    <m/>
    <m/>
    <m/>
    <n v="0"/>
    <x v="11"/>
    <m/>
    <s v=""/>
    <m/>
    <m/>
    <m/>
    <m/>
    <m/>
    <x v="0"/>
    <m/>
    <m/>
    <m/>
    <m/>
    <m/>
    <m/>
    <m/>
    <m/>
  </r>
  <r>
    <x v="32"/>
    <x v="2"/>
    <n v="539596"/>
    <x v="37"/>
    <s v="200200"/>
    <s v="EMBOUT DE TIGE"/>
    <x v="0"/>
    <x v="0"/>
    <x v="0"/>
    <x v="2"/>
    <x v="16"/>
    <m/>
    <m/>
    <x v="0"/>
    <n v="1450"/>
    <n v="7.4759999999999993E-2"/>
    <n v="39.5"/>
    <n v="65"/>
    <n v="10.258380000000001"/>
    <n v="108.40199999999999"/>
    <n v="0.15782123076923077"/>
    <n v="228.84078461538462"/>
    <x v="0"/>
    <m/>
    <s v=""/>
    <n v="7.6748381538461544E-2"/>
    <n v="111.28515323076924"/>
    <n v="4.0627247524752472E-3"/>
    <n v="5.8909508910891084"/>
    <n v="120.43878461538463"/>
    <x v="38"/>
    <n v="-3.2626804935262896"/>
    <n v="9.2720000000000007E-3"/>
    <n v="0.14954500000000001"/>
    <n v="216.84025000000003"/>
    <n v="6.5513000000000016E-2"/>
    <n v="94.993850000000023"/>
    <n v="13.444400000000002"/>
    <n v="0.50008358688020338"/>
  </r>
  <r>
    <x v="33"/>
    <x v="2"/>
    <n v="540304"/>
    <x v="38"/>
    <n v="510020"/>
    <s v="INSERTO ESAG,M6 8*6"/>
    <x v="2"/>
    <x v="0"/>
    <x v="0"/>
    <x v="1"/>
    <x v="1"/>
    <m/>
    <m/>
    <x v="0"/>
    <n v="16772"/>
    <n v="1.446E-3"/>
    <n v="6"/>
    <n v="311"/>
    <n v="1.4964479999999998"/>
    <n v="24.252312"/>
    <n v="4.8117299035369768E-3"/>
    <n v="80.702333942122181"/>
    <x v="0"/>
    <m/>
    <s v=""/>
    <n v="3.1732607073954979E-3"/>
    <n v="53.221928584437293"/>
    <n v="5.9265267326732659E-4"/>
    <n v="9.9399706360396021"/>
    <n v="56.450021942122177"/>
    <x v="39"/>
    <n v="6.71187727835472"/>
    <m/>
    <m/>
    <m/>
    <m/>
    <m/>
    <m/>
    <m/>
  </r>
  <r>
    <x v="33"/>
    <x v="2"/>
    <n v="540304"/>
    <x v="38"/>
    <n v="512800"/>
    <s v="PERNO DISINNESTO RULLO G16922290"/>
    <x v="0"/>
    <x v="0"/>
    <x v="0"/>
    <x v="2"/>
    <x v="10"/>
    <m/>
    <m/>
    <x v="0"/>
    <n v="1000"/>
    <n v="3.421E-3"/>
    <n v="24.5"/>
    <n v="101"/>
    <n v="1.0385550000000003"/>
    <n v="3.4209999999999998"/>
    <n v="1.0282722772277231E-2"/>
    <n v="10.28272277227723"/>
    <x v="0"/>
    <m/>
    <s v=""/>
    <n v="6.4504138613861416E-3"/>
    <n v="6.4504138613861413"/>
    <n v="4.1130891089108927E-4"/>
    <n v="0.41130891089108929"/>
    <n v="6.8617227722772309"/>
    <x v="1"/>
    <n v="0"/>
    <m/>
    <m/>
    <m/>
    <m/>
    <m/>
    <m/>
    <m/>
  </r>
  <r>
    <x v="34"/>
    <x v="2"/>
    <n v="540757"/>
    <x v="39"/>
    <s v="200200"/>
    <s v="EMBOUT DE TIGE"/>
    <x v="0"/>
    <x v="0"/>
    <x v="0"/>
    <x v="2"/>
    <x v="16"/>
    <m/>
    <m/>
    <x v="0"/>
    <n v="1000"/>
    <n v="7.4759999999999993E-2"/>
    <n v="39.5"/>
    <n v="65"/>
    <n v="10.258380000000001"/>
    <n v="74.759999999999991"/>
    <n v="0.15782123076923077"/>
    <n v="157.82123076923077"/>
    <x v="0"/>
    <m/>
    <s v=""/>
    <n v="7.6748381538461544E-2"/>
    <n v="76.748381538461544"/>
    <n v="4.0627247524752472E-3"/>
    <n v="4.0627247524752477"/>
    <n v="83.061230769230775"/>
    <x v="31"/>
    <n v="-2.2501244782939835"/>
    <n v="9.2720000000000007E-3"/>
    <n v="0.14954500000000001"/>
    <n v="149.54500000000002"/>
    <n v="6.5513000000000016E-2"/>
    <n v="65.513000000000019"/>
    <n v="9.2720000000000002"/>
    <n v="0.50008358688020338"/>
  </r>
  <r>
    <x v="35"/>
    <x v="2"/>
    <n v="540988"/>
    <x v="40"/>
    <n v="510020"/>
    <s v="INSERTO ESAG,M6 8*6"/>
    <x v="2"/>
    <x v="0"/>
    <x v="0"/>
    <x v="1"/>
    <x v="1"/>
    <m/>
    <m/>
    <x v="0"/>
    <n v="18228"/>
    <n v="1.446E-3"/>
    <n v="6"/>
    <n v="311"/>
    <n v="1.4964479999999998"/>
    <n v="26.357688"/>
    <n v="4.8117299035369768E-3"/>
    <n v="87.708212681672009"/>
    <x v="0"/>
    <m/>
    <s v=""/>
    <n v="3.1732607073954979E-3"/>
    <n v="57.842196174405139"/>
    <n v="5.9265267326732659E-4"/>
    <n v="10.802872928316829"/>
    <n v="61.350524681672013"/>
    <x v="40"/>
    <n v="7.2945444210499488"/>
    <m/>
    <m/>
    <m/>
    <m/>
    <m/>
    <m/>
    <m/>
  </r>
  <r>
    <x v="0"/>
    <x v="1"/>
    <m/>
    <x v="41"/>
    <m/>
    <m/>
    <x v="0"/>
    <x v="0"/>
    <x v="0"/>
    <x v="1"/>
    <x v="1"/>
    <m/>
    <m/>
    <x v="0"/>
    <m/>
    <m/>
    <m/>
    <m/>
    <m/>
    <m/>
    <m/>
    <n v="0"/>
    <x v="10"/>
    <m/>
    <s v=""/>
    <m/>
    <m/>
    <m/>
    <m/>
    <m/>
    <x v="0"/>
    <m/>
    <m/>
    <m/>
    <m/>
    <m/>
    <m/>
    <m/>
    <m/>
  </r>
  <r>
    <x v="36"/>
    <x v="2"/>
    <n v="541530"/>
    <x v="42"/>
    <s v="200200"/>
    <s v="EMBOUT DE TIGE"/>
    <x v="0"/>
    <x v="0"/>
    <x v="0"/>
    <x v="2"/>
    <x v="16"/>
    <m/>
    <m/>
    <x v="0"/>
    <n v="2800"/>
    <n v="7.4759999999999993E-2"/>
    <n v="39.5"/>
    <n v="65"/>
    <n v="10.258380000000001"/>
    <n v="209.32799999999997"/>
    <n v="0.15782123076923077"/>
    <n v="441.89944615384616"/>
    <x v="0"/>
    <m/>
    <s v=""/>
    <n v="7.6748381538461544E-2"/>
    <n v="214.89546830769231"/>
    <n v="4.0627247524752472E-3"/>
    <n v="11.375629306930692"/>
    <n v="232.57144615384618"/>
    <x v="41"/>
    <n v="-6.3003485392231653"/>
    <n v="9.2720000000000007E-3"/>
    <n v="0.14954500000000001"/>
    <n v="418.72600000000006"/>
    <n v="6.5513000000000016E-2"/>
    <n v="183.43640000000005"/>
    <n v="25.961600000000001"/>
    <n v="0.50008358688020338"/>
  </r>
  <r>
    <x v="37"/>
    <x v="2"/>
    <n v="541778"/>
    <x v="43"/>
    <n v="510020"/>
    <s v="INSERTO ESAG,M6 8*6"/>
    <x v="2"/>
    <x v="0"/>
    <x v="0"/>
    <x v="1"/>
    <x v="1"/>
    <m/>
    <m/>
    <x v="0"/>
    <n v="12760"/>
    <n v="1.446E-3"/>
    <n v="6"/>
    <n v="311"/>
    <n v="1.4964479999999998"/>
    <n v="18.450960000000002"/>
    <n v="4.8117299035369768E-3"/>
    <n v="61.397673569131825"/>
    <x v="0"/>
    <m/>
    <s v=""/>
    <n v="3.1732607073954979E-3"/>
    <n v="40.490806626366556"/>
    <n v="5.9265267326732659E-4"/>
    <n v="7.5622481108910877"/>
    <n v="42.946713569131823"/>
    <x v="42"/>
    <n v="5.1063411681258231"/>
    <m/>
    <m/>
    <m/>
    <m/>
    <m/>
    <m/>
    <m/>
  </r>
  <r>
    <x v="38"/>
    <x v="2"/>
    <n v="542331"/>
    <x v="44"/>
    <s v="200200"/>
    <s v="EMBOUT DE TIGE"/>
    <x v="0"/>
    <x v="0"/>
    <x v="0"/>
    <x v="2"/>
    <x v="16"/>
    <m/>
    <m/>
    <x v="0"/>
    <n v="1000"/>
    <n v="7.4759999999999993E-2"/>
    <n v="39.5"/>
    <n v="65"/>
    <n v="10.258380000000001"/>
    <n v="74.759999999999991"/>
    <n v="0.15782123076923077"/>
    <n v="157.82123076923077"/>
    <x v="0"/>
    <m/>
    <s v=""/>
    <n v="7.6748381538461544E-2"/>
    <n v="76.748381538461544"/>
    <n v="4.0627247524752472E-3"/>
    <n v="4.0627247524752477"/>
    <n v="83.061230769230775"/>
    <x v="31"/>
    <n v="-2.2501244782939835"/>
    <n v="9.2720000000000007E-3"/>
    <n v="0.14954500000000001"/>
    <n v="149.54500000000002"/>
    <n v="6.5513000000000016E-2"/>
    <n v="65.513000000000019"/>
    <n v="9.2720000000000002"/>
    <n v="0.50008358688020338"/>
  </r>
  <r>
    <x v="39"/>
    <x v="2"/>
    <n v="542534"/>
    <x v="45"/>
    <n v="510020"/>
    <s v="INSERTO ESAG,M6 8*6"/>
    <x v="2"/>
    <x v="0"/>
    <x v="0"/>
    <x v="1"/>
    <x v="1"/>
    <m/>
    <m/>
    <x v="0"/>
    <n v="2240"/>
    <n v="1.446E-3"/>
    <n v="6"/>
    <n v="311"/>
    <n v="1.4964479999999998"/>
    <n v="3.2390400000000001"/>
    <n v="4.8117299035369768E-3"/>
    <n v="10.778274983922827"/>
    <x v="0"/>
    <m/>
    <s v=""/>
    <n v="3.1732607073954979E-3"/>
    <n v="7.1081039845659149"/>
    <n v="5.9265267326732659E-4"/>
    <n v="1.3275419881188115"/>
    <n v="7.5392349839228272"/>
    <x v="43"/>
    <n v="0.8964109887618994"/>
    <m/>
    <m/>
    <m/>
    <m/>
    <m/>
    <m/>
    <m/>
  </r>
  <r>
    <x v="40"/>
    <x v="2"/>
    <n v="543037"/>
    <x v="46"/>
    <s v="200200"/>
    <s v="EMBOUT DE TIGE"/>
    <x v="0"/>
    <x v="0"/>
    <x v="0"/>
    <x v="2"/>
    <x v="16"/>
    <m/>
    <m/>
    <x v="0"/>
    <n v="1500"/>
    <n v="7.4759999999999993E-2"/>
    <n v="39.5"/>
    <n v="65"/>
    <n v="10.258380000000001"/>
    <n v="112.13999999999999"/>
    <n v="0.15782123076923077"/>
    <n v="236.73184615384616"/>
    <x v="0"/>
    <m/>
    <s v=""/>
    <n v="7.6748381538461544E-2"/>
    <n v="115.12257230769231"/>
    <n v="4.0627247524752472E-3"/>
    <n v="6.0940871287128706"/>
    <n v="124.59184615384618"/>
    <x v="9"/>
    <n v="-3.3751867174409966"/>
    <n v="9.2720000000000007E-3"/>
    <n v="0.14954500000000001"/>
    <n v="224.31750000000002"/>
    <n v="6.5513000000000016E-2"/>
    <n v="98.269500000000022"/>
    <n v="13.908000000000001"/>
    <n v="0.50008358688020338"/>
  </r>
  <r>
    <x v="41"/>
    <x v="2"/>
    <n v="543264"/>
    <x v="47"/>
    <n v="510020"/>
    <s v="INSERTO ESAG,M6 8*6"/>
    <x v="2"/>
    <x v="0"/>
    <x v="0"/>
    <x v="1"/>
    <x v="1"/>
    <m/>
    <m/>
    <x v="0"/>
    <n v="5000"/>
    <n v="1.446E-3"/>
    <n v="6"/>
    <n v="311"/>
    <n v="1.4964479999999998"/>
    <n v="7.23"/>
    <n v="4.8117299035369768E-3"/>
    <n v="24.058649517684884"/>
    <x v="0"/>
    <m/>
    <s v=""/>
    <n v="3.1732607073954979E-3"/>
    <n v="15.866303536977489"/>
    <n v="5.9265267326732659E-4"/>
    <n v="2.963263366336633"/>
    <n v="16.828649517684884"/>
    <x v="44"/>
    <n v="2.0009173856292364"/>
    <m/>
    <m/>
    <m/>
    <m/>
    <m/>
    <m/>
    <m/>
  </r>
  <r>
    <x v="41"/>
    <x v="2"/>
    <n v="543264"/>
    <x v="47"/>
    <n v="512800"/>
    <s v="PERNO DISINNESTO RULLO G16922290"/>
    <x v="0"/>
    <x v="0"/>
    <x v="0"/>
    <x v="2"/>
    <x v="10"/>
    <m/>
    <m/>
    <x v="0"/>
    <n v="20000"/>
    <n v="3.421E-3"/>
    <n v="24.5"/>
    <n v="101"/>
    <n v="1.0385550000000003"/>
    <n v="68.42"/>
    <n v="1.0282722772277231E-2"/>
    <n v="205.65445544554461"/>
    <x v="0"/>
    <m/>
    <s v=""/>
    <n v="6.4504138613861416E-3"/>
    <n v="129.00827722772283"/>
    <n v="4.1130891089108927E-4"/>
    <n v="8.2261782178217846"/>
    <n v="137.2344554455446"/>
    <x v="45"/>
    <n v="0"/>
    <m/>
    <m/>
    <m/>
    <m/>
    <m/>
    <m/>
    <m/>
  </r>
  <r>
    <x v="42"/>
    <x v="2"/>
    <n v="543893"/>
    <x v="48"/>
    <n v="511040"/>
    <s v="BRONZINA 16/18X10.3"/>
    <x v="4"/>
    <x v="0"/>
    <x v="0"/>
    <x v="2"/>
    <x v="19"/>
    <m/>
    <m/>
    <x v="0"/>
    <n v="5000"/>
    <n v="3.676E-3"/>
    <n v="10.3"/>
    <n v="210"/>
    <n v="6.8671800000000003"/>
    <n v="18.38"/>
    <n v="3.2700857142857143E-2"/>
    <n v="163.50428571428571"/>
    <x v="0"/>
    <m/>
    <s v=""/>
    <n v="2.7716822857142855E-2"/>
    <n v="138.58411428571426"/>
    <n v="2.719675247524752E-3"/>
    <n v="13.598376237623759"/>
    <n v="145.12428571428572"/>
    <x v="35"/>
    <n v="7.0582048090523131"/>
    <m/>
    <m/>
    <m/>
    <m/>
    <m/>
    <m/>
    <m/>
  </r>
  <r>
    <x v="42"/>
    <x v="2"/>
    <n v="543893"/>
    <x v="48"/>
    <n v="512800"/>
    <s v="PERNO DISINNESTO RULLO G16922290"/>
    <x v="0"/>
    <x v="0"/>
    <x v="0"/>
    <x v="2"/>
    <x v="10"/>
    <m/>
    <m/>
    <x v="0"/>
    <n v="6454"/>
    <n v="3.421E-3"/>
    <n v="24.5"/>
    <n v="101"/>
    <n v="1.0385550000000003"/>
    <n v="22.079134"/>
    <n v="1.0282722772277231E-2"/>
    <n v="66.364692772277252"/>
    <x v="0"/>
    <m/>
    <s v=""/>
    <n v="6.4504138613861416E-3"/>
    <n v="41.630971061386155"/>
    <n v="4.1130891089108927E-4"/>
    <n v="2.6545877108910902"/>
    <n v="44.285558772277255"/>
    <x v="46"/>
    <n v="0"/>
    <m/>
    <m/>
    <m/>
    <m/>
    <m/>
    <m/>
    <m/>
  </r>
  <r>
    <x v="43"/>
    <x v="2"/>
    <n v="545440"/>
    <x v="49"/>
    <n v="510020"/>
    <s v="INSERTO ESAG,M6 8*6"/>
    <x v="2"/>
    <x v="0"/>
    <x v="0"/>
    <x v="1"/>
    <x v="1"/>
    <m/>
    <m/>
    <x v="0"/>
    <n v="20000"/>
    <n v="1.446E-3"/>
    <n v="6"/>
    <n v="311"/>
    <n v="1.4964479999999998"/>
    <n v="28.92"/>
    <n v="4.8117299035369768E-3"/>
    <n v="96.234598070739537"/>
    <x v="0"/>
    <m/>
    <s v=""/>
    <n v="3.1732607073954979E-3"/>
    <n v="63.465214147909954"/>
    <n v="5.9265267326732659E-4"/>
    <n v="11.853053465346532"/>
    <n v="67.314598070739535"/>
    <x v="3"/>
    <n v="8.0036695425169455"/>
    <m/>
    <m/>
    <m/>
    <m/>
    <m/>
    <m/>
    <m/>
  </r>
  <r>
    <x v="0"/>
    <x v="1"/>
    <m/>
    <x v="50"/>
    <m/>
    <m/>
    <x v="0"/>
    <x v="0"/>
    <x v="0"/>
    <x v="2"/>
    <x v="16"/>
    <m/>
    <m/>
    <x v="0"/>
    <m/>
    <m/>
    <m/>
    <m/>
    <m/>
    <m/>
    <m/>
    <n v="0"/>
    <x v="12"/>
    <m/>
    <s v=""/>
    <m/>
    <m/>
    <m/>
    <m/>
    <m/>
    <x v="0"/>
    <m/>
    <m/>
    <m/>
    <m/>
    <m/>
    <m/>
    <m/>
    <m/>
  </r>
  <r>
    <x v="0"/>
    <x v="1"/>
    <m/>
    <x v="50"/>
    <m/>
    <m/>
    <x v="0"/>
    <x v="0"/>
    <x v="0"/>
    <x v="2"/>
    <x v="19"/>
    <m/>
    <m/>
    <x v="0"/>
    <m/>
    <m/>
    <m/>
    <m/>
    <m/>
    <m/>
    <m/>
    <n v="0"/>
    <x v="13"/>
    <m/>
    <n v="444.3615871428571"/>
    <m/>
    <m/>
    <m/>
    <m/>
    <m/>
    <x v="0"/>
    <m/>
    <m/>
    <m/>
    <m/>
    <m/>
    <m/>
    <m/>
    <m/>
  </r>
  <r>
    <x v="0"/>
    <x v="1"/>
    <m/>
    <x v="50"/>
    <m/>
    <m/>
    <x v="0"/>
    <x v="0"/>
    <x v="0"/>
    <x v="2"/>
    <x v="0"/>
    <m/>
    <m/>
    <x v="0"/>
    <m/>
    <m/>
    <m/>
    <m/>
    <m/>
    <m/>
    <m/>
    <n v="0"/>
    <x v="14"/>
    <m/>
    <n v="669.11400000000003"/>
    <m/>
    <m/>
    <m/>
    <m/>
    <m/>
    <x v="0"/>
    <m/>
    <m/>
    <m/>
    <m/>
    <m/>
    <m/>
    <m/>
    <m/>
  </r>
  <r>
    <x v="0"/>
    <x v="1"/>
    <m/>
    <x v="50"/>
    <m/>
    <m/>
    <x v="0"/>
    <x v="0"/>
    <x v="0"/>
    <x v="2"/>
    <x v="1"/>
    <m/>
    <m/>
    <x v="0"/>
    <m/>
    <m/>
    <m/>
    <m/>
    <m/>
    <m/>
    <m/>
    <n v="0"/>
    <x v="15"/>
    <m/>
    <s v=""/>
    <m/>
    <m/>
    <m/>
    <m/>
    <m/>
    <x v="0"/>
    <m/>
    <m/>
    <m/>
    <m/>
    <m/>
    <m/>
    <m/>
    <m/>
  </r>
  <r>
    <x v="0"/>
    <x v="1"/>
    <m/>
    <x v="50"/>
    <m/>
    <m/>
    <x v="0"/>
    <x v="0"/>
    <x v="0"/>
    <x v="3"/>
    <x v="20"/>
    <m/>
    <m/>
    <x v="0"/>
    <m/>
    <m/>
    <m/>
    <m/>
    <m/>
    <m/>
    <m/>
    <n v="0"/>
    <x v="16"/>
    <m/>
    <n v="709"/>
    <m/>
    <m/>
    <m/>
    <m/>
    <m/>
    <x v="0"/>
    <m/>
    <m/>
    <m/>
    <m/>
    <m/>
    <m/>
    <m/>
    <m/>
  </r>
  <r>
    <x v="44"/>
    <x v="2"/>
    <n v="545813"/>
    <x v="51"/>
    <n v="512800"/>
    <s v="PERNO DISINNESTO RULLO G16922290"/>
    <x v="0"/>
    <x v="0"/>
    <x v="0"/>
    <x v="2"/>
    <x v="10"/>
    <m/>
    <m/>
    <x v="0"/>
    <n v="3568"/>
    <n v="3.421E-3"/>
    <n v="24.5"/>
    <n v="101"/>
    <n v="1.0385550000000003"/>
    <n v="12.206128"/>
    <n v="1.0282722772277231E-2"/>
    <n v="36.688754851485157"/>
    <x v="0"/>
    <m/>
    <s v=""/>
    <n v="6.4504138613861416E-3"/>
    <n v="23.015076657425752"/>
    <n v="4.1130891089108927E-4"/>
    <n v="1.4675501940594065"/>
    <n v="24.482626851485158"/>
    <x v="47"/>
    <n v="0"/>
    <m/>
    <m/>
    <m/>
    <m/>
    <m/>
    <m/>
    <m/>
  </r>
  <r>
    <x v="45"/>
    <x v="2"/>
    <n v="546151"/>
    <x v="52"/>
    <s v="200200"/>
    <s v="EMBOUT DE TIGE"/>
    <x v="0"/>
    <x v="0"/>
    <x v="0"/>
    <x v="2"/>
    <x v="16"/>
    <m/>
    <m/>
    <x v="0"/>
    <n v="500"/>
    <n v="7.4759999999999993E-2"/>
    <n v="39.5"/>
    <n v="65"/>
    <n v="10.258380000000001"/>
    <n v="37.379999999999995"/>
    <n v="0.15782123076923077"/>
    <n v="78.910615384615383"/>
    <x v="0"/>
    <m/>
    <n v="3003.9177692307685"/>
    <n v="7.6748381538461544E-2"/>
    <n v="38.374190769230772"/>
    <n v="4.0627247524752472E-3"/>
    <n v="2.0313623762376238"/>
    <n v="41.530615384615388"/>
    <x v="48"/>
    <n v="-1.1250622391469918"/>
    <m/>
    <m/>
    <m/>
    <m/>
    <m/>
    <m/>
    <m/>
  </r>
  <r>
    <x v="46"/>
    <x v="2"/>
    <n v="546458"/>
    <x v="53"/>
    <n v="512800"/>
    <s v="PERNO DISINNESTO RULLO G16922290"/>
    <x v="0"/>
    <x v="0"/>
    <x v="0"/>
    <x v="2"/>
    <x v="10"/>
    <m/>
    <m/>
    <x v="0"/>
    <n v="5686"/>
    <n v="3.421E-3"/>
    <n v="24.5"/>
    <n v="101"/>
    <n v="1.0385550000000003"/>
    <n v="19.451806000000001"/>
    <n v="1.0282722772277231E-2"/>
    <n v="58.467561683168334"/>
    <x v="0"/>
    <m/>
    <n v="-324.85147460396075"/>
    <n v="6.4504138613861416E-3"/>
    <n v="36.677053215841603"/>
    <n v="4.1130891089108927E-4"/>
    <n v="2.3387024673267334"/>
    <n v="39.015755683168337"/>
    <x v="49"/>
    <n v="0"/>
    <m/>
    <m/>
    <m/>
    <m/>
    <m/>
    <m/>
    <m/>
  </r>
  <r>
    <x v="0"/>
    <x v="1"/>
    <m/>
    <x v="54"/>
    <m/>
    <m/>
    <x v="0"/>
    <x v="0"/>
    <x v="0"/>
    <x v="2"/>
    <x v="1"/>
    <m/>
    <m/>
    <x v="0"/>
    <m/>
    <m/>
    <m/>
    <m/>
    <m/>
    <m/>
    <m/>
    <n v="0"/>
    <x v="17"/>
    <m/>
    <s v=""/>
    <m/>
    <m/>
    <m/>
    <m/>
    <m/>
    <x v="0"/>
    <m/>
    <m/>
    <m/>
    <m/>
    <m/>
    <m/>
    <m/>
    <m/>
  </r>
  <r>
    <x v="0"/>
    <x v="1"/>
    <m/>
    <x v="55"/>
    <m/>
    <m/>
    <x v="0"/>
    <x v="0"/>
    <x v="0"/>
    <x v="1"/>
    <x v="10"/>
    <m/>
    <m/>
    <x v="0"/>
    <m/>
    <m/>
    <m/>
    <m/>
    <m/>
    <m/>
    <m/>
    <n v="0"/>
    <x v="18"/>
    <m/>
    <s v=""/>
    <m/>
    <m/>
    <m/>
    <m/>
    <m/>
    <x v="0"/>
    <m/>
    <m/>
    <m/>
    <m/>
    <m/>
    <m/>
    <m/>
    <m/>
  </r>
  <r>
    <x v="47"/>
    <x v="2"/>
    <n v="547141"/>
    <x v="56"/>
    <n v="510020"/>
    <s v="INSERTO ESAG,M6 8*6"/>
    <x v="2"/>
    <x v="0"/>
    <x v="0"/>
    <x v="1"/>
    <x v="1"/>
    <m/>
    <m/>
    <x v="0"/>
    <n v="8340"/>
    <n v="1.446E-3"/>
    <n v="6"/>
    <n v="311"/>
    <n v="1.4964479999999998"/>
    <n v="12.05964"/>
    <n v="4.8117299035369768E-3"/>
    <n v="40.129827395498388"/>
    <x v="0"/>
    <m/>
    <s v=""/>
    <n v="3.1732607073954979E-3"/>
    <n v="26.464994299678452"/>
    <n v="5.9265267326732659E-4"/>
    <n v="4.9427232950495039"/>
    <n v="28.070187395498387"/>
    <x v="50"/>
    <n v="3.337530199229569"/>
    <m/>
    <m/>
    <m/>
    <m/>
    <m/>
    <m/>
    <m/>
  </r>
  <r>
    <x v="48"/>
    <x v="2"/>
    <n v="547773"/>
    <x v="57"/>
    <n v="510020"/>
    <s v="INSERTO ESAG,M6 8*6"/>
    <x v="2"/>
    <x v="0"/>
    <x v="0"/>
    <x v="1"/>
    <x v="1"/>
    <m/>
    <m/>
    <x v="0"/>
    <n v="16660"/>
    <n v="1.446E-3"/>
    <n v="6"/>
    <n v="311"/>
    <n v="1.4964479999999998"/>
    <n v="24.09036"/>
    <n v="4.8117299035369768E-3"/>
    <n v="80.16342019292604"/>
    <x v="0"/>
    <m/>
    <s v=""/>
    <n v="3.1732607073954979E-3"/>
    <n v="52.866523385208993"/>
    <n v="5.9265267326732659E-4"/>
    <n v="9.8735935366336616"/>
    <n v="56.073060192926036"/>
    <x v="51"/>
    <n v="6.66705672891662"/>
    <m/>
    <m/>
    <m/>
    <m/>
    <m/>
    <m/>
    <m/>
  </r>
  <r>
    <x v="0"/>
    <x v="1"/>
    <m/>
    <x v="58"/>
    <m/>
    <m/>
    <x v="0"/>
    <x v="0"/>
    <x v="0"/>
    <x v="2"/>
    <x v="1"/>
    <m/>
    <m/>
    <x v="0"/>
    <m/>
    <m/>
    <m/>
    <m/>
    <m/>
    <m/>
    <m/>
    <n v="0"/>
    <x v="19"/>
    <m/>
    <s v=""/>
    <m/>
    <m/>
    <m/>
    <m/>
    <m/>
    <x v="0"/>
    <m/>
    <m/>
    <m/>
    <m/>
    <m/>
    <m/>
    <m/>
    <m/>
  </r>
  <r>
    <x v="49"/>
    <x v="2"/>
    <n v="548233"/>
    <x v="59"/>
    <n v="510020"/>
    <s v="INSERTO ESAG,M6 8*6"/>
    <x v="2"/>
    <x v="0"/>
    <x v="0"/>
    <x v="1"/>
    <x v="1"/>
    <m/>
    <m/>
    <x v="0"/>
    <n v="10000"/>
    <n v="1.446E-3"/>
    <n v="6"/>
    <n v="311"/>
    <n v="1.4964479999999998"/>
    <n v="14.46"/>
    <n v="4.8117299035369768E-3"/>
    <n v="48.117299035369768"/>
    <x v="0"/>
    <m/>
    <n v="-326.42802078456577"/>
    <n v="3.1732607073954979E-3"/>
    <n v="31.732607073954977"/>
    <n v="5.9265267326732659E-4"/>
    <n v="5.926526732673266"/>
    <n v="33.657299035369768"/>
    <x v="52"/>
    <n v="4.0018347712584728"/>
    <m/>
    <m/>
    <m/>
    <m/>
    <m/>
    <m/>
    <m/>
  </r>
  <r>
    <x v="49"/>
    <x v="2"/>
    <n v="548233"/>
    <x v="59"/>
    <s v="INSERT D8"/>
    <s v="INSERT LAITON D8"/>
    <x v="0"/>
    <x v="0"/>
    <x v="0"/>
    <x v="2"/>
    <x v="1"/>
    <m/>
    <m/>
    <x v="0"/>
    <n v="960"/>
    <n v="3.421E-3"/>
    <n v="11"/>
    <n v="200"/>
    <n v="1.3564799999999999"/>
    <n v="3.28416"/>
    <n v="6.7823999999999992E-3"/>
    <n v="6.5111039999999996"/>
    <x v="0"/>
    <m/>
    <n v="1032.4088959999999"/>
    <n v="3.0901039999999998E-3"/>
    <n v="2.96649984"/>
    <n v="5.3721980198019798E-4"/>
    <n v="0.51573100990099008"/>
    <n v="3.2269439999999996"/>
    <x v="53"/>
    <n v="0.25528684990099038"/>
    <m/>
    <m/>
    <m/>
    <m/>
    <m/>
    <m/>
    <m/>
  </r>
  <r>
    <x v="0"/>
    <x v="1"/>
    <m/>
    <x v="60"/>
    <m/>
    <m/>
    <x v="0"/>
    <x v="0"/>
    <x v="0"/>
    <x v="1"/>
    <x v="10"/>
    <m/>
    <m/>
    <x v="0"/>
    <m/>
    <m/>
    <m/>
    <m/>
    <m/>
    <m/>
    <m/>
    <n v="0"/>
    <x v="20"/>
    <m/>
    <n v="5.49"/>
    <m/>
    <m/>
    <m/>
    <m/>
    <m/>
    <x v="0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EABF277-FC34-4221-9A34-FCD154FF599E}" name="Tableau croisé dynamique1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4:D5" firstHeaderRow="0" firstDataRow="1" firstDataCol="0" rowPageCount="2" colPageCount="1"/>
  <pivotFields count="40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Page" multipleItemSelectionAllowed="1" showAll="0">
      <items count="5">
        <item h="1" x="0"/>
        <item h="1" x="1"/>
        <item x="2"/>
        <item h="1" x="3"/>
        <item t="default"/>
      </items>
    </pivotField>
    <pivotField axis="axisPage" multipleItemSelectionAllowed="1" showAll="0">
      <items count="22">
        <item h="1" x="8"/>
        <item h="1" x="9"/>
        <item h="1" x="0"/>
        <item h="1" x="10"/>
        <item h="1" x="1"/>
        <item h="1" x="11"/>
        <item h="1" x="2"/>
        <item h="1" x="12"/>
        <item h="1" x="13"/>
        <item h="1" x="3"/>
        <item h="1" x="14"/>
        <item h="1" x="4"/>
        <item h="1" x="15"/>
        <item h="1" x="5"/>
        <item h="1" x="19"/>
        <item h="1" x="6"/>
        <item x="16"/>
        <item h="1" x="17"/>
        <item h="1" x="18"/>
        <item h="1" x="7"/>
        <item h="1" x="2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numFmtId="169" showAll="0"/>
    <pivotField dataField="1"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dragToRow="0" dragToCol="0" dragToPage="0" showAll="0" defaultSubtotal="0"/>
  </pivotFields>
  <rowItems count="1">
    <i/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2">
    <pageField fld="9" hier="-1"/>
    <pageField fld="10" hier="-1"/>
  </pageFields>
  <dataFields count="4">
    <dataField name="Somme de QTE STOCK INIT (Kg)" fld="23" baseField="0" baseItem="0"/>
    <dataField name="Somme de QTE ACHETEE (Kg)" fld="22" baseField="0" baseItem="0"/>
    <dataField name="Somme de POIDS BRUT UTILISE (Kg)" fld="21" baseField="0" baseItem="0"/>
    <dataField name="Somme de stock" fld="3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8575A5-A71C-4A6E-89D7-6D94657E0B05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10:B14" firstHeaderRow="1" firstDataRow="1" firstDataCol="2"/>
  <pivotFields count="40">
    <pivotField compact="0" outline="0" showAll="0">
      <items count="51">
        <item x="1"/>
        <item x="2"/>
        <item x="3"/>
        <item x="4"/>
        <item x="6"/>
        <item x="5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1"/>
        <item x="30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0"/>
        <item t="default"/>
      </items>
    </pivotField>
    <pivotField compact="0" outline="0" showAll="0">
      <items count="4">
        <item x="1"/>
        <item h="1" x="0"/>
        <item h="1" x="2"/>
        <item t="default"/>
      </items>
    </pivotField>
    <pivotField compact="0" outline="0" showAll="0"/>
    <pivotField axis="axisRow" compact="0" outline="0" showAll="0" includeNewItemsInFilter="1">
      <items count="62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t="default"/>
      </items>
    </pivotField>
    <pivotField compact="0" outline="0" showAll="0"/>
    <pivotField compact="0" outline="0" showAll="0"/>
    <pivotField compact="0" outline="0" showAll="0">
      <items count="6">
        <item x="4"/>
        <item x="2"/>
        <item x="3"/>
        <item x="1"/>
        <item x="0"/>
        <item t="default"/>
      </items>
    </pivotField>
    <pivotField compact="0" outline="0" showAll="0">
      <items count="2">
        <item x="0"/>
        <item t="default"/>
      </items>
    </pivotField>
    <pivotField compact="0" outline="0" showAll="0">
      <items count="2">
        <item x="0"/>
        <item t="default"/>
      </items>
    </pivotField>
    <pivotField compact="0" outline="0" showAll="0">
      <items count="5">
        <item h="1" x="0"/>
        <item h="1" x="1"/>
        <item x="2"/>
        <item h="1" x="3"/>
        <item t="default"/>
      </items>
    </pivotField>
    <pivotField compact="0" outline="0" showAll="0">
      <items count="22">
        <item h="1" x="8"/>
        <item h="1" x="9"/>
        <item h="1" x="0"/>
        <item h="1" x="10"/>
        <item h="1" x="1"/>
        <item h="1" x="11"/>
        <item h="1" x="2"/>
        <item h="1" x="12"/>
        <item h="1" x="13"/>
        <item h="1" x="3"/>
        <item h="1" x="14"/>
        <item h="1" x="4"/>
        <item h="1" x="15"/>
        <item h="1" x="5"/>
        <item h="1" x="19"/>
        <item h="1" x="6"/>
        <item x="16"/>
        <item h="1" x="17"/>
        <item h="1" x="18"/>
        <item h="1" x="7"/>
        <item h="1" x="20"/>
        <item t="default"/>
      </items>
    </pivotField>
    <pivotField compact="0" outline="0" showAll="0"/>
    <pivotField compact="0" outline="0" showAll="0"/>
    <pivotField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69" outline="0" showAll="0"/>
    <pivotField axis="axisRow" compact="0" outline="0" showAll="0" defaultSubtotal="0">
      <items count="21">
        <item x="17"/>
        <item x="20"/>
        <item x="18"/>
        <item x="19"/>
        <item x="10"/>
        <item x="4"/>
        <item x="11"/>
        <item x="8"/>
        <item x="1"/>
        <item x="3"/>
        <item x="7"/>
        <item x="6"/>
        <item x="13"/>
        <item x="9"/>
        <item x="14"/>
        <item x="16"/>
        <item x="15"/>
        <item x="2"/>
        <item x="5"/>
        <item x="12"/>
        <item h="1" x="0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name="Type" compact="0" outline="0" showAll="0">
      <items count="55">
        <item x="53"/>
        <item x="34"/>
        <item x="1"/>
        <item x="43"/>
        <item x="6"/>
        <item x="44"/>
        <item x="16"/>
        <item x="47"/>
        <item x="22"/>
        <item x="13"/>
        <item x="50"/>
        <item x="52"/>
        <item x="49"/>
        <item x="48"/>
        <item x="14"/>
        <item x="36"/>
        <item x="46"/>
        <item x="26"/>
        <item x="15"/>
        <item x="42"/>
        <item x="12"/>
        <item x="29"/>
        <item x="11"/>
        <item x="51"/>
        <item x="39"/>
        <item x="4"/>
        <item x="40"/>
        <item x="25"/>
        <item x="3"/>
        <item x="7"/>
        <item x="31"/>
        <item x="27"/>
        <item x="21"/>
        <item x="17"/>
        <item x="23"/>
        <item x="20"/>
        <item x="30"/>
        <item x="10"/>
        <item x="19"/>
        <item x="38"/>
        <item x="8"/>
        <item x="9"/>
        <item x="33"/>
        <item x="18"/>
        <item x="45"/>
        <item x="37"/>
        <item x="35"/>
        <item x="24"/>
        <item x="2"/>
        <item x="32"/>
        <item x="5"/>
        <item x="28"/>
        <item x="41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dragToRow="0" dragToCol="0" dragToPage="0" showAll="0" defaultSubtotal="0"/>
  </pivotFields>
  <rowFields count="2">
    <field x="22"/>
    <field x="3"/>
  </rowFields>
  <rowItems count="4">
    <i>
      <x v="17"/>
      <x v="1"/>
    </i>
    <i>
      <x v="18"/>
      <x v="19"/>
    </i>
    <i>
      <x v="19"/>
      <x v="50"/>
    </i>
    <i t="grand">
      <x/>
    </i>
  </rowItems>
  <colItems count="1">
    <i/>
  </colItems>
  <formats count="5">
    <format dxfId="137">
      <pivotArea field="3" type="button" dataOnly="0" labelOnly="1" outline="0" axis="axisRow" fieldPosition="1"/>
    </format>
    <format dxfId="133">
      <pivotArea field="3" type="button" dataOnly="0" labelOnly="1" outline="0" axis="axisRow" fieldPosition="1"/>
    </format>
    <format dxfId="66">
      <pivotArea field="3" type="button" dataOnly="0" labelOnly="1" outline="0" axis="axisRow" fieldPosition="1"/>
    </format>
    <format dxfId="65">
      <pivotArea dataOnly="0" labelOnly="1" outline="0" fieldPosition="0">
        <references count="1">
          <reference field="3" count="24">
            <x v="0"/>
            <x v="1"/>
            <x v="4"/>
            <x v="6"/>
            <x v="9"/>
            <x v="12"/>
            <x v="14"/>
            <x v="15"/>
            <x v="17"/>
            <x v="19"/>
            <x v="22"/>
            <x v="24"/>
            <x v="26"/>
            <x v="28"/>
            <x v="29"/>
            <x v="31"/>
            <x v="35"/>
            <x v="37"/>
            <x v="39"/>
            <x v="42"/>
            <x v="44"/>
            <x v="46"/>
            <x v="50"/>
            <x v="52"/>
          </reference>
        </references>
      </pivotArea>
    </format>
    <format dxfId="63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Origine" xr10:uid="{91F6EFA0-7689-49FE-9E67-08AF34F0D15B}" sourceName="Origine">
  <pivotTables>
    <pivotTable tabId="2" name="Tableau croisé dynamique2"/>
  </pivotTables>
  <data>
    <tabular pivotCacheId="420266325">
      <items count="3">
        <i x="1" s="1"/>
        <i x="0" nd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t1" xr10:uid="{FECF745F-D803-4B83-8120-B7CC0F8FA45A}" sourceName="mat1">
  <pivotTables>
    <pivotTable tabId="2" name="Tableau croisé dynamique2"/>
  </pivotTables>
  <data>
    <tabular pivotCacheId="420266325">
      <items count="1"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at2" xr10:uid="{08D2996E-1F18-4B4B-8332-AED8BB941665}" sourceName="mat2">
  <pivotTables>
    <pivotTable tabId="2" name="Tableau croisé dynamique2"/>
  </pivotTables>
  <data>
    <tabular pivotCacheId="420266325">
      <items count="1">
        <i x="0" s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forme" xr10:uid="{03526E83-DE93-4C2D-B274-D0038386B446}" sourceName="forme">
  <pivotTables>
    <pivotTable tabId="2" name="Tableau croisé dynamique2"/>
  </pivotTables>
  <data>
    <tabular pivotCacheId="420266325">
      <items count="4">
        <i x="2" s="1"/>
        <i x="0" nd="1"/>
        <i x="1" nd="1"/>
        <i x="3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iam" xr10:uid="{19D664BB-D719-4793-9854-F4D0262E9B6F}" sourceName="diam">
  <pivotTables>
    <pivotTable tabId="2" name="Tableau croisé dynamique2"/>
  </pivotTables>
  <data>
    <tabular pivotCacheId="420266325">
      <items count="21">
        <i x="0"/>
        <i x="10"/>
        <i x="1"/>
        <i x="19"/>
        <i x="16" s="1"/>
        <i x="8" nd="1"/>
        <i x="9" nd="1"/>
        <i x="11" nd="1"/>
        <i x="2" nd="1"/>
        <i x="12" nd="1"/>
        <i x="13" nd="1"/>
        <i x="3" nd="1"/>
        <i x="14" nd="1"/>
        <i x="4" nd="1"/>
        <i x="15" nd="1"/>
        <i x="5" nd="1"/>
        <i x="6" nd="1"/>
        <i x="17" nd="1"/>
        <i x="18" nd="1"/>
        <i x="7" nd="1"/>
        <i x="2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Origine" xr10:uid="{FB61BD31-26A5-424D-908D-67B8A61DEA30}" cache="Segment_Origine" caption="Origine" rowHeight="241300"/>
  <slicer name="mat1" xr10:uid="{CDE25682-D64E-413C-9D6F-19D3D3B8CDD9}" cache="Segment_mat1" caption="mat1" rowHeight="241300"/>
  <slicer name="mat2" xr10:uid="{CB31E747-B13F-460F-A992-1D397372BCAE}" cache="Segment_mat2" caption="mat2" rowHeight="241300"/>
  <slicer name="forme" xr10:uid="{004298FC-6723-4E2B-8AD3-965FEA46B451}" cache="Segment_forme" caption="forme" rowHeight="241300"/>
  <slicer name="diam" xr10:uid="{3A91269E-CF39-4565-92A4-CC03AA81A8C7}" cache="Segment_diam" caption="diam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1BC240-19A7-4DD7-A8C1-68C3A71C3C30}" name="Tableau1" displayName="Tableau1" ref="A2:AM114" totalsRowShown="0" dataDxfId="836" headerRowBorderDxfId="837" tableBorderDxfId="835">
  <autoFilter ref="A2:AM114" xr:uid="{AC63EF99-5F0A-4DAF-95ED-75667B1DC7A6}">
    <filterColumn colId="10">
      <filters>
        <filter val="22"/>
      </filters>
    </filterColumn>
    <filterColumn colId="22">
      <customFilters>
        <customFilter operator="notEqual" val=" "/>
      </customFilters>
    </filterColumn>
  </autoFilter>
  <tableColumns count="39">
    <tableColumn id="1" xr3:uid="{92404AC1-AF8A-44EE-9B70-771EAA7D4AFB}" name="Facture N°" dataDxfId="834"/>
    <tableColumn id="2" xr3:uid="{B8F3B822-2B98-45B8-A7D9-1594BF959151}" name="Origine" dataDxfId="833"/>
    <tableColumn id="3" xr3:uid="{3A33EA51-3D5F-4F5B-8324-348DC3E12B9B}" name="N° déclarat° export" dataDxfId="832"/>
    <tableColumn id="4" xr3:uid="{BE6835A4-B426-4616-BCDB-F0EF475165A0}" name="Date déclarat° export" dataDxfId="134"/>
    <tableColumn id="5" xr3:uid="{D5CC66DD-E9D2-44E1-9D6F-1C11D460EB14}" name="Réf article" dataDxfId="831"/>
    <tableColumn id="6" xr3:uid="{265B3CDD-46A4-4F90-AFCC-AFAD257ACDD9}" name="Désignation" dataDxfId="830"/>
    <tableColumn id="7" xr3:uid="{59BE6E6E-3E9F-443C-91AE-954D32D3E36C}" name="N° fiche Tech" dataDxfId="829"/>
    <tableColumn id="8" xr3:uid="{DC2675A2-679C-4113-A40E-8CED45774E1C}" name="mat1" dataDxfId="828"/>
    <tableColumn id="9" xr3:uid="{F2373A83-3F7E-4BD5-B123-8FD5FCADD32A}" name="mat2" dataDxfId="827"/>
    <tableColumn id="10" xr3:uid="{B5807F57-F207-4351-914C-DED4716CED12}" name="forme"/>
    <tableColumn id="11" xr3:uid="{DCBEAC59-D994-4B92-BCC9-46634519032D}" name="diam" dataDxfId="826"/>
    <tableColumn id="12" xr3:uid="{565AC66D-B3C5-4F34-93C6-32E9468F1B97}" name="lg" dataDxfId="825"/>
    <tableColumn id="13" xr3:uid="{0E725D5E-02E1-44DF-9BFA-FA7217B5EB4A}" name="larg" dataDxfId="824"/>
    <tableColumn id="14" xr3:uid="{2D4CA0FB-33AD-418A-953C-09B974235EB2}" name="N° déclarat° import" dataDxfId="823"/>
    <tableColumn id="15" xr3:uid="{B557E4EF-9B2C-43CE-A405-AFDACD2CA4D7}" name="Qté livrée" dataDxfId="822"/>
    <tableColumn id="16" xr3:uid="{17692376-2730-4783-8E0A-932819059AA5}" name="Poids net/ pièce"/>
    <tableColumn id="17" xr3:uid="{6377C139-885D-42B5-A221-51C9F64339D8}" name="LG PCE" dataDxfId="821"/>
    <tableColumn id="18" xr3:uid="{774BCCFF-8438-4EC7-9379-16A4ED0ED193}" name="NBRE PCE/BAR" dataDxfId="820"/>
    <tableColumn id="19" xr3:uid="{E407E1E3-082D-45A2-BF56-18061EFE5784}" name=" POIDS/ BAR" dataDxfId="819"/>
    <tableColumn id="20" xr3:uid="{26582504-BC8B-4387-B6BF-61950CD30794}" name="POIDS NET TOTAL" dataDxfId="818"/>
    <tableColumn id="21" xr3:uid="{B92933BF-C8C8-425C-AC94-2A4E8819ABB7}" name="POIDS BRUT/PCE" dataDxfId="817"/>
    <tableColumn id="22" xr3:uid="{C6A5A914-2D1B-48E7-9928-BFF17D8929A3}" name="POIDS BRUT UTILISE (Kg)" dataDxfId="816"/>
    <tableColumn id="23" xr3:uid="{038FD1BD-E9EA-4D96-B82C-F7AD702E7F85}" name="QTE ACHETEE (Kg)" dataDxfId="815"/>
    <tableColumn id="24" xr3:uid="{2203DD15-206F-4E68-89F1-8BA1327FF376}" name="QTE STOCK INIT (Kg)" dataDxfId="814"/>
    <tableColumn id="25" xr3:uid="{1FEE3A39-AE9F-4D3E-9653-5B9D435B5108}" name="stock (Kg)" dataDxfId="813">
      <calculatedColumnFormula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calculatedColumnFormula>
    </tableColumn>
    <tableColumn id="26" xr3:uid="{33FBC337-D05F-4A19-A868-9130BF757F8B}" name="POIDS COPEAUX/PCE" dataDxfId="812"/>
    <tableColumn id="27" xr3:uid="{E13B7EBD-3EFA-4FB8-A640-6BF2324A708B}" name="POIDS COPEAUX TOTAL" dataDxfId="811"/>
    <tableColumn id="28" xr3:uid="{32920E75-2C1F-4ADF-BFA5-48DBF35EE665}" name="Participat° dans la FB" dataDxfId="810"/>
    <tableColumn id="29" xr3:uid="{296C1479-DFAD-4DDF-9465-8F4ABC67E8B7}" name="Poids déchet  fin de barre total" dataDxfId="809"/>
    <tableColumn id="30" xr3:uid="{8A762EC4-B431-4021-8F01-A05E2D6F34E3}" name="POIDS DECHET total " dataDxfId="808"/>
    <tableColumn id="31" xr3:uid="{6C349CF9-FC86-4A9D-BEA1-7BD02E619A52}" name="vide1" dataDxfId="807"/>
    <tableColumn id="32" xr3:uid="{8DD723EA-EACE-4E76-9B32-BE6D27FB7597}" name="vide2" dataDxfId="806"/>
    <tableColumn id="33" xr3:uid="{EE04B314-B39A-46BE-8ECD-CFFCCAC5EB36}" name="Participat° dans la FB2" dataDxfId="805"/>
    <tableColumn id="34" xr3:uid="{41A0D3EF-CCB9-4E2C-917C-7233E694A3D9}" name="Poids brut/pièce" dataDxfId="804"/>
    <tableColumn id="35" xr3:uid="{ED4B51FF-0532-4542-A493-D349950090BC}" name="Poids brut total" dataDxfId="803"/>
    <tableColumn id="36" xr3:uid="{E22E121A-4CAA-4DBA-83A2-CCC67E6AAAE1}" name="Poids copeaux/_x000a_pièce_x000a_" dataDxfId="802"/>
    <tableColumn id="37" xr3:uid="{322EC8F0-8389-4A6E-BE23-EA2AE67B2046}" name="Poids déchet  copeaux total" dataDxfId="801"/>
    <tableColumn id="38" xr3:uid="{D0FA3CD0-8010-4E8E-8ABD-E3A2071BA578}" name="Poids déchet  fin de barre total3" dataDxfId="800"/>
    <tableColumn id="39" xr3:uid="{6700E872-A8B4-445D-9CA3-4A0B556AA480}" name="% Déchet" dataDxfId="799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13D18B-F8F4-4E06-8375-4FD1E2B672A6}">
  <dimension ref="A1:D5"/>
  <sheetViews>
    <sheetView workbookViewId="0">
      <selection activeCell="A4" sqref="A4"/>
    </sheetView>
  </sheetViews>
  <sheetFormatPr baseColWidth="10" defaultRowHeight="15" x14ac:dyDescent="0.25"/>
  <cols>
    <col min="1" max="1" width="28.85546875" bestFit="1" customWidth="1"/>
    <col min="2" max="2" width="26.85546875" bestFit="1" customWidth="1"/>
    <col min="3" max="3" width="32.85546875" bestFit="1" customWidth="1"/>
    <col min="4" max="4" width="15.42578125" bestFit="1" customWidth="1"/>
  </cols>
  <sheetData>
    <row r="1" spans="1:4" x14ac:dyDescent="0.25">
      <c r="A1" s="179" t="s">
        <v>62</v>
      </c>
      <c r="B1" t="s">
        <v>34</v>
      </c>
    </row>
    <row r="2" spans="1:4" x14ac:dyDescent="0.25">
      <c r="A2" s="179" t="s">
        <v>63</v>
      </c>
      <c r="B2" s="181">
        <v>22</v>
      </c>
    </row>
    <row r="4" spans="1:4" x14ac:dyDescent="0.25">
      <c r="A4" t="s">
        <v>74</v>
      </c>
      <c r="B4" t="s">
        <v>73</v>
      </c>
      <c r="C4" t="s">
        <v>75</v>
      </c>
      <c r="D4" t="s">
        <v>76</v>
      </c>
    </row>
    <row r="5" spans="1:4" x14ac:dyDescent="0.25">
      <c r="A5" s="180">
        <v>206.01000000000002</v>
      </c>
      <c r="B5" s="180">
        <v>7572</v>
      </c>
      <c r="C5" s="180">
        <v>4774.0922307692308</v>
      </c>
      <c r="D5" s="180">
        <v>3003.9177692307694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16"/>
  <sheetViews>
    <sheetView topLeftCell="F1" workbookViewId="0">
      <pane ySplit="2" topLeftCell="A23" activePane="bottomLeft" state="frozen"/>
      <selection pane="bottomLeft" activeCell="Y99" sqref="Y99"/>
    </sheetView>
  </sheetViews>
  <sheetFormatPr baseColWidth="10" defaultColWidth="11.5703125" defaultRowHeight="12.75" x14ac:dyDescent="0.25"/>
  <cols>
    <col min="1" max="1" width="12.140625" style="2" customWidth="1"/>
    <col min="2" max="2" width="10.5703125" style="2" customWidth="1"/>
    <col min="3" max="3" width="19.5703125" style="2" customWidth="1"/>
    <col min="4" max="4" width="14.85546875" style="236" customWidth="1"/>
    <col min="5" max="5" width="12" style="51" customWidth="1"/>
    <col min="6" max="6" width="24.28515625" style="2" customWidth="1"/>
    <col min="7" max="7" width="8.5703125" style="52" customWidth="1"/>
    <col min="8" max="8" width="9" style="2" customWidth="1"/>
    <col min="9" max="9" width="7.7109375" style="2" customWidth="1"/>
    <col min="10" max="10" width="8.28515625" style="2" customWidth="1"/>
    <col min="11" max="11" width="7.5703125" style="199" customWidth="1"/>
    <col min="12" max="12" width="0.28515625" style="2" customWidth="1"/>
    <col min="13" max="13" width="5.28515625" style="2" hidden="1" customWidth="1"/>
    <col min="14" max="14" width="19.85546875" style="2" customWidth="1"/>
    <col min="15" max="15" width="11.5703125" style="2" customWidth="1"/>
    <col min="16" max="16" width="10.85546875" style="2" hidden="1" customWidth="1"/>
    <col min="17" max="17" width="8.5703125" style="2" hidden="1" customWidth="1"/>
    <col min="18" max="18" width="10" style="35" hidden="1" customWidth="1"/>
    <col min="19" max="19" width="13.85546875" style="2" hidden="1" customWidth="1"/>
    <col min="20" max="20" width="11" style="2" hidden="1" customWidth="1"/>
    <col min="21" max="21" width="12" style="2" hidden="1" customWidth="1"/>
    <col min="22" max="22" width="10.42578125" style="220" customWidth="1"/>
    <col min="23" max="23" width="12" style="2" customWidth="1"/>
    <col min="24" max="24" width="11.85546875" style="2" customWidth="1"/>
    <col min="25" max="25" width="10" style="2" customWidth="1"/>
    <col min="26" max="26" width="21.42578125" style="2" customWidth="1"/>
    <col min="27" max="27" width="23.28515625" style="2" customWidth="1"/>
    <col min="28" max="28" width="21.5703125" style="2" customWidth="1"/>
    <col min="29" max="29" width="29.5703125" style="2" customWidth="1"/>
    <col min="30" max="30" width="20.85546875" style="2" customWidth="1"/>
    <col min="31" max="32" width="12" style="2" customWidth="1"/>
    <col min="33" max="33" width="22.7109375" style="2" customWidth="1"/>
    <col min="34" max="34" width="17.7109375" style="2" customWidth="1"/>
    <col min="35" max="35" width="16.5703125" style="2" customWidth="1"/>
    <col min="36" max="36" width="11.5703125" style="2"/>
    <col min="37" max="37" width="26.5703125" style="2" customWidth="1"/>
    <col min="38" max="38" width="30.7109375" style="2" customWidth="1"/>
    <col min="39" max="16384" width="11.5703125" style="2"/>
  </cols>
  <sheetData>
    <row r="1" spans="1:39" x14ac:dyDescent="0.25">
      <c r="V1" s="220">
        <f>SUBTOTAL(9,V2:V107)</f>
        <v>0</v>
      </c>
      <c r="W1" s="220">
        <f t="shared" ref="W1:X1" si="0">SUBTOTAL(9,W2:W107)</f>
        <v>7572</v>
      </c>
      <c r="X1" s="220">
        <f t="shared" si="0"/>
        <v>0</v>
      </c>
    </row>
    <row r="2" spans="1:39" ht="37.5" customHeight="1" x14ac:dyDescent="0.25">
      <c r="A2" s="169" t="s">
        <v>0</v>
      </c>
      <c r="B2" s="91" t="s">
        <v>59</v>
      </c>
      <c r="C2" s="91" t="s">
        <v>1</v>
      </c>
      <c r="D2" s="221" t="s">
        <v>2</v>
      </c>
      <c r="E2" s="170" t="s">
        <v>3</v>
      </c>
      <c r="F2" s="91" t="s">
        <v>4</v>
      </c>
      <c r="G2" s="90" t="s">
        <v>5</v>
      </c>
      <c r="H2" s="90" t="s">
        <v>60</v>
      </c>
      <c r="I2" s="90" t="s">
        <v>61</v>
      </c>
      <c r="J2" s="90" t="s">
        <v>62</v>
      </c>
      <c r="K2" s="182" t="s">
        <v>63</v>
      </c>
      <c r="L2" s="171" t="s">
        <v>39</v>
      </c>
      <c r="M2" s="171" t="s">
        <v>38</v>
      </c>
      <c r="N2" s="91" t="s">
        <v>6</v>
      </c>
      <c r="O2" s="91" t="s">
        <v>7</v>
      </c>
      <c r="P2" s="172" t="s">
        <v>8</v>
      </c>
      <c r="Q2" s="173" t="s">
        <v>9</v>
      </c>
      <c r="R2" s="174" t="s">
        <v>10</v>
      </c>
      <c r="S2" s="172" t="s">
        <v>37</v>
      </c>
      <c r="T2" s="172" t="s">
        <v>48</v>
      </c>
      <c r="U2" s="172" t="s">
        <v>49</v>
      </c>
      <c r="V2" s="214" t="s">
        <v>69</v>
      </c>
      <c r="W2" s="172" t="s">
        <v>70</v>
      </c>
      <c r="X2" s="172" t="s">
        <v>71</v>
      </c>
      <c r="Y2" s="172" t="s">
        <v>72</v>
      </c>
      <c r="Z2" s="172" t="s">
        <v>50</v>
      </c>
      <c r="AA2" s="172" t="s">
        <v>51</v>
      </c>
      <c r="AB2" s="172" t="s">
        <v>11</v>
      </c>
      <c r="AC2" s="172" t="s">
        <v>16</v>
      </c>
      <c r="AD2" s="172" t="s">
        <v>52</v>
      </c>
      <c r="AE2" s="172" t="s">
        <v>64</v>
      </c>
      <c r="AF2" s="172" t="s">
        <v>65</v>
      </c>
      <c r="AG2" s="175" t="s">
        <v>66</v>
      </c>
      <c r="AH2" s="175" t="s">
        <v>12</v>
      </c>
      <c r="AI2" s="91" t="s">
        <v>13</v>
      </c>
      <c r="AJ2" s="90" t="s">
        <v>14</v>
      </c>
      <c r="AK2" s="176" t="s">
        <v>15</v>
      </c>
      <c r="AL2" s="176" t="s">
        <v>67</v>
      </c>
      <c r="AM2" s="177" t="s">
        <v>17</v>
      </c>
    </row>
    <row r="3" spans="1:39" ht="24.95" hidden="1" customHeight="1" x14ac:dyDescent="0.25">
      <c r="A3" s="154"/>
      <c r="B3" s="138" t="s">
        <v>57</v>
      </c>
      <c r="C3" s="8"/>
      <c r="D3" s="222">
        <v>42735</v>
      </c>
      <c r="E3" s="22"/>
      <c r="F3" s="8"/>
      <c r="G3" s="21"/>
      <c r="H3" s="64" t="s">
        <v>23</v>
      </c>
      <c r="I3" s="66" t="s">
        <v>23</v>
      </c>
      <c r="J3" s="67" t="s">
        <v>56</v>
      </c>
      <c r="K3" s="183">
        <v>6</v>
      </c>
      <c r="L3" s="8"/>
      <c r="M3" s="8"/>
      <c r="N3" s="8"/>
      <c r="O3" s="8"/>
      <c r="P3" s="8"/>
      <c r="Q3" s="8"/>
      <c r="R3" s="125"/>
      <c r="S3" s="8"/>
      <c r="T3" s="8"/>
      <c r="U3" s="8"/>
      <c r="V3" s="215">
        <v>0</v>
      </c>
      <c r="W3" s="203"/>
      <c r="X3" s="184">
        <v>123.69000000000001</v>
      </c>
      <c r="Y3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123.69000000000001</v>
      </c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161"/>
    </row>
    <row r="4" spans="1:39" ht="24.95" hidden="1" customHeight="1" x14ac:dyDescent="0.25">
      <c r="A4" s="154"/>
      <c r="B4" s="138" t="s">
        <v>57</v>
      </c>
      <c r="C4" s="8"/>
      <c r="D4" s="222">
        <v>42735</v>
      </c>
      <c r="E4" s="22"/>
      <c r="F4" s="8"/>
      <c r="G4" s="21"/>
      <c r="H4" s="64" t="s">
        <v>23</v>
      </c>
      <c r="I4" s="66" t="s">
        <v>23</v>
      </c>
      <c r="J4" s="67" t="s">
        <v>33</v>
      </c>
      <c r="K4" s="184">
        <v>8</v>
      </c>
      <c r="L4" s="8"/>
      <c r="M4" s="8"/>
      <c r="N4" s="8"/>
      <c r="O4" s="8"/>
      <c r="P4" s="8"/>
      <c r="Q4" s="8"/>
      <c r="R4" s="125"/>
      <c r="S4" s="8"/>
      <c r="T4" s="8"/>
      <c r="U4" s="8"/>
      <c r="V4" s="215">
        <v>0</v>
      </c>
      <c r="W4" s="203"/>
      <c r="X4" s="184">
        <v>40.067999999999998</v>
      </c>
      <c r="Y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161"/>
    </row>
    <row r="5" spans="1:39" ht="24.95" hidden="1" customHeight="1" x14ac:dyDescent="0.25">
      <c r="A5" s="154"/>
      <c r="B5" s="138" t="s">
        <v>57</v>
      </c>
      <c r="C5" s="8"/>
      <c r="D5" s="222">
        <v>42735</v>
      </c>
      <c r="E5" s="22"/>
      <c r="F5" s="8"/>
      <c r="G5" s="21"/>
      <c r="H5" s="64" t="s">
        <v>23</v>
      </c>
      <c r="I5" s="66" t="s">
        <v>23</v>
      </c>
      <c r="J5" s="67" t="s">
        <v>33</v>
      </c>
      <c r="K5" s="183">
        <v>10</v>
      </c>
      <c r="L5" s="8"/>
      <c r="M5" s="8"/>
      <c r="N5" s="8"/>
      <c r="O5" s="8"/>
      <c r="P5" s="8"/>
      <c r="Q5" s="8"/>
      <c r="R5" s="125"/>
      <c r="S5" s="8"/>
      <c r="T5" s="8"/>
      <c r="U5" s="8"/>
      <c r="V5" s="215">
        <v>0</v>
      </c>
      <c r="W5" s="203"/>
      <c r="X5" s="184">
        <v>346.42499999999995</v>
      </c>
      <c r="Y5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346.42499999999995</v>
      </c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161"/>
    </row>
    <row r="6" spans="1:39" ht="24.95" hidden="1" customHeight="1" x14ac:dyDescent="0.25">
      <c r="A6" s="154"/>
      <c r="B6" s="138" t="s">
        <v>57</v>
      </c>
      <c r="C6" s="8"/>
      <c r="D6" s="222">
        <v>42735</v>
      </c>
      <c r="E6" s="22"/>
      <c r="F6" s="8"/>
      <c r="G6" s="21"/>
      <c r="H6" s="64" t="s">
        <v>23</v>
      </c>
      <c r="I6" s="66" t="s">
        <v>23</v>
      </c>
      <c r="J6" s="67" t="s">
        <v>33</v>
      </c>
      <c r="K6" s="183">
        <v>12</v>
      </c>
      <c r="L6" s="8"/>
      <c r="M6" s="8"/>
      <c r="N6" s="8"/>
      <c r="O6" s="8"/>
      <c r="P6" s="8"/>
      <c r="Q6" s="8"/>
      <c r="R6" s="125"/>
      <c r="S6" s="8"/>
      <c r="T6" s="8"/>
      <c r="U6" s="8"/>
      <c r="V6" s="215">
        <v>0</v>
      </c>
      <c r="W6" s="203"/>
      <c r="X6" s="184">
        <v>77.183999999999997</v>
      </c>
      <c r="Y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161"/>
    </row>
    <row r="7" spans="1:39" ht="24.95" hidden="1" customHeight="1" x14ac:dyDescent="0.25">
      <c r="A7" s="154"/>
      <c r="B7" s="138" t="s">
        <v>57</v>
      </c>
      <c r="C7" s="8"/>
      <c r="D7" s="222">
        <v>42735</v>
      </c>
      <c r="E7" s="22"/>
      <c r="F7" s="8"/>
      <c r="G7" s="21"/>
      <c r="H7" s="64" t="s">
        <v>23</v>
      </c>
      <c r="I7" s="66" t="s">
        <v>23</v>
      </c>
      <c r="J7" s="67" t="s">
        <v>33</v>
      </c>
      <c r="K7" s="183">
        <v>14</v>
      </c>
      <c r="L7" s="8"/>
      <c r="M7" s="8"/>
      <c r="N7" s="8"/>
      <c r="O7" s="8"/>
      <c r="P7" s="8"/>
      <c r="Q7" s="8"/>
      <c r="R7" s="125"/>
      <c r="S7" s="8"/>
      <c r="T7" s="8"/>
      <c r="U7" s="8"/>
      <c r="V7" s="215">
        <v>0</v>
      </c>
      <c r="W7" s="203"/>
      <c r="X7" s="184">
        <v>293.25899999999996</v>
      </c>
      <c r="Y7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293.25899999999996</v>
      </c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61"/>
    </row>
    <row r="8" spans="1:39" ht="24.95" hidden="1" customHeight="1" x14ac:dyDescent="0.25">
      <c r="A8" s="154"/>
      <c r="B8" s="138" t="s">
        <v>57</v>
      </c>
      <c r="C8" s="8"/>
      <c r="D8" s="222">
        <v>42735</v>
      </c>
      <c r="E8" s="22"/>
      <c r="F8" s="8"/>
      <c r="G8" s="21"/>
      <c r="H8" s="64" t="s">
        <v>23</v>
      </c>
      <c r="I8" s="66" t="s">
        <v>23</v>
      </c>
      <c r="J8" s="67" t="s">
        <v>33</v>
      </c>
      <c r="K8" s="183">
        <v>17</v>
      </c>
      <c r="L8" s="8"/>
      <c r="M8" s="8"/>
      <c r="N8" s="8"/>
      <c r="O8" s="8"/>
      <c r="P8" s="8"/>
      <c r="Q8" s="8"/>
      <c r="R8" s="125"/>
      <c r="S8" s="8"/>
      <c r="T8" s="8"/>
      <c r="U8" s="8"/>
      <c r="V8" s="215">
        <v>0</v>
      </c>
      <c r="W8" s="203"/>
      <c r="X8" s="184">
        <v>238.87200000000001</v>
      </c>
      <c r="Y8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238.87200000000001</v>
      </c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61"/>
    </row>
    <row r="9" spans="1:39" ht="24.95" hidden="1" customHeight="1" x14ac:dyDescent="0.25">
      <c r="A9" s="154"/>
      <c r="B9" s="138" t="s">
        <v>57</v>
      </c>
      <c r="C9" s="8"/>
      <c r="D9" s="222">
        <v>42735</v>
      </c>
      <c r="E9" s="22"/>
      <c r="F9" s="8"/>
      <c r="G9" s="21"/>
      <c r="H9" s="64" t="s">
        <v>23</v>
      </c>
      <c r="I9" s="66" t="s">
        <v>23</v>
      </c>
      <c r="J9" s="67" t="s">
        <v>33</v>
      </c>
      <c r="K9" s="183">
        <v>19</v>
      </c>
      <c r="L9" s="8"/>
      <c r="M9" s="8"/>
      <c r="N9" s="8"/>
      <c r="O9" s="8"/>
      <c r="P9" s="8"/>
      <c r="Q9" s="8"/>
      <c r="R9" s="125"/>
      <c r="S9" s="8"/>
      <c r="T9" s="8"/>
      <c r="U9" s="8"/>
      <c r="V9" s="215">
        <v>0</v>
      </c>
      <c r="W9" s="203"/>
      <c r="X9" s="184">
        <v>24.21</v>
      </c>
      <c r="Y9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24.21</v>
      </c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161"/>
    </row>
    <row r="10" spans="1:39" ht="24.95" hidden="1" customHeight="1" x14ac:dyDescent="0.25">
      <c r="A10" s="154"/>
      <c r="B10" s="138" t="s">
        <v>57</v>
      </c>
      <c r="C10" s="8"/>
      <c r="D10" s="222">
        <v>42735</v>
      </c>
      <c r="E10" s="22"/>
      <c r="F10" s="8"/>
      <c r="G10" s="21"/>
      <c r="H10" s="64" t="s">
        <v>23</v>
      </c>
      <c r="I10" s="66" t="s">
        <v>23</v>
      </c>
      <c r="J10" s="67" t="s">
        <v>33</v>
      </c>
      <c r="K10" s="183">
        <v>27</v>
      </c>
      <c r="L10" s="8"/>
      <c r="M10" s="8"/>
      <c r="N10" s="8"/>
      <c r="O10" s="8"/>
      <c r="P10" s="8"/>
      <c r="Q10" s="8"/>
      <c r="R10" s="125"/>
      <c r="S10" s="8"/>
      <c r="T10" s="8"/>
      <c r="U10" s="8"/>
      <c r="V10" s="215">
        <v>0</v>
      </c>
      <c r="W10" s="203"/>
      <c r="X10" s="184">
        <v>48.87</v>
      </c>
      <c r="Y10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48.87</v>
      </c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161"/>
    </row>
    <row r="11" spans="1:39" ht="24.95" hidden="1" customHeight="1" x14ac:dyDescent="0.25">
      <c r="A11" s="154"/>
      <c r="B11" s="138" t="s">
        <v>57</v>
      </c>
      <c r="C11" s="8"/>
      <c r="D11" s="222">
        <v>42735</v>
      </c>
      <c r="E11" s="22"/>
      <c r="F11" s="8"/>
      <c r="G11" s="21"/>
      <c r="H11" s="64" t="s">
        <v>23</v>
      </c>
      <c r="I11" s="66" t="s">
        <v>23</v>
      </c>
      <c r="J11" s="67" t="s">
        <v>34</v>
      </c>
      <c r="K11" s="183">
        <v>4</v>
      </c>
      <c r="L11" s="8"/>
      <c r="M11" s="8"/>
      <c r="N11" s="8"/>
      <c r="O11" s="8"/>
      <c r="P11" s="8"/>
      <c r="Q11" s="8"/>
      <c r="R11" s="125"/>
      <c r="S11" s="8"/>
      <c r="T11" s="8"/>
      <c r="U11" s="8"/>
      <c r="V11" s="215">
        <v>0</v>
      </c>
      <c r="W11" s="203"/>
      <c r="X11" s="184">
        <v>47.628</v>
      </c>
      <c r="Y11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47.628</v>
      </c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161"/>
    </row>
    <row r="12" spans="1:39" ht="24.95" hidden="1" customHeight="1" x14ac:dyDescent="0.25">
      <c r="A12" s="154"/>
      <c r="B12" s="138" t="s">
        <v>57</v>
      </c>
      <c r="C12" s="8"/>
      <c r="D12" s="222">
        <v>42735</v>
      </c>
      <c r="E12" s="22"/>
      <c r="F12" s="8"/>
      <c r="G12" s="21"/>
      <c r="H12" s="64" t="s">
        <v>23</v>
      </c>
      <c r="I12" s="66" t="s">
        <v>23</v>
      </c>
      <c r="J12" s="68" t="s">
        <v>34</v>
      </c>
      <c r="K12" s="183">
        <v>5</v>
      </c>
      <c r="L12" s="8"/>
      <c r="M12" s="8"/>
      <c r="N12" s="8"/>
      <c r="O12" s="8"/>
      <c r="P12" s="8"/>
      <c r="Q12" s="8"/>
      <c r="R12" s="125"/>
      <c r="S12" s="8"/>
      <c r="T12" s="8"/>
      <c r="U12" s="8"/>
      <c r="V12" s="215">
        <v>0</v>
      </c>
      <c r="W12" s="203"/>
      <c r="X12" s="184">
        <v>82.641000000000005</v>
      </c>
      <c r="Y12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82.641000000000005</v>
      </c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161"/>
    </row>
    <row r="13" spans="1:39" ht="24.95" hidden="1" customHeight="1" x14ac:dyDescent="0.25">
      <c r="A13" s="154"/>
      <c r="B13" s="138" t="s">
        <v>57</v>
      </c>
      <c r="C13" s="8"/>
      <c r="D13" s="222">
        <v>42735</v>
      </c>
      <c r="E13" s="22"/>
      <c r="F13" s="8"/>
      <c r="G13" s="21"/>
      <c r="H13" s="64" t="s">
        <v>23</v>
      </c>
      <c r="I13" s="66" t="s">
        <v>23</v>
      </c>
      <c r="J13" s="68" t="s">
        <v>34</v>
      </c>
      <c r="K13" s="183">
        <v>6</v>
      </c>
      <c r="L13" s="8"/>
      <c r="M13" s="8"/>
      <c r="N13" s="8"/>
      <c r="O13" s="8"/>
      <c r="P13" s="8"/>
      <c r="Q13" s="8"/>
      <c r="R13" s="125"/>
      <c r="S13" s="8"/>
      <c r="T13" s="8"/>
      <c r="U13" s="8"/>
      <c r="V13" s="215">
        <v>0</v>
      </c>
      <c r="W13" s="203"/>
      <c r="X13" s="184">
        <v>48.113999999999997</v>
      </c>
      <c r="Y1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161"/>
    </row>
    <row r="14" spans="1:39" ht="24.95" hidden="1" customHeight="1" thickBot="1" x14ac:dyDescent="0.25">
      <c r="A14" s="155"/>
      <c r="B14" s="140" t="s">
        <v>57</v>
      </c>
      <c r="C14" s="81"/>
      <c r="D14" s="223">
        <v>42735</v>
      </c>
      <c r="E14" s="85"/>
      <c r="F14" s="81"/>
      <c r="G14" s="74"/>
      <c r="H14" s="65" t="s">
        <v>23</v>
      </c>
      <c r="I14" s="145" t="s">
        <v>23</v>
      </c>
      <c r="J14" s="147" t="s">
        <v>34</v>
      </c>
      <c r="K14" s="185">
        <v>7</v>
      </c>
      <c r="L14" s="81"/>
      <c r="M14" s="81"/>
      <c r="N14" s="81"/>
      <c r="O14" s="81"/>
      <c r="P14" s="81"/>
      <c r="Q14" s="81"/>
      <c r="R14" s="153"/>
      <c r="S14" s="81"/>
      <c r="T14" s="81"/>
      <c r="U14" s="81"/>
      <c r="V14" s="216">
        <v>0</v>
      </c>
      <c r="W14" s="204"/>
      <c r="X14" s="205">
        <v>100.29300000000001</v>
      </c>
      <c r="Y1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162"/>
    </row>
    <row r="15" spans="1:39" ht="24.95" hidden="1" customHeight="1" thickTop="1" thickBot="1" x14ac:dyDescent="0.3">
      <c r="A15" s="156"/>
      <c r="B15" s="126" t="s">
        <v>57</v>
      </c>
      <c r="C15" s="120"/>
      <c r="D15" s="224">
        <v>42735</v>
      </c>
      <c r="E15" s="124"/>
      <c r="F15" s="120"/>
      <c r="G15" s="112"/>
      <c r="H15" s="128" t="s">
        <v>23</v>
      </c>
      <c r="I15" s="130" t="s">
        <v>23</v>
      </c>
      <c r="J15" s="132" t="s">
        <v>34</v>
      </c>
      <c r="K15" s="186">
        <v>9</v>
      </c>
      <c r="L15" s="120"/>
      <c r="M15" s="120"/>
      <c r="N15" s="120"/>
      <c r="O15" s="120"/>
      <c r="P15" s="120"/>
      <c r="Q15" s="120"/>
      <c r="R15" s="134"/>
      <c r="S15" s="120"/>
      <c r="T15" s="120"/>
      <c r="U15" s="120"/>
      <c r="V15" s="217">
        <v>0</v>
      </c>
      <c r="W15" s="206"/>
      <c r="X15" s="207">
        <v>116.511</v>
      </c>
      <c r="Y15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116.511</v>
      </c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63"/>
    </row>
    <row r="16" spans="1:39" ht="24.95" hidden="1" customHeight="1" thickTop="1" x14ac:dyDescent="0.25">
      <c r="A16" s="157"/>
      <c r="B16" s="141" t="s">
        <v>57</v>
      </c>
      <c r="C16" s="92"/>
      <c r="D16" s="225">
        <v>42735</v>
      </c>
      <c r="E16" s="104"/>
      <c r="F16" s="92"/>
      <c r="G16" s="105"/>
      <c r="H16" s="143" t="s">
        <v>23</v>
      </c>
      <c r="I16" s="146" t="s">
        <v>23</v>
      </c>
      <c r="J16" s="148" t="s">
        <v>34</v>
      </c>
      <c r="K16" s="187">
        <v>10.5</v>
      </c>
      <c r="L16" s="92"/>
      <c r="M16" s="92"/>
      <c r="N16" s="92"/>
      <c r="O16" s="92"/>
      <c r="P16" s="92"/>
      <c r="Q16" s="92"/>
      <c r="R16" s="152"/>
      <c r="S16" s="92"/>
      <c r="T16" s="92"/>
      <c r="U16" s="92"/>
      <c r="V16" s="218">
        <v>0</v>
      </c>
      <c r="W16" s="208"/>
      <c r="X16" s="209">
        <v>182.25</v>
      </c>
      <c r="Y16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182.25</v>
      </c>
      <c r="Z16" s="92"/>
      <c r="AA16" s="92"/>
      <c r="AB16" s="92"/>
      <c r="AC16" s="92"/>
      <c r="AD16" s="92"/>
      <c r="AE16" s="92"/>
      <c r="AF16" s="92"/>
      <c r="AG16" s="92"/>
      <c r="AH16" s="92"/>
      <c r="AI16" s="92"/>
      <c r="AJ16" s="92"/>
      <c r="AK16" s="92"/>
      <c r="AL16" s="92"/>
      <c r="AM16" s="164"/>
    </row>
    <row r="17" spans="1:39" ht="24.95" hidden="1" customHeight="1" x14ac:dyDescent="0.25">
      <c r="A17" s="154"/>
      <c r="B17" s="138" t="s">
        <v>57</v>
      </c>
      <c r="C17" s="8"/>
      <c r="D17" s="222">
        <v>42735</v>
      </c>
      <c r="E17" s="22"/>
      <c r="F17" s="8"/>
      <c r="G17" s="21"/>
      <c r="H17" s="64" t="s">
        <v>23</v>
      </c>
      <c r="I17" s="66" t="s">
        <v>23</v>
      </c>
      <c r="J17" s="67" t="s">
        <v>34</v>
      </c>
      <c r="K17" s="183">
        <v>11</v>
      </c>
      <c r="L17" s="8"/>
      <c r="M17" s="8"/>
      <c r="N17" s="8"/>
      <c r="O17" s="8"/>
      <c r="P17" s="8"/>
      <c r="Q17" s="8"/>
      <c r="R17" s="125"/>
      <c r="S17" s="8"/>
      <c r="T17" s="8"/>
      <c r="U17" s="8"/>
      <c r="V17" s="215">
        <v>0</v>
      </c>
      <c r="W17" s="203"/>
      <c r="X17" s="184">
        <v>61.274999999999999</v>
      </c>
      <c r="Y17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61.274999999999999</v>
      </c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161"/>
    </row>
    <row r="18" spans="1:39" ht="24.95" hidden="1" customHeight="1" x14ac:dyDescent="0.25">
      <c r="A18" s="154"/>
      <c r="B18" s="138" t="s">
        <v>57</v>
      </c>
      <c r="C18" s="8"/>
      <c r="D18" s="222">
        <v>42735</v>
      </c>
      <c r="E18" s="22"/>
      <c r="F18" s="8"/>
      <c r="G18" s="21"/>
      <c r="H18" s="64" t="s">
        <v>23</v>
      </c>
      <c r="I18" s="66" t="s">
        <v>23</v>
      </c>
      <c r="J18" s="67" t="s">
        <v>34</v>
      </c>
      <c r="K18" s="183">
        <v>12</v>
      </c>
      <c r="L18" s="8"/>
      <c r="M18" s="8"/>
      <c r="N18" s="8"/>
      <c r="O18" s="8"/>
      <c r="P18" s="8"/>
      <c r="Q18" s="8"/>
      <c r="R18" s="125"/>
      <c r="S18" s="8"/>
      <c r="T18" s="8"/>
      <c r="U18" s="8"/>
      <c r="V18" s="215">
        <v>0</v>
      </c>
      <c r="W18" s="203"/>
      <c r="X18" s="184">
        <v>23.352</v>
      </c>
      <c r="Y18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23.352</v>
      </c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161"/>
    </row>
    <row r="19" spans="1:39" ht="24.95" hidden="1" customHeight="1" x14ac:dyDescent="0.25">
      <c r="A19" s="154"/>
      <c r="B19" s="138" t="s">
        <v>57</v>
      </c>
      <c r="C19" s="8"/>
      <c r="D19" s="222">
        <v>42735</v>
      </c>
      <c r="E19" s="22"/>
      <c r="F19" s="8"/>
      <c r="G19" s="21"/>
      <c r="H19" s="64" t="s">
        <v>23</v>
      </c>
      <c r="I19" s="66" t="s">
        <v>23</v>
      </c>
      <c r="J19" s="67" t="s">
        <v>34</v>
      </c>
      <c r="K19" s="183">
        <v>13</v>
      </c>
      <c r="L19" s="8"/>
      <c r="M19" s="8"/>
      <c r="N19" s="8"/>
      <c r="O19" s="8"/>
      <c r="P19" s="8"/>
      <c r="Q19" s="8"/>
      <c r="R19" s="125"/>
      <c r="S19" s="8"/>
      <c r="T19" s="8"/>
      <c r="U19" s="8"/>
      <c r="V19" s="215">
        <v>0</v>
      </c>
      <c r="W19" s="203"/>
      <c r="X19" s="184">
        <v>140.34299999999999</v>
      </c>
      <c r="Y19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140.34299999999999</v>
      </c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161"/>
    </row>
    <row r="20" spans="1:39" ht="24.95" hidden="1" customHeight="1" x14ac:dyDescent="0.25">
      <c r="A20" s="154"/>
      <c r="B20" s="138" t="s">
        <v>57</v>
      </c>
      <c r="C20" s="8"/>
      <c r="D20" s="222">
        <v>42735</v>
      </c>
      <c r="E20" s="22"/>
      <c r="F20" s="8"/>
      <c r="G20" s="21"/>
      <c r="H20" s="64" t="s">
        <v>23</v>
      </c>
      <c r="I20" s="66" t="s">
        <v>23</v>
      </c>
      <c r="J20" s="67" t="s">
        <v>34</v>
      </c>
      <c r="K20" s="183">
        <v>14</v>
      </c>
      <c r="L20" s="8"/>
      <c r="M20" s="8"/>
      <c r="N20" s="8"/>
      <c r="O20" s="8"/>
      <c r="P20" s="8"/>
      <c r="Q20" s="8"/>
      <c r="R20" s="125"/>
      <c r="S20" s="8"/>
      <c r="T20" s="8"/>
      <c r="U20" s="8"/>
      <c r="V20" s="215">
        <v>0</v>
      </c>
      <c r="W20" s="203"/>
      <c r="X20" s="184">
        <v>460.75200000000001</v>
      </c>
      <c r="Y20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460.75200000000001</v>
      </c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161"/>
    </row>
    <row r="21" spans="1:39" ht="24.95" hidden="1" customHeight="1" x14ac:dyDescent="0.25">
      <c r="A21" s="154"/>
      <c r="B21" s="138" t="s">
        <v>57</v>
      </c>
      <c r="C21" s="8"/>
      <c r="D21" s="222">
        <v>42735</v>
      </c>
      <c r="E21" s="22"/>
      <c r="F21" s="8"/>
      <c r="G21" s="21"/>
      <c r="H21" s="64" t="s">
        <v>23</v>
      </c>
      <c r="I21" s="66" t="s">
        <v>23</v>
      </c>
      <c r="J21" s="67" t="s">
        <v>34</v>
      </c>
      <c r="K21" s="183">
        <v>15</v>
      </c>
      <c r="L21" s="8"/>
      <c r="M21" s="8"/>
      <c r="N21" s="8"/>
      <c r="O21" s="8"/>
      <c r="P21" s="8"/>
      <c r="Q21" s="8"/>
      <c r="R21" s="125"/>
      <c r="S21" s="8"/>
      <c r="T21" s="8"/>
      <c r="U21" s="8"/>
      <c r="V21" s="215">
        <v>0</v>
      </c>
      <c r="W21" s="203"/>
      <c r="X21" s="184">
        <v>68.399999999999991</v>
      </c>
      <c r="Y21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68.399999999999991</v>
      </c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161"/>
    </row>
    <row r="22" spans="1:39" ht="24.95" hidden="1" customHeight="1" x14ac:dyDescent="0.25">
      <c r="A22" s="154"/>
      <c r="B22" s="138" t="s">
        <v>57</v>
      </c>
      <c r="C22" s="8"/>
      <c r="D22" s="222">
        <v>42735</v>
      </c>
      <c r="E22" s="22"/>
      <c r="F22" s="8"/>
      <c r="G22" s="21"/>
      <c r="H22" s="64" t="s">
        <v>23</v>
      </c>
      <c r="I22" s="66" t="s">
        <v>23</v>
      </c>
      <c r="J22" s="67" t="s">
        <v>34</v>
      </c>
      <c r="K22" s="183">
        <v>17</v>
      </c>
      <c r="L22" s="8"/>
      <c r="M22" s="8"/>
      <c r="N22" s="8"/>
      <c r="O22" s="8"/>
      <c r="P22" s="8"/>
      <c r="Q22" s="8"/>
      <c r="R22" s="125"/>
      <c r="S22" s="8"/>
      <c r="T22" s="8"/>
      <c r="U22" s="8"/>
      <c r="V22" s="215">
        <v>0</v>
      </c>
      <c r="W22" s="203"/>
      <c r="X22" s="184">
        <v>122.976</v>
      </c>
      <c r="Y22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122.976</v>
      </c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161"/>
    </row>
    <row r="23" spans="1:39" ht="24.95" hidden="1" customHeight="1" x14ac:dyDescent="0.25">
      <c r="A23" s="154"/>
      <c r="B23" s="138" t="s">
        <v>57</v>
      </c>
      <c r="C23" s="8"/>
      <c r="D23" s="222">
        <v>42735</v>
      </c>
      <c r="E23" s="22"/>
      <c r="F23" s="8"/>
      <c r="G23" s="21"/>
      <c r="H23" s="64" t="s">
        <v>23</v>
      </c>
      <c r="I23" s="66" t="s">
        <v>23</v>
      </c>
      <c r="J23" s="67" t="s">
        <v>34</v>
      </c>
      <c r="K23" s="183">
        <v>22</v>
      </c>
      <c r="L23" s="8"/>
      <c r="M23" s="8"/>
      <c r="N23" s="8"/>
      <c r="O23" s="137"/>
      <c r="P23" s="8"/>
      <c r="Q23" s="8"/>
      <c r="R23" s="125"/>
      <c r="S23" s="8"/>
      <c r="T23" s="8"/>
      <c r="U23" s="8"/>
      <c r="V23" s="215">
        <v>0</v>
      </c>
      <c r="W23" s="203"/>
      <c r="X23" s="184">
        <v>206.01000000000002</v>
      </c>
      <c r="Y2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161"/>
    </row>
    <row r="24" spans="1:39" ht="24.95" hidden="1" customHeight="1" x14ac:dyDescent="0.25">
      <c r="A24" s="154"/>
      <c r="B24" s="138" t="s">
        <v>57</v>
      </c>
      <c r="C24" s="8"/>
      <c r="D24" s="222">
        <v>42735</v>
      </c>
      <c r="E24" s="22"/>
      <c r="F24" s="8"/>
      <c r="G24" s="21"/>
      <c r="H24" s="64" t="s">
        <v>23</v>
      </c>
      <c r="I24" s="66" t="s">
        <v>23</v>
      </c>
      <c r="J24" s="67" t="s">
        <v>34</v>
      </c>
      <c r="K24" s="183">
        <v>23</v>
      </c>
      <c r="L24" s="8"/>
      <c r="M24" s="8"/>
      <c r="N24" s="8"/>
      <c r="O24" s="8"/>
      <c r="P24" s="8"/>
      <c r="Q24" s="8"/>
      <c r="R24" s="125"/>
      <c r="S24" s="8"/>
      <c r="T24" s="8"/>
      <c r="U24" s="8"/>
      <c r="V24" s="215">
        <v>0</v>
      </c>
      <c r="W24" s="203"/>
      <c r="X24" s="184">
        <v>299.88</v>
      </c>
      <c r="Y24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299.88</v>
      </c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161"/>
    </row>
    <row r="25" spans="1:39" ht="24.95" hidden="1" customHeight="1" x14ac:dyDescent="0.25">
      <c r="A25" s="154"/>
      <c r="B25" s="138" t="s">
        <v>57</v>
      </c>
      <c r="C25" s="8"/>
      <c r="D25" s="222">
        <v>42735</v>
      </c>
      <c r="E25" s="22"/>
      <c r="F25" s="8"/>
      <c r="G25" s="21"/>
      <c r="H25" s="64" t="s">
        <v>23</v>
      </c>
      <c r="I25" s="66" t="s">
        <v>23</v>
      </c>
      <c r="J25" s="67" t="s">
        <v>34</v>
      </c>
      <c r="K25" s="183">
        <v>24</v>
      </c>
      <c r="L25" s="8"/>
      <c r="M25" s="8"/>
      <c r="N25" s="8"/>
      <c r="O25" s="8"/>
      <c r="P25" s="8"/>
      <c r="Q25" s="8"/>
      <c r="R25" s="125"/>
      <c r="S25" s="8"/>
      <c r="T25" s="8"/>
      <c r="U25" s="8"/>
      <c r="V25" s="215">
        <v>0</v>
      </c>
      <c r="W25" s="203"/>
      <c r="X25" s="184">
        <v>46.68</v>
      </c>
      <c r="Y25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46.68</v>
      </c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161"/>
    </row>
    <row r="26" spans="1:39" ht="24.95" hidden="1" customHeight="1" x14ac:dyDescent="0.25">
      <c r="A26" s="154"/>
      <c r="B26" s="59" t="s">
        <v>54</v>
      </c>
      <c r="C26" s="8"/>
      <c r="D26" s="222">
        <v>42754</v>
      </c>
      <c r="E26" s="22"/>
      <c r="F26" s="8"/>
      <c r="G26" s="21"/>
      <c r="H26" s="60" t="s">
        <v>23</v>
      </c>
      <c r="I26" s="61" t="s">
        <v>23</v>
      </c>
      <c r="J26" s="61" t="s">
        <v>34</v>
      </c>
      <c r="K26" s="62">
        <v>18</v>
      </c>
      <c r="L26" s="8"/>
      <c r="M26" s="8"/>
      <c r="N26" s="8"/>
      <c r="O26" s="8"/>
      <c r="P26" s="8"/>
      <c r="Q26" s="8"/>
      <c r="R26" s="125"/>
      <c r="S26" s="8"/>
      <c r="T26" s="8"/>
      <c r="U26" s="8"/>
      <c r="V26" s="215">
        <v>0</v>
      </c>
      <c r="W26" s="210">
        <v>211</v>
      </c>
      <c r="X26" s="210"/>
      <c r="Y2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26" s="8"/>
      <c r="AA26" s="8"/>
      <c r="AB26" s="8"/>
      <c r="AC26" s="8"/>
      <c r="AD26" s="8">
        <f>SUBTOTAL(9,AD3:AD25)</f>
        <v>0</v>
      </c>
      <c r="AE26" s="8"/>
      <c r="AF26" s="8"/>
      <c r="AG26" s="8"/>
      <c r="AH26" s="8"/>
      <c r="AI26" s="8"/>
      <c r="AJ26" s="8"/>
      <c r="AK26" s="8"/>
      <c r="AL26" s="8"/>
      <c r="AM26" s="161"/>
    </row>
    <row r="27" spans="1:39" ht="24.95" customHeight="1" x14ac:dyDescent="0.25">
      <c r="A27" s="154"/>
      <c r="B27" s="59" t="s">
        <v>54</v>
      </c>
      <c r="C27" s="8"/>
      <c r="D27" s="222">
        <v>42754</v>
      </c>
      <c r="E27" s="22"/>
      <c r="F27" s="8"/>
      <c r="G27" s="21"/>
      <c r="H27" s="60" t="s">
        <v>23</v>
      </c>
      <c r="I27" s="61" t="s">
        <v>23</v>
      </c>
      <c r="J27" s="61" t="s">
        <v>34</v>
      </c>
      <c r="K27" s="62">
        <v>22</v>
      </c>
      <c r="L27" s="8"/>
      <c r="M27" s="8"/>
      <c r="N27" s="8"/>
      <c r="O27" s="137"/>
      <c r="P27" s="8"/>
      <c r="Q27" s="8"/>
      <c r="R27" s="125"/>
      <c r="S27" s="8"/>
      <c r="T27" s="8"/>
      <c r="U27" s="8"/>
      <c r="V27" s="215">
        <v>0</v>
      </c>
      <c r="W27" s="210">
        <v>1964</v>
      </c>
      <c r="X27" s="210"/>
      <c r="Y2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161"/>
    </row>
    <row r="28" spans="1:39" ht="24.95" hidden="1" customHeight="1" x14ac:dyDescent="0.25">
      <c r="A28" s="58">
        <v>201700019</v>
      </c>
      <c r="B28" s="58" t="s">
        <v>53</v>
      </c>
      <c r="C28" s="31">
        <v>546390</v>
      </c>
      <c r="D28" s="226">
        <v>42801</v>
      </c>
      <c r="E28" s="50">
        <v>512800</v>
      </c>
      <c r="F28" s="5" t="s">
        <v>45</v>
      </c>
      <c r="G28" s="3"/>
      <c r="H28" s="3" t="s">
        <v>23</v>
      </c>
      <c r="I28" s="3" t="s">
        <v>23</v>
      </c>
      <c r="J28" s="21" t="s">
        <v>34</v>
      </c>
      <c r="K28" s="23">
        <v>7</v>
      </c>
      <c r="L28" s="3"/>
      <c r="M28" s="3"/>
      <c r="N28" s="21"/>
      <c r="O28" s="26">
        <v>1000</v>
      </c>
      <c r="P28" s="9">
        <v>3.421E-3</v>
      </c>
      <c r="Q28" s="21">
        <v>24.5</v>
      </c>
      <c r="R28" s="21">
        <f>INT(2800/(Q28+3))</f>
        <v>101</v>
      </c>
      <c r="S28" s="21">
        <f>((K28/2)*(K28/2)*3.14*9*3)/1000</f>
        <v>1.0385550000000003</v>
      </c>
      <c r="T28" s="3">
        <f>+P28*O28</f>
        <v>3.4209999999999998</v>
      </c>
      <c r="U28" s="21">
        <f>S28/R28</f>
        <v>1.0282722772277231E-2</v>
      </c>
      <c r="V28" s="219">
        <v>10.28272277227723</v>
      </c>
      <c r="W28" s="54"/>
      <c r="X28" s="54"/>
      <c r="Y2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28" s="21">
        <f>(((S28/3000)*2880)-(P28*R28))/R28</f>
        <v>6.4504138613861416E-3</v>
      </c>
      <c r="AA28" s="21">
        <f>+Z28*O28</f>
        <v>6.4504138613861413</v>
      </c>
      <c r="AB28" s="21">
        <f>+((S28/3000)*120)/101</f>
        <v>4.1130891089108927E-4</v>
      </c>
      <c r="AC28" s="21">
        <f>AB28*O28</f>
        <v>0.41130891089108929</v>
      </c>
      <c r="AD28" s="21">
        <f>V28-T28</f>
        <v>6.8617227722772309</v>
      </c>
      <c r="AE28" s="21">
        <f>AC28+AA28</f>
        <v>6.8617227722772309</v>
      </c>
      <c r="AF28" s="21">
        <f>AE28-AD28</f>
        <v>0</v>
      </c>
      <c r="AG28" s="9">
        <v>6.0400000000000004E-4</v>
      </c>
      <c r="AH28" s="9">
        <v>9.7350000000000006E-3</v>
      </c>
      <c r="AI28" s="10">
        <v>9.7350000000000012</v>
      </c>
      <c r="AJ28" s="11">
        <v>3.6510000000000006E-3</v>
      </c>
      <c r="AK28" s="12">
        <v>3.6510000000000007</v>
      </c>
      <c r="AL28" s="12">
        <v>0.60400000000000009</v>
      </c>
      <c r="AM28" s="165">
        <v>0.43708269131997951</v>
      </c>
    </row>
    <row r="29" spans="1:39" ht="24.95" hidden="1" customHeight="1" x14ac:dyDescent="0.25">
      <c r="A29" s="154"/>
      <c r="B29" s="59" t="s">
        <v>54</v>
      </c>
      <c r="C29" s="8"/>
      <c r="D29" s="222">
        <v>42816</v>
      </c>
      <c r="E29" s="22"/>
      <c r="F29" s="8"/>
      <c r="G29" s="21"/>
      <c r="H29" s="60" t="s">
        <v>23</v>
      </c>
      <c r="I29" s="61" t="s">
        <v>23</v>
      </c>
      <c r="J29" s="61" t="s">
        <v>34</v>
      </c>
      <c r="K29" s="62">
        <v>7</v>
      </c>
      <c r="L29" s="8"/>
      <c r="M29" s="8"/>
      <c r="N29" s="8"/>
      <c r="O29" s="8"/>
      <c r="P29" s="8"/>
      <c r="Q29" s="8"/>
      <c r="R29" s="125"/>
      <c r="S29" s="8"/>
      <c r="T29" s="8"/>
      <c r="U29" s="8"/>
      <c r="V29" s="215">
        <v>0</v>
      </c>
      <c r="W29" s="210">
        <v>250</v>
      </c>
      <c r="X29" s="210"/>
      <c r="Y2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161"/>
    </row>
    <row r="30" spans="1:39" ht="24.95" hidden="1" customHeight="1" thickBot="1" x14ac:dyDescent="0.3">
      <c r="A30" s="58">
        <v>201700021</v>
      </c>
      <c r="B30" s="58" t="s">
        <v>53</v>
      </c>
      <c r="C30" s="16">
        <v>546763</v>
      </c>
      <c r="D30" s="227">
        <v>42818</v>
      </c>
      <c r="E30" s="50" t="s">
        <v>43</v>
      </c>
      <c r="F30" s="5" t="s">
        <v>44</v>
      </c>
      <c r="G30" s="5">
        <v>146</v>
      </c>
      <c r="H30" s="1" t="s">
        <v>23</v>
      </c>
      <c r="I30" s="1" t="s">
        <v>23</v>
      </c>
      <c r="J30" s="8" t="s">
        <v>34</v>
      </c>
      <c r="K30" s="188">
        <v>22</v>
      </c>
      <c r="L30" s="36"/>
      <c r="M30" s="36"/>
      <c r="N30" s="8"/>
      <c r="O30" s="136">
        <v>2000</v>
      </c>
      <c r="P30" s="9">
        <v>7.4759999999999993E-2</v>
      </c>
      <c r="Q30" s="19">
        <v>39.5</v>
      </c>
      <c r="R30" s="8">
        <f>INT(2800/(Q30+3))</f>
        <v>65</v>
      </c>
      <c r="S30" s="8">
        <f>((K30/2)*(K30/2)*3.14*9*3)/1000</f>
        <v>10.258380000000001</v>
      </c>
      <c r="T30" s="1">
        <f>+P30*O30</f>
        <v>149.51999999999998</v>
      </c>
      <c r="U30" s="8">
        <f>S30/R30</f>
        <v>0.15782123076923077</v>
      </c>
      <c r="V30" s="215">
        <v>315.64246153846153</v>
      </c>
      <c r="W30" s="203"/>
      <c r="X30" s="210"/>
      <c r="Y3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0" s="21">
        <f>(((S30/3000)*2880)-(P30*R30))/R30</f>
        <v>7.6748381538461544E-2</v>
      </c>
      <c r="AA30" s="21">
        <f>+Z30*O30</f>
        <v>153.49676307692309</v>
      </c>
      <c r="AB30" s="21">
        <f>+((S30/3000)*120)/101</f>
        <v>4.0627247524752472E-3</v>
      </c>
      <c r="AC30" s="21">
        <f>AB30*O30</f>
        <v>8.1254495049504953</v>
      </c>
      <c r="AD30" s="21">
        <f>V30-T30</f>
        <v>166.12246153846155</v>
      </c>
      <c r="AE30" s="21">
        <f>AC30+AA30</f>
        <v>161.62221258187358</v>
      </c>
      <c r="AF30" s="21">
        <f>AE30-AD30</f>
        <v>-4.5002489565879671</v>
      </c>
      <c r="AG30" s="9"/>
      <c r="AH30" s="9"/>
      <c r="AI30" s="10"/>
      <c r="AJ30" s="11"/>
      <c r="AK30" s="12"/>
      <c r="AL30" s="12"/>
      <c r="AM30" s="165"/>
    </row>
    <row r="31" spans="1:39" ht="24.95" hidden="1" customHeight="1" x14ac:dyDescent="0.25">
      <c r="A31" s="58">
        <v>201700027</v>
      </c>
      <c r="B31" s="58" t="s">
        <v>53</v>
      </c>
      <c r="C31" s="16">
        <v>547184</v>
      </c>
      <c r="D31" s="227">
        <v>42832</v>
      </c>
      <c r="E31" s="50">
        <v>510020</v>
      </c>
      <c r="F31" s="5" t="s">
        <v>24</v>
      </c>
      <c r="G31" s="27">
        <v>139</v>
      </c>
      <c r="H31" s="1" t="s">
        <v>23</v>
      </c>
      <c r="I31" s="1" t="s">
        <v>23</v>
      </c>
      <c r="J31" s="3" t="s">
        <v>33</v>
      </c>
      <c r="K31" s="189">
        <v>8</v>
      </c>
      <c r="L31" s="36"/>
      <c r="M31" s="36"/>
      <c r="N31" s="8"/>
      <c r="O31" s="26">
        <v>20000</v>
      </c>
      <c r="P31" s="9">
        <v>1.446E-3</v>
      </c>
      <c r="Q31" s="8">
        <v>6</v>
      </c>
      <c r="R31" s="8">
        <f>INT(2800/(Q31+3))</f>
        <v>311</v>
      </c>
      <c r="S31" s="8">
        <f>((K31*K31)*0.866*9*3)/1000</f>
        <v>1.4964479999999998</v>
      </c>
      <c r="T31" s="1">
        <f>+O31*P31</f>
        <v>28.92</v>
      </c>
      <c r="U31" s="8">
        <f>S31/R31</f>
        <v>4.8117299035369768E-3</v>
      </c>
      <c r="V31" s="215">
        <v>96.234598070739537</v>
      </c>
      <c r="W31" s="203"/>
      <c r="X31" s="203"/>
      <c r="Y3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1" s="21">
        <f>(((S31/3000)*2880)-(P31*R31))/R31</f>
        <v>3.1732607073954979E-3</v>
      </c>
      <c r="AA31" s="21">
        <f>+Z31*O31</f>
        <v>63.465214147909954</v>
      </c>
      <c r="AB31" s="21">
        <f>+((S31/3000)*120)/101</f>
        <v>5.9265267326732659E-4</v>
      </c>
      <c r="AC31" s="21">
        <f>AB31*O31</f>
        <v>11.853053465346532</v>
      </c>
      <c r="AD31" s="21">
        <f>V31-T31</f>
        <v>67.314598070739535</v>
      </c>
      <c r="AE31" s="21">
        <f>AC31+AA31</f>
        <v>75.318267613256481</v>
      </c>
      <c r="AF31" s="21">
        <f>AE31-AD31</f>
        <v>8.0036695425169455</v>
      </c>
      <c r="AG31" s="9">
        <v>2.8400000000000002E-4</v>
      </c>
      <c r="AH31" s="9">
        <v>4.5869999999999999E-3</v>
      </c>
      <c r="AI31" s="10">
        <v>91.74</v>
      </c>
      <c r="AJ31" s="11">
        <v>2.9429999999999994E-3</v>
      </c>
      <c r="AK31" s="12">
        <v>58.859999999999985</v>
      </c>
      <c r="AL31" s="12">
        <v>5.6800000000000006</v>
      </c>
      <c r="AM31" s="165">
        <v>0.70350991933725737</v>
      </c>
    </row>
    <row r="32" spans="1:39" ht="24.95" hidden="1" customHeight="1" thickBot="1" x14ac:dyDescent="0.3">
      <c r="A32" s="69">
        <v>201700027</v>
      </c>
      <c r="B32" s="69" t="s">
        <v>53</v>
      </c>
      <c r="C32" s="70">
        <v>547184</v>
      </c>
      <c r="D32" s="228">
        <v>42832</v>
      </c>
      <c r="E32" s="71">
        <v>512800</v>
      </c>
      <c r="F32" s="72" t="s">
        <v>45</v>
      </c>
      <c r="G32" s="73"/>
      <c r="H32" s="57" t="s">
        <v>23</v>
      </c>
      <c r="I32" s="57" t="s">
        <v>23</v>
      </c>
      <c r="J32" s="81" t="s">
        <v>34</v>
      </c>
      <c r="K32" s="190">
        <v>7</v>
      </c>
      <c r="L32" s="82"/>
      <c r="M32" s="82"/>
      <c r="N32" s="81"/>
      <c r="O32" s="83">
        <v>10000</v>
      </c>
      <c r="P32" s="76">
        <v>3.421E-3</v>
      </c>
      <c r="Q32" s="81">
        <v>24.5</v>
      </c>
      <c r="R32" s="81">
        <f>INT(2800/(Q32+3))</f>
        <v>101</v>
      </c>
      <c r="S32" s="81">
        <f>((K32/2)*(K32/2)*3.14*9*3)/1000</f>
        <v>1.0385550000000003</v>
      </c>
      <c r="T32" s="57">
        <f>+P32*O32</f>
        <v>34.21</v>
      </c>
      <c r="U32" s="81">
        <f>S32/R32</f>
        <v>1.0282722772277231E-2</v>
      </c>
      <c r="V32" s="216">
        <v>102.82722772277231</v>
      </c>
      <c r="W32" s="204"/>
      <c r="X32" s="204"/>
      <c r="Y3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2" s="74">
        <f>(((S32/3000)*2880)-(P32*R32))/R32</f>
        <v>6.4504138613861416E-3</v>
      </c>
      <c r="AA32" s="74">
        <f>+Z32*O32</f>
        <v>64.504138613861414</v>
      </c>
      <c r="AB32" s="74">
        <f>+((S32/3000)*120)/101</f>
        <v>4.1130891089108927E-4</v>
      </c>
      <c r="AC32" s="74">
        <f>AB32*O32</f>
        <v>4.1130891089108923</v>
      </c>
      <c r="AD32" s="74">
        <f>V32-T32</f>
        <v>68.617227722772299</v>
      </c>
      <c r="AE32" s="74">
        <f>AC32+AA32</f>
        <v>68.617227722772313</v>
      </c>
      <c r="AF32" s="74">
        <f>AE32-AD32</f>
        <v>0</v>
      </c>
      <c r="AG32" s="76">
        <v>6.0400000000000004E-4</v>
      </c>
      <c r="AH32" s="76">
        <v>9.7350000000000006E-3</v>
      </c>
      <c r="AI32" s="77">
        <v>97.350000000000009</v>
      </c>
      <c r="AJ32" s="78">
        <v>3.6510000000000006E-3</v>
      </c>
      <c r="AK32" s="79">
        <v>0</v>
      </c>
      <c r="AL32" s="79">
        <v>0</v>
      </c>
      <c r="AM32" s="166">
        <v>0.43708269131997951</v>
      </c>
    </row>
    <row r="33" spans="1:39" ht="24.95" hidden="1" customHeight="1" thickTop="1" thickBot="1" x14ac:dyDescent="0.3">
      <c r="A33" s="158">
        <v>201700034</v>
      </c>
      <c r="B33" s="108" t="s">
        <v>53</v>
      </c>
      <c r="C33" s="118">
        <v>547321</v>
      </c>
      <c r="D33" s="229">
        <v>42839</v>
      </c>
      <c r="E33" s="110" t="s">
        <v>43</v>
      </c>
      <c r="F33" s="111" t="s">
        <v>44</v>
      </c>
      <c r="G33" s="111"/>
      <c r="H33" s="119" t="s">
        <v>23</v>
      </c>
      <c r="I33" s="119" t="s">
        <v>23</v>
      </c>
      <c r="J33" s="120" t="s">
        <v>34</v>
      </c>
      <c r="K33" s="191">
        <v>22</v>
      </c>
      <c r="L33" s="121"/>
      <c r="M33" s="121"/>
      <c r="N33" s="200"/>
      <c r="O33" s="135">
        <v>2500</v>
      </c>
      <c r="P33" s="114">
        <v>7.4759999999999993E-2</v>
      </c>
      <c r="Q33" s="122">
        <v>39.5</v>
      </c>
      <c r="R33" s="120">
        <f>INT(2800/(Q33+3))</f>
        <v>65</v>
      </c>
      <c r="S33" s="120">
        <f>((K33/2)*(K33/2)*3.14*9*3)/1000</f>
        <v>10.258380000000001</v>
      </c>
      <c r="T33" s="119">
        <f>+P33*O33</f>
        <v>186.89999999999998</v>
      </c>
      <c r="U33" s="120">
        <f>S33/R33</f>
        <v>0.15782123076923077</v>
      </c>
      <c r="V33" s="217">
        <v>394.5530769230769</v>
      </c>
      <c r="W33" s="206"/>
      <c r="X33" s="206"/>
      <c r="Y3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3" s="112">
        <f>(((S33/3000)*2880)-(P33*R33))/R33</f>
        <v>7.6748381538461544E-2</v>
      </c>
      <c r="AA33" s="112">
        <f>+Z33*O33</f>
        <v>191.87095384615387</v>
      </c>
      <c r="AB33" s="112">
        <f>+((S33/3000)*120)/101</f>
        <v>4.0627247524752472E-3</v>
      </c>
      <c r="AC33" s="112">
        <f>AB33*O33</f>
        <v>10.156811881188117</v>
      </c>
      <c r="AD33" s="112">
        <f>V33-T33</f>
        <v>207.65307692307692</v>
      </c>
      <c r="AE33" s="112">
        <f>AC33+AA33</f>
        <v>202.02776572734197</v>
      </c>
      <c r="AF33" s="112">
        <f>AE33-AD33</f>
        <v>-5.6253111957349518</v>
      </c>
      <c r="AG33" s="114"/>
      <c r="AH33" s="114"/>
      <c r="AI33" s="115"/>
      <c r="AJ33" s="116"/>
      <c r="AK33" s="117"/>
      <c r="AL33" s="117"/>
      <c r="AM33" s="167"/>
    </row>
    <row r="34" spans="1:39" ht="24.95" hidden="1" customHeight="1" thickTop="1" x14ac:dyDescent="0.25">
      <c r="A34" s="157"/>
      <c r="B34" s="139" t="s">
        <v>54</v>
      </c>
      <c r="C34" s="92"/>
      <c r="D34" s="225">
        <v>42857</v>
      </c>
      <c r="E34" s="104"/>
      <c r="F34" s="92"/>
      <c r="G34" s="105"/>
      <c r="H34" s="142" t="s">
        <v>23</v>
      </c>
      <c r="I34" s="144" t="s">
        <v>23</v>
      </c>
      <c r="J34" s="144" t="s">
        <v>33</v>
      </c>
      <c r="K34" s="149">
        <v>8</v>
      </c>
      <c r="L34" s="92"/>
      <c r="M34" s="92"/>
      <c r="N34" s="92"/>
      <c r="O34" s="92"/>
      <c r="P34" s="92"/>
      <c r="Q34" s="92"/>
      <c r="R34" s="152"/>
      <c r="S34" s="92"/>
      <c r="T34" s="92"/>
      <c r="U34" s="92"/>
      <c r="V34" s="218">
        <v>0</v>
      </c>
      <c r="W34" s="211">
        <v>150.4</v>
      </c>
      <c r="X34" s="211"/>
      <c r="Y3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4" s="92"/>
      <c r="AA34" s="92"/>
      <c r="AB34" s="92"/>
      <c r="AC34" s="92"/>
      <c r="AD34" s="92"/>
      <c r="AE34" s="92"/>
      <c r="AF34" s="92"/>
      <c r="AG34" s="92"/>
      <c r="AH34" s="92"/>
      <c r="AI34" s="92"/>
      <c r="AJ34" s="92"/>
      <c r="AK34" s="92"/>
      <c r="AL34" s="92"/>
      <c r="AM34" s="164"/>
    </row>
    <row r="35" spans="1:39" ht="24.95" hidden="1" customHeight="1" x14ac:dyDescent="0.25">
      <c r="A35" s="58">
        <v>201700044</v>
      </c>
      <c r="B35" s="58" t="s">
        <v>53</v>
      </c>
      <c r="C35" s="16">
        <v>547817</v>
      </c>
      <c r="D35" s="227">
        <v>42861</v>
      </c>
      <c r="E35" s="50">
        <v>510020</v>
      </c>
      <c r="F35" s="5" t="s">
        <v>24</v>
      </c>
      <c r="G35" s="27">
        <v>139</v>
      </c>
      <c r="H35" s="1" t="s">
        <v>23</v>
      </c>
      <c r="I35" s="1" t="s">
        <v>23</v>
      </c>
      <c r="J35" s="3" t="s">
        <v>33</v>
      </c>
      <c r="K35" s="189">
        <v>8</v>
      </c>
      <c r="L35" s="36"/>
      <c r="M35" s="36"/>
      <c r="N35" s="8"/>
      <c r="O35" s="26">
        <v>3540</v>
      </c>
      <c r="P35" s="9">
        <v>1.446E-3</v>
      </c>
      <c r="Q35" s="8">
        <v>6</v>
      </c>
      <c r="R35" s="8">
        <f>INT(2800/(Q35+3))</f>
        <v>311</v>
      </c>
      <c r="S35" s="8">
        <f>((K35*K35)*0.866*9*3)/1000</f>
        <v>1.4964479999999998</v>
      </c>
      <c r="T35" s="1">
        <f>+O35*P35</f>
        <v>5.1188400000000005</v>
      </c>
      <c r="U35" s="8">
        <f>S35/R35</f>
        <v>4.8117299035369768E-3</v>
      </c>
      <c r="V35" s="215">
        <v>17.033523858520898</v>
      </c>
      <c r="W35" s="203"/>
      <c r="X35" s="203"/>
      <c r="Y3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5" s="21">
        <f>(((S35/3000)*2880)-(P35*R35))/R35</f>
        <v>3.1732607073954979E-3</v>
      </c>
      <c r="AA35" s="21">
        <f>+Z35*O35</f>
        <v>11.233342904180063</v>
      </c>
      <c r="AB35" s="21">
        <f>+((S35/3000)*120)/101</f>
        <v>5.9265267326732659E-4</v>
      </c>
      <c r="AC35" s="21">
        <f>AB35*O35</f>
        <v>2.0979904633663362</v>
      </c>
      <c r="AD35" s="21">
        <f>V35-T35</f>
        <v>11.914683858520897</v>
      </c>
      <c r="AE35" s="21">
        <f>AC35+AA35</f>
        <v>13.331333367546399</v>
      </c>
      <c r="AF35" s="21">
        <f>AE35-AD35</f>
        <v>1.4166495090255022</v>
      </c>
      <c r="AG35" s="9">
        <v>2.8400000000000002E-4</v>
      </c>
      <c r="AH35" s="9">
        <v>4.5869999999999999E-3</v>
      </c>
      <c r="AI35" s="10">
        <v>16.23798</v>
      </c>
      <c r="AJ35" s="11">
        <v>3.3179999999999998E-3</v>
      </c>
      <c r="AK35" s="12">
        <v>11.745719999999999</v>
      </c>
      <c r="AL35" s="12">
        <v>1.00536</v>
      </c>
      <c r="AM35" s="165">
        <v>0.78526269893176359</v>
      </c>
    </row>
    <row r="36" spans="1:39" ht="24.95" hidden="1" customHeight="1" x14ac:dyDescent="0.25">
      <c r="A36" s="58">
        <v>201700044</v>
      </c>
      <c r="B36" s="58" t="s">
        <v>53</v>
      </c>
      <c r="C36" s="16">
        <v>547817</v>
      </c>
      <c r="D36" s="227">
        <v>42861</v>
      </c>
      <c r="E36" s="32">
        <v>510090</v>
      </c>
      <c r="F36" s="27" t="s">
        <v>35</v>
      </c>
      <c r="G36" s="27">
        <v>141</v>
      </c>
      <c r="H36" s="1" t="s">
        <v>23</v>
      </c>
      <c r="I36" s="1" t="s">
        <v>23</v>
      </c>
      <c r="J36" s="3" t="s">
        <v>33</v>
      </c>
      <c r="K36" s="192">
        <v>12</v>
      </c>
      <c r="L36" s="36"/>
      <c r="M36" s="36"/>
      <c r="N36" s="8"/>
      <c r="O36" s="26">
        <v>5100</v>
      </c>
      <c r="P36" s="9">
        <v>3.2499999999999999E-3</v>
      </c>
      <c r="Q36" s="24">
        <v>12</v>
      </c>
      <c r="R36" s="8">
        <f>INT(2800/(Q36+3))</f>
        <v>186</v>
      </c>
      <c r="S36" s="8">
        <f>((K36*K36)*0.866*9*3)/1000</f>
        <v>3.3670079999999998</v>
      </c>
      <c r="T36" s="1">
        <f>+O36*P36</f>
        <v>16.574999999999999</v>
      </c>
      <c r="U36" s="8">
        <f>S36/R36</f>
        <v>1.8102193548387095E-2</v>
      </c>
      <c r="V36" s="215">
        <v>92.321187096774182</v>
      </c>
      <c r="W36" s="203"/>
      <c r="X36" s="203"/>
      <c r="Y3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6" s="21">
        <f>(((S36/3000)*2880)-(P36*R36))/R36</f>
        <v>1.4128105806451612E-2</v>
      </c>
      <c r="AA36" s="21">
        <f>+Z36*O36</f>
        <v>72.053339612903216</v>
      </c>
      <c r="AB36" s="21">
        <f>+((S36/3000)*120)/101</f>
        <v>1.3334685148514848E-3</v>
      </c>
      <c r="AC36" s="21">
        <f>AB36*O36</f>
        <v>6.8006894257425721</v>
      </c>
      <c r="AD36" s="21">
        <f>V36-T36</f>
        <v>75.746187096774179</v>
      </c>
      <c r="AE36" s="21">
        <f>AC36+AA36</f>
        <v>78.854029038645791</v>
      </c>
      <c r="AF36" s="21">
        <f>AE36-AD36</f>
        <v>3.1078419418716123</v>
      </c>
      <c r="AG36" s="9">
        <v>6.3900000000000003E-4</v>
      </c>
      <c r="AH36" s="9">
        <v>1.0307999999999999E-2</v>
      </c>
      <c r="AI36" s="10">
        <v>52.570799999999998</v>
      </c>
      <c r="AJ36" s="11">
        <v>6.4189999999999994E-3</v>
      </c>
      <c r="AK36" s="12">
        <v>32.736899999999999</v>
      </c>
      <c r="AL36" s="12">
        <v>3.2589000000000001</v>
      </c>
      <c r="AM36" s="165">
        <v>0.68471090415211477</v>
      </c>
    </row>
    <row r="37" spans="1:39" ht="24.95" hidden="1" customHeight="1" x14ac:dyDescent="0.25">
      <c r="A37" s="58">
        <v>201700044</v>
      </c>
      <c r="B37" s="58" t="s">
        <v>53</v>
      </c>
      <c r="C37" s="16">
        <v>547817</v>
      </c>
      <c r="D37" s="227">
        <v>42861</v>
      </c>
      <c r="E37" s="50">
        <v>512800</v>
      </c>
      <c r="F37" s="5" t="s">
        <v>45</v>
      </c>
      <c r="G37" s="27"/>
      <c r="H37" s="1" t="s">
        <v>23</v>
      </c>
      <c r="I37" s="1" t="s">
        <v>23</v>
      </c>
      <c r="J37" s="8" t="s">
        <v>34</v>
      </c>
      <c r="K37" s="189">
        <v>7</v>
      </c>
      <c r="L37" s="36"/>
      <c r="M37" s="36"/>
      <c r="N37" s="8"/>
      <c r="O37" s="26">
        <v>17400</v>
      </c>
      <c r="P37" s="9">
        <v>3.421E-3</v>
      </c>
      <c r="Q37" s="8">
        <v>24.5</v>
      </c>
      <c r="R37" s="8">
        <f>INT(2800/(Q37+3))</f>
        <v>101</v>
      </c>
      <c r="S37" s="8">
        <f>((K37/2)*(K37/2)*3.14*9*3)/1000</f>
        <v>1.0385550000000003</v>
      </c>
      <c r="T37" s="1">
        <f>+P37*O37</f>
        <v>59.525399999999998</v>
      </c>
      <c r="U37" s="8">
        <f>S37/R37</f>
        <v>1.0282722772277231E-2</v>
      </c>
      <c r="V37" s="215">
        <v>178.91937623762382</v>
      </c>
      <c r="W37" s="203"/>
      <c r="X37" s="203"/>
      <c r="Y3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7" s="21">
        <f>(((S37/3000)*2880)-(P37*R37))/R37</f>
        <v>6.4504138613861416E-3</v>
      </c>
      <c r="AA37" s="21">
        <f>+Z37*O37</f>
        <v>112.23720118811886</v>
      </c>
      <c r="AB37" s="21">
        <f>+((S37/3000)*120)/101</f>
        <v>4.1130891089108927E-4</v>
      </c>
      <c r="AC37" s="21">
        <f>AB37*O37</f>
        <v>7.1567750495049536</v>
      </c>
      <c r="AD37" s="21">
        <f>V37-T37</f>
        <v>119.39397623762383</v>
      </c>
      <c r="AE37" s="21">
        <f>AC37+AA37</f>
        <v>119.39397623762382</v>
      </c>
      <c r="AF37" s="21">
        <f>AE37-AD37</f>
        <v>0</v>
      </c>
      <c r="AG37" s="9">
        <v>6.0400000000000004E-4</v>
      </c>
      <c r="AH37" s="9">
        <v>9.7350000000000006E-3</v>
      </c>
      <c r="AI37" s="10">
        <v>169.38900000000001</v>
      </c>
      <c r="AJ37" s="11">
        <v>5.6780000000000008E-3</v>
      </c>
      <c r="AK37" s="12">
        <v>98.797200000000018</v>
      </c>
      <c r="AL37" s="12">
        <v>10.509600000000001</v>
      </c>
      <c r="AM37" s="165">
        <v>0.6453004622496149</v>
      </c>
    </row>
    <row r="38" spans="1:39" ht="24.95" hidden="1" customHeight="1" thickTop="1" x14ac:dyDescent="0.25">
      <c r="A38" s="58">
        <v>201700038</v>
      </c>
      <c r="B38" s="58" t="s">
        <v>53</v>
      </c>
      <c r="C38" s="31">
        <v>547903</v>
      </c>
      <c r="D38" s="226">
        <v>42866</v>
      </c>
      <c r="E38" s="50" t="s">
        <v>43</v>
      </c>
      <c r="F38" s="5" t="s">
        <v>44</v>
      </c>
      <c r="G38" s="5"/>
      <c r="H38" s="1" t="s">
        <v>23</v>
      </c>
      <c r="I38" s="1" t="s">
        <v>23</v>
      </c>
      <c r="J38" s="8" t="s">
        <v>34</v>
      </c>
      <c r="K38" s="188">
        <v>22</v>
      </c>
      <c r="L38" s="36"/>
      <c r="M38" s="36"/>
      <c r="N38" s="8"/>
      <c r="O38" s="136">
        <v>1500</v>
      </c>
      <c r="P38" s="9">
        <v>7.4759999999999993E-2</v>
      </c>
      <c r="Q38" s="19">
        <v>39.5</v>
      </c>
      <c r="R38" s="8">
        <f>INT(2800/(Q38+3))</f>
        <v>65</v>
      </c>
      <c r="S38" s="8">
        <f>((K38/2)*(K38/2)*3.14*9*3)/1000</f>
        <v>10.258380000000001</v>
      </c>
      <c r="T38" s="1">
        <f>+P38*O38</f>
        <v>112.13999999999999</v>
      </c>
      <c r="U38" s="8">
        <f>S38/R38</f>
        <v>0.15782123076923077</v>
      </c>
      <c r="V38" s="215">
        <v>236.73184615384616</v>
      </c>
      <c r="W38" s="203"/>
      <c r="X38" s="203"/>
      <c r="Y3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8" s="21">
        <f>(((S38/3000)*2880)-(P38*R38))/R38</f>
        <v>7.6748381538461544E-2</v>
      </c>
      <c r="AA38" s="21">
        <f>+Z38*O38</f>
        <v>115.12257230769231</v>
      </c>
      <c r="AB38" s="21">
        <f>+((S38/3000)*120)/101</f>
        <v>4.0627247524752472E-3</v>
      </c>
      <c r="AC38" s="21">
        <f>AB38*O38</f>
        <v>6.0940871287128706</v>
      </c>
      <c r="AD38" s="21">
        <f>V38-T38</f>
        <v>124.59184615384618</v>
      </c>
      <c r="AE38" s="21">
        <f>AC38+AA38</f>
        <v>121.21665943640518</v>
      </c>
      <c r="AF38" s="21">
        <f>AE38-AD38</f>
        <v>-3.3751867174409966</v>
      </c>
      <c r="AG38" s="9"/>
      <c r="AH38" s="9"/>
      <c r="AI38" s="10"/>
      <c r="AJ38" s="11"/>
      <c r="AK38" s="12"/>
      <c r="AL38" s="12"/>
      <c r="AM38" s="165"/>
    </row>
    <row r="39" spans="1:39" ht="24.95" hidden="1" customHeight="1" x14ac:dyDescent="0.25">
      <c r="A39" s="154"/>
      <c r="B39" s="59" t="s">
        <v>54</v>
      </c>
      <c r="C39" s="8"/>
      <c r="D39" s="222">
        <v>42885</v>
      </c>
      <c r="E39" s="22"/>
      <c r="F39" s="8"/>
      <c r="G39" s="21"/>
      <c r="H39" s="60" t="s">
        <v>23</v>
      </c>
      <c r="I39" s="61" t="s">
        <v>23</v>
      </c>
      <c r="J39" s="61" t="s">
        <v>34</v>
      </c>
      <c r="K39" s="62">
        <v>7</v>
      </c>
      <c r="L39" s="8"/>
      <c r="M39" s="8"/>
      <c r="N39" s="8"/>
      <c r="O39" s="8"/>
      <c r="P39" s="8"/>
      <c r="Q39" s="8"/>
      <c r="R39" s="125"/>
      <c r="S39" s="8"/>
      <c r="T39" s="8"/>
      <c r="U39" s="8"/>
      <c r="V39" s="215">
        <v>0</v>
      </c>
      <c r="W39" s="210">
        <v>250</v>
      </c>
      <c r="X39" s="210"/>
      <c r="Y3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161"/>
    </row>
    <row r="40" spans="1:39" ht="24.95" hidden="1" customHeight="1" x14ac:dyDescent="0.25">
      <c r="A40" s="154"/>
      <c r="B40" s="59" t="s">
        <v>54</v>
      </c>
      <c r="C40" s="8"/>
      <c r="D40" s="222">
        <v>42885</v>
      </c>
      <c r="E40" s="22"/>
      <c r="F40" s="8"/>
      <c r="G40" s="21"/>
      <c r="H40" s="60" t="s">
        <v>23</v>
      </c>
      <c r="I40" s="61" t="s">
        <v>23</v>
      </c>
      <c r="J40" s="61" t="s">
        <v>33</v>
      </c>
      <c r="K40" s="62">
        <v>12</v>
      </c>
      <c r="L40" s="8"/>
      <c r="M40" s="8"/>
      <c r="N40" s="8"/>
      <c r="O40" s="8"/>
      <c r="P40" s="8"/>
      <c r="Q40" s="8"/>
      <c r="R40" s="125"/>
      <c r="S40" s="8"/>
      <c r="T40" s="8"/>
      <c r="U40" s="8"/>
      <c r="V40" s="215">
        <v>0</v>
      </c>
      <c r="W40" s="210">
        <v>250</v>
      </c>
      <c r="X40" s="210"/>
      <c r="Y4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161"/>
    </row>
    <row r="41" spans="1:39" ht="24.95" hidden="1" customHeight="1" x14ac:dyDescent="0.25">
      <c r="A41" s="58">
        <v>201700054</v>
      </c>
      <c r="B41" s="58" t="s">
        <v>53</v>
      </c>
      <c r="C41" s="31">
        <v>548450</v>
      </c>
      <c r="D41" s="226">
        <v>42893</v>
      </c>
      <c r="E41" s="50">
        <v>510020</v>
      </c>
      <c r="F41" s="5" t="s">
        <v>24</v>
      </c>
      <c r="G41" s="27">
        <v>139</v>
      </c>
      <c r="H41" s="1" t="s">
        <v>23</v>
      </c>
      <c r="I41" s="1" t="s">
        <v>23</v>
      </c>
      <c r="J41" s="3" t="s">
        <v>33</v>
      </c>
      <c r="K41" s="189">
        <v>8</v>
      </c>
      <c r="L41" s="36"/>
      <c r="M41" s="36"/>
      <c r="N41" s="8"/>
      <c r="O41" s="26">
        <v>26460</v>
      </c>
      <c r="P41" s="9">
        <v>1.446E-3</v>
      </c>
      <c r="Q41" s="8">
        <v>6</v>
      </c>
      <c r="R41" s="8">
        <f t="shared" ref="R41:R46" si="1">INT(2800/(Q41+3))</f>
        <v>311</v>
      </c>
      <c r="S41" s="8">
        <f>((K41*K41)*0.866*9*3)/1000</f>
        <v>1.4964479999999998</v>
      </c>
      <c r="T41" s="1">
        <f>+O41*P41</f>
        <v>38.261160000000004</v>
      </c>
      <c r="U41" s="8">
        <f t="shared" ref="U41:U46" si="2">S41/R41</f>
        <v>4.8117299035369768E-3</v>
      </c>
      <c r="V41" s="215">
        <v>127.31837324758841</v>
      </c>
      <c r="W41" s="203"/>
      <c r="X41" s="203"/>
      <c r="Y4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1" s="21">
        <f t="shared" ref="Z41:Z46" si="3">(((S41/3000)*2880)-(P41*R41))/R41</f>
        <v>3.1732607073954979E-3</v>
      </c>
      <c r="AA41" s="21">
        <f t="shared" ref="AA41:AA46" si="4">+Z41*O41</f>
        <v>83.964478317684879</v>
      </c>
      <c r="AB41" s="21">
        <f t="shared" ref="AB41:AB46" si="5">+((S41/3000)*120)/101</f>
        <v>5.9265267326732659E-4</v>
      </c>
      <c r="AC41" s="21">
        <f t="shared" ref="AC41:AC46" si="6">AB41*O41</f>
        <v>15.681589734653462</v>
      </c>
      <c r="AD41" s="21">
        <f t="shared" ref="AD41:AD46" si="7">V41-T41</f>
        <v>89.057213247588408</v>
      </c>
      <c r="AE41" s="21">
        <f t="shared" ref="AE41:AE46" si="8">AC41+AA41</f>
        <v>99.646068052338336</v>
      </c>
      <c r="AF41" s="21">
        <f t="shared" ref="AF41:AF46" si="9">AE41-AD41</f>
        <v>10.588854804749928</v>
      </c>
      <c r="AG41" s="9">
        <v>2.8400000000000002E-4</v>
      </c>
      <c r="AH41" s="9">
        <v>4.5869999999999999E-3</v>
      </c>
      <c r="AI41" s="10">
        <v>121.37201999999999</v>
      </c>
      <c r="AJ41" s="11">
        <v>3.3179999999999998E-3</v>
      </c>
      <c r="AK41" s="12">
        <v>87.794280000000001</v>
      </c>
      <c r="AL41" s="12">
        <v>7.5146400000000009</v>
      </c>
      <c r="AM41" s="165">
        <v>0.78526269893176359</v>
      </c>
    </row>
    <row r="42" spans="1:39" ht="24.95" hidden="1" customHeight="1" x14ac:dyDescent="0.25">
      <c r="A42" s="58">
        <v>201700054</v>
      </c>
      <c r="B42" s="58" t="s">
        <v>53</v>
      </c>
      <c r="C42" s="31">
        <v>548450</v>
      </c>
      <c r="D42" s="226">
        <v>42893</v>
      </c>
      <c r="E42" s="50">
        <v>512800</v>
      </c>
      <c r="F42" s="5" t="s">
        <v>45</v>
      </c>
      <c r="G42" s="27"/>
      <c r="H42" s="1" t="s">
        <v>23</v>
      </c>
      <c r="I42" s="1" t="s">
        <v>23</v>
      </c>
      <c r="J42" s="8" t="s">
        <v>34</v>
      </c>
      <c r="K42" s="189">
        <v>7</v>
      </c>
      <c r="L42" s="36"/>
      <c r="M42" s="36"/>
      <c r="N42" s="8"/>
      <c r="O42" s="26">
        <v>9100</v>
      </c>
      <c r="P42" s="9">
        <v>3.421E-3</v>
      </c>
      <c r="Q42" s="8">
        <v>24.5</v>
      </c>
      <c r="R42" s="8">
        <f t="shared" si="1"/>
        <v>101</v>
      </c>
      <c r="S42" s="8">
        <f>((K42/2)*(K42/2)*3.14*9*3)/1000</f>
        <v>1.0385550000000003</v>
      </c>
      <c r="T42" s="1">
        <f>+P42*O42</f>
        <v>31.1311</v>
      </c>
      <c r="U42" s="8">
        <f t="shared" si="2"/>
        <v>1.0282722772277231E-2</v>
      </c>
      <c r="V42" s="215">
        <v>93.57277722772281</v>
      </c>
      <c r="W42" s="203"/>
      <c r="X42" s="203"/>
      <c r="Y4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2" s="21">
        <f t="shared" si="3"/>
        <v>6.4504138613861416E-3</v>
      </c>
      <c r="AA42" s="21">
        <f t="shared" si="4"/>
        <v>58.698766138613891</v>
      </c>
      <c r="AB42" s="21">
        <f t="shared" si="5"/>
        <v>4.1130891089108927E-4</v>
      </c>
      <c r="AC42" s="21">
        <f t="shared" si="6"/>
        <v>3.7429110891089121</v>
      </c>
      <c r="AD42" s="21">
        <f t="shared" si="7"/>
        <v>62.441677227722806</v>
      </c>
      <c r="AE42" s="21">
        <f t="shared" si="8"/>
        <v>62.441677227722806</v>
      </c>
      <c r="AF42" s="21">
        <f t="shared" si="9"/>
        <v>0</v>
      </c>
      <c r="AG42" s="9">
        <v>6.0400000000000004E-4</v>
      </c>
      <c r="AH42" s="9">
        <v>9.7350000000000006E-3</v>
      </c>
      <c r="AI42" s="10">
        <v>88.58850000000001</v>
      </c>
      <c r="AJ42" s="11">
        <v>5.6780000000000008E-3</v>
      </c>
      <c r="AK42" s="12">
        <v>51.669800000000009</v>
      </c>
      <c r="AL42" s="12">
        <v>5.4964000000000004</v>
      </c>
      <c r="AM42" s="165">
        <v>0.6453004622496149</v>
      </c>
    </row>
    <row r="43" spans="1:39" ht="24.95" hidden="1" customHeight="1" x14ac:dyDescent="0.25">
      <c r="A43" s="58">
        <v>201700061</v>
      </c>
      <c r="B43" s="58" t="s">
        <v>53</v>
      </c>
      <c r="C43" s="31">
        <v>549084</v>
      </c>
      <c r="D43" s="226">
        <v>42923</v>
      </c>
      <c r="E43" s="50" t="s">
        <v>43</v>
      </c>
      <c r="F43" s="5" t="s">
        <v>44</v>
      </c>
      <c r="G43" s="27"/>
      <c r="H43" s="1" t="s">
        <v>23</v>
      </c>
      <c r="I43" s="1" t="s">
        <v>23</v>
      </c>
      <c r="J43" s="8" t="s">
        <v>34</v>
      </c>
      <c r="K43" s="188">
        <v>22</v>
      </c>
      <c r="L43" s="36"/>
      <c r="M43" s="36"/>
      <c r="N43" s="8"/>
      <c r="O43" s="136">
        <v>1500</v>
      </c>
      <c r="P43" s="9">
        <v>7.4759999999999993E-2</v>
      </c>
      <c r="Q43" s="19">
        <v>39.5</v>
      </c>
      <c r="R43" s="8">
        <f t="shared" si="1"/>
        <v>65</v>
      </c>
      <c r="S43" s="8">
        <f>((K43/2)*(K43/2)*3.14*9*3)/1000</f>
        <v>10.258380000000001</v>
      </c>
      <c r="T43" s="1">
        <f>+P43*O43</f>
        <v>112.13999999999999</v>
      </c>
      <c r="U43" s="8">
        <f t="shared" si="2"/>
        <v>0.15782123076923077</v>
      </c>
      <c r="V43" s="215">
        <v>236.73184615384616</v>
      </c>
      <c r="W43" s="203"/>
      <c r="X43" s="203"/>
      <c r="Y4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3" s="21">
        <f t="shared" si="3"/>
        <v>7.6748381538461544E-2</v>
      </c>
      <c r="AA43" s="21">
        <f t="shared" si="4"/>
        <v>115.12257230769231</v>
      </c>
      <c r="AB43" s="21">
        <f t="shared" si="5"/>
        <v>4.0627247524752472E-3</v>
      </c>
      <c r="AC43" s="21">
        <f t="shared" si="6"/>
        <v>6.0940871287128706</v>
      </c>
      <c r="AD43" s="21">
        <f t="shared" si="7"/>
        <v>124.59184615384618</v>
      </c>
      <c r="AE43" s="21">
        <f t="shared" si="8"/>
        <v>121.21665943640518</v>
      </c>
      <c r="AF43" s="21">
        <f t="shared" si="9"/>
        <v>-3.3751867174409966</v>
      </c>
      <c r="AG43" s="9">
        <v>9.2720000000000007E-3</v>
      </c>
      <c r="AH43" s="9">
        <v>0.14954500000000001</v>
      </c>
      <c r="AI43" s="10">
        <v>224.31750000000002</v>
      </c>
      <c r="AJ43" s="11">
        <v>8.2273000000000013E-2</v>
      </c>
      <c r="AK43" s="12">
        <v>123.40950000000002</v>
      </c>
      <c r="AL43" s="12">
        <v>13.908000000000001</v>
      </c>
      <c r="AM43" s="165">
        <v>0.61215687585676559</v>
      </c>
    </row>
    <row r="44" spans="1:39" ht="24.95" hidden="1" customHeight="1" x14ac:dyDescent="0.25">
      <c r="A44" s="58">
        <v>201700065</v>
      </c>
      <c r="B44" s="58" t="s">
        <v>53</v>
      </c>
      <c r="C44" s="31">
        <v>549089</v>
      </c>
      <c r="D44" s="226">
        <v>42923</v>
      </c>
      <c r="E44" s="50">
        <v>510020</v>
      </c>
      <c r="F44" s="5" t="s">
        <v>24</v>
      </c>
      <c r="G44" s="27">
        <v>139</v>
      </c>
      <c r="H44" s="1" t="s">
        <v>23</v>
      </c>
      <c r="I44" s="1" t="s">
        <v>23</v>
      </c>
      <c r="J44" s="3" t="s">
        <v>33</v>
      </c>
      <c r="K44" s="189">
        <v>8</v>
      </c>
      <c r="L44" s="36"/>
      <c r="M44" s="36"/>
      <c r="N44" s="8"/>
      <c r="O44" s="26">
        <v>15517</v>
      </c>
      <c r="P44" s="9">
        <v>1.446E-3</v>
      </c>
      <c r="Q44" s="8">
        <v>6</v>
      </c>
      <c r="R44" s="8">
        <f t="shared" si="1"/>
        <v>311</v>
      </c>
      <c r="S44" s="8">
        <f>((K44*K44)*0.866*9*3)/1000</f>
        <v>1.4964479999999998</v>
      </c>
      <c r="T44" s="1">
        <f>+O44*P44</f>
        <v>22.437581999999999</v>
      </c>
      <c r="U44" s="8">
        <f t="shared" si="2"/>
        <v>4.8117299035369768E-3</v>
      </c>
      <c r="V44" s="215">
        <v>74.663612913183272</v>
      </c>
      <c r="W44" s="203"/>
      <c r="X44" s="203"/>
      <c r="Y4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4" s="21">
        <f t="shared" si="3"/>
        <v>3.1732607073954979E-3</v>
      </c>
      <c r="AA44" s="21">
        <f t="shared" si="4"/>
        <v>49.239486396655941</v>
      </c>
      <c r="AB44" s="21">
        <f t="shared" si="5"/>
        <v>5.9265267326732659E-4</v>
      </c>
      <c r="AC44" s="21">
        <f t="shared" si="6"/>
        <v>9.1961915310891076</v>
      </c>
      <c r="AD44" s="21">
        <f t="shared" si="7"/>
        <v>52.226030913183273</v>
      </c>
      <c r="AE44" s="21">
        <f t="shared" si="8"/>
        <v>58.435677927745047</v>
      </c>
      <c r="AF44" s="21">
        <f t="shared" si="9"/>
        <v>6.2096470145617744</v>
      </c>
      <c r="AG44" s="9">
        <v>2.8400000000000002E-4</v>
      </c>
      <c r="AH44" s="9">
        <v>4.5869999999999999E-3</v>
      </c>
      <c r="AI44" s="10">
        <v>71.176479</v>
      </c>
      <c r="AJ44" s="11">
        <v>3.3179999999999998E-3</v>
      </c>
      <c r="AK44" s="12">
        <v>51.485405999999998</v>
      </c>
      <c r="AL44" s="12">
        <v>4.406828</v>
      </c>
      <c r="AM44" s="165">
        <v>0.78526269893176359</v>
      </c>
    </row>
    <row r="45" spans="1:39" ht="24.95" hidden="1" customHeight="1" x14ac:dyDescent="0.25">
      <c r="A45" s="58">
        <v>201700065</v>
      </c>
      <c r="B45" s="58" t="s">
        <v>53</v>
      </c>
      <c r="C45" s="31">
        <v>549089</v>
      </c>
      <c r="D45" s="226">
        <v>42923</v>
      </c>
      <c r="E45" s="50">
        <v>511040</v>
      </c>
      <c r="F45" s="5" t="s">
        <v>25</v>
      </c>
      <c r="G45" s="27">
        <v>138</v>
      </c>
      <c r="H45" s="1" t="s">
        <v>23</v>
      </c>
      <c r="I45" s="1" t="s">
        <v>23</v>
      </c>
      <c r="J45" s="8" t="s">
        <v>34</v>
      </c>
      <c r="K45" s="192">
        <v>18</v>
      </c>
      <c r="L45" s="36"/>
      <c r="M45" s="36"/>
      <c r="N45" s="8"/>
      <c r="O45" s="26">
        <v>865</v>
      </c>
      <c r="P45" s="9">
        <v>3.676E-3</v>
      </c>
      <c r="Q45" s="8">
        <v>10.3</v>
      </c>
      <c r="R45" s="8">
        <f t="shared" si="1"/>
        <v>210</v>
      </c>
      <c r="S45" s="8">
        <f>((K45/2)*(K45/2)*3.14*9*3)/1000</f>
        <v>6.8671800000000003</v>
      </c>
      <c r="T45" s="1">
        <f>+P45*O45</f>
        <v>3.1797400000000002</v>
      </c>
      <c r="U45" s="8">
        <f t="shared" si="2"/>
        <v>3.2700857142857143E-2</v>
      </c>
      <c r="V45" s="215">
        <v>28.286241428571429</v>
      </c>
      <c r="W45" s="203"/>
      <c r="X45" s="203"/>
      <c r="Y4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5" s="21">
        <f t="shared" si="3"/>
        <v>2.7716822857142855E-2</v>
      </c>
      <c r="AA45" s="21">
        <f t="shared" si="4"/>
        <v>23.975051771428571</v>
      </c>
      <c r="AB45" s="21">
        <f t="shared" si="5"/>
        <v>2.719675247524752E-3</v>
      </c>
      <c r="AC45" s="21">
        <f t="shared" si="6"/>
        <v>2.3525190891089105</v>
      </c>
      <c r="AD45" s="21">
        <f t="shared" si="7"/>
        <v>25.106501428571431</v>
      </c>
      <c r="AE45" s="21">
        <f t="shared" si="8"/>
        <v>26.327570860537481</v>
      </c>
      <c r="AF45" s="21">
        <f t="shared" si="9"/>
        <v>1.2210694319660504</v>
      </c>
      <c r="AG45" s="9">
        <v>1.9103773584905662E-3</v>
      </c>
      <c r="AH45" s="9">
        <v>3.0991000000000001E-2</v>
      </c>
      <c r="AI45" s="10">
        <v>26.807214999999999</v>
      </c>
      <c r="AJ45" s="11">
        <v>2.6970622641509436E-2</v>
      </c>
      <c r="AK45" s="12">
        <v>23.329588584905661</v>
      </c>
      <c r="AL45" s="12">
        <v>1.6524764150943398</v>
      </c>
      <c r="AM45" s="165">
        <v>0.93191571746636115</v>
      </c>
    </row>
    <row r="46" spans="1:39" ht="24.95" hidden="1" customHeight="1" thickBot="1" x14ac:dyDescent="0.3">
      <c r="A46" s="69">
        <v>201700065</v>
      </c>
      <c r="B46" s="69" t="s">
        <v>53</v>
      </c>
      <c r="C46" s="84">
        <v>549089</v>
      </c>
      <c r="D46" s="230">
        <v>42923</v>
      </c>
      <c r="E46" s="71">
        <v>512800</v>
      </c>
      <c r="F46" s="72" t="s">
        <v>45</v>
      </c>
      <c r="G46" s="80"/>
      <c r="H46" s="57" t="s">
        <v>23</v>
      </c>
      <c r="I46" s="57" t="s">
        <v>23</v>
      </c>
      <c r="J46" s="81" t="s">
        <v>34</v>
      </c>
      <c r="K46" s="190">
        <v>7</v>
      </c>
      <c r="L46" s="82"/>
      <c r="M46" s="82"/>
      <c r="N46" s="81"/>
      <c r="O46" s="83">
        <v>6000</v>
      </c>
      <c r="P46" s="76">
        <v>3.421E-3</v>
      </c>
      <c r="Q46" s="81">
        <v>24.5</v>
      </c>
      <c r="R46" s="81">
        <f t="shared" si="1"/>
        <v>101</v>
      </c>
      <c r="S46" s="81">
        <f>((K46/2)*(K46/2)*3.14*9*3)/1000</f>
        <v>1.0385550000000003</v>
      </c>
      <c r="T46" s="57">
        <f>+P46*O46</f>
        <v>20.526</v>
      </c>
      <c r="U46" s="81">
        <f t="shared" si="2"/>
        <v>1.0282722772277231E-2</v>
      </c>
      <c r="V46" s="216">
        <v>61.696336633663385</v>
      </c>
      <c r="W46" s="204"/>
      <c r="X46" s="204"/>
      <c r="Y4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6" s="74">
        <f t="shared" si="3"/>
        <v>6.4504138613861416E-3</v>
      </c>
      <c r="AA46" s="74">
        <f t="shared" si="4"/>
        <v>38.702483168316853</v>
      </c>
      <c r="AB46" s="74">
        <f t="shared" si="5"/>
        <v>4.1130891089108927E-4</v>
      </c>
      <c r="AC46" s="74">
        <f t="shared" si="6"/>
        <v>2.4678534653465358</v>
      </c>
      <c r="AD46" s="74">
        <f t="shared" si="7"/>
        <v>41.170336633663382</v>
      </c>
      <c r="AE46" s="74">
        <f t="shared" si="8"/>
        <v>41.170336633663389</v>
      </c>
      <c r="AF46" s="74">
        <f t="shared" si="9"/>
        <v>0</v>
      </c>
      <c r="AG46" s="76">
        <v>6.0400000000000004E-4</v>
      </c>
      <c r="AH46" s="76">
        <v>9.7350000000000006E-3</v>
      </c>
      <c r="AI46" s="77">
        <v>58.410000000000004</v>
      </c>
      <c r="AJ46" s="78">
        <v>5.6780000000000008E-3</v>
      </c>
      <c r="AK46" s="79">
        <v>34.068000000000005</v>
      </c>
      <c r="AL46" s="79">
        <v>3.6240000000000001</v>
      </c>
      <c r="AM46" s="166">
        <v>0.6453004622496149</v>
      </c>
    </row>
    <row r="47" spans="1:39" ht="24.95" hidden="1" customHeight="1" thickTop="1" thickBot="1" x14ac:dyDescent="0.3">
      <c r="A47" s="156"/>
      <c r="B47" s="127" t="s">
        <v>54</v>
      </c>
      <c r="C47" s="120"/>
      <c r="D47" s="224">
        <v>42923</v>
      </c>
      <c r="E47" s="124"/>
      <c r="F47" s="120"/>
      <c r="G47" s="112"/>
      <c r="H47" s="129" t="s">
        <v>23</v>
      </c>
      <c r="I47" s="127" t="s">
        <v>23</v>
      </c>
      <c r="J47" s="127" t="s">
        <v>33</v>
      </c>
      <c r="K47" s="133">
        <v>8</v>
      </c>
      <c r="L47" s="120"/>
      <c r="M47" s="120"/>
      <c r="N47" s="120"/>
      <c r="O47" s="120"/>
      <c r="P47" s="120"/>
      <c r="Q47" s="120"/>
      <c r="R47" s="134"/>
      <c r="S47" s="120"/>
      <c r="T47" s="120"/>
      <c r="U47" s="120"/>
      <c r="V47" s="217">
        <v>0</v>
      </c>
      <c r="W47" s="212">
        <v>150.4</v>
      </c>
      <c r="X47" s="212"/>
      <c r="Y4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7" s="120"/>
      <c r="AA47" s="120"/>
      <c r="AB47" s="120"/>
      <c r="AC47" s="120"/>
      <c r="AD47" s="120"/>
      <c r="AE47" s="120"/>
      <c r="AF47" s="120"/>
      <c r="AG47" s="120"/>
      <c r="AH47" s="120"/>
      <c r="AI47" s="120"/>
      <c r="AJ47" s="120"/>
      <c r="AK47" s="120"/>
      <c r="AL47" s="120"/>
      <c r="AM47" s="163"/>
    </row>
    <row r="48" spans="1:39" ht="24.95" hidden="1" customHeight="1" thickTop="1" x14ac:dyDescent="0.25">
      <c r="A48" s="86">
        <v>201700072</v>
      </c>
      <c r="B48" s="86" t="s">
        <v>53</v>
      </c>
      <c r="C48" s="87">
        <v>549600</v>
      </c>
      <c r="D48" s="231">
        <v>42950</v>
      </c>
      <c r="E48" s="100">
        <v>510090</v>
      </c>
      <c r="F48" s="101" t="s">
        <v>35</v>
      </c>
      <c r="G48" s="101">
        <v>141</v>
      </c>
      <c r="H48" s="91" t="s">
        <v>23</v>
      </c>
      <c r="I48" s="91" t="s">
        <v>23</v>
      </c>
      <c r="J48" s="90" t="s">
        <v>33</v>
      </c>
      <c r="K48" s="193">
        <v>12</v>
      </c>
      <c r="L48" s="93"/>
      <c r="M48" s="93"/>
      <c r="N48" s="92"/>
      <c r="O48" s="94">
        <v>3000</v>
      </c>
      <c r="P48" s="95">
        <v>3.2499999999999999E-3</v>
      </c>
      <c r="Q48" s="103">
        <v>12</v>
      </c>
      <c r="R48" s="92">
        <f t="shared" ref="R48:R55" si="10">INT(2800/(Q48+3))</f>
        <v>186</v>
      </c>
      <c r="S48" s="92">
        <f>((K48*K48)*0.866*9*3)/1000</f>
        <v>3.3670079999999998</v>
      </c>
      <c r="T48" s="91">
        <f>+O48*P48</f>
        <v>9.75</v>
      </c>
      <c r="U48" s="92">
        <f t="shared" ref="U48:U55" si="11">S48/R48</f>
        <v>1.8102193548387095E-2</v>
      </c>
      <c r="V48" s="218">
        <v>54.306580645161283</v>
      </c>
      <c r="W48" s="208"/>
      <c r="X48" s="208"/>
      <c r="Y4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8" s="105">
        <f t="shared" ref="Z48:Z55" si="12">(((S48/3000)*2880)-(P48*R48))/R48</f>
        <v>1.4128105806451612E-2</v>
      </c>
      <c r="AA48" s="105">
        <f t="shared" ref="AA48:AA55" si="13">+Z48*O48</f>
        <v>42.384317419354836</v>
      </c>
      <c r="AB48" s="105">
        <f t="shared" ref="AB48:AB55" si="14">+((S48/3000)*120)/101</f>
        <v>1.3334685148514848E-3</v>
      </c>
      <c r="AC48" s="105">
        <f t="shared" ref="AC48:AC55" si="15">AB48*O48</f>
        <v>4.0004055445544546</v>
      </c>
      <c r="AD48" s="105">
        <f t="shared" ref="AD48:AD55" si="16">V48-T48</f>
        <v>44.556580645161283</v>
      </c>
      <c r="AE48" s="105">
        <f t="shared" ref="AE48:AE55" si="17">AC48+AA48</f>
        <v>46.38472296390929</v>
      </c>
      <c r="AF48" s="105">
        <f t="shared" ref="AF48:AF55" si="18">AE48-AD48</f>
        <v>1.8281423187480073</v>
      </c>
      <c r="AG48" s="95">
        <v>6.3900000000000003E-4</v>
      </c>
      <c r="AH48" s="95">
        <v>1.0307999999999999E-2</v>
      </c>
      <c r="AI48" s="96">
        <v>30.923999999999999</v>
      </c>
      <c r="AJ48" s="97">
        <v>6.4189999999999994E-3</v>
      </c>
      <c r="AK48" s="98">
        <v>19.256999999999998</v>
      </c>
      <c r="AL48" s="98">
        <v>1.917</v>
      </c>
      <c r="AM48" s="168">
        <v>0.68471090415211477</v>
      </c>
    </row>
    <row r="49" spans="1:39" ht="24.95" hidden="1" customHeight="1" x14ac:dyDescent="0.25">
      <c r="A49" s="58">
        <v>201700072</v>
      </c>
      <c r="B49" s="58" t="s">
        <v>53</v>
      </c>
      <c r="C49" s="31">
        <v>549600</v>
      </c>
      <c r="D49" s="226">
        <v>42950</v>
      </c>
      <c r="E49" s="50">
        <v>512800</v>
      </c>
      <c r="F49" s="5" t="s">
        <v>45</v>
      </c>
      <c r="G49" s="27"/>
      <c r="H49" s="1" t="s">
        <v>23</v>
      </c>
      <c r="I49" s="1" t="s">
        <v>23</v>
      </c>
      <c r="J49" s="8" t="s">
        <v>34</v>
      </c>
      <c r="K49" s="189">
        <v>7</v>
      </c>
      <c r="L49" s="36"/>
      <c r="M49" s="36"/>
      <c r="N49" s="8"/>
      <c r="O49" s="26">
        <v>3000</v>
      </c>
      <c r="P49" s="9">
        <v>3.421E-3</v>
      </c>
      <c r="Q49" s="8">
        <v>24.5</v>
      </c>
      <c r="R49" s="8">
        <f t="shared" si="10"/>
        <v>101</v>
      </c>
      <c r="S49" s="8">
        <f>((K49/2)*(K49/2)*3.14*9*3)/1000</f>
        <v>1.0385550000000003</v>
      </c>
      <c r="T49" s="1">
        <f>+P49*O49</f>
        <v>10.263</v>
      </c>
      <c r="U49" s="8">
        <f t="shared" si="11"/>
        <v>1.0282722772277231E-2</v>
      </c>
      <c r="V49" s="215">
        <v>30.848168316831693</v>
      </c>
      <c r="W49" s="203"/>
      <c r="X49" s="203"/>
      <c r="Y4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49" s="21">
        <f t="shared" si="12"/>
        <v>6.4504138613861416E-3</v>
      </c>
      <c r="AA49" s="21">
        <f t="shared" si="13"/>
        <v>19.351241584158426</v>
      </c>
      <c r="AB49" s="21">
        <f t="shared" si="14"/>
        <v>4.1130891089108927E-4</v>
      </c>
      <c r="AC49" s="21">
        <f t="shared" si="15"/>
        <v>1.2339267326732679</v>
      </c>
      <c r="AD49" s="21">
        <f t="shared" si="16"/>
        <v>20.585168316831691</v>
      </c>
      <c r="AE49" s="21">
        <f t="shared" si="17"/>
        <v>20.585168316831695</v>
      </c>
      <c r="AF49" s="21">
        <f t="shared" si="18"/>
        <v>0</v>
      </c>
      <c r="AG49" s="9"/>
      <c r="AH49" s="9"/>
      <c r="AI49" s="10"/>
      <c r="AJ49" s="11"/>
      <c r="AK49" s="12"/>
      <c r="AL49" s="12"/>
      <c r="AM49" s="165"/>
    </row>
    <row r="50" spans="1:39" ht="24.95" hidden="1" customHeight="1" x14ac:dyDescent="0.25">
      <c r="A50" s="58">
        <v>201700076</v>
      </c>
      <c r="B50" s="58" t="s">
        <v>53</v>
      </c>
      <c r="C50" s="31">
        <v>530052</v>
      </c>
      <c r="D50" s="226">
        <v>42984</v>
      </c>
      <c r="E50" s="50" t="s">
        <v>43</v>
      </c>
      <c r="F50" s="5" t="s">
        <v>44</v>
      </c>
      <c r="G50" s="27"/>
      <c r="H50" s="1" t="s">
        <v>23</v>
      </c>
      <c r="I50" s="1" t="s">
        <v>23</v>
      </c>
      <c r="J50" s="8" t="s">
        <v>34</v>
      </c>
      <c r="K50" s="188">
        <v>22</v>
      </c>
      <c r="L50" s="36"/>
      <c r="M50" s="36"/>
      <c r="N50" s="8"/>
      <c r="O50" s="136">
        <v>1500</v>
      </c>
      <c r="P50" s="9">
        <v>7.4759999999999993E-2</v>
      </c>
      <c r="Q50" s="19">
        <v>39.5</v>
      </c>
      <c r="R50" s="8">
        <f t="shared" si="10"/>
        <v>65</v>
      </c>
      <c r="S50" s="8">
        <f>((K50/2)*(K50/2)*3.14*9*3)/1000</f>
        <v>10.258380000000001</v>
      </c>
      <c r="T50" s="1">
        <f>+P50*O50</f>
        <v>112.13999999999999</v>
      </c>
      <c r="U50" s="8">
        <f t="shared" si="11"/>
        <v>0.15782123076923077</v>
      </c>
      <c r="V50" s="215">
        <v>236.73184615384616</v>
      </c>
      <c r="W50" s="203"/>
      <c r="X50" s="203"/>
      <c r="Y5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0" s="21">
        <f t="shared" si="12"/>
        <v>7.6748381538461544E-2</v>
      </c>
      <c r="AA50" s="21">
        <f t="shared" si="13"/>
        <v>115.12257230769231</v>
      </c>
      <c r="AB50" s="21">
        <f t="shared" si="14"/>
        <v>4.0627247524752472E-3</v>
      </c>
      <c r="AC50" s="21">
        <f t="shared" si="15"/>
        <v>6.0940871287128706</v>
      </c>
      <c r="AD50" s="21">
        <f t="shared" si="16"/>
        <v>124.59184615384618</v>
      </c>
      <c r="AE50" s="21">
        <f t="shared" si="17"/>
        <v>121.21665943640518</v>
      </c>
      <c r="AF50" s="21">
        <f t="shared" si="18"/>
        <v>-3.3751867174409966</v>
      </c>
      <c r="AG50" s="9"/>
      <c r="AH50" s="9"/>
      <c r="AI50" s="10"/>
      <c r="AJ50" s="11"/>
      <c r="AK50" s="12"/>
      <c r="AL50" s="12"/>
      <c r="AM50" s="165"/>
    </row>
    <row r="51" spans="1:39" ht="24.95" hidden="1" customHeight="1" x14ac:dyDescent="0.25">
      <c r="A51" s="58">
        <v>201700081</v>
      </c>
      <c r="B51" s="58" t="s">
        <v>53</v>
      </c>
      <c r="C51" s="31">
        <v>530407</v>
      </c>
      <c r="D51" s="226">
        <v>43003</v>
      </c>
      <c r="E51" s="50" t="s">
        <v>43</v>
      </c>
      <c r="F51" s="5" t="s">
        <v>44</v>
      </c>
      <c r="G51" s="27"/>
      <c r="H51" s="1" t="s">
        <v>23</v>
      </c>
      <c r="I51" s="1" t="s">
        <v>23</v>
      </c>
      <c r="J51" s="8" t="s">
        <v>34</v>
      </c>
      <c r="K51" s="188">
        <v>22</v>
      </c>
      <c r="L51" s="36"/>
      <c r="M51" s="36"/>
      <c r="N51" s="8"/>
      <c r="O51" s="136">
        <v>1100</v>
      </c>
      <c r="P51" s="9">
        <v>7.4759999999999993E-2</v>
      </c>
      <c r="Q51" s="19">
        <v>39.5</v>
      </c>
      <c r="R51" s="8">
        <f t="shared" si="10"/>
        <v>65</v>
      </c>
      <c r="S51" s="8">
        <f>((K51/2)*(K51/2)*3.14*9*3)/1000</f>
        <v>10.258380000000001</v>
      </c>
      <c r="T51" s="1">
        <f>+P51*O51</f>
        <v>82.23599999999999</v>
      </c>
      <c r="U51" s="8">
        <f t="shared" si="11"/>
        <v>0.15782123076923077</v>
      </c>
      <c r="V51" s="215">
        <v>173.60335384615385</v>
      </c>
      <c r="W51" s="203"/>
      <c r="X51" s="203"/>
      <c r="Y5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1" s="21">
        <f t="shared" si="12"/>
        <v>7.6748381538461544E-2</v>
      </c>
      <c r="AA51" s="21">
        <f t="shared" si="13"/>
        <v>84.423219692307697</v>
      </c>
      <c r="AB51" s="21">
        <f t="shared" si="14"/>
        <v>4.0627247524752472E-3</v>
      </c>
      <c r="AC51" s="21">
        <f t="shared" si="15"/>
        <v>4.4689972277227721</v>
      </c>
      <c r="AD51" s="21">
        <f t="shared" si="16"/>
        <v>91.367353846153861</v>
      </c>
      <c r="AE51" s="21">
        <f t="shared" si="17"/>
        <v>88.892216920030464</v>
      </c>
      <c r="AF51" s="21">
        <f t="shared" si="18"/>
        <v>-2.4751369261233975</v>
      </c>
      <c r="AG51" s="9"/>
      <c r="AH51" s="9"/>
      <c r="AI51" s="10"/>
      <c r="AJ51" s="11"/>
      <c r="AK51" s="12"/>
      <c r="AL51" s="12"/>
      <c r="AM51" s="165"/>
    </row>
    <row r="52" spans="1:39" ht="24.95" hidden="1" customHeight="1" x14ac:dyDescent="0.25">
      <c r="A52" s="58">
        <v>201700085</v>
      </c>
      <c r="B52" s="58" t="s">
        <v>53</v>
      </c>
      <c r="C52" s="31">
        <v>530684</v>
      </c>
      <c r="D52" s="226">
        <v>43017</v>
      </c>
      <c r="E52" s="50">
        <v>511040</v>
      </c>
      <c r="F52" s="5" t="s">
        <v>25</v>
      </c>
      <c r="G52" s="27">
        <v>138</v>
      </c>
      <c r="H52" s="1" t="s">
        <v>23</v>
      </c>
      <c r="I52" s="1" t="s">
        <v>23</v>
      </c>
      <c r="J52" s="8" t="s">
        <v>34</v>
      </c>
      <c r="K52" s="192">
        <v>18</v>
      </c>
      <c r="L52" s="36"/>
      <c r="M52" s="36"/>
      <c r="N52" s="8"/>
      <c r="O52" s="26">
        <v>4200</v>
      </c>
      <c r="P52" s="9">
        <v>3.676E-3</v>
      </c>
      <c r="Q52" s="8">
        <v>10.3</v>
      </c>
      <c r="R52" s="8">
        <f t="shared" si="10"/>
        <v>210</v>
      </c>
      <c r="S52" s="8">
        <f>((K52/2)*(K52/2)*3.14*9*3)/1000</f>
        <v>6.8671800000000003</v>
      </c>
      <c r="T52" s="1">
        <f>+P52*O52</f>
        <v>15.4392</v>
      </c>
      <c r="U52" s="8">
        <f t="shared" si="11"/>
        <v>3.2700857142857143E-2</v>
      </c>
      <c r="V52" s="215">
        <v>137.34360000000001</v>
      </c>
      <c r="W52" s="203"/>
      <c r="X52" s="203"/>
      <c r="Y5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2" s="21">
        <f t="shared" si="12"/>
        <v>2.7716822857142855E-2</v>
      </c>
      <c r="AA52" s="21">
        <f t="shared" si="13"/>
        <v>116.41065599999999</v>
      </c>
      <c r="AB52" s="21">
        <f t="shared" si="14"/>
        <v>2.719675247524752E-3</v>
      </c>
      <c r="AC52" s="21">
        <f t="shared" si="15"/>
        <v>11.422636039603958</v>
      </c>
      <c r="AD52" s="21">
        <f t="shared" si="16"/>
        <v>121.90440000000001</v>
      </c>
      <c r="AE52" s="21">
        <f t="shared" si="17"/>
        <v>127.83329203960395</v>
      </c>
      <c r="AF52" s="21">
        <f t="shared" si="18"/>
        <v>5.9288920396039373</v>
      </c>
      <c r="AG52" s="9">
        <v>1.9103773584905662E-3</v>
      </c>
      <c r="AH52" s="9">
        <v>3.0991000000000001E-2</v>
      </c>
      <c r="AI52" s="10">
        <v>130.16220000000001</v>
      </c>
      <c r="AJ52" s="11">
        <v>2.6970622641509436E-2</v>
      </c>
      <c r="AK52" s="12">
        <v>113.27661509433963</v>
      </c>
      <c r="AL52" s="12">
        <v>8.0235849056603783</v>
      </c>
      <c r="AM52" s="165">
        <v>0.93191571746636115</v>
      </c>
    </row>
    <row r="53" spans="1:39" ht="24.95" hidden="1" customHeight="1" x14ac:dyDescent="0.25">
      <c r="A53" s="58">
        <v>201700095</v>
      </c>
      <c r="B53" s="58" t="s">
        <v>53</v>
      </c>
      <c r="C53" s="31">
        <v>531288</v>
      </c>
      <c r="D53" s="226">
        <v>43043</v>
      </c>
      <c r="E53" s="50" t="s">
        <v>43</v>
      </c>
      <c r="F53" s="5" t="s">
        <v>44</v>
      </c>
      <c r="G53" s="27"/>
      <c r="H53" s="1" t="s">
        <v>23</v>
      </c>
      <c r="I53" s="1" t="s">
        <v>23</v>
      </c>
      <c r="J53" s="8" t="s">
        <v>34</v>
      </c>
      <c r="K53" s="188">
        <v>22</v>
      </c>
      <c r="L53" s="36"/>
      <c r="M53" s="36"/>
      <c r="N53" s="8"/>
      <c r="O53" s="136">
        <v>1300</v>
      </c>
      <c r="P53" s="9">
        <v>7.4759999999999993E-2</v>
      </c>
      <c r="Q53" s="19">
        <v>39.5</v>
      </c>
      <c r="R53" s="8">
        <f t="shared" si="10"/>
        <v>65</v>
      </c>
      <c r="S53" s="8">
        <f>((K53/2)*(K53/2)*3.14*9*3)/1000</f>
        <v>10.258380000000001</v>
      </c>
      <c r="T53" s="1">
        <f>+P53*O53</f>
        <v>97.187999999999988</v>
      </c>
      <c r="U53" s="8">
        <f t="shared" si="11"/>
        <v>0.15782123076923077</v>
      </c>
      <c r="V53" s="215">
        <v>205.16759999999999</v>
      </c>
      <c r="W53" s="203"/>
      <c r="X53" s="203"/>
      <c r="Y5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3" s="21">
        <f t="shared" si="12"/>
        <v>7.6748381538461544E-2</v>
      </c>
      <c r="AA53" s="21">
        <f t="shared" si="13"/>
        <v>99.772896000000003</v>
      </c>
      <c r="AB53" s="21">
        <f t="shared" si="14"/>
        <v>4.0627247524752472E-3</v>
      </c>
      <c r="AC53" s="21">
        <f t="shared" si="15"/>
        <v>5.2815421782178218</v>
      </c>
      <c r="AD53" s="21">
        <f t="shared" si="16"/>
        <v>107.9796</v>
      </c>
      <c r="AE53" s="21">
        <f t="shared" si="17"/>
        <v>105.05443817821782</v>
      </c>
      <c r="AF53" s="21">
        <f t="shared" si="18"/>
        <v>-2.9251618217821829</v>
      </c>
      <c r="AG53" s="9"/>
      <c r="AH53" s="9"/>
      <c r="AI53" s="10"/>
      <c r="AJ53" s="11"/>
      <c r="AK53" s="12"/>
      <c r="AL53" s="12"/>
      <c r="AM53" s="165"/>
    </row>
    <row r="54" spans="1:39" ht="24.95" hidden="1" customHeight="1" thickBot="1" x14ac:dyDescent="0.3">
      <c r="A54" s="69">
        <v>201700098</v>
      </c>
      <c r="B54" s="69" t="s">
        <v>53</v>
      </c>
      <c r="C54" s="84">
        <v>531306</v>
      </c>
      <c r="D54" s="230">
        <v>43045</v>
      </c>
      <c r="E54" s="71">
        <v>510020</v>
      </c>
      <c r="F54" s="72" t="s">
        <v>24</v>
      </c>
      <c r="G54" s="80">
        <v>139</v>
      </c>
      <c r="H54" s="57" t="s">
        <v>23</v>
      </c>
      <c r="I54" s="57" t="s">
        <v>23</v>
      </c>
      <c r="J54" s="73" t="s">
        <v>33</v>
      </c>
      <c r="K54" s="190">
        <v>8</v>
      </c>
      <c r="L54" s="82"/>
      <c r="M54" s="82"/>
      <c r="N54" s="81"/>
      <c r="O54" s="83">
        <v>25000</v>
      </c>
      <c r="P54" s="76">
        <v>1.446E-3</v>
      </c>
      <c r="Q54" s="81">
        <v>6</v>
      </c>
      <c r="R54" s="81">
        <f t="shared" si="10"/>
        <v>311</v>
      </c>
      <c r="S54" s="81">
        <f>((K54*K54)*0.866*9*3)/1000</f>
        <v>1.4964479999999998</v>
      </c>
      <c r="T54" s="57">
        <f>+O54*P54</f>
        <v>36.15</v>
      </c>
      <c r="U54" s="81">
        <f t="shared" si="11"/>
        <v>4.8117299035369768E-3</v>
      </c>
      <c r="V54" s="216">
        <v>120.29324758842442</v>
      </c>
      <c r="W54" s="204"/>
      <c r="X54" s="204"/>
      <c r="Y5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4" s="74">
        <f t="shared" si="12"/>
        <v>3.1732607073954979E-3</v>
      </c>
      <c r="AA54" s="74">
        <f t="shared" si="13"/>
        <v>79.331517684887444</v>
      </c>
      <c r="AB54" s="74">
        <f t="shared" si="14"/>
        <v>5.9265267326732659E-4</v>
      </c>
      <c r="AC54" s="74">
        <f t="shared" si="15"/>
        <v>14.816316831683165</v>
      </c>
      <c r="AD54" s="74">
        <f t="shared" si="16"/>
        <v>84.14324758842443</v>
      </c>
      <c r="AE54" s="74">
        <f t="shared" si="17"/>
        <v>94.147834516570612</v>
      </c>
      <c r="AF54" s="74">
        <f t="shared" si="18"/>
        <v>10.004586928146182</v>
      </c>
      <c r="AG54" s="76">
        <v>2.8400000000000002E-4</v>
      </c>
      <c r="AH54" s="76">
        <v>4.5869999999999999E-3</v>
      </c>
      <c r="AI54" s="77">
        <v>114.675</v>
      </c>
      <c r="AJ54" s="78">
        <v>3.3179999999999998E-3</v>
      </c>
      <c r="AK54" s="79">
        <v>82.949999999999989</v>
      </c>
      <c r="AL54" s="79">
        <v>7.1000000000000005</v>
      </c>
      <c r="AM54" s="166">
        <v>0.78526269893176359</v>
      </c>
    </row>
    <row r="55" spans="1:39" ht="24.95" hidden="1" customHeight="1" thickTop="1" thickBot="1" x14ac:dyDescent="0.3">
      <c r="A55" s="158">
        <v>201700098</v>
      </c>
      <c r="B55" s="108" t="s">
        <v>53</v>
      </c>
      <c r="C55" s="109">
        <v>531306</v>
      </c>
      <c r="D55" s="232">
        <v>43045</v>
      </c>
      <c r="E55" s="110">
        <v>512800</v>
      </c>
      <c r="F55" s="111" t="s">
        <v>45</v>
      </c>
      <c r="G55" s="123"/>
      <c r="H55" s="119" t="s">
        <v>23</v>
      </c>
      <c r="I55" s="119" t="s">
        <v>23</v>
      </c>
      <c r="J55" s="120" t="s">
        <v>34</v>
      </c>
      <c r="K55" s="194">
        <v>7</v>
      </c>
      <c r="L55" s="121"/>
      <c r="M55" s="121"/>
      <c r="N55" s="120"/>
      <c r="O55" s="113">
        <v>12000</v>
      </c>
      <c r="P55" s="114">
        <v>3.421E-3</v>
      </c>
      <c r="Q55" s="120">
        <v>24.5</v>
      </c>
      <c r="R55" s="120">
        <f t="shared" si="10"/>
        <v>101</v>
      </c>
      <c r="S55" s="120">
        <f>((K55/2)*(K55/2)*3.14*9*3)/1000</f>
        <v>1.0385550000000003</v>
      </c>
      <c r="T55" s="119">
        <f>+P55*O55</f>
        <v>41.052</v>
      </c>
      <c r="U55" s="120">
        <f t="shared" si="11"/>
        <v>1.0282722772277231E-2</v>
      </c>
      <c r="V55" s="217">
        <v>123.39267326732677</v>
      </c>
      <c r="W55" s="206"/>
      <c r="X55" s="206"/>
      <c r="Y5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5" s="112">
        <f t="shared" si="12"/>
        <v>6.4504138613861416E-3</v>
      </c>
      <c r="AA55" s="112">
        <f t="shared" si="13"/>
        <v>77.404966336633706</v>
      </c>
      <c r="AB55" s="112">
        <f t="shared" si="14"/>
        <v>4.1130891089108927E-4</v>
      </c>
      <c r="AC55" s="112">
        <f t="shared" si="15"/>
        <v>4.9357069306930716</v>
      </c>
      <c r="AD55" s="112">
        <f t="shared" si="16"/>
        <v>82.340673267326764</v>
      </c>
      <c r="AE55" s="112">
        <f t="shared" si="17"/>
        <v>82.340673267326778</v>
      </c>
      <c r="AF55" s="112">
        <f t="shared" si="18"/>
        <v>0</v>
      </c>
      <c r="AG55" s="114">
        <v>6.0400000000000004E-4</v>
      </c>
      <c r="AH55" s="114">
        <v>9.7350000000000006E-3</v>
      </c>
      <c r="AI55" s="115">
        <v>116.82000000000001</v>
      </c>
      <c r="AJ55" s="116">
        <v>5.6780000000000008E-3</v>
      </c>
      <c r="AK55" s="117">
        <v>68.13600000000001</v>
      </c>
      <c r="AL55" s="117">
        <v>7.2480000000000002</v>
      </c>
      <c r="AM55" s="167">
        <v>0.6453004622496149</v>
      </c>
    </row>
    <row r="56" spans="1:39" ht="24.95" customHeight="1" x14ac:dyDescent="0.25">
      <c r="A56" s="157"/>
      <c r="B56" s="139" t="s">
        <v>54</v>
      </c>
      <c r="C56" s="92"/>
      <c r="D56" s="225">
        <v>43067</v>
      </c>
      <c r="E56" s="104"/>
      <c r="F56" s="92"/>
      <c r="G56" s="105"/>
      <c r="H56" s="142" t="s">
        <v>23</v>
      </c>
      <c r="I56" s="144" t="s">
        <v>23</v>
      </c>
      <c r="J56" s="144" t="s">
        <v>34</v>
      </c>
      <c r="K56" s="149">
        <v>22</v>
      </c>
      <c r="L56" s="92"/>
      <c r="M56" s="92"/>
      <c r="N56" s="92"/>
      <c r="O56" s="151"/>
      <c r="P56" s="92"/>
      <c r="Q56" s="92"/>
      <c r="R56" s="152"/>
      <c r="S56" s="92"/>
      <c r="T56" s="92"/>
      <c r="U56" s="92"/>
      <c r="V56" s="218">
        <v>0</v>
      </c>
      <c r="W56" s="211">
        <v>2548</v>
      </c>
      <c r="X56" s="211"/>
      <c r="Y5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6" s="92"/>
      <c r="AA56" s="92"/>
      <c r="AB56" s="92"/>
      <c r="AC56" s="92"/>
      <c r="AD56" s="92"/>
      <c r="AE56" s="92"/>
      <c r="AF56" s="92"/>
      <c r="AG56" s="92"/>
      <c r="AH56" s="92"/>
      <c r="AI56" s="92"/>
      <c r="AJ56" s="92"/>
      <c r="AK56" s="92"/>
      <c r="AL56" s="92"/>
      <c r="AM56" s="164"/>
    </row>
    <row r="57" spans="1:39" ht="24.95" hidden="1" customHeight="1" x14ac:dyDescent="0.25">
      <c r="A57" s="154"/>
      <c r="B57" s="59" t="s">
        <v>54</v>
      </c>
      <c r="C57" s="8"/>
      <c r="D57" s="222">
        <v>43067</v>
      </c>
      <c r="E57" s="22"/>
      <c r="F57" s="8"/>
      <c r="G57" s="21"/>
      <c r="H57" s="60" t="s">
        <v>23</v>
      </c>
      <c r="I57" s="61" t="s">
        <v>23</v>
      </c>
      <c r="J57" s="61" t="s">
        <v>34</v>
      </c>
      <c r="K57" s="62">
        <v>18</v>
      </c>
      <c r="L57" s="8"/>
      <c r="M57" s="8"/>
      <c r="N57" s="8"/>
      <c r="O57" s="8"/>
      <c r="P57" s="8"/>
      <c r="Q57" s="8"/>
      <c r="R57" s="125"/>
      <c r="S57" s="8"/>
      <c r="T57" s="8"/>
      <c r="U57" s="8"/>
      <c r="V57" s="215">
        <v>0</v>
      </c>
      <c r="W57" s="210">
        <v>314</v>
      </c>
      <c r="X57" s="210"/>
      <c r="Y5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161"/>
    </row>
    <row r="58" spans="1:39" ht="24.95" hidden="1" customHeight="1" x14ac:dyDescent="0.25">
      <c r="A58" s="154"/>
      <c r="B58" s="59" t="s">
        <v>54</v>
      </c>
      <c r="C58" s="8"/>
      <c r="D58" s="222">
        <v>43067</v>
      </c>
      <c r="E58" s="22"/>
      <c r="F58" s="8"/>
      <c r="G58" s="21"/>
      <c r="H58" s="60" t="s">
        <v>23</v>
      </c>
      <c r="I58" s="61" t="s">
        <v>23</v>
      </c>
      <c r="J58" s="61" t="s">
        <v>34</v>
      </c>
      <c r="K58" s="62">
        <v>7</v>
      </c>
      <c r="L58" s="8"/>
      <c r="M58" s="8"/>
      <c r="N58" s="8"/>
      <c r="O58" s="8"/>
      <c r="P58" s="8"/>
      <c r="Q58" s="8"/>
      <c r="R58" s="125"/>
      <c r="S58" s="8"/>
      <c r="T58" s="8"/>
      <c r="U58" s="8"/>
      <c r="V58" s="215">
        <v>0</v>
      </c>
      <c r="W58" s="210">
        <v>306</v>
      </c>
      <c r="X58" s="210"/>
      <c r="Y5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161"/>
    </row>
    <row r="59" spans="1:39" ht="24.95" hidden="1" customHeight="1" x14ac:dyDescent="0.25">
      <c r="A59" s="154"/>
      <c r="B59" s="59" t="s">
        <v>54</v>
      </c>
      <c r="C59" s="8"/>
      <c r="D59" s="222">
        <v>43067</v>
      </c>
      <c r="E59" s="22"/>
      <c r="F59" s="8"/>
      <c r="G59" s="21"/>
      <c r="H59" s="60" t="s">
        <v>23</v>
      </c>
      <c r="I59" s="61" t="s">
        <v>23</v>
      </c>
      <c r="J59" s="61" t="s">
        <v>33</v>
      </c>
      <c r="K59" s="62">
        <v>12</v>
      </c>
      <c r="L59" s="8"/>
      <c r="M59" s="8"/>
      <c r="N59" s="8"/>
      <c r="O59" s="8"/>
      <c r="P59" s="8"/>
      <c r="Q59" s="8"/>
      <c r="R59" s="125"/>
      <c r="S59" s="8"/>
      <c r="T59" s="8"/>
      <c r="U59" s="8"/>
      <c r="V59" s="215">
        <v>0</v>
      </c>
      <c r="W59" s="210">
        <v>201</v>
      </c>
      <c r="X59" s="210"/>
      <c r="Y5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161"/>
    </row>
    <row r="60" spans="1:39" ht="24.95" hidden="1" customHeight="1" x14ac:dyDescent="0.25">
      <c r="A60" s="154"/>
      <c r="B60" s="59" t="s">
        <v>54</v>
      </c>
      <c r="C60" s="8"/>
      <c r="D60" s="222">
        <v>43067</v>
      </c>
      <c r="E60" s="22"/>
      <c r="F60" s="8"/>
      <c r="G60" s="21"/>
      <c r="H60" s="60" t="s">
        <v>23</v>
      </c>
      <c r="I60" s="61" t="s">
        <v>23</v>
      </c>
      <c r="J60" s="61" t="s">
        <v>33</v>
      </c>
      <c r="K60" s="62">
        <v>8</v>
      </c>
      <c r="L60" s="8"/>
      <c r="M60" s="8"/>
      <c r="N60" s="8"/>
      <c r="O60" s="8"/>
      <c r="P60" s="8"/>
      <c r="Q60" s="8"/>
      <c r="R60" s="125"/>
      <c r="S60" s="8"/>
      <c r="T60" s="8"/>
      <c r="U60" s="8"/>
      <c r="V60" s="215">
        <v>0</v>
      </c>
      <c r="W60" s="210">
        <v>447</v>
      </c>
      <c r="X60" s="210"/>
      <c r="Y6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161"/>
    </row>
    <row r="61" spans="1:39" ht="24.95" hidden="1" customHeight="1" x14ac:dyDescent="0.25">
      <c r="A61" s="58">
        <v>201700108</v>
      </c>
      <c r="B61" s="58" t="s">
        <v>53</v>
      </c>
      <c r="C61" s="31">
        <v>531987</v>
      </c>
      <c r="D61" s="226">
        <v>43076</v>
      </c>
      <c r="E61" s="50">
        <v>510020</v>
      </c>
      <c r="F61" s="5" t="s">
        <v>24</v>
      </c>
      <c r="G61" s="27">
        <v>139</v>
      </c>
      <c r="H61" s="1" t="s">
        <v>23</v>
      </c>
      <c r="I61" s="1" t="s">
        <v>23</v>
      </c>
      <c r="J61" s="3" t="s">
        <v>33</v>
      </c>
      <c r="K61" s="189">
        <v>8</v>
      </c>
      <c r="L61" s="36"/>
      <c r="M61" s="36"/>
      <c r="N61" s="8"/>
      <c r="O61" s="26">
        <v>6568</v>
      </c>
      <c r="P61" s="9">
        <v>1.446E-3</v>
      </c>
      <c r="Q61" s="8">
        <v>6</v>
      </c>
      <c r="R61" s="8">
        <f t="shared" ref="R61:R80" si="19">INT(2800/(Q61+3))</f>
        <v>311</v>
      </c>
      <c r="S61" s="8">
        <f>((K61*K61)*0.866*9*3)/1000</f>
        <v>1.4964479999999998</v>
      </c>
      <c r="T61" s="1">
        <f>+O61*P61</f>
        <v>9.4973279999999995</v>
      </c>
      <c r="U61" s="8">
        <f t="shared" ref="U61:U80" si="20">S61/R61</f>
        <v>4.8117299035369768E-3</v>
      </c>
      <c r="V61" s="215">
        <v>31.603442006430864</v>
      </c>
      <c r="W61" s="203"/>
      <c r="X61" s="203"/>
      <c r="Y6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1" s="21">
        <f t="shared" ref="Z61:Z80" si="21">(((S61/3000)*2880)-(P61*R61))/R61</f>
        <v>3.1732607073954979E-3</v>
      </c>
      <c r="AA61" s="21">
        <f t="shared" ref="AA61:AA80" si="22">+Z61*O61</f>
        <v>20.841976326173629</v>
      </c>
      <c r="AB61" s="21">
        <f t="shared" ref="AB61:AB80" si="23">+((S61/3000)*120)/101</f>
        <v>5.9265267326732659E-4</v>
      </c>
      <c r="AC61" s="21">
        <f t="shared" ref="AC61:AC80" si="24">AB61*O61</f>
        <v>3.8925427580198009</v>
      </c>
      <c r="AD61" s="21">
        <f t="shared" ref="AD61:AD80" si="25">V61-T61</f>
        <v>22.106114006430865</v>
      </c>
      <c r="AE61" s="21">
        <f t="shared" ref="AE61:AE80" si="26">AC61+AA61</f>
        <v>24.73451908419343</v>
      </c>
      <c r="AF61" s="21">
        <f t="shared" ref="AF61:AF80" si="27">AE61-AD61</f>
        <v>2.6284050777625652</v>
      </c>
      <c r="AG61" s="9">
        <v>2.8400000000000002E-4</v>
      </c>
      <c r="AH61" s="9">
        <v>4.5869999999999999E-3</v>
      </c>
      <c r="AI61" s="10">
        <v>22.934999999999999</v>
      </c>
      <c r="AJ61" s="11">
        <v>3.3179999999999998E-3</v>
      </c>
      <c r="AK61" s="12">
        <v>16.59</v>
      </c>
      <c r="AL61" s="12">
        <v>1.4200000000000002</v>
      </c>
      <c r="AM61" s="165">
        <v>0.78526269893176359</v>
      </c>
    </row>
    <row r="62" spans="1:39" ht="24.95" hidden="1" customHeight="1" x14ac:dyDescent="0.25">
      <c r="A62" s="58">
        <v>201700108</v>
      </c>
      <c r="B62" s="58" t="s">
        <v>53</v>
      </c>
      <c r="C62" s="31">
        <v>531987</v>
      </c>
      <c r="D62" s="226">
        <v>43076</v>
      </c>
      <c r="E62" s="32" t="s">
        <v>36</v>
      </c>
      <c r="F62" s="27" t="s">
        <v>35</v>
      </c>
      <c r="G62" s="27">
        <v>141</v>
      </c>
      <c r="H62" s="1" t="s">
        <v>23</v>
      </c>
      <c r="I62" s="1" t="s">
        <v>23</v>
      </c>
      <c r="J62" s="3" t="s">
        <v>33</v>
      </c>
      <c r="K62" s="192">
        <v>12</v>
      </c>
      <c r="L62" s="36"/>
      <c r="M62" s="36"/>
      <c r="N62" s="8"/>
      <c r="O62" s="26">
        <v>3000</v>
      </c>
      <c r="P62" s="9">
        <v>3.2499999999999999E-3</v>
      </c>
      <c r="Q62" s="24">
        <v>12</v>
      </c>
      <c r="R62" s="8">
        <f t="shared" si="19"/>
        <v>186</v>
      </c>
      <c r="S62" s="8">
        <f>((K62*K62)*0.866*9*3)/1000</f>
        <v>3.3670079999999998</v>
      </c>
      <c r="T62" s="1">
        <f>+O62*P62</f>
        <v>9.75</v>
      </c>
      <c r="U62" s="8">
        <f t="shared" si="20"/>
        <v>1.8102193548387095E-2</v>
      </c>
      <c r="V62" s="215">
        <v>54.306580645161283</v>
      </c>
      <c r="W62" s="203"/>
      <c r="X62" s="203"/>
      <c r="Y6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2" s="21">
        <f t="shared" si="21"/>
        <v>1.4128105806451612E-2</v>
      </c>
      <c r="AA62" s="21">
        <f t="shared" si="22"/>
        <v>42.384317419354836</v>
      </c>
      <c r="AB62" s="21">
        <f t="shared" si="23"/>
        <v>1.3334685148514848E-3</v>
      </c>
      <c r="AC62" s="21">
        <f t="shared" si="24"/>
        <v>4.0004055445544546</v>
      </c>
      <c r="AD62" s="21">
        <f t="shared" si="25"/>
        <v>44.556580645161283</v>
      </c>
      <c r="AE62" s="21">
        <f t="shared" si="26"/>
        <v>46.38472296390929</v>
      </c>
      <c r="AF62" s="21">
        <f t="shared" si="27"/>
        <v>1.8281423187480073</v>
      </c>
      <c r="AG62" s="9"/>
      <c r="AH62" s="9"/>
      <c r="AI62" s="10"/>
      <c r="AJ62" s="11"/>
      <c r="AK62" s="12"/>
      <c r="AL62" s="12"/>
      <c r="AM62" s="165"/>
    </row>
    <row r="63" spans="1:39" ht="24.95" hidden="1" customHeight="1" x14ac:dyDescent="0.25">
      <c r="A63" s="58">
        <v>201700114</v>
      </c>
      <c r="B63" s="58" t="s">
        <v>53</v>
      </c>
      <c r="C63" s="31">
        <v>532603</v>
      </c>
      <c r="D63" s="226">
        <v>43106</v>
      </c>
      <c r="E63" s="32" t="s">
        <v>36</v>
      </c>
      <c r="F63" s="27" t="s">
        <v>35</v>
      </c>
      <c r="G63" s="27">
        <v>141</v>
      </c>
      <c r="H63" s="1" t="s">
        <v>23</v>
      </c>
      <c r="I63" s="1" t="s">
        <v>23</v>
      </c>
      <c r="J63" s="3" t="s">
        <v>33</v>
      </c>
      <c r="K63" s="192">
        <v>12</v>
      </c>
      <c r="L63" s="36"/>
      <c r="M63" s="36"/>
      <c r="N63" s="8"/>
      <c r="O63" s="26">
        <v>6000</v>
      </c>
      <c r="P63" s="9">
        <v>3.2499999999999999E-3</v>
      </c>
      <c r="Q63" s="24">
        <v>12</v>
      </c>
      <c r="R63" s="8">
        <f t="shared" si="19"/>
        <v>186</v>
      </c>
      <c r="S63" s="8">
        <f>((K63*K63)*0.866*9*3)/1000</f>
        <v>3.3670079999999998</v>
      </c>
      <c r="T63" s="1">
        <f>+O63*P63</f>
        <v>19.5</v>
      </c>
      <c r="U63" s="8">
        <f t="shared" si="20"/>
        <v>1.8102193548387095E-2</v>
      </c>
      <c r="V63" s="215">
        <v>108.61316129032257</v>
      </c>
      <c r="W63" s="203"/>
      <c r="X63" s="203"/>
      <c r="Y63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218.63649032258064</v>
      </c>
      <c r="Z63" s="21">
        <f t="shared" si="21"/>
        <v>1.4128105806451612E-2</v>
      </c>
      <c r="AA63" s="21">
        <f t="shared" si="22"/>
        <v>84.768634838709673</v>
      </c>
      <c r="AB63" s="21">
        <f t="shared" si="23"/>
        <v>1.3334685148514848E-3</v>
      </c>
      <c r="AC63" s="21">
        <f t="shared" si="24"/>
        <v>8.0008110891089093</v>
      </c>
      <c r="AD63" s="21">
        <f t="shared" si="25"/>
        <v>89.113161290322566</v>
      </c>
      <c r="AE63" s="21">
        <f t="shared" si="26"/>
        <v>92.76944592781858</v>
      </c>
      <c r="AF63" s="21">
        <f t="shared" si="27"/>
        <v>3.6562846374960145</v>
      </c>
      <c r="AG63" s="9">
        <v>6.3900000000000003E-4</v>
      </c>
      <c r="AH63" s="9">
        <v>1.0307999999999999E-2</v>
      </c>
      <c r="AI63" s="10">
        <v>61.847999999999999</v>
      </c>
      <c r="AJ63" s="11">
        <v>6.4189999999999994E-3</v>
      </c>
      <c r="AK63" s="12">
        <v>38.513999999999996</v>
      </c>
      <c r="AL63" s="12">
        <v>3.8340000000000001</v>
      </c>
      <c r="AM63" s="165">
        <v>0.68471090415211477</v>
      </c>
    </row>
    <row r="64" spans="1:39" ht="24.95" hidden="1" customHeight="1" x14ac:dyDescent="0.25">
      <c r="A64" s="159">
        <v>201800002</v>
      </c>
      <c r="B64" s="58" t="s">
        <v>53</v>
      </c>
      <c r="C64" s="31">
        <v>532778</v>
      </c>
      <c r="D64" s="226">
        <v>43113</v>
      </c>
      <c r="E64" s="50" t="s">
        <v>43</v>
      </c>
      <c r="F64" s="5" t="s">
        <v>44</v>
      </c>
      <c r="G64" s="5"/>
      <c r="H64" s="1" t="s">
        <v>23</v>
      </c>
      <c r="I64" s="1" t="s">
        <v>23</v>
      </c>
      <c r="J64" s="8" t="s">
        <v>34</v>
      </c>
      <c r="K64" s="188">
        <v>22</v>
      </c>
      <c r="L64" s="36"/>
      <c r="M64" s="36"/>
      <c r="N64" s="8"/>
      <c r="O64" s="136">
        <v>1900</v>
      </c>
      <c r="P64" s="9">
        <v>7.4759999999999993E-2</v>
      </c>
      <c r="Q64" s="19">
        <v>39.5</v>
      </c>
      <c r="R64" s="8">
        <f t="shared" si="19"/>
        <v>65</v>
      </c>
      <c r="S64" s="8">
        <f>((K64/2)*(K64/2)*3.14*9*3)/1000</f>
        <v>10.258380000000001</v>
      </c>
      <c r="T64" s="1">
        <f>+P64*O64</f>
        <v>142.04399999999998</v>
      </c>
      <c r="U64" s="8">
        <f t="shared" si="20"/>
        <v>0.15782123076923077</v>
      </c>
      <c r="V64" s="215">
        <v>299.86033846153845</v>
      </c>
      <c r="W64" s="203"/>
      <c r="X64" s="203"/>
      <c r="Y6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4" s="21">
        <f t="shared" si="21"/>
        <v>7.6748381538461544E-2</v>
      </c>
      <c r="AA64" s="21">
        <f t="shared" si="22"/>
        <v>145.82192492307692</v>
      </c>
      <c r="AB64" s="21">
        <f t="shared" si="23"/>
        <v>4.0627247524752472E-3</v>
      </c>
      <c r="AC64" s="21">
        <f t="shared" si="24"/>
        <v>7.71917702970297</v>
      </c>
      <c r="AD64" s="21">
        <f t="shared" si="25"/>
        <v>157.81633846153846</v>
      </c>
      <c r="AE64" s="21">
        <f t="shared" si="26"/>
        <v>153.54110195277988</v>
      </c>
      <c r="AF64" s="21">
        <f t="shared" si="27"/>
        <v>-4.2752365087585815</v>
      </c>
      <c r="AG64" s="11">
        <v>9.2720000000000007E-3</v>
      </c>
      <c r="AH64" s="11">
        <v>0.14954500000000001</v>
      </c>
      <c r="AI64" s="10">
        <f>AH64*O64</f>
        <v>284.13550000000004</v>
      </c>
      <c r="AJ64" s="28">
        <f>AH64-AG64-P64</f>
        <v>6.5513000000000016E-2</v>
      </c>
      <c r="AK64" s="12">
        <f>AJ64*O64</f>
        <v>124.47470000000003</v>
      </c>
      <c r="AL64" s="12">
        <f>O64*AG64</f>
        <v>17.616800000000001</v>
      </c>
      <c r="AM64" s="165">
        <f>(AG64+AJ64)/AH64</f>
        <v>0.50008358688020338</v>
      </c>
    </row>
    <row r="65" spans="1:39" ht="24.95" hidden="1" customHeight="1" x14ac:dyDescent="0.25">
      <c r="A65" s="58">
        <v>201800007</v>
      </c>
      <c r="B65" s="58" t="s">
        <v>53</v>
      </c>
      <c r="C65" s="16">
        <v>533273</v>
      </c>
      <c r="D65" s="227">
        <v>43138</v>
      </c>
      <c r="E65" s="50">
        <v>510020</v>
      </c>
      <c r="F65" s="5" t="s">
        <v>24</v>
      </c>
      <c r="G65" s="27">
        <v>139</v>
      </c>
      <c r="H65" s="1" t="s">
        <v>23</v>
      </c>
      <c r="I65" s="1" t="s">
        <v>23</v>
      </c>
      <c r="J65" s="3" t="s">
        <v>33</v>
      </c>
      <c r="K65" s="189">
        <v>8</v>
      </c>
      <c r="L65" s="36"/>
      <c r="M65" s="36"/>
      <c r="N65" s="23"/>
      <c r="O65" s="16">
        <v>19000</v>
      </c>
      <c r="P65" s="9">
        <v>1.446E-3</v>
      </c>
      <c r="Q65" s="8">
        <v>6</v>
      </c>
      <c r="R65" s="8">
        <f t="shared" si="19"/>
        <v>311</v>
      </c>
      <c r="S65" s="8">
        <f>((K65*K65)*0.866*9*3)/1000</f>
        <v>1.4964479999999998</v>
      </c>
      <c r="T65" s="1">
        <f>+O65*P65</f>
        <v>27.474</v>
      </c>
      <c r="U65" s="8">
        <f t="shared" si="20"/>
        <v>4.8117299035369768E-3</v>
      </c>
      <c r="V65" s="215">
        <v>91.422868167202566</v>
      </c>
      <c r="W65" s="203"/>
      <c r="X65" s="203"/>
      <c r="Y6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5" s="21">
        <f t="shared" si="21"/>
        <v>3.1732607073954979E-3</v>
      </c>
      <c r="AA65" s="21">
        <f t="shared" si="22"/>
        <v>60.291953440514462</v>
      </c>
      <c r="AB65" s="21">
        <f t="shared" si="23"/>
        <v>5.9265267326732659E-4</v>
      </c>
      <c r="AC65" s="21">
        <f t="shared" si="24"/>
        <v>11.260400792079205</v>
      </c>
      <c r="AD65" s="21">
        <f t="shared" si="25"/>
        <v>63.948868167202562</v>
      </c>
      <c r="AE65" s="21">
        <f t="shared" si="26"/>
        <v>71.552354232593672</v>
      </c>
      <c r="AF65" s="21">
        <f t="shared" si="27"/>
        <v>7.6034860653911096</v>
      </c>
      <c r="AG65" s="9"/>
      <c r="AH65" s="9"/>
      <c r="AI65" s="10"/>
      <c r="AJ65" s="11"/>
      <c r="AK65" s="12"/>
      <c r="AL65" s="12"/>
      <c r="AM65" s="165"/>
    </row>
    <row r="66" spans="1:39" ht="24.95" hidden="1" customHeight="1" x14ac:dyDescent="0.25">
      <c r="A66" s="159">
        <v>201800011</v>
      </c>
      <c r="B66" s="58" t="s">
        <v>53</v>
      </c>
      <c r="C66" s="31">
        <v>533503</v>
      </c>
      <c r="D66" s="226">
        <v>43148</v>
      </c>
      <c r="E66" s="50" t="s">
        <v>43</v>
      </c>
      <c r="F66" s="5" t="s">
        <v>44</v>
      </c>
      <c r="G66" s="5"/>
      <c r="H66" s="1" t="s">
        <v>23</v>
      </c>
      <c r="I66" s="1" t="s">
        <v>23</v>
      </c>
      <c r="J66" s="8" t="s">
        <v>34</v>
      </c>
      <c r="K66" s="188">
        <v>22</v>
      </c>
      <c r="L66" s="36"/>
      <c r="M66" s="36"/>
      <c r="N66" s="8"/>
      <c r="O66" s="136">
        <v>550</v>
      </c>
      <c r="P66" s="9">
        <v>7.4759999999999993E-2</v>
      </c>
      <c r="Q66" s="19">
        <v>39.5</v>
      </c>
      <c r="R66" s="8">
        <f t="shared" si="19"/>
        <v>65</v>
      </c>
      <c r="S66" s="8">
        <f>((K66/2)*(K66/2)*3.14*9*3)/1000</f>
        <v>10.258380000000001</v>
      </c>
      <c r="T66" s="1">
        <f>+P66*O66</f>
        <v>41.117999999999995</v>
      </c>
      <c r="U66" s="8">
        <f t="shared" si="20"/>
        <v>0.15782123076923077</v>
      </c>
      <c r="V66" s="215">
        <v>86.801676923076926</v>
      </c>
      <c r="W66" s="203"/>
      <c r="X66" s="203"/>
      <c r="Y6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6" s="21">
        <f t="shared" si="21"/>
        <v>7.6748381538461544E-2</v>
      </c>
      <c r="AA66" s="21">
        <f t="shared" si="22"/>
        <v>42.211609846153848</v>
      </c>
      <c r="AB66" s="21">
        <f t="shared" si="23"/>
        <v>4.0627247524752472E-3</v>
      </c>
      <c r="AC66" s="21">
        <f t="shared" si="24"/>
        <v>2.234498613861386</v>
      </c>
      <c r="AD66" s="21">
        <f t="shared" si="25"/>
        <v>45.683676923076931</v>
      </c>
      <c r="AE66" s="21">
        <f t="shared" si="26"/>
        <v>44.446108460015232</v>
      </c>
      <c r="AF66" s="21">
        <f t="shared" si="27"/>
        <v>-1.2375684630616988</v>
      </c>
      <c r="AG66" s="11">
        <v>9.2720000000000007E-3</v>
      </c>
      <c r="AH66" s="11">
        <v>0.14954500000000001</v>
      </c>
      <c r="AI66" s="10">
        <f>AH66*O66</f>
        <v>82.249750000000006</v>
      </c>
      <c r="AJ66" s="28">
        <f>AH66-AG66-P66</f>
        <v>6.5513000000000016E-2</v>
      </c>
      <c r="AK66" s="12">
        <f>AJ66*O66</f>
        <v>36.032150000000009</v>
      </c>
      <c r="AL66" s="12">
        <f>O66*AG66</f>
        <v>5.0996000000000006</v>
      </c>
      <c r="AM66" s="165">
        <f>(AG66+AJ66)/AH66</f>
        <v>0.50008358688020338</v>
      </c>
    </row>
    <row r="67" spans="1:39" ht="24.95" hidden="1" customHeight="1" x14ac:dyDescent="0.25">
      <c r="A67" s="58">
        <v>201800014</v>
      </c>
      <c r="B67" s="58" t="s">
        <v>53</v>
      </c>
      <c r="C67" s="16">
        <v>533899</v>
      </c>
      <c r="D67" s="227">
        <v>43166</v>
      </c>
      <c r="E67" s="50">
        <v>510020</v>
      </c>
      <c r="F67" s="5" t="s">
        <v>24</v>
      </c>
      <c r="G67" s="27">
        <v>139</v>
      </c>
      <c r="H67" s="1" t="s">
        <v>23</v>
      </c>
      <c r="I67" s="1" t="s">
        <v>23</v>
      </c>
      <c r="J67" s="3" t="s">
        <v>33</v>
      </c>
      <c r="K67" s="189">
        <v>8</v>
      </c>
      <c r="L67" s="36"/>
      <c r="M67" s="36"/>
      <c r="N67" s="23"/>
      <c r="O67" s="16">
        <v>21500</v>
      </c>
      <c r="P67" s="9">
        <v>1.446E-3</v>
      </c>
      <c r="Q67" s="8">
        <v>6</v>
      </c>
      <c r="R67" s="8">
        <f t="shared" si="19"/>
        <v>311</v>
      </c>
      <c r="S67" s="8">
        <f>((K67*K67)*0.866*9*3)/1000</f>
        <v>1.4964479999999998</v>
      </c>
      <c r="T67" s="1">
        <f>+O67*P67</f>
        <v>31.089000000000002</v>
      </c>
      <c r="U67" s="8">
        <f t="shared" si="20"/>
        <v>4.8117299035369768E-3</v>
      </c>
      <c r="V67" s="215">
        <v>103.452192926045</v>
      </c>
      <c r="W67" s="203"/>
      <c r="X67" s="203"/>
      <c r="Y6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7" s="21">
        <f t="shared" si="21"/>
        <v>3.1732607073954979E-3</v>
      </c>
      <c r="AA67" s="21">
        <f t="shared" si="22"/>
        <v>68.225105209003203</v>
      </c>
      <c r="AB67" s="21">
        <f t="shared" si="23"/>
        <v>5.9265267326732659E-4</v>
      </c>
      <c r="AC67" s="21">
        <f t="shared" si="24"/>
        <v>12.742032475247521</v>
      </c>
      <c r="AD67" s="21">
        <f t="shared" si="25"/>
        <v>72.363192926045002</v>
      </c>
      <c r="AE67" s="21">
        <f t="shared" si="26"/>
        <v>80.96713768425073</v>
      </c>
      <c r="AF67" s="21">
        <f t="shared" si="27"/>
        <v>8.6039447582057278</v>
      </c>
      <c r="AG67" s="9"/>
      <c r="AH67" s="9"/>
      <c r="AI67" s="10"/>
      <c r="AJ67" s="11"/>
      <c r="AK67" s="12"/>
      <c r="AL67" s="12"/>
      <c r="AM67" s="165"/>
    </row>
    <row r="68" spans="1:39" ht="24.95" hidden="1" customHeight="1" x14ac:dyDescent="0.25">
      <c r="A68" s="58">
        <v>201800014</v>
      </c>
      <c r="B68" s="58" t="s">
        <v>53</v>
      </c>
      <c r="C68" s="16">
        <v>533899</v>
      </c>
      <c r="D68" s="227">
        <v>43166</v>
      </c>
      <c r="E68" s="50">
        <v>512800</v>
      </c>
      <c r="F68" s="5" t="s">
        <v>45</v>
      </c>
      <c r="G68" s="3"/>
      <c r="H68" s="1" t="s">
        <v>23</v>
      </c>
      <c r="I68" s="1" t="s">
        <v>23</v>
      </c>
      <c r="J68" s="8" t="s">
        <v>34</v>
      </c>
      <c r="K68" s="189">
        <v>7</v>
      </c>
      <c r="L68" s="36"/>
      <c r="M68" s="36"/>
      <c r="N68" s="23"/>
      <c r="O68" s="16">
        <v>6000</v>
      </c>
      <c r="P68" s="9">
        <v>3.421E-3</v>
      </c>
      <c r="Q68" s="8">
        <v>24.5</v>
      </c>
      <c r="R68" s="8">
        <f t="shared" si="19"/>
        <v>101</v>
      </c>
      <c r="S68" s="8">
        <f>((K68/2)*(K68/2)*3.14*9*3)/1000</f>
        <v>1.0385550000000003</v>
      </c>
      <c r="T68" s="1">
        <f>+P68*O68</f>
        <v>20.526</v>
      </c>
      <c r="U68" s="8">
        <f t="shared" si="20"/>
        <v>1.0282722772277231E-2</v>
      </c>
      <c r="V68" s="215">
        <v>61.696336633663385</v>
      </c>
      <c r="W68" s="203"/>
      <c r="X68" s="203"/>
      <c r="Y6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8" s="21">
        <f t="shared" si="21"/>
        <v>6.4504138613861416E-3</v>
      </c>
      <c r="AA68" s="21">
        <f t="shared" si="22"/>
        <v>38.702483168316853</v>
      </c>
      <c r="AB68" s="21">
        <f t="shared" si="23"/>
        <v>4.1130891089108927E-4</v>
      </c>
      <c r="AC68" s="21">
        <f t="shared" si="24"/>
        <v>2.4678534653465358</v>
      </c>
      <c r="AD68" s="21">
        <f t="shared" si="25"/>
        <v>41.170336633663382</v>
      </c>
      <c r="AE68" s="21">
        <f t="shared" si="26"/>
        <v>41.170336633663389</v>
      </c>
      <c r="AF68" s="21">
        <f t="shared" si="27"/>
        <v>0</v>
      </c>
      <c r="AG68" s="9"/>
      <c r="AH68" s="9"/>
      <c r="AI68" s="10"/>
      <c r="AJ68" s="11"/>
      <c r="AK68" s="12"/>
      <c r="AL68" s="12"/>
      <c r="AM68" s="165"/>
    </row>
    <row r="69" spans="1:39" ht="24.95" hidden="1" customHeight="1" x14ac:dyDescent="0.25">
      <c r="A69" s="58">
        <v>201800023</v>
      </c>
      <c r="B69" s="58" t="s">
        <v>53</v>
      </c>
      <c r="C69" s="31">
        <v>534593</v>
      </c>
      <c r="D69" s="226">
        <v>43194</v>
      </c>
      <c r="E69" s="50" t="s">
        <v>43</v>
      </c>
      <c r="F69" s="5" t="s">
        <v>44</v>
      </c>
      <c r="G69" s="5"/>
      <c r="H69" s="1" t="s">
        <v>23</v>
      </c>
      <c r="I69" s="1" t="s">
        <v>23</v>
      </c>
      <c r="J69" s="8" t="s">
        <v>34</v>
      </c>
      <c r="K69" s="188">
        <v>22</v>
      </c>
      <c r="L69" s="36"/>
      <c r="M69" s="36"/>
      <c r="N69" s="8"/>
      <c r="O69" s="136">
        <v>2700</v>
      </c>
      <c r="P69" s="9">
        <v>7.4759999999999993E-2</v>
      </c>
      <c r="Q69" s="19">
        <v>39.5</v>
      </c>
      <c r="R69" s="8">
        <f t="shared" si="19"/>
        <v>65</v>
      </c>
      <c r="S69" s="8">
        <f>((K69/2)*(K69/2)*3.14*9*3)/1000</f>
        <v>10.258380000000001</v>
      </c>
      <c r="T69" s="1">
        <f>+P69*O69</f>
        <v>201.85199999999998</v>
      </c>
      <c r="U69" s="8">
        <f t="shared" si="20"/>
        <v>0.15782123076923077</v>
      </c>
      <c r="V69" s="215">
        <v>426.11732307692307</v>
      </c>
      <c r="W69" s="203"/>
      <c r="X69" s="203"/>
      <c r="Y6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69" s="21">
        <f t="shared" si="21"/>
        <v>7.6748381538461544E-2</v>
      </c>
      <c r="AA69" s="21">
        <f t="shared" si="22"/>
        <v>207.22063015384617</v>
      </c>
      <c r="AB69" s="21">
        <f t="shared" si="23"/>
        <v>4.0627247524752472E-3</v>
      </c>
      <c r="AC69" s="21">
        <f t="shared" si="24"/>
        <v>10.969356831683168</v>
      </c>
      <c r="AD69" s="21">
        <f t="shared" si="25"/>
        <v>224.2653230769231</v>
      </c>
      <c r="AE69" s="21">
        <f t="shared" si="26"/>
        <v>218.18998698552934</v>
      </c>
      <c r="AF69" s="21">
        <f t="shared" si="27"/>
        <v>-6.0753360913937513</v>
      </c>
      <c r="AG69" s="9">
        <v>9.2720000000000007E-3</v>
      </c>
      <c r="AH69" s="9">
        <v>0.14954500000000001</v>
      </c>
      <c r="AI69" s="10">
        <v>403.7715</v>
      </c>
      <c r="AJ69" s="11">
        <v>8.2273000000000013E-2</v>
      </c>
      <c r="AK69" s="12">
        <v>222.13710000000003</v>
      </c>
      <c r="AL69" s="12">
        <v>25.034400000000002</v>
      </c>
      <c r="AM69" s="165">
        <v>0.61215687585676559</v>
      </c>
    </row>
    <row r="70" spans="1:39" ht="24.95" hidden="1" customHeight="1" x14ac:dyDescent="0.25">
      <c r="A70" s="58">
        <v>201800026</v>
      </c>
      <c r="B70" s="58" t="s">
        <v>53</v>
      </c>
      <c r="C70" s="16">
        <v>534802</v>
      </c>
      <c r="D70" s="227">
        <v>43200</v>
      </c>
      <c r="E70" s="50">
        <v>510020</v>
      </c>
      <c r="F70" s="5" t="s">
        <v>24</v>
      </c>
      <c r="G70" s="27">
        <v>139</v>
      </c>
      <c r="H70" s="1" t="s">
        <v>23</v>
      </c>
      <c r="I70" s="1" t="s">
        <v>23</v>
      </c>
      <c r="J70" s="3" t="s">
        <v>33</v>
      </c>
      <c r="K70" s="189">
        <v>8</v>
      </c>
      <c r="L70" s="36"/>
      <c r="M70" s="36"/>
      <c r="N70" s="23"/>
      <c r="O70" s="16">
        <v>15733</v>
      </c>
      <c r="P70" s="9">
        <v>1.446E-3</v>
      </c>
      <c r="Q70" s="8">
        <v>6</v>
      </c>
      <c r="R70" s="8">
        <f t="shared" si="19"/>
        <v>311</v>
      </c>
      <c r="S70" s="8">
        <f>((K70*K70)*0.866*9*3)/1000</f>
        <v>1.4964479999999998</v>
      </c>
      <c r="T70" s="1">
        <f>+O70*P70</f>
        <v>22.749918000000001</v>
      </c>
      <c r="U70" s="8">
        <f t="shared" si="20"/>
        <v>4.8117299035369768E-3</v>
      </c>
      <c r="V70" s="215">
        <v>75.702946572347258</v>
      </c>
      <c r="W70" s="203"/>
      <c r="X70" s="203"/>
      <c r="Y7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0" s="21">
        <f t="shared" si="21"/>
        <v>3.1732607073954979E-3</v>
      </c>
      <c r="AA70" s="21">
        <f t="shared" si="22"/>
        <v>49.924910709453371</v>
      </c>
      <c r="AB70" s="21">
        <f t="shared" si="23"/>
        <v>5.9265267326732659E-4</v>
      </c>
      <c r="AC70" s="21">
        <f t="shared" si="24"/>
        <v>9.3242045085148497</v>
      </c>
      <c r="AD70" s="21">
        <f t="shared" si="25"/>
        <v>52.953028572347257</v>
      </c>
      <c r="AE70" s="21">
        <f t="shared" si="26"/>
        <v>59.249115217968225</v>
      </c>
      <c r="AF70" s="21">
        <f t="shared" si="27"/>
        <v>6.2960866456209672</v>
      </c>
      <c r="AG70" s="9"/>
      <c r="AH70" s="9"/>
      <c r="AI70" s="10"/>
      <c r="AJ70" s="11"/>
      <c r="AK70" s="12"/>
      <c r="AL70" s="12"/>
      <c r="AM70" s="165"/>
    </row>
    <row r="71" spans="1:39" ht="24.95" hidden="1" customHeight="1" x14ac:dyDescent="0.25">
      <c r="A71" s="159">
        <v>201800033</v>
      </c>
      <c r="B71" s="58" t="s">
        <v>53</v>
      </c>
      <c r="C71" s="31">
        <v>535277</v>
      </c>
      <c r="D71" s="226">
        <v>43217</v>
      </c>
      <c r="E71" s="50" t="s">
        <v>43</v>
      </c>
      <c r="F71" s="5" t="s">
        <v>44</v>
      </c>
      <c r="G71" s="5"/>
      <c r="H71" s="1" t="s">
        <v>23</v>
      </c>
      <c r="I71" s="1" t="s">
        <v>23</v>
      </c>
      <c r="J71" s="8" t="s">
        <v>34</v>
      </c>
      <c r="K71" s="188">
        <v>22</v>
      </c>
      <c r="L71" s="36"/>
      <c r="M71" s="36"/>
      <c r="N71" s="8"/>
      <c r="O71" s="136">
        <v>1200</v>
      </c>
      <c r="P71" s="9">
        <v>7.4759999999999993E-2</v>
      </c>
      <c r="Q71" s="19">
        <v>39.5</v>
      </c>
      <c r="R71" s="8">
        <f t="shared" si="19"/>
        <v>65</v>
      </c>
      <c r="S71" s="8">
        <f>((K71/2)*(K71/2)*3.14*9*3)/1000</f>
        <v>10.258380000000001</v>
      </c>
      <c r="T71" s="1">
        <f>+P71*O71</f>
        <v>89.711999999999989</v>
      </c>
      <c r="U71" s="8">
        <f t="shared" si="20"/>
        <v>0.15782123076923077</v>
      </c>
      <c r="V71" s="215">
        <v>189.38547692307694</v>
      </c>
      <c r="W71" s="203"/>
      <c r="X71" s="203"/>
      <c r="Y7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1" s="21">
        <f t="shared" si="21"/>
        <v>7.6748381538461544E-2</v>
      </c>
      <c r="AA71" s="21">
        <f t="shared" si="22"/>
        <v>92.09805784615385</v>
      </c>
      <c r="AB71" s="21">
        <f t="shared" si="23"/>
        <v>4.0627247524752472E-3</v>
      </c>
      <c r="AC71" s="21">
        <f t="shared" si="24"/>
        <v>4.8752697029702965</v>
      </c>
      <c r="AD71" s="21">
        <f t="shared" si="25"/>
        <v>99.673476923076947</v>
      </c>
      <c r="AE71" s="21">
        <f t="shared" si="26"/>
        <v>96.97332754912415</v>
      </c>
      <c r="AF71" s="21">
        <f t="shared" si="27"/>
        <v>-2.7001493739527973</v>
      </c>
      <c r="AG71" s="11">
        <v>9.2720000000000007E-3</v>
      </c>
      <c r="AH71" s="11">
        <v>0.14954500000000001</v>
      </c>
      <c r="AI71" s="10">
        <f>AH71*O71</f>
        <v>179.45400000000001</v>
      </c>
      <c r="AJ71" s="28">
        <f>AH71-AG71-P71</f>
        <v>6.5513000000000016E-2</v>
      </c>
      <c r="AK71" s="12">
        <f>AJ71*O71</f>
        <v>78.615600000000015</v>
      </c>
      <c r="AL71" s="12">
        <f>O71*AG71</f>
        <v>11.1264</v>
      </c>
      <c r="AM71" s="165">
        <f>(AG71+AJ71)/AH71</f>
        <v>0.50008358688020338</v>
      </c>
    </row>
    <row r="72" spans="1:39" ht="24.95" hidden="1" customHeight="1" x14ac:dyDescent="0.25">
      <c r="A72" s="58">
        <v>201800048</v>
      </c>
      <c r="B72" s="58" t="s">
        <v>53</v>
      </c>
      <c r="C72" s="31">
        <v>536321</v>
      </c>
      <c r="D72" s="226">
        <v>43263</v>
      </c>
      <c r="E72" s="50" t="s">
        <v>43</v>
      </c>
      <c r="F72" s="5" t="s">
        <v>44</v>
      </c>
      <c r="G72" s="5"/>
      <c r="H72" s="1" t="s">
        <v>23</v>
      </c>
      <c r="I72" s="1" t="s">
        <v>23</v>
      </c>
      <c r="J72" s="8" t="s">
        <v>34</v>
      </c>
      <c r="K72" s="188">
        <v>22</v>
      </c>
      <c r="L72" s="36"/>
      <c r="M72" s="36"/>
      <c r="N72" s="8"/>
      <c r="O72" s="136">
        <v>1000</v>
      </c>
      <c r="P72" s="9">
        <v>7.4759999999999993E-2</v>
      </c>
      <c r="Q72" s="19">
        <v>39.5</v>
      </c>
      <c r="R72" s="8">
        <f t="shared" si="19"/>
        <v>65</v>
      </c>
      <c r="S72" s="8">
        <f>((K72/2)*(K72/2)*3.14*9*3)/1000</f>
        <v>10.258380000000001</v>
      </c>
      <c r="T72" s="1">
        <f>+P72*O72</f>
        <v>74.759999999999991</v>
      </c>
      <c r="U72" s="8">
        <f t="shared" si="20"/>
        <v>0.15782123076923077</v>
      </c>
      <c r="V72" s="215">
        <v>157.82123076923077</v>
      </c>
      <c r="W72" s="203"/>
      <c r="X72" s="203"/>
      <c r="Y7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2" s="21">
        <f t="shared" si="21"/>
        <v>7.6748381538461544E-2</v>
      </c>
      <c r="AA72" s="21">
        <f t="shared" si="22"/>
        <v>76.748381538461544</v>
      </c>
      <c r="AB72" s="21">
        <f t="shared" si="23"/>
        <v>4.0627247524752472E-3</v>
      </c>
      <c r="AC72" s="21">
        <f t="shared" si="24"/>
        <v>4.0627247524752477</v>
      </c>
      <c r="AD72" s="21">
        <f t="shared" si="25"/>
        <v>83.061230769230775</v>
      </c>
      <c r="AE72" s="21">
        <f t="shared" si="26"/>
        <v>80.811106290936792</v>
      </c>
      <c r="AF72" s="21">
        <f t="shared" si="27"/>
        <v>-2.2501244782939835</v>
      </c>
      <c r="AG72" s="9">
        <v>9.2720000000000007E-3</v>
      </c>
      <c r="AH72" s="9">
        <v>0.14954500000000001</v>
      </c>
      <c r="AI72" s="10">
        <v>149.54500000000002</v>
      </c>
      <c r="AJ72" s="11">
        <v>8.2273000000000013E-2</v>
      </c>
      <c r="AK72" s="12">
        <v>82.27300000000001</v>
      </c>
      <c r="AL72" s="12">
        <v>9.2720000000000002</v>
      </c>
      <c r="AM72" s="165">
        <v>0.61215687585676559</v>
      </c>
    </row>
    <row r="73" spans="1:39" ht="24.95" hidden="1" customHeight="1" x14ac:dyDescent="0.25">
      <c r="A73" s="58">
        <v>201800052</v>
      </c>
      <c r="B73" s="58" t="s">
        <v>53</v>
      </c>
      <c r="C73" s="31">
        <v>536867</v>
      </c>
      <c r="D73" s="226">
        <v>43289</v>
      </c>
      <c r="E73" s="50">
        <v>512800</v>
      </c>
      <c r="F73" s="5" t="s">
        <v>45</v>
      </c>
      <c r="G73" s="3"/>
      <c r="H73" s="1" t="s">
        <v>23</v>
      </c>
      <c r="I73" s="1" t="s">
        <v>23</v>
      </c>
      <c r="J73" s="8" t="s">
        <v>34</v>
      </c>
      <c r="K73" s="189">
        <v>7</v>
      </c>
      <c r="L73" s="36"/>
      <c r="M73" s="36"/>
      <c r="N73" s="8"/>
      <c r="O73" s="26">
        <v>27000</v>
      </c>
      <c r="P73" s="9">
        <v>3.421E-3</v>
      </c>
      <c r="Q73" s="8">
        <v>24.5</v>
      </c>
      <c r="R73" s="8">
        <f t="shared" si="19"/>
        <v>101</v>
      </c>
      <c r="S73" s="8">
        <f>((K73/2)*(K73/2)*3.14*9*3)/1000</f>
        <v>1.0385550000000003</v>
      </c>
      <c r="T73" s="1">
        <f>+P73*O73</f>
        <v>92.367000000000004</v>
      </c>
      <c r="U73" s="8">
        <f t="shared" si="20"/>
        <v>1.0282722772277231E-2</v>
      </c>
      <c r="V73" s="215">
        <v>277.63351485148524</v>
      </c>
      <c r="W73" s="203"/>
      <c r="X73" s="203"/>
      <c r="Y7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3" s="21">
        <f t="shared" si="21"/>
        <v>6.4504138613861416E-3</v>
      </c>
      <c r="AA73" s="21">
        <f t="shared" si="22"/>
        <v>174.16117425742581</v>
      </c>
      <c r="AB73" s="21">
        <f t="shared" si="23"/>
        <v>4.1130891089108927E-4</v>
      </c>
      <c r="AC73" s="21">
        <f t="shared" si="24"/>
        <v>11.10534059405941</v>
      </c>
      <c r="AD73" s="21">
        <f t="shared" si="25"/>
        <v>185.26651485148523</v>
      </c>
      <c r="AE73" s="21">
        <f t="shared" si="26"/>
        <v>185.26651485148523</v>
      </c>
      <c r="AF73" s="21">
        <f t="shared" si="27"/>
        <v>0</v>
      </c>
      <c r="AG73" s="9">
        <v>6.0400000000000004E-4</v>
      </c>
      <c r="AH73" s="9">
        <v>9.7350000000000006E-3</v>
      </c>
      <c r="AI73" s="10">
        <v>262.84500000000003</v>
      </c>
      <c r="AJ73" s="11">
        <v>5.6780000000000008E-3</v>
      </c>
      <c r="AK73" s="12">
        <v>153.30600000000001</v>
      </c>
      <c r="AL73" s="12">
        <v>16.308</v>
      </c>
      <c r="AM73" s="165">
        <v>0.6453004622496149</v>
      </c>
    </row>
    <row r="74" spans="1:39" ht="24.95" hidden="1" customHeight="1" x14ac:dyDescent="0.25">
      <c r="A74" s="159">
        <v>201800056</v>
      </c>
      <c r="B74" s="58" t="s">
        <v>53</v>
      </c>
      <c r="C74" s="31">
        <v>537031</v>
      </c>
      <c r="D74" s="226">
        <v>43297</v>
      </c>
      <c r="E74" s="50" t="s">
        <v>43</v>
      </c>
      <c r="F74" s="5" t="s">
        <v>44</v>
      </c>
      <c r="G74" s="5"/>
      <c r="H74" s="1" t="s">
        <v>23</v>
      </c>
      <c r="I74" s="1" t="s">
        <v>23</v>
      </c>
      <c r="J74" s="8" t="s">
        <v>34</v>
      </c>
      <c r="K74" s="188">
        <v>22</v>
      </c>
      <c r="L74" s="36"/>
      <c r="M74" s="36"/>
      <c r="N74" s="8"/>
      <c r="O74" s="136">
        <v>1550</v>
      </c>
      <c r="P74" s="9">
        <v>7.4759999999999993E-2</v>
      </c>
      <c r="Q74" s="19">
        <v>39.5</v>
      </c>
      <c r="R74" s="8">
        <f t="shared" si="19"/>
        <v>65</v>
      </c>
      <c r="S74" s="8">
        <f>((K74/2)*(K74/2)*3.14*9*3)/1000</f>
        <v>10.258380000000001</v>
      </c>
      <c r="T74" s="1">
        <f>+P74*O74</f>
        <v>115.87799999999999</v>
      </c>
      <c r="U74" s="8">
        <f t="shared" si="20"/>
        <v>0.15782123076923077</v>
      </c>
      <c r="V74" s="215">
        <v>244.62290769230771</v>
      </c>
      <c r="W74" s="203"/>
      <c r="X74" s="203"/>
      <c r="Y7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4" s="21">
        <f t="shared" si="21"/>
        <v>7.6748381538461544E-2</v>
      </c>
      <c r="AA74" s="21">
        <f t="shared" si="22"/>
        <v>118.95999138461539</v>
      </c>
      <c r="AB74" s="21">
        <f t="shared" si="23"/>
        <v>4.0627247524752472E-3</v>
      </c>
      <c r="AC74" s="21">
        <f t="shared" si="24"/>
        <v>6.2972233663366328</v>
      </c>
      <c r="AD74" s="21">
        <f t="shared" si="25"/>
        <v>128.74490769230772</v>
      </c>
      <c r="AE74" s="21">
        <f t="shared" si="26"/>
        <v>125.25721475095203</v>
      </c>
      <c r="AF74" s="21">
        <f t="shared" si="27"/>
        <v>-3.4876929413556894</v>
      </c>
      <c r="AG74" s="11">
        <v>9.2720000000000007E-3</v>
      </c>
      <c r="AH74" s="11">
        <v>0.14954500000000001</v>
      </c>
      <c r="AI74" s="53">
        <f>AH74*O74</f>
        <v>231.79475000000002</v>
      </c>
      <c r="AJ74" s="28">
        <f>AH74-AG74-P74</f>
        <v>6.5513000000000016E-2</v>
      </c>
      <c r="AK74" s="12">
        <f>AJ74*O74</f>
        <v>101.54515000000002</v>
      </c>
      <c r="AL74" s="12">
        <f>O74*AG74</f>
        <v>14.371600000000001</v>
      </c>
      <c r="AM74" s="165">
        <f>(AG74+AJ74)/AH74</f>
        <v>0.50008358688020338</v>
      </c>
    </row>
    <row r="75" spans="1:39" ht="24.95" hidden="1" customHeight="1" thickBot="1" x14ac:dyDescent="0.3">
      <c r="A75" s="69">
        <v>201800060</v>
      </c>
      <c r="B75" s="69" t="s">
        <v>53</v>
      </c>
      <c r="C75" s="70">
        <v>537461</v>
      </c>
      <c r="D75" s="228">
        <v>43320</v>
      </c>
      <c r="E75" s="71">
        <v>510020</v>
      </c>
      <c r="F75" s="72" t="s">
        <v>24</v>
      </c>
      <c r="G75" s="80">
        <v>139</v>
      </c>
      <c r="H75" s="57" t="s">
        <v>23</v>
      </c>
      <c r="I75" s="57" t="s">
        <v>23</v>
      </c>
      <c r="J75" s="73" t="s">
        <v>33</v>
      </c>
      <c r="K75" s="190">
        <v>8</v>
      </c>
      <c r="L75" s="82"/>
      <c r="M75" s="82"/>
      <c r="N75" s="201"/>
      <c r="O75" s="70">
        <v>1000</v>
      </c>
      <c r="P75" s="76">
        <v>1.446E-3</v>
      </c>
      <c r="Q75" s="81">
        <v>6</v>
      </c>
      <c r="R75" s="81">
        <f t="shared" si="19"/>
        <v>311</v>
      </c>
      <c r="S75" s="81">
        <f>((K75*K75)*0.866*9*3)/1000</f>
        <v>1.4964479999999998</v>
      </c>
      <c r="T75" s="57">
        <f>+O75*P75</f>
        <v>1.446</v>
      </c>
      <c r="U75" s="81">
        <f t="shared" si="20"/>
        <v>4.8117299035369768E-3</v>
      </c>
      <c r="V75" s="216">
        <v>4.8117299035369765</v>
      </c>
      <c r="W75" s="204"/>
      <c r="X75" s="204"/>
      <c r="Y7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5" s="74">
        <f t="shared" si="21"/>
        <v>3.1732607073954979E-3</v>
      </c>
      <c r="AA75" s="74">
        <f t="shared" si="22"/>
        <v>3.1732607073954977</v>
      </c>
      <c r="AB75" s="74">
        <f t="shared" si="23"/>
        <v>5.9265267326732659E-4</v>
      </c>
      <c r="AC75" s="74">
        <f t="shared" si="24"/>
        <v>0.59265267326732662</v>
      </c>
      <c r="AD75" s="74">
        <f t="shared" si="25"/>
        <v>3.3657299035369768</v>
      </c>
      <c r="AE75" s="74">
        <f t="shared" si="26"/>
        <v>3.7659133806628242</v>
      </c>
      <c r="AF75" s="74">
        <f t="shared" si="27"/>
        <v>0.40018347712584745</v>
      </c>
      <c r="AG75" s="76"/>
      <c r="AH75" s="76"/>
      <c r="AI75" s="77"/>
      <c r="AJ75" s="78"/>
      <c r="AK75" s="79"/>
      <c r="AL75" s="79"/>
      <c r="AM75" s="166"/>
    </row>
    <row r="76" spans="1:39" ht="24.95" hidden="1" customHeight="1" thickTop="1" thickBot="1" x14ac:dyDescent="0.3">
      <c r="A76" s="158">
        <v>201800060</v>
      </c>
      <c r="B76" s="108" t="s">
        <v>53</v>
      </c>
      <c r="C76" s="109">
        <v>537461</v>
      </c>
      <c r="D76" s="232">
        <v>43320</v>
      </c>
      <c r="E76" s="110">
        <v>511040</v>
      </c>
      <c r="F76" s="111" t="s">
        <v>25</v>
      </c>
      <c r="G76" s="123">
        <v>138</v>
      </c>
      <c r="H76" s="119" t="s">
        <v>23</v>
      </c>
      <c r="I76" s="119" t="s">
        <v>23</v>
      </c>
      <c r="J76" s="120" t="s">
        <v>34</v>
      </c>
      <c r="K76" s="195">
        <v>18</v>
      </c>
      <c r="L76" s="121"/>
      <c r="M76" s="121"/>
      <c r="N76" s="120"/>
      <c r="O76" s="113">
        <v>5000</v>
      </c>
      <c r="P76" s="114">
        <v>3.676E-3</v>
      </c>
      <c r="Q76" s="120">
        <v>10.3</v>
      </c>
      <c r="R76" s="120">
        <f t="shared" si="19"/>
        <v>210</v>
      </c>
      <c r="S76" s="120">
        <f>((K76/2)*(K76/2)*3.14*9*3)/1000</f>
        <v>6.8671800000000003</v>
      </c>
      <c r="T76" s="119">
        <f>+P76*O76</f>
        <v>18.38</v>
      </c>
      <c r="U76" s="120">
        <f t="shared" si="20"/>
        <v>3.2700857142857143E-2</v>
      </c>
      <c r="V76" s="217">
        <v>163.50428571428571</v>
      </c>
      <c r="W76" s="206"/>
      <c r="X76" s="206"/>
      <c r="Y7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6" s="112">
        <f t="shared" si="21"/>
        <v>2.7716822857142855E-2</v>
      </c>
      <c r="AA76" s="112">
        <f t="shared" si="22"/>
        <v>138.58411428571426</v>
      </c>
      <c r="AB76" s="112">
        <f t="shared" si="23"/>
        <v>2.719675247524752E-3</v>
      </c>
      <c r="AC76" s="112">
        <f t="shared" si="24"/>
        <v>13.598376237623759</v>
      </c>
      <c r="AD76" s="112">
        <f t="shared" si="25"/>
        <v>145.12428571428572</v>
      </c>
      <c r="AE76" s="112">
        <f t="shared" si="26"/>
        <v>152.18249052333803</v>
      </c>
      <c r="AF76" s="112">
        <f t="shared" si="27"/>
        <v>7.0582048090523131</v>
      </c>
      <c r="AG76" s="114">
        <v>1.9103773584905662E-3</v>
      </c>
      <c r="AH76" s="114">
        <v>3.0991000000000001E-2</v>
      </c>
      <c r="AI76" s="115">
        <v>154.95500000000001</v>
      </c>
      <c r="AJ76" s="116">
        <v>2.6970622641509436E-2</v>
      </c>
      <c r="AK76" s="117">
        <v>134.85311320754718</v>
      </c>
      <c r="AL76" s="117">
        <v>9.5518867924528319</v>
      </c>
      <c r="AM76" s="167">
        <v>0.93191571746636115</v>
      </c>
    </row>
    <row r="77" spans="1:39" ht="24.95" hidden="1" customHeight="1" thickTop="1" x14ac:dyDescent="0.25">
      <c r="A77" s="86">
        <v>201800073</v>
      </c>
      <c r="B77" s="86" t="s">
        <v>53</v>
      </c>
      <c r="C77" s="99">
        <v>537851</v>
      </c>
      <c r="D77" s="233">
        <v>43350</v>
      </c>
      <c r="E77" s="88">
        <v>510020</v>
      </c>
      <c r="F77" s="89" t="s">
        <v>24</v>
      </c>
      <c r="G77" s="101">
        <v>139</v>
      </c>
      <c r="H77" s="91" t="s">
        <v>23</v>
      </c>
      <c r="I77" s="91" t="s">
        <v>23</v>
      </c>
      <c r="J77" s="90" t="s">
        <v>33</v>
      </c>
      <c r="K77" s="182">
        <v>8</v>
      </c>
      <c r="L77" s="93"/>
      <c r="M77" s="93"/>
      <c r="N77" s="202"/>
      <c r="O77" s="99">
        <v>20000</v>
      </c>
      <c r="P77" s="95">
        <v>1.446E-3</v>
      </c>
      <c r="Q77" s="92">
        <v>6</v>
      </c>
      <c r="R77" s="92">
        <f t="shared" si="19"/>
        <v>311</v>
      </c>
      <c r="S77" s="92">
        <f>((K77*K77)*0.866*9*3)/1000</f>
        <v>1.4964479999999998</v>
      </c>
      <c r="T77" s="91">
        <f>+O77*P77</f>
        <v>28.92</v>
      </c>
      <c r="U77" s="92">
        <f t="shared" si="20"/>
        <v>4.8117299035369768E-3</v>
      </c>
      <c r="V77" s="218">
        <v>96.234598070739537</v>
      </c>
      <c r="W77" s="208"/>
      <c r="X77" s="208"/>
      <c r="Y7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7" s="105">
        <f t="shared" si="21"/>
        <v>3.1732607073954979E-3</v>
      </c>
      <c r="AA77" s="105">
        <f t="shared" si="22"/>
        <v>63.465214147909954</v>
      </c>
      <c r="AB77" s="105">
        <f t="shared" si="23"/>
        <v>5.9265267326732659E-4</v>
      </c>
      <c r="AC77" s="105">
        <f t="shared" si="24"/>
        <v>11.853053465346532</v>
      </c>
      <c r="AD77" s="105">
        <f t="shared" si="25"/>
        <v>67.314598070739535</v>
      </c>
      <c r="AE77" s="105">
        <f t="shared" si="26"/>
        <v>75.318267613256481</v>
      </c>
      <c r="AF77" s="105">
        <f t="shared" si="27"/>
        <v>8.0036695425169455</v>
      </c>
      <c r="AG77" s="95"/>
      <c r="AH77" s="95"/>
      <c r="AI77" s="96"/>
      <c r="AJ77" s="97"/>
      <c r="AK77" s="98"/>
      <c r="AL77" s="98"/>
      <c r="AM77" s="168"/>
    </row>
    <row r="78" spans="1:39" ht="24.95" hidden="1" customHeight="1" x14ac:dyDescent="0.25">
      <c r="A78" s="58">
        <v>201800084</v>
      </c>
      <c r="B78" s="58" t="s">
        <v>53</v>
      </c>
      <c r="C78" s="15">
        <v>539092</v>
      </c>
      <c r="D78" s="227">
        <v>43411</v>
      </c>
      <c r="E78" s="50">
        <v>510020</v>
      </c>
      <c r="F78" s="5" t="s">
        <v>24</v>
      </c>
      <c r="G78" s="27">
        <v>139</v>
      </c>
      <c r="H78" s="1" t="s">
        <v>23</v>
      </c>
      <c r="I78" s="1" t="s">
        <v>23</v>
      </c>
      <c r="J78" s="3" t="s">
        <v>33</v>
      </c>
      <c r="K78" s="189">
        <v>8</v>
      </c>
      <c r="L78" s="36"/>
      <c r="M78" s="36"/>
      <c r="N78" s="23"/>
      <c r="O78" s="16">
        <v>20000</v>
      </c>
      <c r="P78" s="9">
        <v>1.446E-3</v>
      </c>
      <c r="Q78" s="8">
        <v>6</v>
      </c>
      <c r="R78" s="8">
        <f t="shared" si="19"/>
        <v>311</v>
      </c>
      <c r="S78" s="8">
        <f>((K78*K78)*0.866*9*3)/1000</f>
        <v>1.4964479999999998</v>
      </c>
      <c r="T78" s="1">
        <f>+O78*P78</f>
        <v>28.92</v>
      </c>
      <c r="U78" s="8">
        <f t="shared" si="20"/>
        <v>4.8117299035369768E-3</v>
      </c>
      <c r="V78" s="215">
        <v>96.234598070739537</v>
      </c>
      <c r="W78" s="203"/>
      <c r="X78" s="203"/>
      <c r="Y7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8" s="21">
        <f t="shared" si="21"/>
        <v>3.1732607073954979E-3</v>
      </c>
      <c r="AA78" s="21">
        <f t="shared" si="22"/>
        <v>63.465214147909954</v>
      </c>
      <c r="AB78" s="21">
        <f t="shared" si="23"/>
        <v>5.9265267326732659E-4</v>
      </c>
      <c r="AC78" s="21">
        <f t="shared" si="24"/>
        <v>11.853053465346532</v>
      </c>
      <c r="AD78" s="21">
        <f t="shared" si="25"/>
        <v>67.314598070739535</v>
      </c>
      <c r="AE78" s="21">
        <f t="shared" si="26"/>
        <v>75.318267613256481</v>
      </c>
      <c r="AF78" s="21">
        <f t="shared" si="27"/>
        <v>8.0036695425169455</v>
      </c>
      <c r="AG78" s="9"/>
      <c r="AH78" s="9"/>
      <c r="AI78" s="10"/>
      <c r="AJ78" s="11"/>
      <c r="AK78" s="12"/>
      <c r="AL78" s="12"/>
      <c r="AM78" s="165"/>
    </row>
    <row r="79" spans="1:39" ht="24.95" hidden="1" customHeight="1" x14ac:dyDescent="0.25">
      <c r="A79" s="58">
        <v>201800084</v>
      </c>
      <c r="B79" s="58" t="s">
        <v>53</v>
      </c>
      <c r="C79" s="31">
        <v>539092</v>
      </c>
      <c r="D79" s="226">
        <v>43411</v>
      </c>
      <c r="E79" s="50">
        <v>512800</v>
      </c>
      <c r="F79" s="5" t="s">
        <v>45</v>
      </c>
      <c r="G79" s="3"/>
      <c r="H79" s="1" t="s">
        <v>23</v>
      </c>
      <c r="I79" s="1" t="s">
        <v>23</v>
      </c>
      <c r="J79" s="8" t="s">
        <v>34</v>
      </c>
      <c r="K79" s="189">
        <v>7</v>
      </c>
      <c r="L79" s="36"/>
      <c r="M79" s="36"/>
      <c r="N79" s="8"/>
      <c r="O79" s="26">
        <v>6109</v>
      </c>
      <c r="P79" s="9">
        <v>3.421E-3</v>
      </c>
      <c r="Q79" s="8">
        <v>24.5</v>
      </c>
      <c r="R79" s="8">
        <f t="shared" si="19"/>
        <v>101</v>
      </c>
      <c r="S79" s="8">
        <f>((K79/2)*(K79/2)*3.14*9*3)/1000</f>
        <v>1.0385550000000003</v>
      </c>
      <c r="T79" s="1">
        <f>+P79*O79</f>
        <v>20.898889</v>
      </c>
      <c r="U79" s="8">
        <f t="shared" si="20"/>
        <v>1.0282722772277231E-2</v>
      </c>
      <c r="V79" s="215">
        <v>62.817153415841602</v>
      </c>
      <c r="W79" s="203"/>
      <c r="X79" s="203"/>
      <c r="Y7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79" s="21">
        <f t="shared" si="21"/>
        <v>6.4504138613861416E-3</v>
      </c>
      <c r="AA79" s="21">
        <f t="shared" si="22"/>
        <v>39.405578279207937</v>
      </c>
      <c r="AB79" s="21">
        <f t="shared" si="23"/>
        <v>4.1130891089108927E-4</v>
      </c>
      <c r="AC79" s="21">
        <f t="shared" si="24"/>
        <v>2.5126861366336644</v>
      </c>
      <c r="AD79" s="21">
        <f t="shared" si="25"/>
        <v>41.918264415841605</v>
      </c>
      <c r="AE79" s="21">
        <f t="shared" si="26"/>
        <v>41.918264415841598</v>
      </c>
      <c r="AF79" s="21">
        <f t="shared" si="27"/>
        <v>0</v>
      </c>
      <c r="AG79" s="9">
        <v>6.0400000000000004E-4</v>
      </c>
      <c r="AH79" s="9">
        <v>9.7350000000000006E-3</v>
      </c>
      <c r="AI79" s="10">
        <v>59.471115000000005</v>
      </c>
      <c r="AJ79" s="11">
        <v>5.6780000000000008E-3</v>
      </c>
      <c r="AK79" s="12">
        <v>34.686902000000003</v>
      </c>
      <c r="AL79" s="12">
        <v>3.6898360000000001</v>
      </c>
      <c r="AM79" s="165">
        <v>0.6453004622496149</v>
      </c>
    </row>
    <row r="80" spans="1:39" ht="24.95" hidden="1" customHeight="1" x14ac:dyDescent="0.25">
      <c r="A80" s="159">
        <v>201800081</v>
      </c>
      <c r="B80" s="58" t="s">
        <v>53</v>
      </c>
      <c r="C80" s="31">
        <v>539116</v>
      </c>
      <c r="D80" s="226">
        <v>43412</v>
      </c>
      <c r="E80" s="50" t="s">
        <v>43</v>
      </c>
      <c r="F80" s="5" t="s">
        <v>44</v>
      </c>
      <c r="G80" s="5"/>
      <c r="H80" s="1" t="s">
        <v>23</v>
      </c>
      <c r="I80" s="1" t="s">
        <v>23</v>
      </c>
      <c r="J80" s="8" t="s">
        <v>34</v>
      </c>
      <c r="K80" s="188">
        <v>22</v>
      </c>
      <c r="L80" s="36"/>
      <c r="M80" s="36"/>
      <c r="N80" s="8"/>
      <c r="O80" s="136">
        <v>1700</v>
      </c>
      <c r="P80" s="9">
        <v>7.4759999999999993E-2</v>
      </c>
      <c r="Q80" s="19">
        <v>39.5</v>
      </c>
      <c r="R80" s="8">
        <f t="shared" si="19"/>
        <v>65</v>
      </c>
      <c r="S80" s="8">
        <f>((K80/2)*(K80/2)*3.14*9*3)/1000</f>
        <v>10.258380000000001</v>
      </c>
      <c r="T80" s="1">
        <f>+P80*O80</f>
        <v>127.09199999999998</v>
      </c>
      <c r="U80" s="8">
        <f t="shared" si="20"/>
        <v>0.15782123076923077</v>
      </c>
      <c r="V80" s="215">
        <v>268.29609230769233</v>
      </c>
      <c r="W80" s="203"/>
      <c r="X80" s="203"/>
      <c r="Y8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0" s="21">
        <f t="shared" si="21"/>
        <v>7.6748381538461544E-2</v>
      </c>
      <c r="AA80" s="21">
        <f t="shared" si="22"/>
        <v>130.47224861538461</v>
      </c>
      <c r="AB80" s="21">
        <f t="shared" si="23"/>
        <v>4.0627247524752472E-3</v>
      </c>
      <c r="AC80" s="21">
        <f t="shared" si="24"/>
        <v>6.9066320792079203</v>
      </c>
      <c r="AD80" s="21">
        <f t="shared" si="25"/>
        <v>141.20409230769235</v>
      </c>
      <c r="AE80" s="21">
        <f t="shared" si="26"/>
        <v>137.37888069459254</v>
      </c>
      <c r="AF80" s="21">
        <f t="shared" si="27"/>
        <v>-3.8252116130998104</v>
      </c>
      <c r="AG80" s="11">
        <v>9.2720000000000007E-3</v>
      </c>
      <c r="AH80" s="11">
        <v>0.14954500000000001</v>
      </c>
      <c r="AI80" s="10">
        <f>AH80*O80</f>
        <v>254.22650000000002</v>
      </c>
      <c r="AJ80" s="28">
        <f>AH80-AG80-P80</f>
        <v>6.5513000000000016E-2</v>
      </c>
      <c r="AK80" s="12">
        <f>AJ80*O80</f>
        <v>111.37210000000003</v>
      </c>
      <c r="AL80" s="12">
        <f>O80*AG80</f>
        <v>15.762400000000001</v>
      </c>
      <c r="AM80" s="165">
        <f>(AG80+AJ80)/AH80</f>
        <v>0.50008358688020338</v>
      </c>
    </row>
    <row r="81" spans="1:39" ht="24.95" hidden="1" customHeight="1" x14ac:dyDescent="0.25">
      <c r="A81" s="154"/>
      <c r="B81" s="59" t="s">
        <v>54</v>
      </c>
      <c r="C81" s="8"/>
      <c r="D81" s="222">
        <v>43416</v>
      </c>
      <c r="E81" s="22"/>
      <c r="F81" s="8"/>
      <c r="G81" s="21"/>
      <c r="H81" s="60" t="s">
        <v>23</v>
      </c>
      <c r="I81" s="63" t="s">
        <v>23</v>
      </c>
      <c r="J81" s="61" t="s">
        <v>34</v>
      </c>
      <c r="K81" s="62">
        <v>7</v>
      </c>
      <c r="L81" s="8"/>
      <c r="M81" s="8"/>
      <c r="N81" s="8"/>
      <c r="O81" s="8"/>
      <c r="P81" s="8"/>
      <c r="Q81" s="8"/>
      <c r="R81" s="125"/>
      <c r="S81" s="8"/>
      <c r="T81" s="8"/>
      <c r="U81" s="8"/>
      <c r="V81" s="215">
        <v>0</v>
      </c>
      <c r="W81" s="210">
        <v>150</v>
      </c>
      <c r="X81" s="210"/>
      <c r="Y8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161"/>
    </row>
    <row r="82" spans="1:39" ht="24.95" hidden="1" customHeight="1" x14ac:dyDescent="0.25">
      <c r="A82" s="154"/>
      <c r="B82" s="59" t="s">
        <v>54</v>
      </c>
      <c r="C82" s="8"/>
      <c r="D82" s="222">
        <v>43416</v>
      </c>
      <c r="E82" s="22"/>
      <c r="F82" s="8"/>
      <c r="G82" s="21"/>
      <c r="H82" s="60" t="s">
        <v>23</v>
      </c>
      <c r="I82" s="63" t="s">
        <v>23</v>
      </c>
      <c r="J82" s="61" t="s">
        <v>33</v>
      </c>
      <c r="K82" s="62">
        <v>8</v>
      </c>
      <c r="L82" s="8"/>
      <c r="M82" s="8"/>
      <c r="N82" s="8"/>
      <c r="O82" s="8"/>
      <c r="P82" s="8"/>
      <c r="Q82" s="8"/>
      <c r="R82" s="125"/>
      <c r="S82" s="8"/>
      <c r="T82" s="8"/>
      <c r="U82" s="8"/>
      <c r="V82" s="215">
        <v>0</v>
      </c>
      <c r="W82" s="210">
        <v>200</v>
      </c>
      <c r="X82" s="210"/>
      <c r="Y8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161"/>
    </row>
    <row r="83" spans="1:39" ht="24.95" hidden="1" customHeight="1" x14ac:dyDescent="0.25">
      <c r="A83" s="159">
        <v>201800087</v>
      </c>
      <c r="B83" s="58" t="s">
        <v>53</v>
      </c>
      <c r="C83" s="54">
        <v>539596</v>
      </c>
      <c r="D83" s="226">
        <v>43435</v>
      </c>
      <c r="E83" s="50" t="s">
        <v>43</v>
      </c>
      <c r="F83" s="5" t="s">
        <v>44</v>
      </c>
      <c r="G83" s="5"/>
      <c r="H83" s="1" t="s">
        <v>23</v>
      </c>
      <c r="I83" s="1" t="s">
        <v>23</v>
      </c>
      <c r="J83" s="8" t="s">
        <v>34</v>
      </c>
      <c r="K83" s="188">
        <v>22</v>
      </c>
      <c r="L83" s="36"/>
      <c r="M83" s="36"/>
      <c r="N83" s="8"/>
      <c r="O83" s="136">
        <v>1450</v>
      </c>
      <c r="P83" s="9">
        <v>7.4759999999999993E-2</v>
      </c>
      <c r="Q83" s="19">
        <v>39.5</v>
      </c>
      <c r="R83" s="8">
        <f>INT(2800/(Q83+3))</f>
        <v>65</v>
      </c>
      <c r="S83" s="8">
        <f>((K83/2)*(K83/2)*3.14*9*3)/1000</f>
        <v>10.258380000000001</v>
      </c>
      <c r="T83" s="1">
        <f>+P83*O83</f>
        <v>108.40199999999999</v>
      </c>
      <c r="U83" s="8">
        <f>S83/R83</f>
        <v>0.15782123076923077</v>
      </c>
      <c r="V83" s="215">
        <v>228.84078461538462</v>
      </c>
      <c r="W83" s="203"/>
      <c r="X83" s="203"/>
      <c r="Y8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3" s="21">
        <f>(((S83/3000)*2880)-(P83*R83))/R83</f>
        <v>7.6748381538461544E-2</v>
      </c>
      <c r="AA83" s="21">
        <f>+Z83*O83</f>
        <v>111.28515323076924</v>
      </c>
      <c r="AB83" s="21">
        <f>+((S83/3000)*120)/101</f>
        <v>4.0627247524752472E-3</v>
      </c>
      <c r="AC83" s="21">
        <f>AB83*O83</f>
        <v>5.8909508910891084</v>
      </c>
      <c r="AD83" s="21">
        <f>V83-T83</f>
        <v>120.43878461538463</v>
      </c>
      <c r="AE83" s="21">
        <f>AC83+AA83</f>
        <v>117.17610412185834</v>
      </c>
      <c r="AF83" s="21">
        <f>AE83-AD83</f>
        <v>-3.2626804935262896</v>
      </c>
      <c r="AG83" s="11">
        <v>9.2720000000000007E-3</v>
      </c>
      <c r="AH83" s="11">
        <v>0.14954500000000001</v>
      </c>
      <c r="AI83" s="10">
        <f>AH83*O83</f>
        <v>216.84025000000003</v>
      </c>
      <c r="AJ83" s="28">
        <f>AH83-AG83-P83</f>
        <v>6.5513000000000016E-2</v>
      </c>
      <c r="AK83" s="12">
        <f>AJ83*O83</f>
        <v>94.993850000000023</v>
      </c>
      <c r="AL83" s="12">
        <f>O83*AG83</f>
        <v>13.444400000000002</v>
      </c>
      <c r="AM83" s="165">
        <f>(AG83+AJ83)/AH83</f>
        <v>0.50008358688020338</v>
      </c>
    </row>
    <row r="84" spans="1:39" ht="24.95" hidden="1" customHeight="1" thickBot="1" x14ac:dyDescent="0.3">
      <c r="A84" s="69">
        <v>201800102</v>
      </c>
      <c r="B84" s="69" t="s">
        <v>53</v>
      </c>
      <c r="C84" s="70">
        <v>540304</v>
      </c>
      <c r="D84" s="228">
        <v>43470</v>
      </c>
      <c r="E84" s="71">
        <v>510020</v>
      </c>
      <c r="F84" s="72" t="s">
        <v>24</v>
      </c>
      <c r="G84" s="80">
        <v>139</v>
      </c>
      <c r="H84" s="57" t="s">
        <v>23</v>
      </c>
      <c r="I84" s="57" t="s">
        <v>23</v>
      </c>
      <c r="J84" s="73" t="s">
        <v>33</v>
      </c>
      <c r="K84" s="190">
        <v>8</v>
      </c>
      <c r="L84" s="82"/>
      <c r="M84" s="82"/>
      <c r="N84" s="201"/>
      <c r="O84" s="70">
        <v>16772</v>
      </c>
      <c r="P84" s="76">
        <v>1.446E-3</v>
      </c>
      <c r="Q84" s="81">
        <v>6</v>
      </c>
      <c r="R84" s="81">
        <f>INT(2800/(Q84+3))</f>
        <v>311</v>
      </c>
      <c r="S84" s="81">
        <f>((K84*K84)*0.866*9*3)/1000</f>
        <v>1.4964479999999998</v>
      </c>
      <c r="T84" s="57">
        <f>+O84*P84</f>
        <v>24.252312</v>
      </c>
      <c r="U84" s="81">
        <f>S84/R84</f>
        <v>4.8117299035369768E-3</v>
      </c>
      <c r="V84" s="216">
        <v>80.702333942122181</v>
      </c>
      <c r="W84" s="204"/>
      <c r="X84" s="204"/>
      <c r="Y8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4" s="74">
        <f>(((S84/3000)*2880)-(P84*R84))/R84</f>
        <v>3.1732607073954979E-3</v>
      </c>
      <c r="AA84" s="74">
        <f>+Z84*O84</f>
        <v>53.221928584437293</v>
      </c>
      <c r="AB84" s="74">
        <f>+((S84/3000)*120)/101</f>
        <v>5.9265267326732659E-4</v>
      </c>
      <c r="AC84" s="74">
        <f>AB84*O84</f>
        <v>9.9399706360396021</v>
      </c>
      <c r="AD84" s="74">
        <f>V84-T84</f>
        <v>56.450021942122177</v>
      </c>
      <c r="AE84" s="74">
        <f>AC84+AA84</f>
        <v>63.161899220476897</v>
      </c>
      <c r="AF84" s="74">
        <f>AE84-AD84</f>
        <v>6.71187727835472</v>
      </c>
      <c r="AG84" s="76"/>
      <c r="AH84" s="76"/>
      <c r="AI84" s="77"/>
      <c r="AJ84" s="78"/>
      <c r="AK84" s="79"/>
      <c r="AL84" s="79"/>
      <c r="AM84" s="166"/>
    </row>
    <row r="85" spans="1:39" ht="24.95" hidden="1" customHeight="1" thickTop="1" thickBot="1" x14ac:dyDescent="0.3">
      <c r="A85" s="158">
        <v>201800102</v>
      </c>
      <c r="B85" s="108" t="s">
        <v>53</v>
      </c>
      <c r="C85" s="118">
        <v>540304</v>
      </c>
      <c r="D85" s="229">
        <v>43470</v>
      </c>
      <c r="E85" s="110">
        <v>512800</v>
      </c>
      <c r="F85" s="111" t="s">
        <v>45</v>
      </c>
      <c r="G85" s="108"/>
      <c r="H85" s="119" t="s">
        <v>23</v>
      </c>
      <c r="I85" s="119" t="s">
        <v>23</v>
      </c>
      <c r="J85" s="120" t="s">
        <v>34</v>
      </c>
      <c r="K85" s="194">
        <v>7</v>
      </c>
      <c r="L85" s="121"/>
      <c r="M85" s="121"/>
      <c r="N85" s="200"/>
      <c r="O85" s="118">
        <v>1000</v>
      </c>
      <c r="P85" s="114">
        <v>3.421E-3</v>
      </c>
      <c r="Q85" s="120">
        <v>24.5</v>
      </c>
      <c r="R85" s="120">
        <f>INT(2800/(Q85+3))</f>
        <v>101</v>
      </c>
      <c r="S85" s="120">
        <f>((K85/2)*(K85/2)*3.14*9*3)/1000</f>
        <v>1.0385550000000003</v>
      </c>
      <c r="T85" s="119">
        <f>+P85*O85</f>
        <v>3.4209999999999998</v>
      </c>
      <c r="U85" s="120">
        <f>S85/R85</f>
        <v>1.0282722772277231E-2</v>
      </c>
      <c r="V85" s="217">
        <v>10.28272277227723</v>
      </c>
      <c r="W85" s="206"/>
      <c r="X85" s="206"/>
      <c r="Y8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5" s="112">
        <f>(((S85/3000)*2880)-(P85*R85))/R85</f>
        <v>6.4504138613861416E-3</v>
      </c>
      <c r="AA85" s="112">
        <f>+Z85*O85</f>
        <v>6.4504138613861413</v>
      </c>
      <c r="AB85" s="112">
        <f>+((S85/3000)*120)/101</f>
        <v>4.1130891089108927E-4</v>
      </c>
      <c r="AC85" s="112">
        <f>AB85*O85</f>
        <v>0.41130891089108929</v>
      </c>
      <c r="AD85" s="112">
        <f>V85-T85</f>
        <v>6.8617227722772309</v>
      </c>
      <c r="AE85" s="112">
        <f>AC85+AA85</f>
        <v>6.8617227722772309</v>
      </c>
      <c r="AF85" s="112">
        <f>AE85-AD85</f>
        <v>0</v>
      </c>
      <c r="AG85" s="114"/>
      <c r="AH85" s="114"/>
      <c r="AI85" s="115"/>
      <c r="AJ85" s="116"/>
      <c r="AK85" s="117"/>
      <c r="AL85" s="117"/>
      <c r="AM85" s="167"/>
    </row>
    <row r="86" spans="1:39" ht="24.95" hidden="1" customHeight="1" x14ac:dyDescent="0.25">
      <c r="A86" s="160">
        <v>201900001</v>
      </c>
      <c r="B86" s="86" t="s">
        <v>53</v>
      </c>
      <c r="C86" s="107">
        <v>540757</v>
      </c>
      <c r="D86" s="231">
        <v>43491</v>
      </c>
      <c r="E86" s="88" t="s">
        <v>43</v>
      </c>
      <c r="F86" s="89" t="s">
        <v>44</v>
      </c>
      <c r="G86" s="89"/>
      <c r="H86" s="91" t="s">
        <v>23</v>
      </c>
      <c r="I86" s="91" t="s">
        <v>23</v>
      </c>
      <c r="J86" s="92" t="s">
        <v>34</v>
      </c>
      <c r="K86" s="196">
        <v>22</v>
      </c>
      <c r="L86" s="93"/>
      <c r="M86" s="93"/>
      <c r="N86" s="92"/>
      <c r="O86" s="150">
        <v>1000</v>
      </c>
      <c r="P86" s="102">
        <v>7.4759999999999993E-2</v>
      </c>
      <c r="Q86" s="102">
        <v>39.5</v>
      </c>
      <c r="R86" s="92">
        <f>INT(2800/(Q86+3))</f>
        <v>65</v>
      </c>
      <c r="S86" s="92">
        <f>((K86/2)*(K86/2)*3.14*9*3)/1000</f>
        <v>10.258380000000001</v>
      </c>
      <c r="T86" s="91">
        <f>+P86*O86</f>
        <v>74.759999999999991</v>
      </c>
      <c r="U86" s="92">
        <f>S86/R86</f>
        <v>0.15782123076923077</v>
      </c>
      <c r="V86" s="218">
        <v>157.82123076923077</v>
      </c>
      <c r="W86" s="208"/>
      <c r="X86" s="208"/>
      <c r="Y8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6" s="105">
        <f>(((S86/3000)*2880)-(P86*R86))/R86</f>
        <v>7.6748381538461544E-2</v>
      </c>
      <c r="AA86" s="105">
        <f>+Z86*O86</f>
        <v>76.748381538461544</v>
      </c>
      <c r="AB86" s="105">
        <f>+((S86/3000)*120)/101</f>
        <v>4.0627247524752472E-3</v>
      </c>
      <c r="AC86" s="105">
        <f>AB86*O86</f>
        <v>4.0627247524752477</v>
      </c>
      <c r="AD86" s="105">
        <f>V86-T86</f>
        <v>83.061230769230775</v>
      </c>
      <c r="AE86" s="105">
        <f>AC86+AA86</f>
        <v>80.811106290936792</v>
      </c>
      <c r="AF86" s="105">
        <f>AE86-AD86</f>
        <v>-2.2501244782939835</v>
      </c>
      <c r="AG86" s="97">
        <v>9.2720000000000007E-3</v>
      </c>
      <c r="AH86" s="97">
        <v>0.14954500000000001</v>
      </c>
      <c r="AI86" s="96">
        <f>AH86*O86</f>
        <v>149.54500000000002</v>
      </c>
      <c r="AJ86" s="106">
        <f>AH86-AG86-P86</f>
        <v>6.5513000000000016E-2</v>
      </c>
      <c r="AK86" s="98">
        <f>AJ86*O86</f>
        <v>65.513000000000019</v>
      </c>
      <c r="AL86" s="98">
        <f>O86*AG86</f>
        <v>9.2720000000000002</v>
      </c>
      <c r="AM86" s="168">
        <f>(AG86+AJ86)/AH86</f>
        <v>0.50008358688020338</v>
      </c>
    </row>
    <row r="87" spans="1:39" ht="24.95" hidden="1" customHeight="1" thickBot="1" x14ac:dyDescent="0.3">
      <c r="A87" s="69">
        <v>201900004</v>
      </c>
      <c r="B87" s="69" t="s">
        <v>53</v>
      </c>
      <c r="C87" s="70">
        <v>540988</v>
      </c>
      <c r="D87" s="228">
        <v>43502</v>
      </c>
      <c r="E87" s="71">
        <v>510020</v>
      </c>
      <c r="F87" s="72" t="s">
        <v>24</v>
      </c>
      <c r="G87" s="80">
        <v>139</v>
      </c>
      <c r="H87" s="57" t="s">
        <v>23</v>
      </c>
      <c r="I87" s="57" t="s">
        <v>23</v>
      </c>
      <c r="J87" s="73" t="s">
        <v>33</v>
      </c>
      <c r="K87" s="190">
        <v>8</v>
      </c>
      <c r="L87" s="82"/>
      <c r="M87" s="82"/>
      <c r="N87" s="201"/>
      <c r="O87" s="70">
        <v>18228</v>
      </c>
      <c r="P87" s="75">
        <v>1.446E-3</v>
      </c>
      <c r="Q87" s="75">
        <v>6</v>
      </c>
      <c r="R87" s="81">
        <f>INT(2800/(Q87+3))</f>
        <v>311</v>
      </c>
      <c r="S87" s="81">
        <f>((K87*K87)*0.866*9*3)/1000</f>
        <v>1.4964479999999998</v>
      </c>
      <c r="T87" s="57">
        <f>+O87*P87</f>
        <v>26.357688</v>
      </c>
      <c r="U87" s="81">
        <f>S87/R87</f>
        <v>4.8117299035369768E-3</v>
      </c>
      <c r="V87" s="216">
        <v>87.708212681672009</v>
      </c>
      <c r="W87" s="204"/>
      <c r="X87" s="204"/>
      <c r="Y8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7" s="74">
        <f>(((S87/3000)*2880)-(P87*R87))/R87</f>
        <v>3.1732607073954979E-3</v>
      </c>
      <c r="AA87" s="74">
        <f>+Z87*O87</f>
        <v>57.842196174405139</v>
      </c>
      <c r="AB87" s="74">
        <f>+((S87/3000)*120)/101</f>
        <v>5.9265267326732659E-4</v>
      </c>
      <c r="AC87" s="74">
        <f>AB87*O87</f>
        <v>10.802872928316829</v>
      </c>
      <c r="AD87" s="74">
        <f>V87-T87</f>
        <v>61.350524681672013</v>
      </c>
      <c r="AE87" s="74">
        <f>AC87+AA87</f>
        <v>68.645069102721962</v>
      </c>
      <c r="AF87" s="74">
        <f>AE87-AD87</f>
        <v>7.2945444210499488</v>
      </c>
      <c r="AG87" s="76"/>
      <c r="AH87" s="76"/>
      <c r="AI87" s="77"/>
      <c r="AJ87" s="78"/>
      <c r="AK87" s="79"/>
      <c r="AL87" s="79"/>
      <c r="AM87" s="166"/>
    </row>
    <row r="88" spans="1:39" ht="24.95" hidden="1" customHeight="1" thickTop="1" thickBot="1" x14ac:dyDescent="0.3">
      <c r="A88" s="156"/>
      <c r="B88" s="127" t="s">
        <v>54</v>
      </c>
      <c r="C88" s="120"/>
      <c r="D88" s="224">
        <v>43516</v>
      </c>
      <c r="E88" s="124"/>
      <c r="F88" s="120"/>
      <c r="G88" s="112"/>
      <c r="H88" s="129" t="s">
        <v>23</v>
      </c>
      <c r="I88" s="131" t="s">
        <v>23</v>
      </c>
      <c r="J88" s="127" t="s">
        <v>33</v>
      </c>
      <c r="K88" s="133">
        <v>8</v>
      </c>
      <c r="L88" s="120"/>
      <c r="M88" s="120"/>
      <c r="N88" s="120"/>
      <c r="O88" s="120"/>
      <c r="P88" s="120"/>
      <c r="Q88" s="120"/>
      <c r="R88" s="134"/>
      <c r="S88" s="120"/>
      <c r="T88" s="120"/>
      <c r="U88" s="120"/>
      <c r="V88" s="217">
        <v>0</v>
      </c>
      <c r="W88" s="212">
        <v>150</v>
      </c>
      <c r="X88" s="212"/>
      <c r="Y8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8" s="120"/>
      <c r="AA88" s="120"/>
      <c r="AB88" s="120"/>
      <c r="AC88" s="120"/>
      <c r="AD88" s="120"/>
      <c r="AE88" s="120"/>
      <c r="AF88" s="120"/>
      <c r="AG88" s="120"/>
      <c r="AH88" s="120"/>
      <c r="AI88" s="120"/>
      <c r="AJ88" s="120"/>
      <c r="AK88" s="120"/>
      <c r="AL88" s="120"/>
      <c r="AM88" s="163"/>
    </row>
    <row r="89" spans="1:39" ht="24.95" hidden="1" customHeight="1" x14ac:dyDescent="0.25">
      <c r="A89" s="160">
        <v>201900011</v>
      </c>
      <c r="B89" s="86" t="s">
        <v>53</v>
      </c>
      <c r="C89" s="107">
        <v>541530</v>
      </c>
      <c r="D89" s="231">
        <v>43524</v>
      </c>
      <c r="E89" s="88" t="s">
        <v>43</v>
      </c>
      <c r="F89" s="89" t="s">
        <v>44</v>
      </c>
      <c r="G89" s="89"/>
      <c r="H89" s="91" t="s">
        <v>23</v>
      </c>
      <c r="I89" s="91" t="s">
        <v>23</v>
      </c>
      <c r="J89" s="92" t="s">
        <v>34</v>
      </c>
      <c r="K89" s="196">
        <v>22</v>
      </c>
      <c r="L89" s="93"/>
      <c r="M89" s="93"/>
      <c r="N89" s="92"/>
      <c r="O89" s="150">
        <v>2800</v>
      </c>
      <c r="P89" s="102">
        <v>7.4759999999999993E-2</v>
      </c>
      <c r="Q89" s="102">
        <v>39.5</v>
      </c>
      <c r="R89" s="92">
        <f t="shared" ref="R89:R98" si="28">INT(2800/(Q89+3))</f>
        <v>65</v>
      </c>
      <c r="S89" s="92">
        <f>((K89/2)*(K89/2)*3.14*9*3)/1000</f>
        <v>10.258380000000001</v>
      </c>
      <c r="T89" s="91">
        <f>+P89*O89</f>
        <v>209.32799999999997</v>
      </c>
      <c r="U89" s="92">
        <f t="shared" ref="U89:U98" si="29">S89/R89</f>
        <v>0.15782123076923077</v>
      </c>
      <c r="V89" s="218">
        <v>441.89944615384616</v>
      </c>
      <c r="W89" s="208"/>
      <c r="X89" s="208"/>
      <c r="Y8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89" s="105">
        <f t="shared" ref="Z89:Z98" si="30">(((S89/3000)*2880)-(P89*R89))/R89</f>
        <v>7.6748381538461544E-2</v>
      </c>
      <c r="AA89" s="105">
        <f t="shared" ref="AA89:AA98" si="31">+Z89*O89</f>
        <v>214.89546830769231</v>
      </c>
      <c r="AB89" s="105">
        <f t="shared" ref="AB89:AB98" si="32">+((S89/3000)*120)/101</f>
        <v>4.0627247524752472E-3</v>
      </c>
      <c r="AC89" s="105">
        <f t="shared" ref="AC89:AC98" si="33">AB89*O89</f>
        <v>11.375629306930692</v>
      </c>
      <c r="AD89" s="105">
        <f t="shared" ref="AD89:AD98" si="34">V89-T89</f>
        <v>232.57144615384618</v>
      </c>
      <c r="AE89" s="105">
        <f t="shared" ref="AE89:AE98" si="35">AC89+AA89</f>
        <v>226.27109761462302</v>
      </c>
      <c r="AF89" s="105">
        <f t="shared" ref="AF89:AF98" si="36">AE89-AD89</f>
        <v>-6.3003485392231653</v>
      </c>
      <c r="AG89" s="97">
        <v>9.2720000000000007E-3</v>
      </c>
      <c r="AH89" s="97">
        <v>0.14954500000000001</v>
      </c>
      <c r="AI89" s="96">
        <f>AH89*O89</f>
        <v>418.72600000000006</v>
      </c>
      <c r="AJ89" s="106">
        <f>AH89-AG89-P89</f>
        <v>6.5513000000000016E-2</v>
      </c>
      <c r="AK89" s="98">
        <f>AJ89*O89</f>
        <v>183.43640000000005</v>
      </c>
      <c r="AL89" s="98">
        <f>O89*AG89</f>
        <v>25.961600000000001</v>
      </c>
      <c r="AM89" s="168">
        <f>(AG89+AJ89)/AH89</f>
        <v>0.50008358688020338</v>
      </c>
    </row>
    <row r="90" spans="1:39" ht="24.95" hidden="1" customHeight="1" x14ac:dyDescent="0.25">
      <c r="A90" s="58">
        <v>201900020</v>
      </c>
      <c r="B90" s="58" t="s">
        <v>53</v>
      </c>
      <c r="C90" s="16">
        <v>541778</v>
      </c>
      <c r="D90" s="227">
        <v>43531</v>
      </c>
      <c r="E90" s="50">
        <v>510020</v>
      </c>
      <c r="F90" s="5" t="s">
        <v>24</v>
      </c>
      <c r="G90" s="27">
        <v>139</v>
      </c>
      <c r="H90" s="1" t="s">
        <v>23</v>
      </c>
      <c r="I90" s="1" t="s">
        <v>23</v>
      </c>
      <c r="J90" s="3" t="s">
        <v>33</v>
      </c>
      <c r="K90" s="189">
        <v>8</v>
      </c>
      <c r="L90" s="36"/>
      <c r="M90" s="36"/>
      <c r="N90" s="23"/>
      <c r="O90" s="16">
        <v>12760</v>
      </c>
      <c r="P90" s="9">
        <v>1.446E-3</v>
      </c>
      <c r="Q90" s="8">
        <v>6</v>
      </c>
      <c r="R90" s="8">
        <f t="shared" si="28"/>
        <v>311</v>
      </c>
      <c r="S90" s="8">
        <f>((K90*K90)*0.866*9*3)/1000</f>
        <v>1.4964479999999998</v>
      </c>
      <c r="T90" s="1">
        <f>+O90*P90</f>
        <v>18.450960000000002</v>
      </c>
      <c r="U90" s="8">
        <f t="shared" si="29"/>
        <v>4.8117299035369768E-3</v>
      </c>
      <c r="V90" s="215">
        <v>61.397673569131825</v>
      </c>
      <c r="W90" s="203"/>
      <c r="X90" s="203"/>
      <c r="Y9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0" s="21">
        <f t="shared" si="30"/>
        <v>3.1732607073954979E-3</v>
      </c>
      <c r="AA90" s="21">
        <f t="shared" si="31"/>
        <v>40.490806626366556</v>
      </c>
      <c r="AB90" s="21">
        <f t="shared" si="32"/>
        <v>5.9265267326732659E-4</v>
      </c>
      <c r="AC90" s="21">
        <f t="shared" si="33"/>
        <v>7.5622481108910877</v>
      </c>
      <c r="AD90" s="21">
        <f t="shared" si="34"/>
        <v>42.946713569131823</v>
      </c>
      <c r="AE90" s="21">
        <f t="shared" si="35"/>
        <v>48.053054737257646</v>
      </c>
      <c r="AF90" s="21">
        <f t="shared" si="36"/>
        <v>5.1063411681258231</v>
      </c>
      <c r="AG90" s="9"/>
      <c r="AH90" s="9"/>
      <c r="AI90" s="10"/>
      <c r="AJ90" s="11"/>
      <c r="AK90" s="12"/>
      <c r="AL90" s="12"/>
      <c r="AM90" s="165"/>
    </row>
    <row r="91" spans="1:39" ht="24.95" hidden="1" customHeight="1" x14ac:dyDescent="0.25">
      <c r="A91" s="159">
        <v>201900023</v>
      </c>
      <c r="B91" s="58" t="s">
        <v>53</v>
      </c>
      <c r="C91" s="54">
        <v>542331</v>
      </c>
      <c r="D91" s="226">
        <v>43554</v>
      </c>
      <c r="E91" s="50" t="s">
        <v>43</v>
      </c>
      <c r="F91" s="5" t="s">
        <v>44</v>
      </c>
      <c r="G91" s="5"/>
      <c r="H91" s="1" t="s">
        <v>23</v>
      </c>
      <c r="I91" s="1" t="s">
        <v>23</v>
      </c>
      <c r="J91" s="8" t="s">
        <v>34</v>
      </c>
      <c r="K91" s="188">
        <v>22</v>
      </c>
      <c r="L91" s="36"/>
      <c r="M91" s="36"/>
      <c r="N91" s="8"/>
      <c r="O91" s="136">
        <v>1000</v>
      </c>
      <c r="P91" s="9">
        <v>7.4759999999999993E-2</v>
      </c>
      <c r="Q91" s="19">
        <v>39.5</v>
      </c>
      <c r="R91" s="8">
        <f t="shared" si="28"/>
        <v>65</v>
      </c>
      <c r="S91" s="8">
        <f>((K91/2)*(K91/2)*3.14*9*3)/1000</f>
        <v>10.258380000000001</v>
      </c>
      <c r="T91" s="1">
        <f>+P91*O91</f>
        <v>74.759999999999991</v>
      </c>
      <c r="U91" s="8">
        <f t="shared" si="29"/>
        <v>0.15782123076923077</v>
      </c>
      <c r="V91" s="215">
        <v>157.82123076923077</v>
      </c>
      <c r="W91" s="203"/>
      <c r="X91" s="203"/>
      <c r="Y9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1" s="21">
        <f t="shared" si="30"/>
        <v>7.6748381538461544E-2</v>
      </c>
      <c r="AA91" s="21">
        <f t="shared" si="31"/>
        <v>76.748381538461544</v>
      </c>
      <c r="AB91" s="21">
        <f t="shared" si="32"/>
        <v>4.0627247524752472E-3</v>
      </c>
      <c r="AC91" s="21">
        <f t="shared" si="33"/>
        <v>4.0627247524752477</v>
      </c>
      <c r="AD91" s="21">
        <f t="shared" si="34"/>
        <v>83.061230769230775</v>
      </c>
      <c r="AE91" s="21">
        <f t="shared" si="35"/>
        <v>80.811106290936792</v>
      </c>
      <c r="AF91" s="21">
        <f t="shared" si="36"/>
        <v>-2.2501244782939835</v>
      </c>
      <c r="AG91" s="11">
        <v>9.2720000000000007E-3</v>
      </c>
      <c r="AH91" s="11">
        <v>0.14954500000000001</v>
      </c>
      <c r="AI91" s="10">
        <f>AH91*O91</f>
        <v>149.54500000000002</v>
      </c>
      <c r="AJ91" s="28">
        <f>AH91-AG91-P91</f>
        <v>6.5513000000000016E-2</v>
      </c>
      <c r="AK91" s="12">
        <f>AJ91*O91</f>
        <v>65.513000000000019</v>
      </c>
      <c r="AL91" s="12">
        <f>O91*AG91</f>
        <v>9.2720000000000002</v>
      </c>
      <c r="AM91" s="165">
        <f>(AG91+AJ91)/AH91</f>
        <v>0.50008358688020338</v>
      </c>
    </row>
    <row r="92" spans="1:39" ht="24.95" hidden="1" customHeight="1" x14ac:dyDescent="0.25">
      <c r="A92" s="58">
        <v>201900026</v>
      </c>
      <c r="B92" s="58" t="s">
        <v>53</v>
      </c>
      <c r="C92" s="16">
        <v>542534</v>
      </c>
      <c r="D92" s="227">
        <v>43563</v>
      </c>
      <c r="E92" s="50">
        <v>510020</v>
      </c>
      <c r="F92" s="5" t="s">
        <v>24</v>
      </c>
      <c r="G92" s="27">
        <v>139</v>
      </c>
      <c r="H92" s="1" t="s">
        <v>23</v>
      </c>
      <c r="I92" s="1" t="s">
        <v>23</v>
      </c>
      <c r="J92" s="3" t="s">
        <v>33</v>
      </c>
      <c r="K92" s="189">
        <v>8</v>
      </c>
      <c r="L92" s="36"/>
      <c r="M92" s="36"/>
      <c r="N92" s="23"/>
      <c r="O92" s="16">
        <v>2240</v>
      </c>
      <c r="P92" s="9">
        <v>1.446E-3</v>
      </c>
      <c r="Q92" s="8">
        <v>6</v>
      </c>
      <c r="R92" s="8">
        <f t="shared" si="28"/>
        <v>311</v>
      </c>
      <c r="S92" s="8">
        <f>((K92*K92)*0.866*9*3)/1000</f>
        <v>1.4964479999999998</v>
      </c>
      <c r="T92" s="1">
        <f>+O92*P92</f>
        <v>3.2390400000000001</v>
      </c>
      <c r="U92" s="8">
        <f t="shared" si="29"/>
        <v>4.8117299035369768E-3</v>
      </c>
      <c r="V92" s="215">
        <v>10.778274983922827</v>
      </c>
      <c r="W92" s="203"/>
      <c r="X92" s="203"/>
      <c r="Y9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2" s="21">
        <f t="shared" si="30"/>
        <v>3.1732607073954979E-3</v>
      </c>
      <c r="AA92" s="21">
        <f t="shared" si="31"/>
        <v>7.1081039845659149</v>
      </c>
      <c r="AB92" s="21">
        <f t="shared" si="32"/>
        <v>5.9265267326732659E-4</v>
      </c>
      <c r="AC92" s="21">
        <f t="shared" si="33"/>
        <v>1.3275419881188115</v>
      </c>
      <c r="AD92" s="21">
        <f t="shared" si="34"/>
        <v>7.5392349839228272</v>
      </c>
      <c r="AE92" s="21">
        <f t="shared" si="35"/>
        <v>8.4356459726847266</v>
      </c>
      <c r="AF92" s="21">
        <f t="shared" si="36"/>
        <v>0.8964109887618994</v>
      </c>
      <c r="AG92" s="9"/>
      <c r="AH92" s="9"/>
      <c r="AI92" s="10"/>
      <c r="AJ92" s="11"/>
      <c r="AK92" s="12"/>
      <c r="AL92" s="12"/>
      <c r="AM92" s="165"/>
    </row>
    <row r="93" spans="1:39" ht="24.95" hidden="1" customHeight="1" x14ac:dyDescent="0.25">
      <c r="A93" s="159">
        <v>201900034</v>
      </c>
      <c r="B93" s="58" t="s">
        <v>53</v>
      </c>
      <c r="C93" s="54">
        <v>543037</v>
      </c>
      <c r="D93" s="226">
        <v>43581</v>
      </c>
      <c r="E93" s="50" t="s">
        <v>43</v>
      </c>
      <c r="F93" s="5" t="s">
        <v>44</v>
      </c>
      <c r="G93" s="5"/>
      <c r="H93" s="1" t="s">
        <v>23</v>
      </c>
      <c r="I93" s="1" t="s">
        <v>23</v>
      </c>
      <c r="J93" s="8" t="s">
        <v>34</v>
      </c>
      <c r="K93" s="188">
        <v>22</v>
      </c>
      <c r="L93" s="36"/>
      <c r="M93" s="36"/>
      <c r="N93" s="8"/>
      <c r="O93" s="136">
        <v>1500</v>
      </c>
      <c r="P93" s="9">
        <v>7.4759999999999993E-2</v>
      </c>
      <c r="Q93" s="24">
        <v>39.5</v>
      </c>
      <c r="R93" s="8">
        <f t="shared" si="28"/>
        <v>65</v>
      </c>
      <c r="S93" s="8">
        <f>((K93/2)*(K93/2)*3.14*9*3)/1000</f>
        <v>10.258380000000001</v>
      </c>
      <c r="T93" s="1">
        <f>+P93*O93</f>
        <v>112.13999999999999</v>
      </c>
      <c r="U93" s="8">
        <f t="shared" si="29"/>
        <v>0.15782123076923077</v>
      </c>
      <c r="V93" s="215">
        <v>236.73184615384616</v>
      </c>
      <c r="W93" s="203"/>
      <c r="X93" s="203"/>
      <c r="Y93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3" s="21">
        <f t="shared" si="30"/>
        <v>7.6748381538461544E-2</v>
      </c>
      <c r="AA93" s="21">
        <f t="shared" si="31"/>
        <v>115.12257230769231</v>
      </c>
      <c r="AB93" s="21">
        <f t="shared" si="32"/>
        <v>4.0627247524752472E-3</v>
      </c>
      <c r="AC93" s="21">
        <f t="shared" si="33"/>
        <v>6.0940871287128706</v>
      </c>
      <c r="AD93" s="21">
        <f t="shared" si="34"/>
        <v>124.59184615384618</v>
      </c>
      <c r="AE93" s="21">
        <f t="shared" si="35"/>
        <v>121.21665943640518</v>
      </c>
      <c r="AF93" s="21">
        <f t="shared" si="36"/>
        <v>-3.3751867174409966</v>
      </c>
      <c r="AG93" s="11">
        <v>9.2720000000000007E-3</v>
      </c>
      <c r="AH93" s="11">
        <v>0.14954500000000001</v>
      </c>
      <c r="AI93" s="10">
        <f>AH93*O93</f>
        <v>224.31750000000002</v>
      </c>
      <c r="AJ93" s="28">
        <f>AH93-AG93-P93</f>
        <v>6.5513000000000016E-2</v>
      </c>
      <c r="AK93" s="12">
        <f>AJ93*O93</f>
        <v>98.269500000000022</v>
      </c>
      <c r="AL93" s="12">
        <f>O93*AG93</f>
        <v>13.908000000000001</v>
      </c>
      <c r="AM93" s="165">
        <f>(AG93+AJ93)/AH93</f>
        <v>0.50008358688020338</v>
      </c>
    </row>
    <row r="94" spans="1:39" ht="24.95" hidden="1" customHeight="1" x14ac:dyDescent="0.25">
      <c r="A94" s="58">
        <v>201900036</v>
      </c>
      <c r="B94" s="58" t="s">
        <v>53</v>
      </c>
      <c r="C94" s="16">
        <v>543264</v>
      </c>
      <c r="D94" s="227">
        <v>43592</v>
      </c>
      <c r="E94" s="50">
        <v>510020</v>
      </c>
      <c r="F94" s="5" t="s">
        <v>24</v>
      </c>
      <c r="G94" s="27">
        <v>139</v>
      </c>
      <c r="H94" s="1" t="s">
        <v>23</v>
      </c>
      <c r="I94" s="1" t="s">
        <v>23</v>
      </c>
      <c r="J94" s="3" t="s">
        <v>33</v>
      </c>
      <c r="K94" s="189">
        <v>8</v>
      </c>
      <c r="L94" s="36"/>
      <c r="M94" s="36"/>
      <c r="N94" s="23"/>
      <c r="O94" s="16">
        <v>5000</v>
      </c>
      <c r="P94" s="9">
        <v>1.446E-3</v>
      </c>
      <c r="Q94" s="24">
        <v>6</v>
      </c>
      <c r="R94" s="8">
        <f t="shared" si="28"/>
        <v>311</v>
      </c>
      <c r="S94" s="8">
        <f>((K94*K94)*0.866*9*3)/1000</f>
        <v>1.4964479999999998</v>
      </c>
      <c r="T94" s="1">
        <f>+O94*P94</f>
        <v>7.23</v>
      </c>
      <c r="U94" s="8">
        <f t="shared" si="29"/>
        <v>4.8117299035369768E-3</v>
      </c>
      <c r="V94" s="215">
        <v>24.058649517684884</v>
      </c>
      <c r="W94" s="203"/>
      <c r="X94" s="203"/>
      <c r="Y9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4" s="21">
        <f t="shared" si="30"/>
        <v>3.1732607073954979E-3</v>
      </c>
      <c r="AA94" s="21">
        <f t="shared" si="31"/>
        <v>15.866303536977489</v>
      </c>
      <c r="AB94" s="21">
        <f t="shared" si="32"/>
        <v>5.9265267326732659E-4</v>
      </c>
      <c r="AC94" s="21">
        <f t="shared" si="33"/>
        <v>2.963263366336633</v>
      </c>
      <c r="AD94" s="21">
        <f t="shared" si="34"/>
        <v>16.828649517684884</v>
      </c>
      <c r="AE94" s="21">
        <f t="shared" si="35"/>
        <v>18.82956690331412</v>
      </c>
      <c r="AF94" s="21">
        <f t="shared" si="36"/>
        <v>2.0009173856292364</v>
      </c>
      <c r="AG94" s="9"/>
      <c r="AH94" s="9"/>
      <c r="AI94" s="10"/>
      <c r="AJ94" s="11"/>
      <c r="AK94" s="12"/>
      <c r="AL94" s="12"/>
      <c r="AM94" s="165"/>
    </row>
    <row r="95" spans="1:39" ht="24.95" hidden="1" customHeight="1" x14ac:dyDescent="0.25">
      <c r="A95" s="58">
        <v>201900036</v>
      </c>
      <c r="B95" s="58" t="s">
        <v>53</v>
      </c>
      <c r="C95" s="16">
        <v>543264</v>
      </c>
      <c r="D95" s="227">
        <v>43592</v>
      </c>
      <c r="E95" s="50">
        <v>512800</v>
      </c>
      <c r="F95" s="5" t="s">
        <v>45</v>
      </c>
      <c r="G95" s="3"/>
      <c r="H95" s="1" t="s">
        <v>23</v>
      </c>
      <c r="I95" s="1" t="s">
        <v>23</v>
      </c>
      <c r="J95" s="8" t="s">
        <v>34</v>
      </c>
      <c r="K95" s="189">
        <v>7</v>
      </c>
      <c r="L95" s="36"/>
      <c r="M95" s="36"/>
      <c r="N95" s="23"/>
      <c r="O95" s="16">
        <v>20000</v>
      </c>
      <c r="P95" s="9">
        <v>3.421E-3</v>
      </c>
      <c r="Q95" s="24">
        <v>24.5</v>
      </c>
      <c r="R95" s="8">
        <f t="shared" si="28"/>
        <v>101</v>
      </c>
      <c r="S95" s="8">
        <f>((K95/2)*(K95/2)*3.14*9*3)/1000</f>
        <v>1.0385550000000003</v>
      </c>
      <c r="T95" s="1">
        <f>+P95*O95</f>
        <v>68.42</v>
      </c>
      <c r="U95" s="8">
        <f t="shared" si="29"/>
        <v>1.0282722772277231E-2</v>
      </c>
      <c r="V95" s="215">
        <v>205.65445544554461</v>
      </c>
      <c r="W95" s="203"/>
      <c r="X95" s="203"/>
      <c r="Y95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5" s="21">
        <f t="shared" si="30"/>
        <v>6.4504138613861416E-3</v>
      </c>
      <c r="AA95" s="21">
        <f t="shared" si="31"/>
        <v>129.00827722772283</v>
      </c>
      <c r="AB95" s="21">
        <f t="shared" si="32"/>
        <v>4.1130891089108927E-4</v>
      </c>
      <c r="AC95" s="21">
        <f t="shared" si="33"/>
        <v>8.2261782178217846</v>
      </c>
      <c r="AD95" s="21">
        <f t="shared" si="34"/>
        <v>137.2344554455446</v>
      </c>
      <c r="AE95" s="21">
        <f t="shared" si="35"/>
        <v>137.23445544554463</v>
      </c>
      <c r="AF95" s="21">
        <f t="shared" si="36"/>
        <v>0</v>
      </c>
      <c r="AG95" s="9"/>
      <c r="AH95" s="9"/>
      <c r="AI95" s="10"/>
      <c r="AJ95" s="11"/>
      <c r="AK95" s="12"/>
      <c r="AL95" s="12"/>
      <c r="AM95" s="165"/>
    </row>
    <row r="96" spans="1:39" ht="24.95" hidden="1" customHeight="1" x14ac:dyDescent="0.25">
      <c r="A96" s="58">
        <v>201900048</v>
      </c>
      <c r="B96" s="58" t="s">
        <v>53</v>
      </c>
      <c r="C96" s="16">
        <v>543893</v>
      </c>
      <c r="D96" s="227">
        <v>43623</v>
      </c>
      <c r="E96" s="50">
        <v>511040</v>
      </c>
      <c r="F96" s="5" t="s">
        <v>25</v>
      </c>
      <c r="G96" s="27">
        <v>138</v>
      </c>
      <c r="H96" s="1" t="s">
        <v>23</v>
      </c>
      <c r="I96" s="1" t="s">
        <v>23</v>
      </c>
      <c r="J96" s="8" t="s">
        <v>34</v>
      </c>
      <c r="K96" s="192">
        <v>18</v>
      </c>
      <c r="L96" s="36"/>
      <c r="M96" s="36"/>
      <c r="N96" s="23"/>
      <c r="O96" s="16">
        <v>5000</v>
      </c>
      <c r="P96" s="49">
        <v>3.676E-3</v>
      </c>
      <c r="Q96" s="8">
        <v>10.3</v>
      </c>
      <c r="R96" s="8">
        <f t="shared" si="28"/>
        <v>210</v>
      </c>
      <c r="S96" s="8">
        <f>((K96/2)*(K96/2)*3.14*9*3)/1000</f>
        <v>6.8671800000000003</v>
      </c>
      <c r="T96" s="1">
        <f>+P96*O96</f>
        <v>18.38</v>
      </c>
      <c r="U96" s="8">
        <f t="shared" si="29"/>
        <v>3.2700857142857143E-2</v>
      </c>
      <c r="V96" s="215">
        <v>163.50428571428571</v>
      </c>
      <c r="W96" s="203"/>
      <c r="X96" s="203"/>
      <c r="Y96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6" s="21">
        <f t="shared" si="30"/>
        <v>2.7716822857142855E-2</v>
      </c>
      <c r="AA96" s="21">
        <f t="shared" si="31"/>
        <v>138.58411428571426</v>
      </c>
      <c r="AB96" s="21">
        <f t="shared" si="32"/>
        <v>2.719675247524752E-3</v>
      </c>
      <c r="AC96" s="21">
        <f t="shared" si="33"/>
        <v>13.598376237623759</v>
      </c>
      <c r="AD96" s="21">
        <f t="shared" si="34"/>
        <v>145.12428571428572</v>
      </c>
      <c r="AE96" s="21">
        <f t="shared" si="35"/>
        <v>152.18249052333803</v>
      </c>
      <c r="AF96" s="21">
        <f t="shared" si="36"/>
        <v>7.0582048090523131</v>
      </c>
      <c r="AG96" s="9"/>
      <c r="AH96" s="9"/>
      <c r="AI96" s="10"/>
      <c r="AJ96" s="11"/>
      <c r="AK96" s="12"/>
      <c r="AL96" s="12"/>
      <c r="AM96" s="165"/>
    </row>
    <row r="97" spans="1:39" ht="24.95" hidden="1" customHeight="1" x14ac:dyDescent="0.25">
      <c r="A97" s="58">
        <v>201900048</v>
      </c>
      <c r="B97" s="58" t="s">
        <v>53</v>
      </c>
      <c r="C97" s="16">
        <v>543893</v>
      </c>
      <c r="D97" s="227">
        <v>43623</v>
      </c>
      <c r="E97" s="50">
        <v>512800</v>
      </c>
      <c r="F97" s="5" t="s">
        <v>45</v>
      </c>
      <c r="G97" s="3"/>
      <c r="H97" s="1" t="s">
        <v>23</v>
      </c>
      <c r="I97" s="1" t="s">
        <v>23</v>
      </c>
      <c r="J97" s="8" t="s">
        <v>34</v>
      </c>
      <c r="K97" s="189">
        <v>7</v>
      </c>
      <c r="L97" s="36"/>
      <c r="M97" s="36"/>
      <c r="N97" s="23"/>
      <c r="O97" s="16">
        <v>6454</v>
      </c>
      <c r="P97" s="49">
        <v>3.421E-3</v>
      </c>
      <c r="Q97" s="8">
        <v>24.5</v>
      </c>
      <c r="R97" s="8">
        <f t="shared" si="28"/>
        <v>101</v>
      </c>
      <c r="S97" s="8">
        <f>((K97/2)*(K97/2)*3.14*9*3)/1000</f>
        <v>1.0385550000000003</v>
      </c>
      <c r="T97" s="1">
        <f>+P97*O97</f>
        <v>22.079134</v>
      </c>
      <c r="U97" s="8">
        <f t="shared" si="29"/>
        <v>1.0282722772277231E-2</v>
      </c>
      <c r="V97" s="215">
        <v>66.364692772277252</v>
      </c>
      <c r="W97" s="203"/>
      <c r="X97" s="203"/>
      <c r="Y9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7" s="21">
        <f t="shared" si="30"/>
        <v>6.4504138613861416E-3</v>
      </c>
      <c r="AA97" s="21">
        <f t="shared" si="31"/>
        <v>41.630971061386155</v>
      </c>
      <c r="AB97" s="21">
        <f t="shared" si="32"/>
        <v>4.1130891089108927E-4</v>
      </c>
      <c r="AC97" s="21">
        <f t="shared" si="33"/>
        <v>2.6545877108910902</v>
      </c>
      <c r="AD97" s="21">
        <f t="shared" si="34"/>
        <v>44.285558772277255</v>
      </c>
      <c r="AE97" s="21">
        <f t="shared" si="35"/>
        <v>44.285558772277248</v>
      </c>
      <c r="AF97" s="21">
        <f t="shared" si="36"/>
        <v>0</v>
      </c>
      <c r="AG97" s="9"/>
      <c r="AH97" s="9"/>
      <c r="AI97" s="10"/>
      <c r="AJ97" s="11"/>
      <c r="AK97" s="12"/>
      <c r="AL97" s="12"/>
      <c r="AM97" s="165"/>
    </row>
    <row r="98" spans="1:39" ht="24.95" hidden="1" customHeight="1" x14ac:dyDescent="0.25">
      <c r="A98" s="58">
        <v>201900070</v>
      </c>
      <c r="B98" s="58" t="s">
        <v>53</v>
      </c>
      <c r="C98" s="16">
        <v>545440</v>
      </c>
      <c r="D98" s="227">
        <v>43685</v>
      </c>
      <c r="E98" s="50">
        <v>510020</v>
      </c>
      <c r="F98" s="5" t="s">
        <v>24</v>
      </c>
      <c r="G98" s="27">
        <v>139</v>
      </c>
      <c r="H98" s="1" t="s">
        <v>23</v>
      </c>
      <c r="I98" s="1" t="s">
        <v>23</v>
      </c>
      <c r="J98" s="3" t="s">
        <v>33</v>
      </c>
      <c r="K98" s="189">
        <v>8</v>
      </c>
      <c r="L98" s="36"/>
      <c r="M98" s="36"/>
      <c r="N98" s="23"/>
      <c r="O98" s="16">
        <v>20000</v>
      </c>
      <c r="P98" s="49">
        <v>1.446E-3</v>
      </c>
      <c r="Q98" s="8">
        <v>6</v>
      </c>
      <c r="R98" s="8">
        <f t="shared" si="28"/>
        <v>311</v>
      </c>
      <c r="S98" s="8">
        <f>((K98*K98)*0.866*9*3)/1000</f>
        <v>1.4964479999999998</v>
      </c>
      <c r="T98" s="1">
        <f>+O98*P98</f>
        <v>28.92</v>
      </c>
      <c r="U98" s="8">
        <f t="shared" si="29"/>
        <v>4.8117299035369768E-3</v>
      </c>
      <c r="V98" s="215">
        <v>96.234598070739537</v>
      </c>
      <c r="W98" s="203"/>
      <c r="X98" s="203"/>
      <c r="Y9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8" s="21">
        <f t="shared" si="30"/>
        <v>3.1732607073954979E-3</v>
      </c>
      <c r="AA98" s="21">
        <f t="shared" si="31"/>
        <v>63.465214147909954</v>
      </c>
      <c r="AB98" s="21">
        <f t="shared" si="32"/>
        <v>5.9265267326732659E-4</v>
      </c>
      <c r="AC98" s="21">
        <f t="shared" si="33"/>
        <v>11.853053465346532</v>
      </c>
      <c r="AD98" s="21">
        <f t="shared" si="34"/>
        <v>67.314598070739535</v>
      </c>
      <c r="AE98" s="21">
        <f t="shared" si="35"/>
        <v>75.318267613256481</v>
      </c>
      <c r="AF98" s="21">
        <f t="shared" si="36"/>
        <v>8.0036695425169455</v>
      </c>
      <c r="AG98" s="9"/>
      <c r="AH98" s="9"/>
      <c r="AI98" s="10"/>
      <c r="AJ98" s="11"/>
      <c r="AK98" s="12"/>
      <c r="AL98" s="12"/>
      <c r="AM98" s="165"/>
    </row>
    <row r="99" spans="1:39" ht="24.95" customHeight="1" x14ac:dyDescent="0.25">
      <c r="A99" s="154"/>
      <c r="B99" s="59" t="s">
        <v>54</v>
      </c>
      <c r="C99" s="8"/>
      <c r="D99" s="222">
        <v>43696</v>
      </c>
      <c r="E99" s="22"/>
      <c r="F99" s="8"/>
      <c r="G99" s="21"/>
      <c r="H99" s="60" t="s">
        <v>23</v>
      </c>
      <c r="I99" s="64" t="s">
        <v>23</v>
      </c>
      <c r="J99" s="64" t="s">
        <v>34</v>
      </c>
      <c r="K99" s="197">
        <v>22</v>
      </c>
      <c r="L99" s="8"/>
      <c r="M99" s="8"/>
      <c r="N99" s="8"/>
      <c r="O99" s="137"/>
      <c r="P99" s="8"/>
      <c r="Q99" s="8"/>
      <c r="R99" s="125"/>
      <c r="S99" s="8"/>
      <c r="T99" s="8"/>
      <c r="U99" s="8"/>
      <c r="V99" s="215">
        <v>0</v>
      </c>
      <c r="W99" s="210">
        <v>3060</v>
      </c>
      <c r="X99" s="210"/>
      <c r="Y9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161"/>
    </row>
    <row r="100" spans="1:39" ht="24.95" hidden="1" customHeight="1" x14ac:dyDescent="0.25">
      <c r="A100" s="154"/>
      <c r="B100" s="59" t="s">
        <v>54</v>
      </c>
      <c r="C100" s="8"/>
      <c r="D100" s="222">
        <v>43696</v>
      </c>
      <c r="E100" s="22"/>
      <c r="F100" s="8"/>
      <c r="G100" s="21"/>
      <c r="H100" s="60" t="s">
        <v>23</v>
      </c>
      <c r="I100" s="64" t="s">
        <v>23</v>
      </c>
      <c r="J100" s="64" t="s">
        <v>34</v>
      </c>
      <c r="K100" s="197">
        <v>18</v>
      </c>
      <c r="L100" s="8"/>
      <c r="M100" s="8"/>
      <c r="N100" s="8"/>
      <c r="O100" s="8"/>
      <c r="P100" s="8"/>
      <c r="Q100" s="8"/>
      <c r="R100" s="125"/>
      <c r="S100" s="8"/>
      <c r="T100" s="8"/>
      <c r="U100" s="8"/>
      <c r="V100" s="215">
        <v>0</v>
      </c>
      <c r="W100" s="210">
        <v>412</v>
      </c>
      <c r="X100" s="210"/>
      <c r="Y100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444.3615871428571</v>
      </c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161"/>
    </row>
    <row r="101" spans="1:39" ht="24.95" hidden="1" customHeight="1" x14ac:dyDescent="0.25">
      <c r="A101" s="154"/>
      <c r="B101" s="59" t="s">
        <v>54</v>
      </c>
      <c r="C101" s="8"/>
      <c r="D101" s="222">
        <v>43696</v>
      </c>
      <c r="E101" s="22"/>
      <c r="F101" s="8"/>
      <c r="G101" s="21"/>
      <c r="H101" s="60" t="s">
        <v>23</v>
      </c>
      <c r="I101" s="64" t="s">
        <v>23</v>
      </c>
      <c r="J101" s="64" t="s">
        <v>34</v>
      </c>
      <c r="K101" s="197">
        <v>6</v>
      </c>
      <c r="L101" s="8"/>
      <c r="M101" s="8"/>
      <c r="N101" s="8"/>
      <c r="O101" s="8"/>
      <c r="P101" s="8"/>
      <c r="Q101" s="8"/>
      <c r="R101" s="125"/>
      <c r="S101" s="8"/>
      <c r="T101" s="8"/>
      <c r="U101" s="8"/>
      <c r="V101" s="215">
        <v>0</v>
      </c>
      <c r="W101" s="210">
        <v>621</v>
      </c>
      <c r="X101" s="210"/>
      <c r="Y101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669.11400000000003</v>
      </c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161"/>
    </row>
    <row r="102" spans="1:39" ht="24.95" hidden="1" customHeight="1" x14ac:dyDescent="0.25">
      <c r="A102" s="154"/>
      <c r="B102" s="59" t="s">
        <v>54</v>
      </c>
      <c r="C102" s="8"/>
      <c r="D102" s="222">
        <v>43696</v>
      </c>
      <c r="E102" s="22"/>
      <c r="F102" s="8"/>
      <c r="G102" s="21"/>
      <c r="H102" s="60" t="s">
        <v>23</v>
      </c>
      <c r="I102" s="64" t="s">
        <v>23</v>
      </c>
      <c r="J102" s="64" t="s">
        <v>34</v>
      </c>
      <c r="K102" s="197">
        <v>8</v>
      </c>
      <c r="L102" s="8"/>
      <c r="M102" s="8"/>
      <c r="N102" s="8"/>
      <c r="O102" s="8"/>
      <c r="P102" s="8"/>
      <c r="Q102" s="8"/>
      <c r="R102" s="125"/>
      <c r="S102" s="8"/>
      <c r="T102" s="8"/>
      <c r="U102" s="8"/>
      <c r="V102" s="215">
        <v>0</v>
      </c>
      <c r="W102" s="210">
        <v>1031</v>
      </c>
      <c r="X102" s="210"/>
      <c r="Y102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161"/>
    </row>
    <row r="103" spans="1:39" ht="24.95" hidden="1" customHeight="1" x14ac:dyDescent="0.25">
      <c r="A103" s="154"/>
      <c r="B103" s="59" t="s">
        <v>54</v>
      </c>
      <c r="C103" s="8"/>
      <c r="D103" s="222">
        <v>43696</v>
      </c>
      <c r="E103" s="22"/>
      <c r="F103" s="8"/>
      <c r="G103" s="21"/>
      <c r="H103" s="60" t="s">
        <v>23</v>
      </c>
      <c r="I103" s="64" t="s">
        <v>23</v>
      </c>
      <c r="J103" s="64" t="s">
        <v>58</v>
      </c>
      <c r="K103" s="197" t="s">
        <v>55</v>
      </c>
      <c r="L103" s="8"/>
      <c r="M103" s="8"/>
      <c r="N103" s="8"/>
      <c r="O103" s="8"/>
      <c r="P103" s="8"/>
      <c r="Q103" s="8"/>
      <c r="R103" s="125"/>
      <c r="S103" s="8"/>
      <c r="T103" s="8"/>
      <c r="U103" s="8"/>
      <c r="V103" s="215">
        <v>0</v>
      </c>
      <c r="W103" s="210">
        <v>709</v>
      </c>
      <c r="X103" s="210"/>
      <c r="Y103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709</v>
      </c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161"/>
    </row>
    <row r="104" spans="1:39" ht="24.95" hidden="1" customHeight="1" x14ac:dyDescent="0.25">
      <c r="A104" s="58">
        <v>201900075</v>
      </c>
      <c r="B104" s="58" t="s">
        <v>53</v>
      </c>
      <c r="C104" s="16">
        <v>545813</v>
      </c>
      <c r="D104" s="227">
        <v>43715</v>
      </c>
      <c r="E104" s="50">
        <v>512800</v>
      </c>
      <c r="F104" s="5" t="s">
        <v>45</v>
      </c>
      <c r="G104" s="3"/>
      <c r="H104" s="1" t="s">
        <v>23</v>
      </c>
      <c r="I104" s="1" t="s">
        <v>23</v>
      </c>
      <c r="J104" s="8" t="s">
        <v>34</v>
      </c>
      <c r="K104" s="189">
        <v>7</v>
      </c>
      <c r="L104" s="36"/>
      <c r="M104" s="36"/>
      <c r="N104" s="23"/>
      <c r="O104" s="16">
        <v>3568</v>
      </c>
      <c r="P104" s="49">
        <v>3.421E-3</v>
      </c>
      <c r="Q104" s="8">
        <v>24.5</v>
      </c>
      <c r="R104" s="8">
        <f>INT(2800/(Q104+3))</f>
        <v>101</v>
      </c>
      <c r="S104" s="8">
        <f>((K104/2)*(K104/2)*3.14*9*3)/1000</f>
        <v>1.0385550000000003</v>
      </c>
      <c r="T104" s="1">
        <f>+P104*O104</f>
        <v>12.206128</v>
      </c>
      <c r="U104" s="8">
        <f>S104/R104</f>
        <v>1.0282722772277231E-2</v>
      </c>
      <c r="V104" s="215">
        <v>36.688754851485157</v>
      </c>
      <c r="W104" s="203"/>
      <c r="X104" s="203"/>
      <c r="Y104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04" s="21">
        <f>(((S104/3000)*2880)-(P104*R104))/R104</f>
        <v>6.4504138613861416E-3</v>
      </c>
      <c r="AA104" s="21">
        <f>+Z104*O104</f>
        <v>23.015076657425752</v>
      </c>
      <c r="AB104" s="21">
        <f>+((S104/3000)*120)/101</f>
        <v>4.1130891089108927E-4</v>
      </c>
      <c r="AC104" s="21">
        <f>AB104*O104</f>
        <v>1.4675501940594065</v>
      </c>
      <c r="AD104" s="21">
        <f>V104-T104</f>
        <v>24.482626851485158</v>
      </c>
      <c r="AE104" s="21">
        <f>AC104+AA104</f>
        <v>24.482626851485158</v>
      </c>
      <c r="AF104" s="21">
        <f>AE104-AD104</f>
        <v>0</v>
      </c>
      <c r="AG104" s="9"/>
      <c r="AH104" s="9"/>
      <c r="AI104" s="10"/>
      <c r="AJ104" s="11"/>
      <c r="AK104" s="12"/>
      <c r="AL104" s="12"/>
      <c r="AM104" s="165"/>
    </row>
    <row r="105" spans="1:39" ht="24.95" hidden="1" customHeight="1" x14ac:dyDescent="0.25">
      <c r="A105" s="58">
        <v>201900078</v>
      </c>
      <c r="B105" s="58" t="s">
        <v>53</v>
      </c>
      <c r="C105" s="16">
        <v>546151</v>
      </c>
      <c r="D105" s="227">
        <v>43734</v>
      </c>
      <c r="E105" s="50" t="s">
        <v>43</v>
      </c>
      <c r="F105" s="5" t="s">
        <v>44</v>
      </c>
      <c r="G105" s="5"/>
      <c r="H105" s="1" t="s">
        <v>23</v>
      </c>
      <c r="I105" s="1" t="s">
        <v>23</v>
      </c>
      <c r="J105" s="8" t="s">
        <v>34</v>
      </c>
      <c r="K105" s="188">
        <v>22</v>
      </c>
      <c r="L105" s="36"/>
      <c r="M105" s="36"/>
      <c r="N105" s="23"/>
      <c r="O105" s="6">
        <v>500</v>
      </c>
      <c r="P105" s="9">
        <v>7.4759999999999993E-2</v>
      </c>
      <c r="Q105" s="19">
        <v>39.5</v>
      </c>
      <c r="R105" s="8">
        <f>INT(2800/(Q105+3))</f>
        <v>65</v>
      </c>
      <c r="S105" s="8">
        <f>((K105/2)*(K105/2)*3.14*9*3)/1000</f>
        <v>10.258380000000001</v>
      </c>
      <c r="T105" s="1">
        <f>+P105*O105</f>
        <v>37.379999999999995</v>
      </c>
      <c r="U105" s="8">
        <f>S105/R105</f>
        <v>0.15782123076923077</v>
      </c>
      <c r="V105" s="215">
        <v>78.910615384615383</v>
      </c>
      <c r="W105" s="203"/>
      <c r="X105" s="203"/>
      <c r="Y105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3003.9177692307685</v>
      </c>
      <c r="Z105" s="21">
        <f>(((S105/3000)*2880)-(P105*R105))/R105</f>
        <v>7.6748381538461544E-2</v>
      </c>
      <c r="AA105" s="21">
        <f>+Z105*O105</f>
        <v>38.374190769230772</v>
      </c>
      <c r="AB105" s="21">
        <f>+((S105/3000)*120)/101</f>
        <v>4.0627247524752472E-3</v>
      </c>
      <c r="AC105" s="21">
        <f>AB105*O105</f>
        <v>2.0313623762376238</v>
      </c>
      <c r="AD105" s="21">
        <f>V105-T105</f>
        <v>41.530615384615388</v>
      </c>
      <c r="AE105" s="21">
        <f>AC105+AA105</f>
        <v>40.405553145468396</v>
      </c>
      <c r="AF105" s="21">
        <f>AE105-AD105</f>
        <v>-1.1250622391469918</v>
      </c>
      <c r="AG105" s="9"/>
      <c r="AH105" s="9"/>
      <c r="AI105" s="10"/>
      <c r="AJ105" s="11"/>
      <c r="AK105" s="12"/>
      <c r="AL105" s="12"/>
      <c r="AM105" s="165"/>
    </row>
    <row r="106" spans="1:39" ht="24.95" hidden="1" customHeight="1" x14ac:dyDescent="0.25">
      <c r="A106" s="58">
        <v>201900085</v>
      </c>
      <c r="B106" s="58" t="s">
        <v>53</v>
      </c>
      <c r="C106" s="16">
        <v>546458</v>
      </c>
      <c r="D106" s="227">
        <v>43743</v>
      </c>
      <c r="E106" s="50">
        <v>512800</v>
      </c>
      <c r="F106" s="5" t="s">
        <v>45</v>
      </c>
      <c r="G106" s="3"/>
      <c r="H106" s="1" t="s">
        <v>23</v>
      </c>
      <c r="I106" s="1" t="s">
        <v>23</v>
      </c>
      <c r="J106" s="8" t="s">
        <v>34</v>
      </c>
      <c r="K106" s="189">
        <v>7</v>
      </c>
      <c r="L106" s="36"/>
      <c r="M106" s="36"/>
      <c r="N106" s="23"/>
      <c r="O106" s="16">
        <v>5686</v>
      </c>
      <c r="P106" s="49">
        <v>3.421E-3</v>
      </c>
      <c r="Q106" s="8">
        <v>24.5</v>
      </c>
      <c r="R106" s="8">
        <f>INT(2800/(Q106+3))</f>
        <v>101</v>
      </c>
      <c r="S106" s="8">
        <f>((K106/2)*(K106/2)*3.14*9*3)/1000</f>
        <v>1.0385550000000003</v>
      </c>
      <c r="T106" s="1">
        <f>+P106*O106</f>
        <v>19.451806000000001</v>
      </c>
      <c r="U106" s="8">
        <f>S106/R106</f>
        <v>1.0282722772277231E-2</v>
      </c>
      <c r="V106" s="215">
        <v>58.467561683168334</v>
      </c>
      <c r="W106" s="203"/>
      <c r="X106" s="203"/>
      <c r="Y106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-324.85147460396075</v>
      </c>
      <c r="Z106" s="21">
        <f>(((S106/3000)*2880)-(P106*R106))/R106</f>
        <v>6.4504138613861416E-3</v>
      </c>
      <c r="AA106" s="21">
        <f>+Z106*O106</f>
        <v>36.677053215841603</v>
      </c>
      <c r="AB106" s="21">
        <f>+((S106/3000)*120)/101</f>
        <v>4.1130891089108927E-4</v>
      </c>
      <c r="AC106" s="21">
        <f>AB106*O106</f>
        <v>2.3387024673267334</v>
      </c>
      <c r="AD106" s="21">
        <f>V106-T106</f>
        <v>39.015755683168337</v>
      </c>
      <c r="AE106" s="21">
        <f>AC106+AA106</f>
        <v>39.015755683168337</v>
      </c>
      <c r="AF106" s="21">
        <f>AE106-AD106</f>
        <v>0</v>
      </c>
      <c r="AG106" s="9"/>
      <c r="AH106" s="9"/>
      <c r="AI106" s="10"/>
      <c r="AJ106" s="11"/>
      <c r="AK106" s="12"/>
      <c r="AL106" s="12"/>
      <c r="AM106" s="165"/>
    </row>
    <row r="107" spans="1:39" ht="24.95" hidden="1" customHeight="1" x14ac:dyDescent="0.25">
      <c r="A107" s="154"/>
      <c r="B107" s="59" t="s">
        <v>54</v>
      </c>
      <c r="C107" s="8"/>
      <c r="D107" s="222">
        <v>43745</v>
      </c>
      <c r="E107" s="22"/>
      <c r="F107" s="8"/>
      <c r="G107" s="21"/>
      <c r="H107" s="64" t="s">
        <v>23</v>
      </c>
      <c r="I107" s="64" t="s">
        <v>23</v>
      </c>
      <c r="J107" s="64" t="s">
        <v>34</v>
      </c>
      <c r="K107" s="197">
        <v>8</v>
      </c>
      <c r="L107" s="8"/>
      <c r="M107" s="8"/>
      <c r="N107" s="8"/>
      <c r="O107" s="8"/>
      <c r="P107" s="8"/>
      <c r="Q107" s="8"/>
      <c r="R107" s="125"/>
      <c r="S107" s="8"/>
      <c r="T107" s="8"/>
      <c r="U107" s="8"/>
      <c r="V107" s="215">
        <v>0</v>
      </c>
      <c r="W107" s="210">
        <v>1.32</v>
      </c>
      <c r="X107" s="210"/>
      <c r="Y107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161"/>
    </row>
    <row r="108" spans="1:39" ht="24.95" hidden="1" customHeight="1" x14ac:dyDescent="0.25">
      <c r="A108" s="154"/>
      <c r="B108" s="59" t="s">
        <v>54</v>
      </c>
      <c r="C108" s="8"/>
      <c r="D108" s="222">
        <v>43759</v>
      </c>
      <c r="E108" s="22"/>
      <c r="F108" s="8"/>
      <c r="G108" s="21"/>
      <c r="H108" s="1" t="s">
        <v>23</v>
      </c>
      <c r="I108" s="1" t="s">
        <v>23</v>
      </c>
      <c r="J108" s="64" t="s">
        <v>33</v>
      </c>
      <c r="K108" s="197">
        <v>7</v>
      </c>
      <c r="L108" s="8"/>
      <c r="M108" s="8"/>
      <c r="N108" s="8"/>
      <c r="O108" s="8"/>
      <c r="P108" s="8"/>
      <c r="Q108" s="8"/>
      <c r="R108" s="125"/>
      <c r="S108" s="8"/>
      <c r="T108" s="8"/>
      <c r="U108" s="8"/>
      <c r="V108" s="215">
        <v>0</v>
      </c>
      <c r="W108" s="210">
        <v>3.3</v>
      </c>
      <c r="X108" s="210"/>
      <c r="Y108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161"/>
    </row>
    <row r="109" spans="1:39" ht="24.95" hidden="1" customHeight="1" x14ac:dyDescent="0.25">
      <c r="A109" s="58">
        <v>201900092</v>
      </c>
      <c r="B109" s="58" t="s">
        <v>53</v>
      </c>
      <c r="C109" s="16">
        <v>547141</v>
      </c>
      <c r="D109" s="227">
        <v>43776</v>
      </c>
      <c r="E109" s="50">
        <v>510020</v>
      </c>
      <c r="F109" s="5" t="s">
        <v>24</v>
      </c>
      <c r="G109" s="27">
        <v>139</v>
      </c>
      <c r="H109" s="1" t="s">
        <v>23</v>
      </c>
      <c r="I109" s="1" t="s">
        <v>23</v>
      </c>
      <c r="J109" s="3" t="s">
        <v>33</v>
      </c>
      <c r="K109" s="189">
        <v>8</v>
      </c>
      <c r="L109" s="36"/>
      <c r="M109" s="36"/>
      <c r="N109" s="23"/>
      <c r="O109" s="16">
        <v>8340</v>
      </c>
      <c r="P109" s="49">
        <v>1.446E-3</v>
      </c>
      <c r="Q109" s="8">
        <v>6</v>
      </c>
      <c r="R109" s="8">
        <f>INT(2800/(Q109+3))</f>
        <v>311</v>
      </c>
      <c r="S109" s="8">
        <f>((K109*K109)*0.866*9*3)/1000</f>
        <v>1.4964479999999998</v>
      </c>
      <c r="T109" s="1">
        <f>+O109*P109</f>
        <v>12.05964</v>
      </c>
      <c r="U109" s="8">
        <f>S109/R109</f>
        <v>4.8117299035369768E-3</v>
      </c>
      <c r="V109" s="215">
        <v>40.129827395498388</v>
      </c>
      <c r="W109" s="203"/>
      <c r="X109" s="203"/>
      <c r="Y109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09" s="21">
        <f>(((S109/3000)*2880)-(P109*R109))/R109</f>
        <v>3.1732607073954979E-3</v>
      </c>
      <c r="AA109" s="21">
        <f>+Z109*O109</f>
        <v>26.464994299678452</v>
      </c>
      <c r="AB109" s="21">
        <f>+((S109/3000)*120)/101</f>
        <v>5.9265267326732659E-4</v>
      </c>
      <c r="AC109" s="21">
        <f>AB109*O109</f>
        <v>4.9427232950495039</v>
      </c>
      <c r="AD109" s="21">
        <f>V109-T109</f>
        <v>28.070187395498387</v>
      </c>
      <c r="AE109" s="21">
        <f>AC109+AA109</f>
        <v>31.407717594727956</v>
      </c>
      <c r="AF109" s="21">
        <f>AE109-AD109</f>
        <v>3.337530199229569</v>
      </c>
      <c r="AG109" s="9"/>
      <c r="AH109" s="9"/>
      <c r="AI109" s="10"/>
      <c r="AJ109" s="11"/>
      <c r="AK109" s="12"/>
      <c r="AL109" s="12"/>
      <c r="AM109" s="165"/>
    </row>
    <row r="110" spans="1:39" ht="24.95" hidden="1" customHeight="1" thickBot="1" x14ac:dyDescent="0.3">
      <c r="A110" s="58">
        <v>201900094</v>
      </c>
      <c r="B110" s="58" t="s">
        <v>53</v>
      </c>
      <c r="C110" s="16">
        <v>547773</v>
      </c>
      <c r="D110" s="227">
        <v>43805</v>
      </c>
      <c r="E110" s="50">
        <v>510020</v>
      </c>
      <c r="F110" s="5" t="s">
        <v>24</v>
      </c>
      <c r="G110" s="27">
        <v>139</v>
      </c>
      <c r="H110" s="1" t="s">
        <v>23</v>
      </c>
      <c r="I110" s="1" t="s">
        <v>23</v>
      </c>
      <c r="J110" s="3" t="s">
        <v>33</v>
      </c>
      <c r="K110" s="189">
        <v>8</v>
      </c>
      <c r="L110" s="36"/>
      <c r="M110" s="36"/>
      <c r="N110" s="23"/>
      <c r="O110" s="16">
        <v>16660</v>
      </c>
      <c r="P110" s="49">
        <v>1.446E-3</v>
      </c>
      <c r="Q110" s="55">
        <v>6</v>
      </c>
      <c r="R110" s="8">
        <f>INT(2800/(Q110+3))</f>
        <v>311</v>
      </c>
      <c r="S110" s="8">
        <f>((K110*K110)*0.866*9*3)/1000</f>
        <v>1.4964479999999998</v>
      </c>
      <c r="T110" s="1">
        <f>+O110*P110</f>
        <v>24.09036</v>
      </c>
      <c r="U110" s="8">
        <f>S110/R110</f>
        <v>4.8117299035369768E-3</v>
      </c>
      <c r="V110" s="215">
        <v>80.16342019292604</v>
      </c>
      <c r="W110" s="203"/>
      <c r="X110" s="203"/>
      <c r="Y110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10" s="21">
        <f>(((S110/3000)*2880)-(P110*R110))/R110</f>
        <v>3.1732607073954979E-3</v>
      </c>
      <c r="AA110" s="21">
        <f>+Z110*O110</f>
        <v>52.866523385208993</v>
      </c>
      <c r="AB110" s="21">
        <f>+((S110/3000)*120)/101</f>
        <v>5.9265267326732659E-4</v>
      </c>
      <c r="AC110" s="21">
        <f>AB110*O110</f>
        <v>9.8735935366336616</v>
      </c>
      <c r="AD110" s="21">
        <f>V110-T110</f>
        <v>56.073060192926036</v>
      </c>
      <c r="AE110" s="21">
        <f>AC110+AA110</f>
        <v>62.740116921842656</v>
      </c>
      <c r="AF110" s="21">
        <f>AE110-AD110</f>
        <v>6.66705672891662</v>
      </c>
      <c r="AG110" s="9"/>
      <c r="AH110" s="9"/>
      <c r="AI110" s="10"/>
      <c r="AJ110" s="11"/>
      <c r="AK110" s="12"/>
      <c r="AL110" s="12"/>
      <c r="AM110" s="165"/>
    </row>
    <row r="111" spans="1:39" ht="24.95" hidden="1" customHeight="1" thickTop="1" x14ac:dyDescent="0.25">
      <c r="A111" s="154"/>
      <c r="B111" s="59" t="s">
        <v>54</v>
      </c>
      <c r="C111" s="8"/>
      <c r="D111" s="222">
        <v>43810</v>
      </c>
      <c r="E111" s="22"/>
      <c r="F111" s="8"/>
      <c r="G111" s="21"/>
      <c r="H111" s="64" t="s">
        <v>23</v>
      </c>
      <c r="I111" s="64" t="s">
        <v>23</v>
      </c>
      <c r="J111" s="64" t="s">
        <v>34</v>
      </c>
      <c r="K111" s="197">
        <v>8</v>
      </c>
      <c r="L111" s="8"/>
      <c r="M111" s="8"/>
      <c r="N111" s="8"/>
      <c r="O111" s="8"/>
      <c r="P111" s="8"/>
      <c r="Q111" s="8"/>
      <c r="R111" s="125"/>
      <c r="S111" s="8"/>
      <c r="T111" s="8"/>
      <c r="U111" s="8"/>
      <c r="V111" s="215">
        <v>0</v>
      </c>
      <c r="W111" s="210">
        <v>6.6</v>
      </c>
      <c r="X111" s="210"/>
      <c r="Y111" s="184" t="str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/>
      </c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161"/>
    </row>
    <row r="112" spans="1:39" ht="24.95" hidden="1" customHeight="1" x14ac:dyDescent="0.25">
      <c r="A112" s="58">
        <v>201900104</v>
      </c>
      <c r="B112" s="58" t="s">
        <v>53</v>
      </c>
      <c r="C112" s="8">
        <v>548233</v>
      </c>
      <c r="D112" s="222">
        <v>43826</v>
      </c>
      <c r="E112" s="50">
        <v>510020</v>
      </c>
      <c r="F112" s="5" t="s">
        <v>24</v>
      </c>
      <c r="G112" s="27">
        <v>139</v>
      </c>
      <c r="H112" s="1" t="s">
        <v>23</v>
      </c>
      <c r="I112" s="1" t="s">
        <v>23</v>
      </c>
      <c r="J112" s="3" t="s">
        <v>33</v>
      </c>
      <c r="K112" s="189">
        <v>8</v>
      </c>
      <c r="L112" s="36"/>
      <c r="M112" s="36"/>
      <c r="N112" s="8"/>
      <c r="O112" s="8">
        <v>10000</v>
      </c>
      <c r="P112" s="49">
        <v>1.446E-3</v>
      </c>
      <c r="Q112" s="8">
        <v>6</v>
      </c>
      <c r="R112" s="8">
        <f>INT(2800/(Q112+3))</f>
        <v>311</v>
      </c>
      <c r="S112" s="8">
        <f>((K112*K112)*0.866*9*3)/1000</f>
        <v>1.4964479999999998</v>
      </c>
      <c r="T112" s="1">
        <f>+O112*P112</f>
        <v>14.46</v>
      </c>
      <c r="U112" s="8">
        <f>S112/R112</f>
        <v>4.8117299035369768E-3</v>
      </c>
      <c r="V112" s="215">
        <v>48.117299035369768</v>
      </c>
      <c r="W112" s="203"/>
      <c r="X112" s="203"/>
      <c r="Y112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-326.42802078456577</v>
      </c>
      <c r="Z112" s="21">
        <f>(((S112/3000)*2880)-(P112*R112))/R112</f>
        <v>3.1732607073954979E-3</v>
      </c>
      <c r="AA112" s="21">
        <f>+Z112*O112</f>
        <v>31.732607073954977</v>
      </c>
      <c r="AB112" s="21">
        <f>+((S112/3000)*120)/101</f>
        <v>5.9265267326732659E-4</v>
      </c>
      <c r="AC112" s="21">
        <f>AB112*O112</f>
        <v>5.926526732673266</v>
      </c>
      <c r="AD112" s="21">
        <f>V112-T112</f>
        <v>33.657299035369768</v>
      </c>
      <c r="AE112" s="21">
        <f>AC112+AA112</f>
        <v>37.65913380662824</v>
      </c>
      <c r="AF112" s="21">
        <f>AE112-AD112</f>
        <v>4.0018347712584728</v>
      </c>
      <c r="AG112" s="8"/>
      <c r="AH112" s="8"/>
      <c r="AI112" s="8"/>
      <c r="AJ112" s="8"/>
      <c r="AK112" s="8"/>
      <c r="AL112" s="8"/>
      <c r="AM112" s="161"/>
    </row>
    <row r="113" spans="1:39" ht="24.95" hidden="1" customHeight="1" x14ac:dyDescent="0.25">
      <c r="A113" s="58">
        <v>201900104</v>
      </c>
      <c r="B113" s="58" t="s">
        <v>53</v>
      </c>
      <c r="C113" s="8">
        <v>548233</v>
      </c>
      <c r="D113" s="222">
        <v>43826</v>
      </c>
      <c r="E113" s="22" t="s">
        <v>46</v>
      </c>
      <c r="F113" s="8" t="s">
        <v>47</v>
      </c>
      <c r="G113" s="21"/>
      <c r="H113" s="1" t="s">
        <v>23</v>
      </c>
      <c r="I113" s="1" t="s">
        <v>23</v>
      </c>
      <c r="J113" s="8" t="s">
        <v>34</v>
      </c>
      <c r="K113" s="188">
        <v>8</v>
      </c>
      <c r="L113" s="36"/>
      <c r="M113" s="36"/>
      <c r="N113" s="8"/>
      <c r="O113" s="8">
        <v>960</v>
      </c>
      <c r="P113" s="56">
        <v>3.421E-3</v>
      </c>
      <c r="Q113" s="8">
        <v>11</v>
      </c>
      <c r="R113" s="8">
        <f>INT(2800/(Q113+3))</f>
        <v>200</v>
      </c>
      <c r="S113" s="8">
        <f>((K113/2)*(K113/2)*3.14*9*3)/1000</f>
        <v>1.3564799999999999</v>
      </c>
      <c r="T113" s="1">
        <f>+P113*O113</f>
        <v>3.28416</v>
      </c>
      <c r="U113" s="8">
        <f>S113/R113</f>
        <v>6.7823999999999992E-3</v>
      </c>
      <c r="V113" s="215">
        <v>6.5111039999999996</v>
      </c>
      <c r="W113" s="203"/>
      <c r="X113" s="203"/>
      <c r="Y113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1032.4088959999999</v>
      </c>
      <c r="Z113" s="21">
        <f>(((S113/3000)*2880)-(P113*R113))/R113</f>
        <v>3.0901039999999998E-3</v>
      </c>
      <c r="AA113" s="21">
        <f>+Z113*O113</f>
        <v>2.96649984</v>
      </c>
      <c r="AB113" s="21">
        <f>+((S113/3000)*120)/101</f>
        <v>5.3721980198019798E-4</v>
      </c>
      <c r="AC113" s="21">
        <f>AB113*O113</f>
        <v>0.51573100990099008</v>
      </c>
      <c r="AD113" s="21">
        <f>V113-T113</f>
        <v>3.2269439999999996</v>
      </c>
      <c r="AE113" s="21">
        <f>AC113+AA113</f>
        <v>3.48223084990099</v>
      </c>
      <c r="AF113" s="21">
        <f>AE113-AD113</f>
        <v>0.25528684990099038</v>
      </c>
      <c r="AG113" s="8"/>
      <c r="AH113" s="8"/>
      <c r="AI113" s="8"/>
      <c r="AJ113" s="8"/>
      <c r="AK113" s="8"/>
      <c r="AL113" s="8"/>
      <c r="AM113" s="161"/>
    </row>
    <row r="114" spans="1:39" ht="24.95" hidden="1" customHeight="1" x14ac:dyDescent="0.25">
      <c r="A114" s="155"/>
      <c r="B114" s="178" t="s">
        <v>54</v>
      </c>
      <c r="C114" s="81"/>
      <c r="D114" s="223">
        <v>43848</v>
      </c>
      <c r="E114" s="85"/>
      <c r="F114" s="81"/>
      <c r="G114" s="74"/>
      <c r="H114" s="1" t="s">
        <v>23</v>
      </c>
      <c r="I114" s="1" t="s">
        <v>23</v>
      </c>
      <c r="J114" s="65" t="s">
        <v>33</v>
      </c>
      <c r="K114" s="198">
        <v>7</v>
      </c>
      <c r="L114" s="81"/>
      <c r="M114" s="81"/>
      <c r="N114" s="81"/>
      <c r="O114" s="81"/>
      <c r="P114" s="81"/>
      <c r="Q114" s="81"/>
      <c r="R114" s="153"/>
      <c r="S114" s="81"/>
      <c r="T114" s="81"/>
      <c r="U114" s="81"/>
      <c r="V114" s="216">
        <v>0</v>
      </c>
      <c r="W114" s="213">
        <v>2.19</v>
      </c>
      <c r="X114" s="213"/>
      <c r="Y114" s="184">
        <f>IF(SUMPRODUCT(MAX((Tableau1[Date déclarat° export])*((Tableau1[mat1]=Tableau1[[#This Row],[mat1]])*(Tableau1[mat2]=Tableau1[[#This Row],[mat2]])*(Tableau1[forme]=Tableau1[[#This Row],[forme]])*(Tableau1[diam]=Tableau1[[#This Row],[diam]]))))&lt;&gt;Tableau1[[#This Row],[Date déclarat° export]],"",SUMPRODUCT((-Tableau1[POIDS BRUT UTILISE (Kg)]+Tableau1[QTE ACHETEE (Kg)]+Tableau1[QTE STOCK INIT (Kg)])*((Tableau1[mat1]=Tableau1[[#This Row],[mat1]])*(Tableau1[mat2]=Tableau1[[#This Row],[mat2]])*(Tableau1[forme]=Tableau1[[#This Row],[forme]])*(Tableau1[diam]=Tableau1[[#This Row],[diam]]))))</f>
        <v>5.49</v>
      </c>
      <c r="Z114" s="81"/>
      <c r="AA114" s="81"/>
      <c r="AB114" s="81"/>
      <c r="AC114" s="81"/>
      <c r="AD114" s="81"/>
      <c r="AE114" s="81"/>
      <c r="AF114" s="81"/>
      <c r="AG114" s="81"/>
      <c r="AH114" s="81"/>
      <c r="AI114" s="81"/>
      <c r="AJ114" s="81"/>
      <c r="AK114" s="81"/>
      <c r="AL114" s="81"/>
      <c r="AM114" s="162"/>
    </row>
    <row r="115" spans="1:39" ht="24.95" customHeight="1" x14ac:dyDescent="0.25"/>
    <row r="116" spans="1:39" ht="24.95" customHeight="1" x14ac:dyDescent="0.25"/>
  </sheetData>
  <autoFilter ref="V1:X1" xr:uid="{0A3563EF-6134-496F-98F3-FB3EC8DD77BA}"/>
  <conditionalFormatting sqref="Y3:Y114">
    <cfRule type="cellIs" dxfId="32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59"/>
  <sheetViews>
    <sheetView tabSelected="1" workbookViewId="0">
      <selection activeCell="J11" sqref="J11"/>
    </sheetView>
  </sheetViews>
  <sheetFormatPr baseColWidth="10" defaultRowHeight="15" x14ac:dyDescent="0.25"/>
  <cols>
    <col min="1" max="1" width="22.140625" style="234" bestFit="1" customWidth="1"/>
    <col min="2" max="2" width="15.7109375" bestFit="1" customWidth="1"/>
    <col min="3" max="3" width="14.28515625" customWidth="1"/>
    <col min="4" max="4" width="17.28515625" customWidth="1"/>
    <col min="5" max="5" width="23.28515625" customWidth="1"/>
  </cols>
  <sheetData>
    <row r="1" spans="1:5" ht="120" customHeight="1" x14ac:dyDescent="0.25"/>
    <row r="2" spans="1:5" x14ac:dyDescent="0.25">
      <c r="A2" s="235"/>
      <c r="B2" s="235"/>
      <c r="C2" s="235"/>
      <c r="D2" s="235"/>
      <c r="E2" s="235"/>
    </row>
    <row r="3" spans="1:5" x14ac:dyDescent="0.25">
      <c r="A3" s="235"/>
      <c r="B3" s="235"/>
      <c r="C3" s="235"/>
      <c r="D3" s="235"/>
      <c r="E3" s="235"/>
    </row>
    <row r="4" spans="1:5" x14ac:dyDescent="0.25">
      <c r="C4" s="235"/>
      <c r="D4" s="235"/>
      <c r="E4" s="235"/>
    </row>
    <row r="5" spans="1:5" x14ac:dyDescent="0.25">
      <c r="C5" s="235"/>
      <c r="D5" s="235"/>
      <c r="E5" s="235"/>
    </row>
    <row r="6" spans="1:5" x14ac:dyDescent="0.25">
      <c r="C6" s="235"/>
      <c r="D6" s="235"/>
      <c r="E6" s="235"/>
    </row>
    <row r="10" spans="1:5" s="238" customFormat="1" ht="30" x14ac:dyDescent="0.25">
      <c r="A10" s="179" t="s">
        <v>70</v>
      </c>
      <c r="B10" s="237" t="s">
        <v>2</v>
      </c>
      <c r="C10"/>
      <c r="D10"/>
    </row>
    <row r="11" spans="1:5" x14ac:dyDescent="0.25">
      <c r="A11">
        <v>1964</v>
      </c>
      <c r="B11" s="234">
        <v>42754</v>
      </c>
    </row>
    <row r="12" spans="1:5" x14ac:dyDescent="0.25">
      <c r="A12">
        <v>2548</v>
      </c>
      <c r="B12" s="234">
        <v>43067</v>
      </c>
    </row>
    <row r="13" spans="1:5" x14ac:dyDescent="0.25">
      <c r="A13">
        <v>3060</v>
      </c>
      <c r="B13" s="234">
        <v>43696</v>
      </c>
    </row>
    <row r="14" spans="1:5" x14ac:dyDescent="0.25">
      <c r="A14" s="234" t="s">
        <v>68</v>
      </c>
      <c r="B14" s="234"/>
    </row>
    <row r="15" spans="1:5" x14ac:dyDescent="0.25">
      <c r="A15"/>
    </row>
    <row r="16" spans="1:5" x14ac:dyDescent="0.25">
      <c r="A16"/>
    </row>
    <row r="17" spans="1:1" x14ac:dyDescent="0.25">
      <c r="A17"/>
    </row>
    <row r="18" spans="1:1" x14ac:dyDescent="0.25">
      <c r="A18"/>
    </row>
    <row r="19" spans="1:1" x14ac:dyDescent="0.25">
      <c r="A19"/>
    </row>
    <row r="20" spans="1:1" x14ac:dyDescent="0.25">
      <c r="A20"/>
    </row>
    <row r="21" spans="1:1" x14ac:dyDescent="0.25">
      <c r="A21"/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  <row r="36" spans="1:1" x14ac:dyDescent="0.25">
      <c r="A36"/>
    </row>
    <row r="37" spans="1:1" x14ac:dyDescent="0.25">
      <c r="A37"/>
    </row>
    <row r="38" spans="1:1" x14ac:dyDescent="0.25">
      <c r="A38"/>
    </row>
    <row r="39" spans="1:1" x14ac:dyDescent="0.25">
      <c r="A39"/>
    </row>
    <row r="40" spans="1:1" x14ac:dyDescent="0.25">
      <c r="A40"/>
    </row>
    <row r="41" spans="1:1" x14ac:dyDescent="0.25">
      <c r="A41"/>
    </row>
    <row r="42" spans="1:1" x14ac:dyDescent="0.25">
      <c r="A42"/>
    </row>
    <row r="43" spans="1:1" x14ac:dyDescent="0.25">
      <c r="A43"/>
    </row>
    <row r="44" spans="1:1" x14ac:dyDescent="0.25">
      <c r="A44"/>
    </row>
    <row r="45" spans="1:1" x14ac:dyDescent="0.25">
      <c r="A45"/>
    </row>
    <row r="46" spans="1:1" x14ac:dyDescent="0.25">
      <c r="A46"/>
    </row>
    <row r="47" spans="1:1" x14ac:dyDescent="0.25">
      <c r="A47"/>
    </row>
    <row r="48" spans="1:1" x14ac:dyDescent="0.25">
      <c r="A48"/>
    </row>
    <row r="49" spans="1:1" x14ac:dyDescent="0.25">
      <c r="A49"/>
    </row>
    <row r="50" spans="1:1" x14ac:dyDescent="0.25">
      <c r="A50"/>
    </row>
    <row r="51" spans="1:1" x14ac:dyDescent="0.25">
      <c r="A51"/>
    </row>
    <row r="52" spans="1:1" x14ac:dyDescent="0.25">
      <c r="A52"/>
    </row>
    <row r="53" spans="1:1" x14ac:dyDescent="0.25">
      <c r="A53"/>
    </row>
    <row r="54" spans="1:1" x14ac:dyDescent="0.25">
      <c r="A54"/>
    </row>
    <row r="55" spans="1:1" x14ac:dyDescent="0.25">
      <c r="A55"/>
    </row>
    <row r="56" spans="1:1" x14ac:dyDescent="0.25">
      <c r="A56"/>
    </row>
    <row r="57" spans="1:1" x14ac:dyDescent="0.25">
      <c r="A57"/>
    </row>
    <row r="58" spans="1:1" x14ac:dyDescent="0.25">
      <c r="A58"/>
    </row>
    <row r="59" spans="1:1" x14ac:dyDescent="0.25">
      <c r="A59"/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3:C142"/>
  <sheetViews>
    <sheetView workbookViewId="0">
      <selection activeCell="D25" sqref="D25"/>
    </sheetView>
  </sheetViews>
  <sheetFormatPr baseColWidth="10" defaultRowHeight="15" x14ac:dyDescent="0.25"/>
  <cols>
    <col min="1" max="1" width="14" customWidth="1"/>
  </cols>
  <sheetData>
    <row r="3" spans="1:3" x14ac:dyDescent="0.25">
      <c r="A3" t="s">
        <v>40</v>
      </c>
    </row>
    <row r="4" spans="1:3" x14ac:dyDescent="0.25">
      <c r="A4" s="14">
        <v>201000001</v>
      </c>
      <c r="C4">
        <v>2010000005</v>
      </c>
    </row>
    <row r="5" spans="1:3" x14ac:dyDescent="0.25">
      <c r="A5" s="14">
        <v>201000002</v>
      </c>
      <c r="C5">
        <v>2010000006</v>
      </c>
    </row>
    <row r="6" spans="1:3" x14ac:dyDescent="0.25">
      <c r="A6" s="14">
        <v>201000002</v>
      </c>
      <c r="C6">
        <v>2010000009</v>
      </c>
    </row>
    <row r="7" spans="1:3" x14ac:dyDescent="0.25">
      <c r="A7" s="14">
        <v>201000002</v>
      </c>
      <c r="C7">
        <v>2010000010</v>
      </c>
    </row>
    <row r="8" spans="1:3" x14ac:dyDescent="0.25">
      <c r="A8" s="14">
        <v>201000002</v>
      </c>
      <c r="C8">
        <v>2010000011</v>
      </c>
    </row>
    <row r="9" spans="1:3" x14ac:dyDescent="0.25">
      <c r="A9" s="14">
        <v>201000002</v>
      </c>
      <c r="C9">
        <v>2010000014</v>
      </c>
    </row>
    <row r="10" spans="1:3" x14ac:dyDescent="0.25">
      <c r="A10" s="14">
        <v>201000002</v>
      </c>
      <c r="C10">
        <v>2010000016</v>
      </c>
    </row>
    <row r="11" spans="1:3" x14ac:dyDescent="0.25">
      <c r="A11" s="14">
        <v>201000002</v>
      </c>
      <c r="C11">
        <v>2010000018</v>
      </c>
    </row>
    <row r="12" spans="1:3" x14ac:dyDescent="0.25">
      <c r="A12" s="14">
        <v>201000002</v>
      </c>
      <c r="C12">
        <v>2010000020</v>
      </c>
    </row>
    <row r="13" spans="1:3" x14ac:dyDescent="0.25">
      <c r="A13" s="14">
        <v>201000002</v>
      </c>
      <c r="C13">
        <v>2010000036</v>
      </c>
    </row>
    <row r="14" spans="1:3" x14ac:dyDescent="0.25">
      <c r="A14" s="14">
        <v>201000002</v>
      </c>
      <c r="C14">
        <v>2010000041</v>
      </c>
    </row>
    <row r="15" spans="1:3" x14ac:dyDescent="0.25">
      <c r="A15" s="14">
        <v>201000002</v>
      </c>
      <c r="C15">
        <v>2010000049</v>
      </c>
    </row>
    <row r="16" spans="1:3" x14ac:dyDescent="0.25">
      <c r="A16" s="14">
        <v>201000002</v>
      </c>
    </row>
    <row r="17" spans="1:1" x14ac:dyDescent="0.25">
      <c r="A17" s="14">
        <v>201000002</v>
      </c>
    </row>
    <row r="18" spans="1:1" x14ac:dyDescent="0.25">
      <c r="A18" s="14">
        <v>201000002</v>
      </c>
    </row>
    <row r="19" spans="1:1" x14ac:dyDescent="0.25">
      <c r="A19" s="14">
        <v>201000002</v>
      </c>
    </row>
    <row r="20" spans="1:1" x14ac:dyDescent="0.25">
      <c r="A20" s="14">
        <v>201000002</v>
      </c>
    </row>
    <row r="21" spans="1:1" x14ac:dyDescent="0.25">
      <c r="A21" s="14">
        <v>201000003</v>
      </c>
    </row>
    <row r="22" spans="1:1" x14ac:dyDescent="0.25">
      <c r="A22" s="14">
        <v>201000004</v>
      </c>
    </row>
    <row r="23" spans="1:1" x14ac:dyDescent="0.25">
      <c r="A23" s="14">
        <v>201000004</v>
      </c>
    </row>
    <row r="24" spans="1:1" x14ac:dyDescent="0.25">
      <c r="A24" s="14">
        <v>201000007</v>
      </c>
    </row>
    <row r="25" spans="1:1" x14ac:dyDescent="0.25">
      <c r="A25" s="14">
        <v>201000007</v>
      </c>
    </row>
    <row r="26" spans="1:1" x14ac:dyDescent="0.25">
      <c r="A26" s="14">
        <v>201000008</v>
      </c>
    </row>
    <row r="27" spans="1:1" x14ac:dyDescent="0.25">
      <c r="A27" s="14">
        <v>201000008</v>
      </c>
    </row>
    <row r="28" spans="1:1" x14ac:dyDescent="0.25">
      <c r="A28" s="14">
        <v>201000008</v>
      </c>
    </row>
    <row r="29" spans="1:1" x14ac:dyDescent="0.25">
      <c r="A29" s="14">
        <v>201000008</v>
      </c>
    </row>
    <row r="30" spans="1:1" x14ac:dyDescent="0.25">
      <c r="A30" s="14">
        <v>201000008</v>
      </c>
    </row>
    <row r="31" spans="1:1" x14ac:dyDescent="0.25">
      <c r="A31" s="14">
        <v>201000012</v>
      </c>
    </row>
    <row r="32" spans="1:1" x14ac:dyDescent="0.25">
      <c r="A32" s="14">
        <v>201000012</v>
      </c>
    </row>
    <row r="33" spans="1:1" x14ac:dyDescent="0.25">
      <c r="A33" s="14">
        <v>201000012</v>
      </c>
    </row>
    <row r="34" spans="1:1" x14ac:dyDescent="0.25">
      <c r="A34" s="14">
        <v>201000012</v>
      </c>
    </row>
    <row r="35" spans="1:1" x14ac:dyDescent="0.25">
      <c r="A35" s="14">
        <v>201000012</v>
      </c>
    </row>
    <row r="36" spans="1:1" x14ac:dyDescent="0.25">
      <c r="A36" s="14">
        <v>201000012</v>
      </c>
    </row>
    <row r="37" spans="1:1" x14ac:dyDescent="0.25">
      <c r="A37" s="14">
        <v>201000012</v>
      </c>
    </row>
    <row r="38" spans="1:1" x14ac:dyDescent="0.25">
      <c r="A38" s="14">
        <v>201000013</v>
      </c>
    </row>
    <row r="39" spans="1:1" x14ac:dyDescent="0.25">
      <c r="A39" s="14">
        <v>201000015</v>
      </c>
    </row>
    <row r="40" spans="1:1" x14ac:dyDescent="0.25">
      <c r="A40" s="14">
        <v>201000015</v>
      </c>
    </row>
    <row r="41" spans="1:1" x14ac:dyDescent="0.25">
      <c r="A41" s="14">
        <v>201000017</v>
      </c>
    </row>
    <row r="42" spans="1:1" x14ac:dyDescent="0.25">
      <c r="A42" s="14">
        <v>201000017</v>
      </c>
    </row>
    <row r="43" spans="1:1" x14ac:dyDescent="0.25">
      <c r="A43" s="14">
        <v>201000017</v>
      </c>
    </row>
    <row r="44" spans="1:1" x14ac:dyDescent="0.25">
      <c r="A44" s="14">
        <v>201000017</v>
      </c>
    </row>
    <row r="45" spans="1:1" x14ac:dyDescent="0.25">
      <c r="A45" s="14">
        <v>201000017</v>
      </c>
    </row>
    <row r="46" spans="1:1" x14ac:dyDescent="0.25">
      <c r="A46" s="14">
        <v>201000017</v>
      </c>
    </row>
    <row r="47" spans="1:1" x14ac:dyDescent="0.25">
      <c r="A47" s="14">
        <v>201000017</v>
      </c>
    </row>
    <row r="48" spans="1:1" x14ac:dyDescent="0.25">
      <c r="A48" s="14">
        <v>201000017</v>
      </c>
    </row>
    <row r="49" spans="1:1" x14ac:dyDescent="0.25">
      <c r="A49" s="14">
        <v>201000017</v>
      </c>
    </row>
    <row r="50" spans="1:1" x14ac:dyDescent="0.25">
      <c r="A50" s="14">
        <v>201000017</v>
      </c>
    </row>
    <row r="51" spans="1:1" x14ac:dyDescent="0.25">
      <c r="A51" s="14">
        <v>201000017</v>
      </c>
    </row>
    <row r="52" spans="1:1" x14ac:dyDescent="0.25">
      <c r="A52" s="14">
        <v>201000017</v>
      </c>
    </row>
    <row r="53" spans="1:1" x14ac:dyDescent="0.25">
      <c r="A53" s="14">
        <v>201000017</v>
      </c>
    </row>
    <row r="54" spans="1:1" x14ac:dyDescent="0.25">
      <c r="A54" s="14">
        <v>201000019</v>
      </c>
    </row>
    <row r="55" spans="1:1" x14ac:dyDescent="0.25">
      <c r="A55" s="14">
        <v>201000021</v>
      </c>
    </row>
    <row r="56" spans="1:1" x14ac:dyDescent="0.25">
      <c r="A56" s="14">
        <v>201000021</v>
      </c>
    </row>
    <row r="57" spans="1:1" x14ac:dyDescent="0.25">
      <c r="A57" s="14">
        <v>201000021</v>
      </c>
    </row>
    <row r="58" spans="1:1" x14ac:dyDescent="0.25">
      <c r="A58" s="14">
        <v>201000022</v>
      </c>
    </row>
    <row r="59" spans="1:1" x14ac:dyDescent="0.25">
      <c r="A59" s="14">
        <v>201000023</v>
      </c>
    </row>
    <row r="60" spans="1:1" x14ac:dyDescent="0.25">
      <c r="A60" s="14">
        <v>201000024</v>
      </c>
    </row>
    <row r="61" spans="1:1" x14ac:dyDescent="0.25">
      <c r="A61" s="14">
        <v>201000024</v>
      </c>
    </row>
    <row r="62" spans="1:1" x14ac:dyDescent="0.25">
      <c r="A62" s="14">
        <v>201000025</v>
      </c>
    </row>
    <row r="63" spans="1:1" x14ac:dyDescent="0.25">
      <c r="A63" s="14">
        <v>201000025</v>
      </c>
    </row>
    <row r="64" spans="1:1" x14ac:dyDescent="0.25">
      <c r="A64" s="14">
        <v>201000025</v>
      </c>
    </row>
    <row r="65" spans="1:1" x14ac:dyDescent="0.25">
      <c r="A65" s="14">
        <v>201000025</v>
      </c>
    </row>
    <row r="66" spans="1:1" x14ac:dyDescent="0.25">
      <c r="A66" s="14">
        <v>201000025</v>
      </c>
    </row>
    <row r="67" spans="1:1" x14ac:dyDescent="0.25">
      <c r="A67" s="14">
        <v>201000025</v>
      </c>
    </row>
    <row r="68" spans="1:1" x14ac:dyDescent="0.25">
      <c r="A68" s="14">
        <v>201000025</v>
      </c>
    </row>
    <row r="69" spans="1:1" x14ac:dyDescent="0.25">
      <c r="A69" s="14">
        <v>201000025</v>
      </c>
    </row>
    <row r="70" spans="1:1" x14ac:dyDescent="0.25">
      <c r="A70" s="14">
        <v>201000025</v>
      </c>
    </row>
    <row r="71" spans="1:1" x14ac:dyDescent="0.25">
      <c r="A71" s="14">
        <v>201000025</v>
      </c>
    </row>
    <row r="72" spans="1:1" x14ac:dyDescent="0.25">
      <c r="A72" s="14">
        <v>201000025</v>
      </c>
    </row>
    <row r="73" spans="1:1" x14ac:dyDescent="0.25">
      <c r="A73" s="14">
        <v>201000026</v>
      </c>
    </row>
    <row r="74" spans="1:1" x14ac:dyDescent="0.25">
      <c r="A74" s="14">
        <v>201000027</v>
      </c>
    </row>
    <row r="75" spans="1:1" x14ac:dyDescent="0.25">
      <c r="A75" s="14">
        <v>201000027</v>
      </c>
    </row>
    <row r="76" spans="1:1" x14ac:dyDescent="0.25">
      <c r="A76" s="14">
        <v>201000027</v>
      </c>
    </row>
    <row r="77" spans="1:1" x14ac:dyDescent="0.25">
      <c r="A77" s="14">
        <v>201000027</v>
      </c>
    </row>
    <row r="78" spans="1:1" x14ac:dyDescent="0.25">
      <c r="A78" s="14">
        <v>201000027</v>
      </c>
    </row>
    <row r="79" spans="1:1" x14ac:dyDescent="0.25">
      <c r="A79" s="14">
        <v>201000027</v>
      </c>
    </row>
    <row r="80" spans="1:1" x14ac:dyDescent="0.25">
      <c r="A80" s="14">
        <v>201000028</v>
      </c>
    </row>
    <row r="81" spans="1:1" x14ac:dyDescent="0.25">
      <c r="A81" s="14">
        <v>201000029</v>
      </c>
    </row>
    <row r="82" spans="1:1" x14ac:dyDescent="0.25">
      <c r="A82" s="14">
        <v>201000029</v>
      </c>
    </row>
    <row r="83" spans="1:1" x14ac:dyDescent="0.25">
      <c r="A83" s="14">
        <v>201000029</v>
      </c>
    </row>
    <row r="84" spans="1:1" x14ac:dyDescent="0.25">
      <c r="A84" s="14">
        <v>201000030</v>
      </c>
    </row>
    <row r="85" spans="1:1" x14ac:dyDescent="0.25">
      <c r="A85" s="14">
        <v>201000031</v>
      </c>
    </row>
    <row r="86" spans="1:1" x14ac:dyDescent="0.25">
      <c r="A86" s="14">
        <v>201000032</v>
      </c>
    </row>
    <row r="87" spans="1:1" x14ac:dyDescent="0.25">
      <c r="A87" s="14">
        <v>201000033</v>
      </c>
    </row>
    <row r="88" spans="1:1" x14ac:dyDescent="0.25">
      <c r="A88" s="14">
        <v>201000033</v>
      </c>
    </row>
    <row r="89" spans="1:1" x14ac:dyDescent="0.25">
      <c r="A89" s="14">
        <v>201000033</v>
      </c>
    </row>
    <row r="90" spans="1:1" x14ac:dyDescent="0.25">
      <c r="A90" s="14">
        <v>201000033</v>
      </c>
    </row>
    <row r="91" spans="1:1" x14ac:dyDescent="0.25">
      <c r="A91" s="14">
        <v>201000033</v>
      </c>
    </row>
    <row r="92" spans="1:1" x14ac:dyDescent="0.25">
      <c r="A92" s="14">
        <v>201000033</v>
      </c>
    </row>
    <row r="93" spans="1:1" x14ac:dyDescent="0.25">
      <c r="A93" s="14">
        <v>201000033</v>
      </c>
    </row>
    <row r="94" spans="1:1" x14ac:dyDescent="0.25">
      <c r="A94" s="14">
        <v>201000033</v>
      </c>
    </row>
    <row r="95" spans="1:1" x14ac:dyDescent="0.25">
      <c r="A95" s="14">
        <v>201000033</v>
      </c>
    </row>
    <row r="96" spans="1:1" x14ac:dyDescent="0.25">
      <c r="A96" s="14">
        <v>201000033</v>
      </c>
    </row>
    <row r="97" spans="1:1" x14ac:dyDescent="0.25">
      <c r="A97" s="14">
        <v>201000034</v>
      </c>
    </row>
    <row r="98" spans="1:1" x14ac:dyDescent="0.25">
      <c r="A98" s="14">
        <v>201000034</v>
      </c>
    </row>
    <row r="99" spans="1:1" x14ac:dyDescent="0.25">
      <c r="A99" s="14">
        <v>201000034</v>
      </c>
    </row>
    <row r="100" spans="1:1" x14ac:dyDescent="0.25">
      <c r="A100" s="14">
        <v>201000034</v>
      </c>
    </row>
    <row r="101" spans="1:1" x14ac:dyDescent="0.25">
      <c r="A101" s="14">
        <v>201000035</v>
      </c>
    </row>
    <row r="102" spans="1:1" x14ac:dyDescent="0.25">
      <c r="A102" s="14">
        <v>201000037</v>
      </c>
    </row>
    <row r="103" spans="1:1" x14ac:dyDescent="0.25">
      <c r="A103" s="14">
        <v>201000037</v>
      </c>
    </row>
    <row r="104" spans="1:1" x14ac:dyDescent="0.25">
      <c r="A104" s="14">
        <v>201000037</v>
      </c>
    </row>
    <row r="105" spans="1:1" x14ac:dyDescent="0.25">
      <c r="A105" s="14">
        <v>201000037</v>
      </c>
    </row>
    <row r="106" spans="1:1" x14ac:dyDescent="0.25">
      <c r="A106" s="14">
        <v>201000037</v>
      </c>
    </row>
    <row r="107" spans="1:1" x14ac:dyDescent="0.25">
      <c r="A107" s="14">
        <v>201000037</v>
      </c>
    </row>
    <row r="108" spans="1:1" x14ac:dyDescent="0.25">
      <c r="A108" s="14">
        <v>201000037</v>
      </c>
    </row>
    <row r="109" spans="1:1" x14ac:dyDescent="0.25">
      <c r="A109" s="14">
        <v>201000037</v>
      </c>
    </row>
    <row r="110" spans="1:1" x14ac:dyDescent="0.25">
      <c r="A110" s="14">
        <v>201000037</v>
      </c>
    </row>
    <row r="111" spans="1:1" x14ac:dyDescent="0.25">
      <c r="A111" s="14">
        <v>201000037</v>
      </c>
    </row>
    <row r="112" spans="1:1" x14ac:dyDescent="0.25">
      <c r="A112" s="14">
        <v>201000037</v>
      </c>
    </row>
    <row r="113" spans="1:1" x14ac:dyDescent="0.25">
      <c r="A113" s="14">
        <v>201000037</v>
      </c>
    </row>
    <row r="114" spans="1:1" x14ac:dyDescent="0.25">
      <c r="A114" s="14">
        <v>201000037</v>
      </c>
    </row>
    <row r="115" spans="1:1" x14ac:dyDescent="0.25">
      <c r="A115" s="14">
        <v>201000037</v>
      </c>
    </row>
    <row r="116" spans="1:1" x14ac:dyDescent="0.25">
      <c r="A116" s="14">
        <v>201000037</v>
      </c>
    </row>
    <row r="117" spans="1:1" x14ac:dyDescent="0.25">
      <c r="A117" s="14">
        <v>201000037</v>
      </c>
    </row>
    <row r="118" spans="1:1" x14ac:dyDescent="0.25">
      <c r="A118" s="14">
        <v>201000037</v>
      </c>
    </row>
    <row r="119" spans="1:1" x14ac:dyDescent="0.25">
      <c r="A119" s="14">
        <v>201000037</v>
      </c>
    </row>
    <row r="120" spans="1:1" x14ac:dyDescent="0.25">
      <c r="A120" s="14">
        <v>201000038</v>
      </c>
    </row>
    <row r="121" spans="1:1" x14ac:dyDescent="0.25">
      <c r="A121" s="14">
        <v>201000038</v>
      </c>
    </row>
    <row r="122" spans="1:1" x14ac:dyDescent="0.25">
      <c r="A122" s="14">
        <v>201000038</v>
      </c>
    </row>
    <row r="123" spans="1:1" x14ac:dyDescent="0.25">
      <c r="A123" s="14">
        <v>201000038</v>
      </c>
    </row>
    <row r="124" spans="1:1" x14ac:dyDescent="0.25">
      <c r="A124" s="14">
        <v>201000039</v>
      </c>
    </row>
    <row r="125" spans="1:1" x14ac:dyDescent="0.25">
      <c r="A125" s="14">
        <v>201000040</v>
      </c>
    </row>
    <row r="126" spans="1:1" x14ac:dyDescent="0.25">
      <c r="A126" s="14">
        <v>201000042</v>
      </c>
    </row>
    <row r="127" spans="1:1" x14ac:dyDescent="0.25">
      <c r="A127" s="14">
        <v>201000042</v>
      </c>
    </row>
    <row r="128" spans="1:1" x14ac:dyDescent="0.25">
      <c r="A128" s="14">
        <v>201000042</v>
      </c>
    </row>
    <row r="129" spans="1:1" x14ac:dyDescent="0.25">
      <c r="A129" s="14">
        <v>201000042</v>
      </c>
    </row>
    <row r="130" spans="1:1" x14ac:dyDescent="0.25">
      <c r="A130" s="14">
        <v>201000043</v>
      </c>
    </row>
    <row r="131" spans="1:1" x14ac:dyDescent="0.25">
      <c r="A131" s="14">
        <v>201000044</v>
      </c>
    </row>
    <row r="132" spans="1:1" x14ac:dyDescent="0.25">
      <c r="A132" s="14">
        <v>201000045</v>
      </c>
    </row>
    <row r="133" spans="1:1" x14ac:dyDescent="0.25">
      <c r="A133" s="14">
        <v>201000045</v>
      </c>
    </row>
    <row r="134" spans="1:1" x14ac:dyDescent="0.25">
      <c r="A134" s="14">
        <v>201000045</v>
      </c>
    </row>
    <row r="135" spans="1:1" x14ac:dyDescent="0.25">
      <c r="A135" s="14">
        <v>201000045</v>
      </c>
    </row>
    <row r="136" spans="1:1" x14ac:dyDescent="0.25">
      <c r="A136" s="14">
        <v>201000046</v>
      </c>
    </row>
    <row r="137" spans="1:1" x14ac:dyDescent="0.25">
      <c r="A137" s="14">
        <v>201000047</v>
      </c>
    </row>
    <row r="138" spans="1:1" x14ac:dyDescent="0.25">
      <c r="A138" s="14">
        <v>201000048</v>
      </c>
    </row>
    <row r="139" spans="1:1" x14ac:dyDescent="0.25">
      <c r="A139" s="14">
        <v>201000048</v>
      </c>
    </row>
    <row r="140" spans="1:1" x14ac:dyDescent="0.25">
      <c r="A140" s="14">
        <v>201000048</v>
      </c>
    </row>
    <row r="141" spans="1:1" x14ac:dyDescent="0.25">
      <c r="A141" s="14">
        <v>201000050</v>
      </c>
    </row>
    <row r="142" spans="1:1" x14ac:dyDescent="0.25">
      <c r="A142" s="14">
        <v>201000051</v>
      </c>
    </row>
  </sheetData>
  <autoFilter ref="A3:A142" xr:uid="{00000000-0009-0000-0000-000003000000}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AA13"/>
  <sheetViews>
    <sheetView workbookViewId="0">
      <selection activeCell="F19" sqref="F19"/>
    </sheetView>
  </sheetViews>
  <sheetFormatPr baseColWidth="10" defaultRowHeight="15" x14ac:dyDescent="0.25"/>
  <cols>
    <col min="7" max="12" width="11.5703125" customWidth="1"/>
    <col min="15" max="26" width="11.5703125" customWidth="1"/>
  </cols>
  <sheetData>
    <row r="3" spans="1:27" x14ac:dyDescent="0.25">
      <c r="A3" t="s">
        <v>41</v>
      </c>
      <c r="B3" t="s">
        <v>42</v>
      </c>
    </row>
    <row r="4" spans="1:27" x14ac:dyDescent="0.25">
      <c r="A4" s="20">
        <v>201900087</v>
      </c>
      <c r="B4" s="16">
        <v>546737</v>
      </c>
      <c r="C4" s="4">
        <v>43757</v>
      </c>
      <c r="D4" s="5">
        <v>651128</v>
      </c>
      <c r="E4" s="5" t="s">
        <v>22</v>
      </c>
      <c r="F4" s="3" t="s">
        <v>18</v>
      </c>
      <c r="G4" s="17" t="s">
        <v>19</v>
      </c>
      <c r="H4" s="17" t="s">
        <v>21</v>
      </c>
      <c r="I4" s="23">
        <v>14</v>
      </c>
      <c r="J4" s="23"/>
      <c r="K4" s="23"/>
      <c r="L4" s="18"/>
      <c r="M4" s="25">
        <v>2000</v>
      </c>
      <c r="N4" s="9">
        <v>0.02</v>
      </c>
      <c r="O4" s="19">
        <v>25</v>
      </c>
      <c r="P4" s="8">
        <f t="shared" ref="P4" si="0">INT(2800/(O4+3))</f>
        <v>100</v>
      </c>
      <c r="Q4" s="9">
        <f>(I4*I4*0.866*7.9*3)/1000</f>
        <v>4.0227431999999999</v>
      </c>
      <c r="R4" s="11"/>
      <c r="S4" s="9">
        <v>2.6640000000000001E-3</v>
      </c>
      <c r="T4" s="9">
        <v>3.9960000000000002E-2</v>
      </c>
      <c r="U4" s="10">
        <v>79.92</v>
      </c>
      <c r="V4" s="11">
        <v>1.7296000000000002E-2</v>
      </c>
      <c r="W4" s="12">
        <v>34.592000000000006</v>
      </c>
      <c r="X4" s="12">
        <v>5.3280000000000003</v>
      </c>
      <c r="Y4" s="13">
        <v>0.49949949949949951</v>
      </c>
      <c r="AA4">
        <f>M4*N4</f>
        <v>40</v>
      </c>
    </row>
    <row r="5" spans="1:27" x14ac:dyDescent="0.25">
      <c r="A5" s="30"/>
      <c r="B5" s="37"/>
      <c r="C5" s="38"/>
      <c r="D5" s="40"/>
      <c r="E5" s="40"/>
      <c r="F5" s="30"/>
      <c r="G5" s="41"/>
      <c r="H5" s="41"/>
      <c r="I5" s="42"/>
      <c r="J5" s="42"/>
      <c r="K5" s="42"/>
      <c r="L5" s="29"/>
      <c r="M5" s="43"/>
      <c r="N5" s="44"/>
      <c r="O5" s="45"/>
      <c r="P5" s="46"/>
      <c r="Q5" s="44"/>
      <c r="R5" s="47"/>
      <c r="S5" s="44"/>
      <c r="T5" s="44"/>
      <c r="U5" s="48"/>
      <c r="V5" s="47"/>
      <c r="W5" s="39"/>
      <c r="X5" s="39"/>
      <c r="Y5" s="33"/>
    </row>
    <row r="6" spans="1:27" x14ac:dyDescent="0.25">
      <c r="A6" s="30"/>
      <c r="B6" s="37"/>
      <c r="C6" s="38"/>
      <c r="D6" s="40"/>
      <c r="E6" s="40"/>
      <c r="F6" s="30"/>
      <c r="G6" s="41"/>
      <c r="H6" s="41"/>
      <c r="I6" s="42"/>
      <c r="J6" s="42"/>
      <c r="K6" s="42"/>
      <c r="L6" s="29"/>
      <c r="M6" s="43"/>
      <c r="N6" s="44"/>
      <c r="O6" s="45"/>
      <c r="P6" s="46"/>
      <c r="Q6" s="44"/>
      <c r="R6" s="47"/>
      <c r="S6" s="44"/>
      <c r="T6" s="44"/>
      <c r="U6" s="48"/>
      <c r="V6" s="47"/>
      <c r="W6" s="39"/>
      <c r="X6" s="39"/>
      <c r="Y6" s="33"/>
    </row>
    <row r="7" spans="1:27" x14ac:dyDescent="0.25">
      <c r="A7" s="30"/>
      <c r="B7" s="37"/>
      <c r="C7" s="38"/>
      <c r="D7" s="40"/>
      <c r="E7" s="40"/>
      <c r="F7" s="30"/>
      <c r="G7" s="41"/>
      <c r="H7" s="41"/>
      <c r="I7" s="42"/>
      <c r="J7" s="42"/>
      <c r="K7" s="42"/>
      <c r="L7" s="29"/>
      <c r="M7" s="43"/>
      <c r="N7" s="44"/>
      <c r="O7" s="45"/>
      <c r="P7" s="46"/>
      <c r="Q7" s="44"/>
      <c r="R7" s="47"/>
      <c r="S7" s="44"/>
      <c r="T7" s="44"/>
      <c r="U7" s="48"/>
      <c r="V7" s="47"/>
      <c r="W7" s="39"/>
      <c r="X7" s="39"/>
      <c r="Y7" s="33"/>
    </row>
    <row r="8" spans="1:27" x14ac:dyDescent="0.25">
      <c r="A8" s="30"/>
      <c r="B8" s="37"/>
      <c r="C8" s="38"/>
      <c r="D8" s="40"/>
      <c r="E8" s="40"/>
      <c r="F8" s="30"/>
      <c r="G8" s="41"/>
      <c r="H8" s="41"/>
      <c r="I8" s="42"/>
      <c r="J8" s="42"/>
      <c r="K8" s="42"/>
      <c r="L8" s="29"/>
      <c r="M8" s="43"/>
      <c r="N8" s="44"/>
      <c r="O8" s="45"/>
      <c r="P8" s="46"/>
      <c r="Q8" s="44"/>
      <c r="R8" s="47"/>
      <c r="S8" s="44"/>
      <c r="T8" s="44"/>
      <c r="U8" s="48"/>
      <c r="V8" s="47"/>
      <c r="W8" s="39"/>
      <c r="X8" s="39"/>
      <c r="Y8" s="33"/>
    </row>
    <row r="9" spans="1:27" x14ac:dyDescent="0.25">
      <c r="A9" s="30"/>
      <c r="B9" s="37"/>
      <c r="C9" s="38"/>
      <c r="D9" s="40"/>
      <c r="E9" s="40"/>
      <c r="F9" s="30"/>
      <c r="G9" s="41"/>
      <c r="H9" s="41"/>
      <c r="I9" s="42"/>
      <c r="J9" s="42"/>
      <c r="K9" s="42"/>
      <c r="L9" s="29"/>
      <c r="M9" s="43"/>
      <c r="N9" s="44"/>
      <c r="O9" s="45"/>
      <c r="P9" s="46"/>
      <c r="Q9" s="44"/>
      <c r="R9" s="47"/>
      <c r="S9" s="44"/>
      <c r="T9" s="44"/>
      <c r="U9" s="48"/>
      <c r="V9" s="47"/>
      <c r="W9" s="39"/>
      <c r="X9" s="39"/>
      <c r="Y9" s="33"/>
    </row>
    <row r="10" spans="1:27" x14ac:dyDescent="0.25">
      <c r="A10" s="30"/>
      <c r="B10" s="37"/>
      <c r="C10" s="38"/>
      <c r="D10" s="40"/>
      <c r="E10" s="40"/>
      <c r="F10" s="30"/>
      <c r="G10" s="41"/>
      <c r="H10" s="41"/>
      <c r="I10" s="42"/>
      <c r="J10" s="42"/>
      <c r="K10" s="42"/>
      <c r="L10" s="29"/>
      <c r="M10" s="43"/>
      <c r="N10" s="44"/>
      <c r="O10" s="45"/>
      <c r="P10" s="46"/>
      <c r="Q10" s="44"/>
      <c r="R10" s="47"/>
      <c r="S10" s="44"/>
      <c r="T10" s="44"/>
      <c r="U10" s="48"/>
      <c r="V10" s="47"/>
      <c r="W10" s="39"/>
      <c r="X10" s="39"/>
      <c r="Y10" s="33"/>
    </row>
    <row r="11" spans="1:27" ht="38.25" x14ac:dyDescent="0.25">
      <c r="A11" s="20">
        <v>201900088</v>
      </c>
      <c r="B11" s="16">
        <v>547149</v>
      </c>
      <c r="C11" s="4">
        <v>43776</v>
      </c>
      <c r="D11" s="34" t="s">
        <v>26</v>
      </c>
      <c r="E11" s="5" t="s">
        <v>27</v>
      </c>
      <c r="F11" s="3" t="s">
        <v>18</v>
      </c>
      <c r="H11" s="6" t="s">
        <v>19</v>
      </c>
      <c r="I11" s="6" t="s">
        <v>20</v>
      </c>
      <c r="J11" s="3">
        <v>9</v>
      </c>
      <c r="K11" s="3"/>
      <c r="L11" s="3"/>
      <c r="M11" s="7"/>
      <c r="N11" s="16">
        <v>20000</v>
      </c>
      <c r="O11" s="9">
        <v>4.0000000000000001E-3</v>
      </c>
      <c r="P11" s="24">
        <v>16</v>
      </c>
      <c r="Q11" s="8">
        <f t="shared" ref="Q11:Q13" si="1">INT(2800/(P11+3))</f>
        <v>147</v>
      </c>
      <c r="R11" s="9">
        <f>(3.14*(J11/2)*(J11/2)*7.9*3)/1000</f>
        <v>1.5069645</v>
      </c>
      <c r="S11" s="8"/>
      <c r="T11" s="9">
        <v>6.3400000000000001E-4</v>
      </c>
      <c r="U11" s="9">
        <v>1.0115000000000001E-2</v>
      </c>
      <c r="V11" s="10">
        <v>202.3</v>
      </c>
      <c r="W11" s="11">
        <v>5.4810000000000006E-3</v>
      </c>
      <c r="X11" s="12">
        <v>109.62000000000002</v>
      </c>
      <c r="Y11" s="12">
        <v>12.68</v>
      </c>
      <c r="Z11" s="13">
        <v>0.60454770143351455</v>
      </c>
    </row>
    <row r="12" spans="1:27" ht="25.5" x14ac:dyDescent="0.25">
      <c r="A12" s="20">
        <v>201900088</v>
      </c>
      <c r="B12" s="16">
        <v>547149</v>
      </c>
      <c r="C12" s="4">
        <v>43776</v>
      </c>
      <c r="D12" s="5" t="s">
        <v>28</v>
      </c>
      <c r="E12" s="5" t="s">
        <v>29</v>
      </c>
      <c r="F12" s="3" t="s">
        <v>30</v>
      </c>
      <c r="H12" s="6"/>
      <c r="I12" s="6"/>
      <c r="J12" s="3"/>
      <c r="K12" s="3"/>
      <c r="L12" s="3"/>
      <c r="M12" s="7"/>
      <c r="N12" s="16">
        <v>511</v>
      </c>
      <c r="O12" s="9"/>
      <c r="P12" s="8"/>
      <c r="Q12" s="8">
        <f t="shared" si="1"/>
        <v>933</v>
      </c>
      <c r="R12" s="8"/>
      <c r="S12" s="8"/>
      <c r="T12" s="9"/>
      <c r="U12" s="9"/>
      <c r="V12" s="10"/>
      <c r="W12" s="11"/>
      <c r="X12" s="12"/>
      <c r="Y12" s="12"/>
      <c r="Z12" s="13"/>
    </row>
    <row r="13" spans="1:27" ht="25.5" x14ac:dyDescent="0.25">
      <c r="A13" s="20">
        <v>201900088</v>
      </c>
      <c r="B13" s="16">
        <v>547149</v>
      </c>
      <c r="C13" s="4">
        <v>43776</v>
      </c>
      <c r="D13" s="5" t="s">
        <v>31</v>
      </c>
      <c r="E13" s="5" t="s">
        <v>32</v>
      </c>
      <c r="F13" s="3" t="s">
        <v>30</v>
      </c>
      <c r="H13" s="6"/>
      <c r="I13" s="6"/>
      <c r="J13" s="3"/>
      <c r="K13" s="3"/>
      <c r="L13" s="3"/>
      <c r="M13" s="7"/>
      <c r="N13" s="16">
        <v>500</v>
      </c>
      <c r="O13" s="9"/>
      <c r="P13" s="8"/>
      <c r="Q13" s="8">
        <f t="shared" si="1"/>
        <v>933</v>
      </c>
      <c r="R13" s="8"/>
      <c r="S13" s="8"/>
      <c r="T13" s="9"/>
      <c r="U13" s="9"/>
      <c r="V13" s="10"/>
      <c r="W13" s="11"/>
      <c r="X13" s="12"/>
      <c r="Y13" s="12"/>
      <c r="Z13" s="13"/>
    </row>
  </sheetData>
  <conditionalFormatting sqref="M4:M10">
    <cfRule type="duplicateValues" dxfId="31" priority="4"/>
  </conditionalFormatting>
  <conditionalFormatting sqref="N11:N13">
    <cfRule type="duplicateValues" dxfId="30" priority="1"/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E6"/>
  <sheetViews>
    <sheetView workbookViewId="0">
      <selection activeCell="F25" sqref="F25"/>
    </sheetView>
  </sheetViews>
  <sheetFormatPr baseColWidth="10" defaultRowHeight="15" x14ac:dyDescent="0.25"/>
  <sheetData>
    <row r="2" spans="2:5" x14ac:dyDescent="0.25">
      <c r="D2">
        <v>100</v>
      </c>
    </row>
    <row r="3" spans="2:5" x14ac:dyDescent="0.25">
      <c r="B3">
        <v>30</v>
      </c>
      <c r="C3">
        <v>200</v>
      </c>
      <c r="E3">
        <f>+D2+C3-B3</f>
        <v>270</v>
      </c>
    </row>
    <row r="4" spans="2:5" x14ac:dyDescent="0.25">
      <c r="B4">
        <v>50</v>
      </c>
      <c r="E4">
        <f>+D3+C4-B4</f>
        <v>-50</v>
      </c>
    </row>
    <row r="5" spans="2:5" x14ac:dyDescent="0.25">
      <c r="B5">
        <v>70</v>
      </c>
    </row>
    <row r="6" spans="2:5" x14ac:dyDescent="0.25">
      <c r="C6">
        <v>150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Essai tcd</vt:lpstr>
      <vt:lpstr>Baes de données</vt:lpstr>
      <vt:lpstr>TCD</vt:lpstr>
      <vt:lpstr>Feuil3</vt:lpstr>
      <vt:lpstr>Feuil4</vt:lpstr>
      <vt:lpstr>Feuil5</vt:lpstr>
      <vt:lpstr>Feuil6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DjiDji</cp:lastModifiedBy>
  <cp:lastPrinted>2020-02-19T11:07:37Z</cp:lastPrinted>
  <dcterms:created xsi:type="dcterms:W3CDTF">2020-01-14T19:39:29Z</dcterms:created>
  <dcterms:modified xsi:type="dcterms:W3CDTF">2020-02-22T18:44:54Z</dcterms:modified>
</cp:coreProperties>
</file>