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7600" windowHeight="12930"/>
  </bookViews>
  <sheets>
    <sheet name="BL" sheetId="1" r:id="rId1"/>
    <sheet name="INVENTORY BALANCE" sheetId="7" r:id="rId2"/>
    <sheet name="SORTIES" sheetId="6" r:id="rId3"/>
    <sheet name="RECEPTION" sheetId="4" r:id="rId4"/>
    <sheet name="Produits " sheetId="2" r:id="rId5"/>
    <sheet name="Autre" sheetId="9" r:id="rId6"/>
    <sheet name="bdd_enseignes" sheetId="10" r:id="rId7"/>
  </sheets>
  <externalReferences>
    <externalReference r:id="rId8"/>
  </externalReferences>
  <definedNames>
    <definedName name="listeEnseignes">OFFSET(bdd_enseignes!$A$1,1,,COUNTA(bdd_enseignes!$A:$A)-1,8)</definedName>
    <definedName name="listeProduits">'Produits '!$A$1:$B$36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" i="1"/>
  <c r="F14" s="1"/>
  <c r="A13"/>
  <c r="F13" s="1"/>
  <c r="A12"/>
  <c r="F12" s="1"/>
  <c r="A11"/>
  <c r="F11" s="1"/>
  <c r="A10"/>
  <c r="F10" s="1"/>
  <c r="B2" i="9"/>
  <c r="J10" l="1"/>
  <c r="J25"/>
  <c r="J24"/>
  <c r="J23"/>
  <c r="J22"/>
  <c r="J21"/>
  <c r="J20"/>
  <c r="J19"/>
  <c r="J18"/>
  <c r="J17"/>
  <c r="J16"/>
  <c r="J15"/>
  <c r="J14"/>
  <c r="J13"/>
  <c r="J12"/>
  <c r="J11"/>
  <c r="J9"/>
  <c r="J8"/>
  <c r="J7"/>
  <c r="J6"/>
  <c r="J26" l="1"/>
  <c r="C29" i="1"/>
  <c r="C30"/>
  <c r="C31"/>
  <c r="C32"/>
  <c r="C33"/>
  <c r="C34"/>
  <c r="C28"/>
  <c r="C37"/>
  <c r="C38"/>
  <c r="C39"/>
  <c r="C40"/>
  <c r="C41"/>
  <c r="C42"/>
  <c r="C43"/>
  <c r="C44"/>
  <c r="C45"/>
  <c r="C46"/>
  <c r="C47"/>
  <c r="C48"/>
  <c r="C36"/>
  <c r="W5" i="9"/>
  <c r="T5"/>
  <c r="Q5"/>
  <c r="I2"/>
  <c r="C18" i="1"/>
  <c r="A2" i="9"/>
  <c r="F2"/>
  <c r="C2" s="1"/>
  <c r="E2"/>
  <c r="H2"/>
  <c r="G2"/>
  <c r="D2"/>
  <c r="B3" i="7" l="1"/>
  <c r="B4"/>
  <c r="B5"/>
  <c r="B6"/>
  <c r="B7"/>
  <c r="B8"/>
  <c r="B9"/>
  <c r="B10"/>
  <c r="B11"/>
  <c r="B12"/>
  <c r="B13"/>
  <c r="B14"/>
  <c r="B15"/>
  <c r="B16"/>
  <c r="B17"/>
  <c r="B18"/>
  <c r="C42" i="6"/>
  <c r="C41"/>
  <c r="C40"/>
  <c r="C39"/>
  <c r="C37"/>
  <c r="C36"/>
  <c r="AB28"/>
  <c r="AA28"/>
  <c r="Z28"/>
  <c r="Y28"/>
  <c r="X28"/>
  <c r="W28"/>
  <c r="V28"/>
  <c r="U28"/>
  <c r="T28"/>
  <c r="S28"/>
  <c r="R28"/>
  <c r="P28"/>
  <c r="O28"/>
  <c r="N28"/>
  <c r="M28"/>
  <c r="L28"/>
  <c r="K28"/>
  <c r="J28"/>
  <c r="Q27"/>
  <c r="Q28" s="1"/>
  <c r="AD25"/>
  <c r="AD24"/>
  <c r="AD23"/>
  <c r="AD22"/>
  <c r="AD21"/>
  <c r="AD20"/>
  <c r="AD19"/>
  <c r="AD18"/>
  <c r="AD17"/>
  <c r="AD16"/>
  <c r="AD15"/>
  <c r="AD14"/>
  <c r="AD13"/>
  <c r="AD12"/>
  <c r="AD11"/>
  <c r="AD10"/>
  <c r="C35" s="1"/>
  <c r="AD9"/>
  <c r="AD8"/>
  <c r="AD7"/>
  <c r="AD6"/>
  <c r="C38" s="1"/>
  <c r="AD5"/>
  <c r="C54" i="4"/>
  <c r="C53"/>
  <c r="C52"/>
  <c r="C51"/>
  <c r="C50"/>
  <c r="C48"/>
  <c r="C47"/>
  <c r="C46"/>
  <c r="T39"/>
  <c r="S39"/>
  <c r="R39"/>
  <c r="Q39"/>
  <c r="P39"/>
  <c r="O39"/>
  <c r="M39"/>
  <c r="L39"/>
  <c r="K39"/>
  <c r="J39"/>
  <c r="I39"/>
  <c r="H39"/>
  <c r="G39"/>
  <c r="F39"/>
  <c r="E39"/>
  <c r="V36"/>
  <c r="V35"/>
  <c r="V34"/>
  <c r="V33"/>
  <c r="V32"/>
  <c r="V31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N10"/>
  <c r="V10" s="1"/>
  <c r="V9"/>
  <c r="V8"/>
  <c r="C45" s="1"/>
  <c r="V7"/>
  <c r="V6"/>
  <c r="V5"/>
  <c r="V39" s="1"/>
  <c r="AD28" i="6" l="1"/>
  <c r="C34"/>
  <c r="N39" i="4"/>
  <c r="C49"/>
  <c r="B35" i="1" l="1"/>
  <c r="C21" l="1"/>
  <c r="F9"/>
  <c r="Y5" i="9"/>
  <c r="AA5" l="1"/>
  <c r="R5"/>
  <c r="J5"/>
  <c r="U5"/>
  <c r="X5"/>
  <c r="M5"/>
  <c r="K5"/>
  <c r="L5"/>
  <c r="V5"/>
  <c r="AB5"/>
  <c r="Z5"/>
  <c r="N5"/>
  <c r="S5"/>
  <c r="O5"/>
  <c r="P5"/>
</calcChain>
</file>

<file path=xl/sharedStrings.xml><?xml version="1.0" encoding="utf-8"?>
<sst xmlns="http://schemas.openxmlformats.org/spreadsheetml/2006/main" count="273" uniqueCount="175">
  <si>
    <t xml:space="preserve">Order No.          </t>
  </si>
  <si>
    <t>Order date</t>
  </si>
  <si>
    <t>Cust</t>
  </si>
  <si>
    <t>Page</t>
  </si>
  <si>
    <t>1/1</t>
  </si>
  <si>
    <r>
      <t xml:space="preserve">Delivery adress </t>
    </r>
    <r>
      <rPr>
        <b/>
        <i/>
        <sz val="8"/>
        <color rgb="FF000000"/>
        <rFont val="Arial"/>
        <family val="2"/>
      </rPr>
      <t>Adresse de livraison</t>
    </r>
  </si>
  <si>
    <r>
      <t xml:space="preserve">Customer   </t>
    </r>
    <r>
      <rPr>
        <b/>
        <i/>
        <sz val="8"/>
        <color rgb="FF000000"/>
        <rFont val="Arial"/>
        <family val="2"/>
      </rPr>
      <t>Client</t>
    </r>
  </si>
  <si>
    <t xml:space="preserve">Votre Référence </t>
  </si>
  <si>
    <t>Votre commande</t>
  </si>
  <si>
    <t>Your order</t>
  </si>
  <si>
    <t>Date de livraison</t>
  </si>
  <si>
    <t>Delivery date</t>
  </si>
  <si>
    <t>Notre Référence</t>
  </si>
  <si>
    <t>Conditions de livraison</t>
  </si>
  <si>
    <t>Term of delivery</t>
  </si>
  <si>
    <t>Mode de Livraison</t>
  </si>
  <si>
    <t>Delivery mode</t>
  </si>
  <si>
    <t>Pos</t>
  </si>
  <si>
    <t>Référence</t>
  </si>
  <si>
    <t>Reference</t>
  </si>
  <si>
    <t>Description</t>
  </si>
  <si>
    <t>Delivered</t>
  </si>
  <si>
    <t>Remain</t>
  </si>
  <si>
    <t>Livré</t>
  </si>
  <si>
    <t>Reliquat</t>
  </si>
  <si>
    <t>PRODUITES</t>
  </si>
  <si>
    <t>VIERGES</t>
  </si>
  <si>
    <t>19220-01</t>
  </si>
  <si>
    <t>19320-01</t>
  </si>
  <si>
    <t>19420-01</t>
  </si>
  <si>
    <t>19100-01</t>
  </si>
  <si>
    <t>19103-01</t>
  </si>
  <si>
    <t>19120-01</t>
  </si>
  <si>
    <t>19501-01</t>
  </si>
  <si>
    <t>19503-01</t>
  </si>
  <si>
    <t>19520-01</t>
  </si>
  <si>
    <t>19513-01</t>
  </si>
  <si>
    <t>19601-01</t>
  </si>
  <si>
    <t>19603-01</t>
  </si>
  <si>
    <t>19620-01</t>
  </si>
  <si>
    <t>19700-01</t>
  </si>
  <si>
    <t>19720-01</t>
  </si>
  <si>
    <t>19800-01</t>
  </si>
  <si>
    <t>19820-01</t>
  </si>
  <si>
    <t>18210-00</t>
  </si>
  <si>
    <t>18210-30</t>
  </si>
  <si>
    <t>18220-30</t>
  </si>
  <si>
    <t>18220-10</t>
  </si>
  <si>
    <t>18220-00</t>
  </si>
  <si>
    <t>18310-00</t>
  </si>
  <si>
    <t>18310-30</t>
  </si>
  <si>
    <t>18320-10</t>
  </si>
  <si>
    <t>18320-30</t>
  </si>
  <si>
    <t>18320-00</t>
  </si>
  <si>
    <t>18311-00</t>
  </si>
  <si>
    <t>18410-00</t>
  </si>
  <si>
    <t xml:space="preserve">ALAM PRODUCTION </t>
  </si>
  <si>
    <t xml:space="preserve">ENTREE STOCK PAR REFERENCE </t>
  </si>
  <si>
    <t xml:space="preserve">TOTAL ENTREE </t>
  </si>
  <si>
    <t>DATE DE RECEPTION</t>
  </si>
  <si>
    <t xml:space="preserve">ENSEIGNE </t>
  </si>
  <si>
    <t>NOM MAGASIN</t>
  </si>
  <si>
    <t>13413-00</t>
  </si>
  <si>
    <t>66110-00</t>
  </si>
  <si>
    <t>66122-01</t>
  </si>
  <si>
    <t>66122-02</t>
  </si>
  <si>
    <t>19210-01</t>
  </si>
  <si>
    <t>19220-00</t>
  </si>
  <si>
    <t>19320-00</t>
  </si>
  <si>
    <t>19323-00</t>
  </si>
  <si>
    <t>19323-01</t>
  </si>
  <si>
    <t>19420-00</t>
  </si>
  <si>
    <t>JANVIER</t>
  </si>
  <si>
    <t>ALIMERKA</t>
  </si>
  <si>
    <t>T038</t>
  </si>
  <si>
    <t xml:space="preserve">FEVRIER </t>
  </si>
  <si>
    <t>ITM</t>
  </si>
  <si>
    <t>GRAND TOTAL</t>
  </si>
  <si>
    <t>TOTAL PAR REFERENCE</t>
  </si>
  <si>
    <t>TOTAL PAR ENSEIGNE</t>
  </si>
  <si>
    <t>CASTO</t>
  </si>
  <si>
    <t>BRICO</t>
  </si>
  <si>
    <t>SUPER U</t>
  </si>
  <si>
    <t>NETTO</t>
  </si>
  <si>
    <t>CRF MARKET</t>
  </si>
  <si>
    <t>U</t>
  </si>
  <si>
    <t>MR BRICOLAGE</t>
  </si>
  <si>
    <t xml:space="preserve">CRF </t>
  </si>
  <si>
    <t>P = produites</t>
  </si>
  <si>
    <t>V = vierges</t>
  </si>
  <si>
    <t xml:space="preserve">SORTIES STOCK PAR REFERENCE </t>
  </si>
  <si>
    <t>TOTAL SORTIES</t>
  </si>
  <si>
    <t>DATE DE SORTIE</t>
  </si>
  <si>
    <t>19220-01 P</t>
  </si>
  <si>
    <t>19220-01 V</t>
  </si>
  <si>
    <t>19320-01 P</t>
  </si>
  <si>
    <t>19320-01 V</t>
  </si>
  <si>
    <t>19323-01 P</t>
  </si>
  <si>
    <t>19323-01 V</t>
  </si>
  <si>
    <t>DEFECTUEUSES</t>
  </si>
  <si>
    <t>ALAM</t>
  </si>
  <si>
    <t>STOCK</t>
  </si>
  <si>
    <t>Code article</t>
  </si>
  <si>
    <t>Nom Magasin</t>
  </si>
  <si>
    <t>Adresse</t>
  </si>
  <si>
    <t>CP</t>
  </si>
  <si>
    <t>VILLE</t>
  </si>
  <si>
    <t>TEL</t>
  </si>
  <si>
    <t>Contact</t>
  </si>
  <si>
    <t>ADRESSE</t>
  </si>
  <si>
    <t>CONTACT</t>
  </si>
  <si>
    <t>Enseigne</t>
  </si>
  <si>
    <t>Order Date</t>
  </si>
  <si>
    <t>CRM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</si>
  <si>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</si>
  <si>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</si>
  <si>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</si>
  <si>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</si>
  <si>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</si>
  <si>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</si>
  <si>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</si>
  <si>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</si>
  <si>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</si>
  <si>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</si>
  <si>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</si>
  <si>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</si>
  <si>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</si>
  <si>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</si>
  <si>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</si>
  <si>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</si>
  <si>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</si>
  <si>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</si>
  <si>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</si>
  <si>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</si>
  <si>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</si>
  <si>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</si>
  <si>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</si>
  <si>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</si>
  <si>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</si>
  <si>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</si>
  <si>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</si>
  <si>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</si>
  <si>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</si>
  <si>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</si>
  <si>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</si>
  <si>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</si>
  <si>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</si>
  <si>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</si>
  <si>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</si>
  <si>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</si>
  <si>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REF CRM</t>
  </si>
  <si>
    <t>enseigne1</t>
  </si>
  <si>
    <t>enseigne2</t>
  </si>
  <si>
    <t>magasin1</t>
  </si>
  <si>
    <t>magasin2</t>
  </si>
  <si>
    <t>adresse1</t>
  </si>
  <si>
    <t>adresse2</t>
  </si>
  <si>
    <t>ville1</t>
  </si>
  <si>
    <t>ville2</t>
  </si>
  <si>
    <t>enseigne3</t>
  </si>
  <si>
    <t>magasin3</t>
  </si>
  <si>
    <t>adresse3</t>
  </si>
  <si>
    <t>ville3</t>
  </si>
  <si>
    <t>enseigne4</t>
  </si>
  <si>
    <t>magasin4</t>
  </si>
  <si>
    <t>adresse4</t>
  </si>
  <si>
    <t>ville4</t>
  </si>
  <si>
    <t>enseigne5</t>
  </si>
  <si>
    <t>magasin5</t>
  </si>
  <si>
    <t>adresse5</t>
  </si>
  <si>
    <t>ville5</t>
  </si>
  <si>
    <t>enseigne6</t>
  </si>
  <si>
    <t>magasin6</t>
  </si>
  <si>
    <t>adresse6</t>
  </si>
  <si>
    <t>ville6</t>
  </si>
</sst>
</file>

<file path=xl/styles.xml><?xml version="1.0" encoding="utf-8"?>
<styleSheet xmlns="http://schemas.openxmlformats.org/spreadsheetml/2006/main">
  <numFmts count="2">
    <numFmt numFmtId="165" formatCode="00000"/>
    <numFmt numFmtId="166" formatCode="00\.00\.00\.00\.00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sz val="10"/>
      <name val="Arial"/>
      <family val="2"/>
    </font>
    <font>
      <b/>
      <i/>
      <sz val="8"/>
      <color rgb="FF000000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b/>
      <sz val="10"/>
      <color theme="1"/>
      <name val="Arial"/>
      <family val="2"/>
    </font>
    <font>
      <b/>
      <i/>
      <sz val="8"/>
      <color theme="1"/>
      <name val="Arial"/>
      <family val="2"/>
    </font>
    <font>
      <sz val="10"/>
      <name val="Times New Roman"/>
      <family val="1"/>
    </font>
    <font>
      <sz val="10"/>
      <color theme="1"/>
      <name val="Times New Roman"/>
      <family val="1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0"/>
      <name val="Arial"/>
      <family val="2"/>
    </font>
    <font>
      <sz val="11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57">
    <border>
      <left/>
      <right/>
      <top/>
      <bottom/>
      <diagonal/>
    </border>
    <border>
      <left/>
      <right style="thin">
        <color rgb="FF7AC143"/>
      </right>
      <top/>
      <bottom/>
      <diagonal/>
    </border>
    <border>
      <left style="thin">
        <color rgb="FF7AC143"/>
      </left>
      <right style="thin">
        <color rgb="FF7AC143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</borders>
  <cellStyleXfs count="3">
    <xf numFmtId="0" fontId="0" fillId="0" borderId="0"/>
    <xf numFmtId="0" fontId="6" fillId="0" borderId="0"/>
    <xf numFmtId="0" fontId="6" fillId="0" borderId="0"/>
  </cellStyleXfs>
  <cellXfs count="179">
    <xf numFmtId="0" fontId="0" fillId="0" borderId="0" xfId="0"/>
    <xf numFmtId="0" fontId="2" fillId="0" borderId="0" xfId="0" applyFont="1" applyAlignment="1">
      <alignment horizontal="center" vertical="center"/>
    </xf>
    <xf numFmtId="4" fontId="3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7" fillId="0" borderId="0" xfId="0" applyNumberFormat="1" applyFont="1"/>
    <xf numFmtId="0" fontId="11" fillId="0" borderId="0" xfId="0" applyFont="1"/>
    <xf numFmtId="0" fontId="0" fillId="0" borderId="0" xfId="0" applyBorder="1"/>
    <xf numFmtId="0" fontId="0" fillId="0" borderId="0" xfId="0" applyBorder="1" applyAlignment="1">
      <alignment horizontal="center"/>
    </xf>
    <xf numFmtId="0" fontId="13" fillId="0" borderId="2" xfId="0" applyFont="1" applyBorder="1" applyAlignment="1"/>
    <xf numFmtId="0" fontId="14" fillId="0" borderId="2" xfId="0" applyFont="1" applyBorder="1" applyAlignment="1" applyProtection="1">
      <protection locked="0"/>
    </xf>
    <xf numFmtId="0" fontId="6" fillId="0" borderId="1" xfId="0" applyFont="1" applyBorder="1" applyAlignment="1"/>
    <xf numFmtId="0" fontId="6" fillId="0" borderId="2" xfId="0" applyFont="1" applyBorder="1" applyAlignment="1"/>
    <xf numFmtId="0" fontId="16" fillId="0" borderId="0" xfId="0" applyFont="1"/>
    <xf numFmtId="0" fontId="15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0" borderId="0" xfId="0" applyFont="1"/>
    <xf numFmtId="0" fontId="1" fillId="0" borderId="19" xfId="0" applyFont="1" applyBorder="1" applyAlignment="1">
      <alignment horizontal="center" vertical="center" wrapText="1"/>
    </xf>
    <xf numFmtId="16" fontId="0" fillId="0" borderId="16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1" fillId="6" borderId="17" xfId="0" applyFont="1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1" fillId="6" borderId="27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0" borderId="29" xfId="0" applyFont="1" applyBorder="1"/>
    <xf numFmtId="0" fontId="0" fillId="0" borderId="2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19" fillId="3" borderId="5" xfId="0" applyFont="1" applyFill="1" applyBorder="1" applyAlignment="1">
      <alignment horizontal="center"/>
    </xf>
    <xf numFmtId="0" fontId="19" fillId="3" borderId="6" xfId="0" applyFont="1" applyFill="1" applyBorder="1" applyAlignment="1">
      <alignment horizontal="center"/>
    </xf>
    <xf numFmtId="0" fontId="19" fillId="3" borderId="7" xfId="0" applyFont="1" applyFill="1" applyBorder="1" applyAlignment="1">
      <alignment horizontal="center"/>
    </xf>
    <xf numFmtId="0" fontId="1" fillId="4" borderId="34" xfId="0" applyFont="1" applyFill="1" applyBorder="1" applyAlignment="1">
      <alignment horizontal="center"/>
    </xf>
    <xf numFmtId="0" fontId="1" fillId="4" borderId="35" xfId="0" applyFont="1" applyFill="1" applyBorder="1" applyAlignment="1">
      <alignment horizontal="center"/>
    </xf>
    <xf numFmtId="0" fontId="1" fillId="4" borderId="36" xfId="0" applyFont="1" applyFill="1" applyBorder="1" applyAlignment="1">
      <alignment horizontal="center"/>
    </xf>
    <xf numFmtId="0" fontId="0" fillId="0" borderId="38" xfId="0" applyBorder="1" applyAlignment="1">
      <alignment horizontal="center"/>
    </xf>
    <xf numFmtId="0" fontId="1" fillId="6" borderId="39" xfId="0" applyFont="1" applyFill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18" fillId="8" borderId="42" xfId="0" applyFont="1" applyFill="1" applyBorder="1" applyAlignment="1">
      <alignment horizontal="center"/>
    </xf>
    <xf numFmtId="0" fontId="18" fillId="8" borderId="43" xfId="0" applyFont="1" applyFill="1" applyBorder="1" applyAlignment="1">
      <alignment horizontal="center"/>
    </xf>
    <xf numFmtId="0" fontId="18" fillId="8" borderId="44" xfId="0" applyFont="1" applyFill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4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6" fillId="0" borderId="17" xfId="1" applyNumberFormat="1" applyBorder="1" applyAlignment="1">
      <alignment horizontal="center"/>
    </xf>
    <xf numFmtId="0" fontId="6" fillId="0" borderId="17" xfId="1" applyBorder="1"/>
    <xf numFmtId="0" fontId="6" fillId="0" borderId="47" xfId="2" applyNumberFormat="1" applyBorder="1" applyAlignment="1">
      <alignment horizontal="center"/>
    </xf>
    <xf numFmtId="0" fontId="6" fillId="0" borderId="48" xfId="1" applyBorder="1"/>
    <xf numFmtId="0" fontId="6" fillId="0" borderId="47" xfId="1" applyNumberFormat="1" applyBorder="1" applyAlignment="1">
      <alignment horizontal="center"/>
    </xf>
    <xf numFmtId="0" fontId="6" fillId="0" borderId="47" xfId="1" applyNumberFormat="1" applyFont="1" applyBorder="1" applyAlignment="1">
      <alignment horizontal="center"/>
    </xf>
    <xf numFmtId="0" fontId="3" fillId="10" borderId="47" xfId="1" applyFont="1" applyFill="1" applyBorder="1" applyAlignment="1">
      <alignment horizontal="center"/>
    </xf>
    <xf numFmtId="0" fontId="21" fillId="10" borderId="48" xfId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Border="1" applyAlignment="1">
      <alignment horizontal="center" vertical="center"/>
    </xf>
    <xf numFmtId="14" fontId="1" fillId="3" borderId="31" xfId="0" applyNumberFormat="1" applyFont="1" applyFill="1" applyBorder="1" applyAlignment="1">
      <alignment horizontal="center"/>
    </xf>
    <xf numFmtId="14" fontId="1" fillId="3" borderId="32" xfId="0" applyNumberFormat="1" applyFont="1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1" fillId="4" borderId="33" xfId="0" applyNumberFormat="1" applyFont="1" applyFill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14" fontId="0" fillId="0" borderId="37" xfId="0" applyNumberFormat="1" applyBorder="1" applyAlignment="1">
      <alignment horizontal="center"/>
    </xf>
    <xf numFmtId="14" fontId="0" fillId="0" borderId="41" xfId="0" applyNumberFormat="1" applyBorder="1" applyAlignment="1">
      <alignment horizontal="center"/>
    </xf>
    <xf numFmtId="14" fontId="0" fillId="0" borderId="0" xfId="0" applyNumberFormat="1"/>
    <xf numFmtId="0" fontId="13" fillId="0" borderId="0" xfId="0" applyFont="1" applyBorder="1" applyAlignment="1"/>
    <xf numFmtId="0" fontId="1" fillId="0" borderId="35" xfId="0" applyFont="1" applyFill="1" applyBorder="1" applyAlignment="1">
      <alignment horizontal="center"/>
    </xf>
    <xf numFmtId="0" fontId="1" fillId="0" borderId="36" xfId="0" applyFont="1" applyFill="1" applyBorder="1" applyAlignment="1">
      <alignment horizontal="center"/>
    </xf>
    <xf numFmtId="0" fontId="19" fillId="0" borderId="5" xfId="0" applyFont="1" applyFill="1" applyBorder="1" applyAlignment="1">
      <alignment horizontal="center"/>
    </xf>
    <xf numFmtId="0" fontId="19" fillId="0" borderId="6" xfId="0" applyFont="1" applyFill="1" applyBorder="1" applyAlignment="1">
      <alignment horizontal="center"/>
    </xf>
    <xf numFmtId="0" fontId="19" fillId="0" borderId="7" xfId="0" applyFont="1" applyFill="1" applyBorder="1" applyAlignment="1">
      <alignment horizontal="center"/>
    </xf>
    <xf numFmtId="0" fontId="0" fillId="0" borderId="0" xfId="0" applyNumberFormat="1"/>
    <xf numFmtId="0" fontId="0" fillId="0" borderId="51" xfId="0" applyBorder="1"/>
    <xf numFmtId="0" fontId="1" fillId="0" borderId="33" xfId="0" applyFont="1" applyFill="1" applyBorder="1" applyAlignment="1">
      <alignment horizontal="center"/>
    </xf>
    <xf numFmtId="0" fontId="1" fillId="0" borderId="29" xfId="0" applyFont="1" applyFill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4" xfId="0" applyFont="1" applyBorder="1"/>
    <xf numFmtId="0" fontId="9" fillId="0" borderId="9" xfId="0" applyFont="1" applyBorder="1" applyAlignment="1">
      <alignment horizontal="center"/>
    </xf>
    <xf numFmtId="0" fontId="10" fillId="0" borderId="52" xfId="0" applyFont="1" applyBorder="1" applyAlignment="1">
      <alignment horizontal="center" vertical="center"/>
    </xf>
    <xf numFmtId="0" fontId="10" fillId="0" borderId="52" xfId="0" applyFont="1" applyBorder="1" applyAlignment="1">
      <alignment horizontal="center"/>
    </xf>
    <xf numFmtId="0" fontId="9" fillId="0" borderId="52" xfId="0" applyFont="1" applyBorder="1"/>
    <xf numFmtId="0" fontId="10" fillId="0" borderId="53" xfId="0" applyFont="1" applyBorder="1" applyAlignment="1">
      <alignment horizontal="center"/>
    </xf>
    <xf numFmtId="0" fontId="0" fillId="0" borderId="52" xfId="0" applyBorder="1"/>
    <xf numFmtId="0" fontId="0" fillId="0" borderId="53" xfId="0" applyBorder="1"/>
    <xf numFmtId="0" fontId="15" fillId="0" borderId="52" xfId="0" applyFont="1" applyBorder="1" applyAlignment="1">
      <alignment horizontal="center"/>
    </xf>
    <xf numFmtId="0" fontId="9" fillId="0" borderId="54" xfId="0" applyFont="1" applyBorder="1" applyAlignment="1">
      <alignment horizontal="center"/>
    </xf>
    <xf numFmtId="0" fontId="9" fillId="0" borderId="55" xfId="0" applyFont="1" applyBorder="1"/>
    <xf numFmtId="0" fontId="0" fillId="0" borderId="56" xfId="0" applyBorder="1"/>
    <xf numFmtId="0" fontId="0" fillId="0" borderId="55" xfId="0" applyBorder="1"/>
    <xf numFmtId="0" fontId="1" fillId="0" borderId="0" xfId="0" applyFont="1" applyAlignment="1">
      <alignment horizontal="center" vertical="center"/>
    </xf>
    <xf numFmtId="0" fontId="15" fillId="11" borderId="0" xfId="0" applyFont="1" applyFill="1" applyBorder="1" applyAlignment="1">
      <alignment horizontal="center"/>
    </xf>
    <xf numFmtId="0" fontId="0" fillId="11" borderId="0" xfId="0" applyFill="1" applyBorder="1"/>
    <xf numFmtId="1" fontId="5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1" fontId="7" fillId="0" borderId="0" xfId="0" applyNumberFormat="1" applyFont="1" applyAlignment="1">
      <alignment horizontal="left"/>
    </xf>
    <xf numFmtId="0" fontId="2" fillId="0" borderId="0" xfId="0" applyFont="1" applyBorder="1" applyAlignment="1">
      <alignment horizontal="center" vertical="center" readingOrder="1"/>
    </xf>
    <xf numFmtId="1" fontId="6" fillId="0" borderId="0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 readingOrder="1"/>
    </xf>
    <xf numFmtId="14" fontId="0" fillId="0" borderId="0" xfId="0" applyNumberFormat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52" xfId="0" applyFont="1" applyBorder="1" applyAlignment="1">
      <alignment horizontal="center" vertical="center"/>
    </xf>
    <xf numFmtId="1" fontId="8" fillId="0" borderId="0" xfId="0" applyNumberFormat="1" applyFont="1" applyAlignment="1">
      <alignment horizontal="left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0" xfId="0" applyFont="1" applyAlignment="1">
      <alignment horizontal="left"/>
    </xf>
    <xf numFmtId="0" fontId="0" fillId="0" borderId="0" xfId="0" applyFont="1" applyAlignment="1">
      <alignment horizontal="center" vertical="center"/>
    </xf>
    <xf numFmtId="0" fontId="7" fillId="0" borderId="0" xfId="0" applyFont="1" applyAlignment="1">
      <alignment horizontal="left"/>
    </xf>
    <xf numFmtId="0" fontId="0" fillId="0" borderId="0" xfId="0" applyBorder="1" applyAlignment="1">
      <alignment horizontal="center"/>
    </xf>
    <xf numFmtId="0" fontId="15" fillId="11" borderId="0" xfId="0" applyFont="1" applyFill="1" applyBorder="1" applyAlignment="1">
      <alignment horizontal="center"/>
    </xf>
    <xf numFmtId="0" fontId="11" fillId="0" borderId="0" xfId="0" applyFont="1" applyAlignment="1">
      <alignment horizontal="left"/>
    </xf>
    <xf numFmtId="0" fontId="12" fillId="0" borderId="0" xfId="0" applyFont="1" applyAlignment="1">
      <alignment horizontal="left"/>
    </xf>
    <xf numFmtId="0" fontId="0" fillId="0" borderId="52" xfId="0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3" fillId="9" borderId="50" xfId="1" applyFont="1" applyFill="1" applyBorder="1" applyAlignment="1">
      <alignment horizontal="center"/>
    </xf>
    <xf numFmtId="0" fontId="3" fillId="9" borderId="49" xfId="1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3" xfId="0" applyBorder="1" applyAlignment="1">
      <alignment horizontal="center"/>
    </xf>
    <xf numFmtId="0" fontId="1" fillId="7" borderId="33" xfId="0" applyFont="1" applyFill="1" applyBorder="1" applyAlignment="1">
      <alignment horizontal="center"/>
    </xf>
    <xf numFmtId="0" fontId="1" fillId="7" borderId="36" xfId="0" applyFont="1" applyFill="1" applyBorder="1" applyAlignment="1">
      <alignment horizontal="center"/>
    </xf>
    <xf numFmtId="0" fontId="19" fillId="2" borderId="5" xfId="0" applyFont="1" applyFill="1" applyBorder="1" applyAlignment="1">
      <alignment horizontal="center"/>
    </xf>
    <xf numFmtId="0" fontId="19" fillId="2" borderId="6" xfId="0" applyFont="1" applyFill="1" applyBorder="1" applyAlignment="1">
      <alignment horizontal="center"/>
    </xf>
    <xf numFmtId="0" fontId="19" fillId="2" borderId="7" xfId="0" applyFont="1" applyFill="1" applyBorder="1" applyAlignment="1">
      <alignment horizontal="center"/>
    </xf>
    <xf numFmtId="0" fontId="19" fillId="3" borderId="3" xfId="0" applyFont="1" applyFill="1" applyBorder="1" applyAlignment="1">
      <alignment horizontal="center"/>
    </xf>
    <xf numFmtId="0" fontId="19" fillId="3" borderId="4" xfId="0" applyFont="1" applyFill="1" applyBorder="1" applyAlignment="1">
      <alignment horizontal="center"/>
    </xf>
    <xf numFmtId="0" fontId="19" fillId="3" borderId="9" xfId="0" applyFont="1" applyFill="1" applyBorder="1" applyAlignment="1">
      <alignment horizontal="center"/>
    </xf>
    <xf numFmtId="0" fontId="1" fillId="0" borderId="10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9" fillId="3" borderId="5" xfId="0" applyFont="1" applyFill="1" applyBorder="1" applyAlignment="1">
      <alignment horizontal="center"/>
    </xf>
    <xf numFmtId="0" fontId="19" fillId="3" borderId="7" xfId="0" applyFont="1" applyFill="1" applyBorder="1" applyAlignment="1">
      <alignment horizontal="center"/>
    </xf>
    <xf numFmtId="0" fontId="17" fillId="8" borderId="5" xfId="0" applyFont="1" applyFill="1" applyBorder="1" applyAlignment="1">
      <alignment horizontal="center"/>
    </xf>
    <xf numFmtId="0" fontId="17" fillId="8" borderId="6" xfId="0" applyFont="1" applyFill="1" applyBorder="1" applyAlignment="1">
      <alignment horizontal="center"/>
    </xf>
    <xf numFmtId="0" fontId="17" fillId="8" borderId="7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1" fillId="7" borderId="34" xfId="0" applyFont="1" applyFill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4" xfId="0" applyBorder="1" applyAlignment="1">
      <alignment horizontal="center"/>
    </xf>
    <xf numFmtId="0" fontId="20" fillId="5" borderId="16" xfId="0" applyFont="1" applyFill="1" applyBorder="1" applyAlignment="1">
      <alignment horizontal="center"/>
    </xf>
    <xf numFmtId="0" fontId="20" fillId="5" borderId="17" xfId="0" applyFont="1" applyFill="1" applyBorder="1" applyAlignment="1">
      <alignment horizontal="center"/>
    </xf>
    <xf numFmtId="0" fontId="20" fillId="5" borderId="18" xfId="0" applyFont="1" applyFill="1" applyBorder="1" applyAlignment="1">
      <alignment horizontal="center"/>
    </xf>
    <xf numFmtId="0" fontId="20" fillId="5" borderId="21" xfId="0" applyFont="1" applyFill="1" applyBorder="1" applyAlignment="1">
      <alignment horizontal="center"/>
    </xf>
    <xf numFmtId="0" fontId="20" fillId="5" borderId="22" xfId="0" applyFont="1" applyFill="1" applyBorder="1" applyAlignment="1">
      <alignment horizontal="center"/>
    </xf>
    <xf numFmtId="0" fontId="20" fillId="5" borderId="23" xfId="0" applyFont="1" applyFill="1" applyBorder="1" applyAlignment="1">
      <alignment horizontal="center"/>
    </xf>
    <xf numFmtId="0" fontId="1" fillId="7" borderId="30" xfId="0" applyFont="1" applyFill="1" applyBorder="1" applyAlignment="1">
      <alignment horizontal="center"/>
    </xf>
    <xf numFmtId="0" fontId="1" fillId="7" borderId="22" xfId="0" applyFont="1" applyFill="1" applyBorder="1" applyAlignment="1">
      <alignment horizontal="center"/>
    </xf>
    <xf numFmtId="0" fontId="1" fillId="7" borderId="24" xfId="0" applyFont="1" applyFill="1" applyBorder="1" applyAlignment="1">
      <alignment horizontal="center"/>
    </xf>
    <xf numFmtId="0" fontId="1" fillId="7" borderId="17" xfId="0" applyFont="1" applyFill="1" applyBorder="1" applyAlignment="1">
      <alignment horizontal="center"/>
    </xf>
    <xf numFmtId="0" fontId="19" fillId="0" borderId="5" xfId="0" applyFont="1" applyFill="1" applyBorder="1" applyAlignment="1">
      <alignment horizontal="center"/>
    </xf>
    <xf numFmtId="0" fontId="19" fillId="0" borderId="6" xfId="0" applyFont="1" applyFill="1" applyBorder="1" applyAlignment="1">
      <alignment horizontal="center"/>
    </xf>
    <xf numFmtId="0" fontId="19" fillId="0" borderId="7" xfId="0" applyFont="1" applyFill="1" applyBorder="1" applyAlignment="1">
      <alignment horizontal="center"/>
    </xf>
    <xf numFmtId="0" fontId="19" fillId="0" borderId="3" xfId="0" applyFont="1" applyFill="1" applyBorder="1" applyAlignment="1">
      <alignment horizontal="center"/>
    </xf>
    <xf numFmtId="0" fontId="19" fillId="0" borderId="4" xfId="0" applyFont="1" applyFill="1" applyBorder="1" applyAlignment="1">
      <alignment horizontal="center"/>
    </xf>
    <xf numFmtId="0" fontId="19" fillId="0" borderId="9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1</xdr:row>
      <xdr:rowOff>9525</xdr:rowOff>
    </xdr:from>
    <xdr:to>
      <xdr:col>8</xdr:col>
      <xdr:colOff>590550</xdr:colOff>
      <xdr:row>2</xdr:row>
      <xdr:rowOff>108585</xdr:rowOff>
    </xdr:to>
    <xdr:sp macro="" textlink="">
      <xdr:nvSpPr>
        <xdr:cNvPr id="3" name="AutoShape 22"/>
        <xdr:cNvSpPr>
          <a:spLocks noChangeArrowheads="1"/>
        </xdr:cNvSpPr>
      </xdr:nvSpPr>
      <xdr:spPr bwMode="auto">
        <a:xfrm>
          <a:off x="3390900" y="200025"/>
          <a:ext cx="2076450" cy="28956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DELIVERY NOTE</a:t>
          </a:r>
        </a:p>
      </xdr:txBody>
    </xdr:sp>
    <xdr:clientData/>
  </xdr:twoCellAnchor>
  <xdr:twoCellAnchor>
    <xdr:from>
      <xdr:col>3</xdr:col>
      <xdr:colOff>295275</xdr:colOff>
      <xdr:row>4</xdr:row>
      <xdr:rowOff>0</xdr:rowOff>
    </xdr:from>
    <xdr:to>
      <xdr:col>6</xdr:col>
      <xdr:colOff>443865</xdr:colOff>
      <xdr:row>6</xdr:row>
      <xdr:rowOff>0</xdr:rowOff>
    </xdr:to>
    <xdr:sp macro="" textlink="">
      <xdr:nvSpPr>
        <xdr:cNvPr id="4" name="Rounded Rectangle 1"/>
        <xdr:cNvSpPr/>
      </xdr:nvSpPr>
      <xdr:spPr>
        <a:xfrm>
          <a:off x="2124075" y="762000"/>
          <a:ext cx="2082165" cy="381000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476250</xdr:colOff>
      <xdr:row>4</xdr:row>
      <xdr:rowOff>0</xdr:rowOff>
    </xdr:from>
    <xdr:to>
      <xdr:col>8</xdr:col>
      <xdr:colOff>592455</xdr:colOff>
      <xdr:row>6</xdr:row>
      <xdr:rowOff>0</xdr:rowOff>
    </xdr:to>
    <xdr:sp macro="" textlink="">
      <xdr:nvSpPr>
        <xdr:cNvPr id="5" name="Rounded Rectangle 13"/>
        <xdr:cNvSpPr/>
      </xdr:nvSpPr>
      <xdr:spPr>
        <a:xfrm>
          <a:off x="4429125" y="762000"/>
          <a:ext cx="1335405" cy="381000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28576</xdr:colOff>
      <xdr:row>7</xdr:row>
      <xdr:rowOff>9525</xdr:rowOff>
    </xdr:from>
    <xdr:to>
      <xdr:col>4</xdr:col>
      <xdr:colOff>438150</xdr:colOff>
      <xdr:row>14</xdr:row>
      <xdr:rowOff>47625</xdr:rowOff>
    </xdr:to>
    <xdr:sp macro="" textlink="">
      <xdr:nvSpPr>
        <xdr:cNvPr id="6" name="Rounded Rectangle 15"/>
        <xdr:cNvSpPr/>
      </xdr:nvSpPr>
      <xdr:spPr>
        <a:xfrm>
          <a:off x="28576" y="1343025"/>
          <a:ext cx="3038474" cy="1371600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8</xdr:col>
      <xdr:colOff>590550</xdr:colOff>
      <xdr:row>14</xdr:row>
      <xdr:rowOff>47625</xdr:rowOff>
    </xdr:to>
    <xdr:sp macro="" textlink="">
      <xdr:nvSpPr>
        <xdr:cNvPr id="7" name="Rounded Rectangle 16"/>
        <xdr:cNvSpPr/>
      </xdr:nvSpPr>
      <xdr:spPr>
        <a:xfrm>
          <a:off x="3238500" y="1333500"/>
          <a:ext cx="2524125" cy="1381125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OCK%20TES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CEPTION"/>
      <sheetName val="SORTIES"/>
      <sheetName val="BL"/>
    </sheetNames>
    <sheetDataSet>
      <sheetData sheetId="0">
        <row r="39"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14500</v>
          </cell>
          <cell r="M39">
            <v>0</v>
          </cell>
          <cell r="N39">
            <v>64000</v>
          </cell>
          <cell r="O39">
            <v>0</v>
          </cell>
          <cell r="P39">
            <v>1400</v>
          </cell>
          <cell r="Q39">
            <v>0</v>
          </cell>
          <cell r="R39">
            <v>110</v>
          </cell>
          <cell r="S39">
            <v>100</v>
          </cell>
          <cell r="T39">
            <v>0</v>
          </cell>
        </row>
      </sheetData>
      <sheetData sheetId="1">
        <row r="32">
          <cell r="E32">
            <v>80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1000</v>
          </cell>
          <cell r="K32">
            <v>0</v>
          </cell>
          <cell r="L32">
            <v>33133</v>
          </cell>
          <cell r="M32">
            <v>54393</v>
          </cell>
          <cell r="N32">
            <v>4225</v>
          </cell>
          <cell r="O32">
            <v>67687</v>
          </cell>
          <cell r="P32">
            <v>7529</v>
          </cell>
          <cell r="Q32">
            <v>1125</v>
          </cell>
          <cell r="R32">
            <v>2208</v>
          </cell>
          <cell r="S32">
            <v>96</v>
          </cell>
          <cell r="T32">
            <v>0</v>
          </cell>
          <cell r="U32">
            <v>610</v>
          </cell>
          <cell r="V32">
            <v>100</v>
          </cell>
          <cell r="W32">
            <v>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Reflection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alpha val="100000"/>
                <a:satMod val="140000"/>
                <a:lumMod val="105000"/>
              </a:schemeClr>
            </a:gs>
            <a:gs pos="41000">
              <a:schemeClr val="phClr">
                <a:tint val="57000"/>
                <a:satMod val="160000"/>
                <a:lumMod val="99000"/>
              </a:schemeClr>
            </a:gs>
            <a:gs pos="100000">
              <a:schemeClr val="phClr">
                <a:tint val="80000"/>
                <a:satMod val="180000"/>
                <a:lumMod val="104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7000"/>
                <a:satMod val="115000"/>
                <a:lumMod val="114000"/>
              </a:schemeClr>
            </a:gs>
            <a:gs pos="60000">
              <a:schemeClr val="phClr">
                <a:tint val="100000"/>
                <a:shade val="96000"/>
                <a:satMod val="100000"/>
                <a:lumMod val="108000"/>
              </a:schemeClr>
            </a:gs>
            <a:gs pos="100000">
              <a:schemeClr val="phClr">
                <a:shade val="91000"/>
                <a:satMod val="100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rotWithShape="0">
              <a:srgbClr val="000000">
                <a:alpha val="28000"/>
              </a:srgbClr>
            </a:outerShdw>
          </a:effectLst>
        </a:effectStyle>
        <a:effectStyle>
          <a:effectLst>
            <a:outerShdw blurRad="50800" dist="31750" dir="5400000" sy="98000" rotWithShape="0">
              <a:srgbClr val="000000">
                <a:alpha val="47000"/>
              </a:srgbClr>
            </a:outerShdw>
          </a:effectLst>
          <a:scene3d>
            <a:camera prst="orthographicFront">
              <a:rot lat="0" lon="0" rev="0"/>
            </a:camera>
            <a:lightRig rig="twoPt" dir="t">
              <a:rot lat="0" lon="0" rev="4800000"/>
            </a:lightRig>
          </a:scene3d>
          <a:sp3d prstMaterial="matte">
            <a:bevelT w="25400" h="44450"/>
          </a:sp3d>
        </a:effectStyle>
        <a:effectStyle>
          <a:effectLst>
            <a:reflection blurRad="25400" stA="32000" endPos="28000" dist="8889" dir="5400000" sy="-100000" rotWithShape="0"/>
          </a:effectLst>
          <a:scene3d>
            <a:camera prst="orthographicFront">
              <a:rot lat="0" lon="0" rev="0"/>
            </a:camera>
            <a:lightRig rig="threePt" dir="t">
              <a:rot lat="0" lon="0" rev="4800000"/>
            </a:lightRig>
          </a:scene3d>
          <a:sp3d>
            <a:bevelT w="508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5:I51"/>
  <sheetViews>
    <sheetView tabSelected="1" workbookViewId="0">
      <selection activeCell="F14" sqref="F14:I14"/>
    </sheetView>
  </sheetViews>
  <sheetFormatPr baseColWidth="10" defaultColWidth="9.140625" defaultRowHeight="15"/>
  <cols>
    <col min="2" max="2" width="10.42578125" customWidth="1"/>
    <col min="3" max="3" width="10.7109375" bestFit="1" customWidth="1"/>
    <col min="6" max="6" width="10.7109375" bestFit="1" customWidth="1"/>
    <col min="13" max="13" width="9.5703125" bestFit="1" customWidth="1"/>
  </cols>
  <sheetData>
    <row r="5" spans="1:9">
      <c r="E5" s="1" t="s">
        <v>0</v>
      </c>
      <c r="F5" s="113" t="s">
        <v>1</v>
      </c>
      <c r="G5" s="113"/>
      <c r="H5" s="2" t="s">
        <v>2</v>
      </c>
      <c r="I5" s="2" t="s">
        <v>3</v>
      </c>
    </row>
    <row r="6" spans="1:9">
      <c r="D6" s="108">
        <v>24239</v>
      </c>
      <c r="E6" s="108"/>
      <c r="F6" s="114">
        <v>42451</v>
      </c>
      <c r="G6" s="108"/>
      <c r="I6" s="3" t="s">
        <v>4</v>
      </c>
    </row>
    <row r="8" spans="1:9">
      <c r="A8" s="110" t="s">
        <v>5</v>
      </c>
      <c r="B8" s="110"/>
      <c r="C8" s="110"/>
      <c r="D8" s="110"/>
      <c r="E8" s="110"/>
      <c r="F8" s="110" t="s">
        <v>6</v>
      </c>
      <c r="G8" s="110"/>
      <c r="H8" s="110"/>
      <c r="I8" s="110"/>
    </row>
    <row r="9" spans="1:9">
      <c r="A9" s="107" t="s">
        <v>151</v>
      </c>
      <c r="B9" s="107"/>
      <c r="C9" s="107"/>
      <c r="D9" s="107"/>
      <c r="E9" s="107"/>
      <c r="F9" s="112" t="str">
        <f>A9</f>
        <v>enseigne1</v>
      </c>
      <c r="G9" s="112"/>
      <c r="H9" s="112"/>
      <c r="I9" s="112"/>
    </row>
    <row r="10" spans="1:9">
      <c r="A10" s="107" t="str">
        <f ca="1">VLOOKUP(A9,listeEnseignes,2,FALSE)</f>
        <v>magasin1</v>
      </c>
      <c r="B10" s="107"/>
      <c r="C10" s="107"/>
      <c r="D10" s="107"/>
      <c r="E10" s="107"/>
      <c r="F10" s="112" t="str">
        <f ca="1">A10</f>
        <v>magasin1</v>
      </c>
      <c r="G10" s="112"/>
      <c r="H10" s="112"/>
      <c r="I10" s="112"/>
    </row>
    <row r="11" spans="1:9">
      <c r="A11" s="107" t="str">
        <f ca="1">VLOOKUP(A9,listeEnseignes,3,FALSE)</f>
        <v>adresse1</v>
      </c>
      <c r="B11" s="107"/>
      <c r="C11" s="107"/>
      <c r="D11" s="107"/>
      <c r="E11" s="107"/>
      <c r="F11" s="112" t="str">
        <f ca="1">A11</f>
        <v>adresse1</v>
      </c>
      <c r="G11" s="112"/>
      <c r="H11" s="112"/>
      <c r="I11" s="112"/>
    </row>
    <row r="12" spans="1:9">
      <c r="A12" s="178">
        <f ca="1">VLOOKUP(A9,listeEnseignes,4,FALSE)</f>
        <v>1</v>
      </c>
      <c r="B12" s="178"/>
      <c r="C12" s="178"/>
      <c r="D12" s="178"/>
      <c r="E12" s="178"/>
      <c r="F12" s="178">
        <f ca="1">A12</f>
        <v>1</v>
      </c>
      <c r="G12" s="108"/>
      <c r="H12" s="108"/>
      <c r="I12" s="108"/>
    </row>
    <row r="13" spans="1:9">
      <c r="A13" s="111" t="str">
        <f ca="1">VLOOKUP(A9,listeEnseignes,5,FALSE)</f>
        <v>ville1</v>
      </c>
      <c r="B13" s="111"/>
      <c r="C13" s="111"/>
      <c r="D13" s="111"/>
      <c r="E13" s="111"/>
      <c r="F13" s="112" t="str">
        <f ca="1">A13</f>
        <v>ville1</v>
      </c>
      <c r="G13" s="112"/>
      <c r="H13" s="112"/>
      <c r="I13" s="112"/>
    </row>
    <row r="14" spans="1:9">
      <c r="A14" s="177">
        <f ca="1">VLOOKUP(A9,listeEnseignes,6,FALSE)</f>
        <v>320202020</v>
      </c>
      <c r="B14" s="177"/>
      <c r="C14" s="177"/>
      <c r="D14" s="177"/>
      <c r="E14" s="177"/>
      <c r="F14" s="177">
        <f ca="1">A14</f>
        <v>320202020</v>
      </c>
      <c r="G14" s="177"/>
      <c r="H14" s="177"/>
      <c r="I14" s="177"/>
    </row>
    <row r="16" spans="1:9">
      <c r="A16" s="5" t="s">
        <v>7</v>
      </c>
      <c r="F16" s="109" t="s">
        <v>12</v>
      </c>
      <c r="G16" s="109"/>
      <c r="H16" s="108"/>
      <c r="I16" s="108"/>
    </row>
    <row r="17" spans="1:9">
      <c r="H17" s="108"/>
      <c r="I17" s="108"/>
    </row>
    <row r="18" spans="1:9" ht="10.5" customHeight="1">
      <c r="A18" s="109" t="s">
        <v>8</v>
      </c>
      <c r="B18" s="109"/>
      <c r="C18" s="121">
        <f>IF(D6&lt;&gt;0,D6," ")</f>
        <v>24239</v>
      </c>
      <c r="F18" s="122" t="s">
        <v>13</v>
      </c>
      <c r="G18" s="122"/>
      <c r="H18" s="108"/>
      <c r="I18" s="108"/>
    </row>
    <row r="19" spans="1:9" ht="10.5" customHeight="1">
      <c r="A19" s="117" t="s">
        <v>9</v>
      </c>
      <c r="B19" s="117"/>
      <c r="C19" s="121"/>
      <c r="F19" s="120" t="s">
        <v>14</v>
      </c>
      <c r="G19" s="120"/>
      <c r="H19" s="108"/>
      <c r="I19" s="108"/>
    </row>
    <row r="21" spans="1:9" ht="9.75" customHeight="1">
      <c r="A21" s="109" t="s">
        <v>10</v>
      </c>
      <c r="B21" s="109"/>
      <c r="C21" s="118">
        <f>IF(F6&lt;&gt;0,F6,"")</f>
        <v>42451</v>
      </c>
      <c r="F21" s="122" t="s">
        <v>15</v>
      </c>
      <c r="G21" s="122"/>
      <c r="H21" s="108"/>
      <c r="I21" s="108"/>
    </row>
    <row r="22" spans="1:9" ht="10.5" customHeight="1">
      <c r="A22" s="117" t="s">
        <v>11</v>
      </c>
      <c r="B22" s="117"/>
      <c r="C22" s="119"/>
      <c r="F22" s="120" t="s">
        <v>16</v>
      </c>
      <c r="G22" s="120"/>
      <c r="H22" s="108"/>
      <c r="I22" s="108"/>
    </row>
    <row r="23" spans="1:9" ht="15.75" thickBot="1"/>
    <row r="24" spans="1:9">
      <c r="A24" s="100" t="s">
        <v>17</v>
      </c>
      <c r="B24" s="90" t="s">
        <v>19</v>
      </c>
      <c r="C24" s="115" t="s">
        <v>20</v>
      </c>
      <c r="D24" s="115"/>
      <c r="E24" s="115"/>
      <c r="F24" s="115"/>
      <c r="G24" s="91" t="s">
        <v>21</v>
      </c>
      <c r="H24" s="91"/>
      <c r="I24" s="92" t="s">
        <v>22</v>
      </c>
    </row>
    <row r="25" spans="1:9" ht="15.75" thickBot="1">
      <c r="A25" s="101"/>
      <c r="B25" s="93" t="s">
        <v>18</v>
      </c>
      <c r="C25" s="116"/>
      <c r="D25" s="116"/>
      <c r="E25" s="116"/>
      <c r="F25" s="116"/>
      <c r="G25" s="94" t="s">
        <v>23</v>
      </c>
      <c r="H25" s="95"/>
      <c r="I25" s="96" t="s">
        <v>24</v>
      </c>
    </row>
    <row r="26" spans="1:9">
      <c r="A26" s="102"/>
      <c r="B26" s="7"/>
      <c r="C26" s="123"/>
      <c r="D26" s="123"/>
      <c r="E26" s="123"/>
      <c r="F26" s="123"/>
      <c r="G26" s="7"/>
      <c r="H26" s="7"/>
      <c r="I26" s="87"/>
    </row>
    <row r="27" spans="1:9">
      <c r="A27" s="102"/>
      <c r="B27" s="7"/>
      <c r="C27" s="128" t="s">
        <v>25</v>
      </c>
      <c r="D27" s="128"/>
      <c r="E27" s="128"/>
      <c r="F27" s="128"/>
      <c r="G27" s="7"/>
      <c r="H27" s="7"/>
      <c r="I27" s="87"/>
    </row>
    <row r="28" spans="1:9">
      <c r="A28" s="102"/>
      <c r="B28" s="105"/>
      <c r="C28" s="124" t="str">
        <f>IF(B28&lt;&gt;0,VLOOKUP(B28,'Produits '!A$1:B$36,2,0)," ")</f>
        <v xml:space="preserve"> </v>
      </c>
      <c r="D28" s="124"/>
      <c r="E28" s="124"/>
      <c r="F28" s="124"/>
      <c r="G28" s="106">
        <v>10</v>
      </c>
      <c r="H28" s="7"/>
      <c r="I28" s="87"/>
    </row>
    <row r="29" spans="1:9">
      <c r="A29" s="102"/>
      <c r="B29" s="105"/>
      <c r="C29" s="124" t="str">
        <f>IF(B29&lt;&gt;0,VLOOKUP(B29,'Produits '!A$1:B$36,2,0)," ")</f>
        <v xml:space="preserve"> </v>
      </c>
      <c r="D29" s="124"/>
      <c r="E29" s="124"/>
      <c r="F29" s="124"/>
      <c r="G29" s="106">
        <v>10</v>
      </c>
      <c r="H29" s="7"/>
      <c r="I29" s="87"/>
    </row>
    <row r="30" spans="1:9">
      <c r="A30" s="102"/>
      <c r="B30" s="105"/>
      <c r="C30" s="124" t="str">
        <f>IF(B30&lt;&gt;0,VLOOKUP(B30,'Produits '!A$1:B$36,2,0)," ")</f>
        <v xml:space="preserve"> </v>
      </c>
      <c r="D30" s="124"/>
      <c r="E30" s="124"/>
      <c r="F30" s="124"/>
      <c r="G30" s="106">
        <v>10</v>
      </c>
      <c r="H30" s="7"/>
      <c r="I30" s="87"/>
    </row>
    <row r="31" spans="1:9">
      <c r="A31" s="102"/>
      <c r="B31" s="105"/>
      <c r="C31" s="124" t="str">
        <f>IF(B31&lt;&gt;0,VLOOKUP(B31,'Produits '!A$1:B$36,2,0)," ")</f>
        <v xml:space="preserve"> </v>
      </c>
      <c r="D31" s="124"/>
      <c r="E31" s="124"/>
      <c r="F31" s="124"/>
      <c r="G31" s="106">
        <v>40</v>
      </c>
      <c r="H31" s="7"/>
      <c r="I31" s="87"/>
    </row>
    <row r="32" spans="1:9">
      <c r="A32" s="102"/>
      <c r="B32" s="105" t="s">
        <v>62</v>
      </c>
      <c r="C32" s="124" t="str">
        <f>IF(B32&lt;&gt;0,VLOOKUP(B32,'Produits '!A$1:B$36,2,0)," ")</f>
        <v>Produit 36</v>
      </c>
      <c r="D32" s="124"/>
      <c r="E32" s="124"/>
      <c r="F32" s="124"/>
      <c r="G32" s="106">
        <v>60</v>
      </c>
      <c r="H32" s="7"/>
      <c r="I32" s="87"/>
    </row>
    <row r="33" spans="1:9">
      <c r="A33" s="102"/>
      <c r="B33" s="105"/>
      <c r="C33" s="124" t="str">
        <f>IF(B33&lt;&gt;0,VLOOKUP(B33,'Produits '!A$1:B$36,2,0)," ")</f>
        <v xml:space="preserve"> </v>
      </c>
      <c r="D33" s="124"/>
      <c r="E33" s="124"/>
      <c r="F33" s="124"/>
      <c r="G33" s="106"/>
      <c r="H33" s="7"/>
      <c r="I33" s="87"/>
    </row>
    <row r="34" spans="1:9">
      <c r="A34" s="102"/>
      <c r="B34" s="105"/>
      <c r="C34" s="124" t="str">
        <f>IF(B34&lt;&gt;0,VLOOKUP(B34,'Produits '!A$1:B$36,2,0)," ")</f>
        <v xml:space="preserve"> </v>
      </c>
      <c r="D34" s="124"/>
      <c r="E34" s="124"/>
      <c r="F34" s="124"/>
      <c r="G34" s="106"/>
      <c r="H34" s="7"/>
      <c r="I34" s="87"/>
    </row>
    <row r="35" spans="1:9">
      <c r="A35" s="102"/>
      <c r="B35" s="14" t="str">
        <f>IFERROR(VLOOKUP(C35,'Produits '!B10:B38,2,FALSE),"")</f>
        <v/>
      </c>
      <c r="C35" s="128" t="s">
        <v>26</v>
      </c>
      <c r="D35" s="128"/>
      <c r="E35" s="128"/>
      <c r="F35" s="128"/>
      <c r="G35" s="7"/>
      <c r="H35" s="7"/>
      <c r="I35" s="87"/>
    </row>
    <row r="36" spans="1:9">
      <c r="A36" s="102"/>
      <c r="B36" s="14"/>
      <c r="C36" s="123" t="str">
        <f>IF(B36&lt;&gt;0,VLOOKUP(B36,'Produits '!A$1:B$36,2,0)," ")</f>
        <v xml:space="preserve"> </v>
      </c>
      <c r="D36" s="123"/>
      <c r="E36" s="123"/>
      <c r="F36" s="123"/>
      <c r="G36" s="7"/>
      <c r="H36" s="7"/>
      <c r="I36" s="87"/>
    </row>
    <row r="37" spans="1:9">
      <c r="A37" s="102"/>
      <c r="B37" s="14"/>
      <c r="C37" s="123" t="str">
        <f>IF(B37&lt;&gt;0,VLOOKUP(B37,'Produits '!A$1:B$36,2,0)," ")</f>
        <v xml:space="preserve"> </v>
      </c>
      <c r="D37" s="123"/>
      <c r="E37" s="123"/>
      <c r="F37" s="123"/>
      <c r="G37" s="7"/>
      <c r="H37" s="7"/>
      <c r="I37" s="87"/>
    </row>
    <row r="38" spans="1:9">
      <c r="A38" s="102"/>
      <c r="B38" s="14"/>
      <c r="C38" s="123" t="str">
        <f>IF(B38&lt;&gt;0,VLOOKUP(B38,'Produits '!A$1:B$36,2,0)," ")</f>
        <v xml:space="preserve"> </v>
      </c>
      <c r="D38" s="123"/>
      <c r="E38" s="123"/>
      <c r="F38" s="123"/>
      <c r="G38" s="7"/>
      <c r="H38" s="7"/>
      <c r="I38" s="87"/>
    </row>
    <row r="39" spans="1:9">
      <c r="A39" s="102"/>
      <c r="B39" s="14"/>
      <c r="C39" s="123" t="str">
        <f>IF(B39&lt;&gt;0,VLOOKUP(B39,'Produits '!A$1:B$36,2,0)," ")</f>
        <v xml:space="preserve"> </v>
      </c>
      <c r="D39" s="123"/>
      <c r="E39" s="123"/>
      <c r="F39" s="123"/>
      <c r="G39" s="7"/>
      <c r="H39" s="7"/>
      <c r="I39" s="87"/>
    </row>
    <row r="40" spans="1:9">
      <c r="A40" s="102"/>
      <c r="B40" s="14"/>
      <c r="C40" s="123" t="str">
        <f>IF(B40&lt;&gt;0,VLOOKUP(B40,'Produits '!A$1:B$36,2,0)," ")</f>
        <v xml:space="preserve"> </v>
      </c>
      <c r="D40" s="123"/>
      <c r="E40" s="123"/>
      <c r="F40" s="123"/>
      <c r="G40" s="7"/>
      <c r="H40" s="7"/>
      <c r="I40" s="87"/>
    </row>
    <row r="41" spans="1:9">
      <c r="A41" s="102"/>
      <c r="B41" s="14"/>
      <c r="C41" s="123" t="str">
        <f>IF(B41&lt;&gt;0,VLOOKUP(B41,'Produits '!A$1:B$36,2,0)," ")</f>
        <v xml:space="preserve"> </v>
      </c>
      <c r="D41" s="123"/>
      <c r="E41" s="123"/>
      <c r="F41" s="123"/>
      <c r="G41" s="7"/>
      <c r="H41" s="7"/>
      <c r="I41" s="87"/>
    </row>
    <row r="42" spans="1:9">
      <c r="A42" s="102"/>
      <c r="B42" s="14"/>
      <c r="C42" s="123" t="str">
        <f>IF(B42&lt;&gt;0,VLOOKUP(B42,'Produits '!A$1:B$36,2,0)," ")</f>
        <v xml:space="preserve"> </v>
      </c>
      <c r="D42" s="123"/>
      <c r="E42" s="123"/>
      <c r="F42" s="123"/>
      <c r="G42" s="7"/>
      <c r="H42" s="7"/>
      <c r="I42" s="87"/>
    </row>
    <row r="43" spans="1:9">
      <c r="A43" s="102"/>
      <c r="B43" s="14"/>
      <c r="C43" s="123" t="str">
        <f>IF(B43&lt;&gt;0,VLOOKUP(B43,'Produits '!A$1:B$36,2,0)," ")</f>
        <v xml:space="preserve"> </v>
      </c>
      <c r="D43" s="123"/>
      <c r="E43" s="123"/>
      <c r="F43" s="123"/>
      <c r="G43" s="7"/>
      <c r="H43" s="7"/>
      <c r="I43" s="87"/>
    </row>
    <row r="44" spans="1:9">
      <c r="A44" s="102"/>
      <c r="B44" s="14"/>
      <c r="C44" s="123" t="str">
        <f>IF(B44&lt;&gt;0,VLOOKUP(B44,'Produits '!A$1:B$36,2,0)," ")</f>
        <v xml:space="preserve"> </v>
      </c>
      <c r="D44" s="123"/>
      <c r="E44" s="123"/>
      <c r="F44" s="123"/>
      <c r="G44" s="7"/>
      <c r="H44" s="7"/>
      <c r="I44" s="87"/>
    </row>
    <row r="45" spans="1:9">
      <c r="A45" s="102"/>
      <c r="B45" s="14"/>
      <c r="C45" s="123" t="str">
        <f>IF(B45&lt;&gt;0,VLOOKUP(B45,'Produits '!A$1:B$36,2,0)," ")</f>
        <v xml:space="preserve"> </v>
      </c>
      <c r="D45" s="123"/>
      <c r="E45" s="123"/>
      <c r="F45" s="123"/>
      <c r="G45" s="7"/>
      <c r="H45" s="7"/>
      <c r="I45" s="87"/>
    </row>
    <row r="46" spans="1:9">
      <c r="A46" s="102"/>
      <c r="B46" s="14"/>
      <c r="C46" s="123" t="str">
        <f>IF(B46&lt;&gt;0,VLOOKUP(B46,'Produits '!A$1:B$36,2,0)," ")</f>
        <v xml:space="preserve"> </v>
      </c>
      <c r="D46" s="123"/>
      <c r="E46" s="123"/>
      <c r="F46" s="123"/>
      <c r="G46" s="7"/>
      <c r="H46" s="7"/>
      <c r="I46" s="87"/>
    </row>
    <row r="47" spans="1:9">
      <c r="A47" s="102"/>
      <c r="B47" s="14"/>
      <c r="C47" s="123" t="str">
        <f>IF(B47&lt;&gt;0,VLOOKUP(B47,'Produits '!A$1:B$36,2,0)," ")</f>
        <v xml:space="preserve"> </v>
      </c>
      <c r="D47" s="123"/>
      <c r="E47" s="123"/>
      <c r="F47" s="123"/>
      <c r="G47" s="7"/>
      <c r="H47" s="7"/>
      <c r="I47" s="87"/>
    </row>
    <row r="48" spans="1:9" ht="15.75" thickBot="1">
      <c r="A48" s="103"/>
      <c r="B48" s="99"/>
      <c r="C48" s="127" t="str">
        <f>IF(B48&lt;&gt;0,VLOOKUP(B48,'Produits '!A$1:B$36,2,0)," ")</f>
        <v xml:space="preserve"> </v>
      </c>
      <c r="D48" s="127"/>
      <c r="E48" s="127"/>
      <c r="F48" s="127"/>
      <c r="G48" s="97"/>
      <c r="H48" s="97"/>
      <c r="I48" s="98"/>
    </row>
    <row r="49" spans="1:9">
      <c r="A49" s="6"/>
      <c r="G49" s="125"/>
      <c r="H49" s="125"/>
      <c r="I49" s="125"/>
    </row>
    <row r="50" spans="1:9">
      <c r="A50" s="6"/>
      <c r="G50" s="125"/>
      <c r="H50" s="125"/>
      <c r="I50" s="125"/>
    </row>
    <row r="51" spans="1:9">
      <c r="A51" s="6"/>
      <c r="G51" s="126"/>
      <c r="H51" s="126"/>
      <c r="I51" s="126"/>
    </row>
  </sheetData>
  <mergeCells count="58">
    <mergeCell ref="G50:I50"/>
    <mergeCell ref="G51:I51"/>
    <mergeCell ref="C47:F47"/>
    <mergeCell ref="C48:F48"/>
    <mergeCell ref="H18:I19"/>
    <mergeCell ref="G49:I49"/>
    <mergeCell ref="C27:F27"/>
    <mergeCell ref="C29:F29"/>
    <mergeCell ref="C30:F30"/>
    <mergeCell ref="C31:F31"/>
    <mergeCell ref="C32:F32"/>
    <mergeCell ref="C35:F35"/>
    <mergeCell ref="H21:I22"/>
    <mergeCell ref="C46:F46"/>
    <mergeCell ref="C33:F33"/>
    <mergeCell ref="C28:F28"/>
    <mergeCell ref="C26:F26"/>
    <mergeCell ref="C40:F40"/>
    <mergeCell ref="C41:F41"/>
    <mergeCell ref="C42:F42"/>
    <mergeCell ref="C43:F43"/>
    <mergeCell ref="C44:F44"/>
    <mergeCell ref="C45:F45"/>
    <mergeCell ref="C34:F34"/>
    <mergeCell ref="C36:F36"/>
    <mergeCell ref="C37:F37"/>
    <mergeCell ref="C38:F38"/>
    <mergeCell ref="C39:F39"/>
    <mergeCell ref="C24:F25"/>
    <mergeCell ref="A22:B22"/>
    <mergeCell ref="C21:C22"/>
    <mergeCell ref="F22:G22"/>
    <mergeCell ref="A18:B18"/>
    <mergeCell ref="A19:B19"/>
    <mergeCell ref="C18:C19"/>
    <mergeCell ref="F18:G18"/>
    <mergeCell ref="F19:G19"/>
    <mergeCell ref="F21:G21"/>
    <mergeCell ref="F9:I9"/>
    <mergeCell ref="F10:I10"/>
    <mergeCell ref="F11:I11"/>
    <mergeCell ref="H16:I17"/>
    <mergeCell ref="F5:G5"/>
    <mergeCell ref="F8:I8"/>
    <mergeCell ref="F14:I14"/>
    <mergeCell ref="F13:I13"/>
    <mergeCell ref="F12:I12"/>
    <mergeCell ref="F6:G6"/>
    <mergeCell ref="F16:G16"/>
    <mergeCell ref="A9:E9"/>
    <mergeCell ref="D6:E6"/>
    <mergeCell ref="A21:B21"/>
    <mergeCell ref="A14:E14"/>
    <mergeCell ref="A8:E8"/>
    <mergeCell ref="A10:E10"/>
    <mergeCell ref="A11:E11"/>
    <mergeCell ref="A12:E12"/>
    <mergeCell ref="A13:E13"/>
  </mergeCells>
  <dataValidations count="2">
    <dataValidation type="list" allowBlank="1" showInputMessage="1" showErrorMessage="1" sqref="B28:B34">
      <formula1>INDEX(listeProduits,,1)</formula1>
    </dataValidation>
    <dataValidation type="list" allowBlank="1" showInputMessage="1" showErrorMessage="1" sqref="A9:E9">
      <formula1>INDEX(listeEnseignes,,1)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tabColor rgb="FFFF0000"/>
  </sheetPr>
  <dimension ref="A1:B18"/>
  <sheetViews>
    <sheetView zoomScale="115" zoomScaleNormal="115" workbookViewId="0">
      <selection activeCell="B13" sqref="B13"/>
    </sheetView>
  </sheetViews>
  <sheetFormatPr baseColWidth="10" defaultColWidth="9.140625" defaultRowHeight="15"/>
  <cols>
    <col min="1" max="1" width="12" bestFit="1" customWidth="1"/>
    <col min="2" max="2" width="15.42578125" customWidth="1"/>
  </cols>
  <sheetData>
    <row r="1" spans="1:2">
      <c r="A1" s="69" t="s">
        <v>102</v>
      </c>
      <c r="B1" s="68" t="s">
        <v>101</v>
      </c>
    </row>
    <row r="2" spans="1:2">
      <c r="A2" s="129" t="s">
        <v>100</v>
      </c>
      <c r="B2" s="130"/>
    </row>
    <row r="3" spans="1:2">
      <c r="A3" s="65" t="s">
        <v>62</v>
      </c>
      <c r="B3" s="67">
        <f>80+[1]RECEPTION!E39-[1]SORTIES!E32</f>
        <v>0</v>
      </c>
    </row>
    <row r="4" spans="1:2">
      <c r="A4" s="65" t="s">
        <v>63</v>
      </c>
      <c r="B4" s="66">
        <f>0+[1]RECEPTION!F39-[1]SORTIES!F32</f>
        <v>0</v>
      </c>
    </row>
    <row r="5" spans="1:2">
      <c r="A5" s="65" t="s">
        <v>64</v>
      </c>
      <c r="B5" s="66">
        <f>280+[1]RECEPTION!G39-[1]SORTIES!G32</f>
        <v>280</v>
      </c>
    </row>
    <row r="6" spans="1:2">
      <c r="A6" s="65" t="s">
        <v>65</v>
      </c>
      <c r="B6" s="66">
        <f>20+[1]RECEPTION!H39-[1]SORTIES!H32</f>
        <v>20</v>
      </c>
    </row>
    <row r="7" spans="1:2">
      <c r="A7" s="65" t="s">
        <v>44</v>
      </c>
      <c r="B7" s="66">
        <f>0+[1]RECEPTION!I39-[1]SORTIES!I32</f>
        <v>0</v>
      </c>
    </row>
    <row r="8" spans="1:2">
      <c r="A8" s="65" t="s">
        <v>66</v>
      </c>
      <c r="B8" s="66">
        <f>1000+[1]RECEPTION!J39-[1]SORTIES!J32</f>
        <v>0</v>
      </c>
    </row>
    <row r="9" spans="1:2">
      <c r="A9" s="65" t="s">
        <v>67</v>
      </c>
      <c r="B9" s="66">
        <f>0+[1]RECEPTION!K39-[1]SORTIES!K32</f>
        <v>0</v>
      </c>
    </row>
    <row r="10" spans="1:2">
      <c r="A10" s="65" t="s">
        <v>27</v>
      </c>
      <c r="B10" s="64">
        <f>101061+[1]RECEPTION!L39-[1]SORTIES!L32-[1]SORTIES!M32</f>
        <v>28035</v>
      </c>
    </row>
    <row r="11" spans="1:2">
      <c r="A11" s="65" t="s">
        <v>68</v>
      </c>
      <c r="B11" s="66">
        <f>4225+[1]RECEPTION!M39-[1]SORTIES!N32</f>
        <v>0</v>
      </c>
    </row>
    <row r="12" spans="1:2">
      <c r="A12" s="65" t="s">
        <v>28</v>
      </c>
      <c r="B12" s="64">
        <f>20939+[1]RECEPTION!N39-[1]SORTIES!O32-[1]SORTIES!P32</f>
        <v>9723</v>
      </c>
    </row>
    <row r="13" spans="1:2">
      <c r="A13" s="65" t="s">
        <v>69</v>
      </c>
      <c r="B13" s="66">
        <f>1140+[1]RECEPTION!O39-[1]SORTIES!Q32</f>
        <v>15</v>
      </c>
    </row>
    <row r="14" spans="1:2">
      <c r="A14" s="65" t="s">
        <v>70</v>
      </c>
      <c r="B14" s="64">
        <f>1199+[1]RECEPTION!P39-[1]SORTIES!R32-[1]SORTIES!S32</f>
        <v>295</v>
      </c>
    </row>
    <row r="15" spans="1:2">
      <c r="A15" s="65" t="s">
        <v>71</v>
      </c>
      <c r="B15" s="66">
        <f>0+[1]RECEPTION!Q39-[1]SORTIES!T32</f>
        <v>0</v>
      </c>
    </row>
    <row r="16" spans="1:2">
      <c r="A16" s="65" t="s">
        <v>40</v>
      </c>
      <c r="B16" s="64">
        <f>970+[1]RECEPTION!R39-[1]SORTIES!U32</f>
        <v>470</v>
      </c>
    </row>
    <row r="17" spans="1:2">
      <c r="A17" s="63" t="s">
        <v>42</v>
      </c>
      <c r="B17" s="62">
        <f>0+[1]RECEPTION!S39-[1]SORTIES!V32</f>
        <v>0</v>
      </c>
    </row>
    <row r="18" spans="1:2">
      <c r="A18" s="63" t="s">
        <v>29</v>
      </c>
      <c r="B18" s="62">
        <f>300+[1]RECEPTION!T39-[1]SORTIES!W32</f>
        <v>300</v>
      </c>
    </row>
  </sheetData>
  <mergeCells count="1">
    <mergeCell ref="A2:B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tabColor rgb="FFFFFF00"/>
    <pageSetUpPr fitToPage="1"/>
  </sheetPr>
  <dimension ref="A1:AD42"/>
  <sheetViews>
    <sheetView workbookViewId="0">
      <selection activeCell="A25" sqref="A25:XFD25"/>
    </sheetView>
  </sheetViews>
  <sheetFormatPr baseColWidth="10" defaultColWidth="9.140625" defaultRowHeight="15"/>
  <cols>
    <col min="1" max="1" width="18.85546875" style="79" bestFit="1" customWidth="1"/>
    <col min="2" max="2" width="36.42578125" bestFit="1" customWidth="1"/>
    <col min="3" max="3" width="25.28515625" bestFit="1" customWidth="1"/>
    <col min="4" max="4" width="36.42578125" bestFit="1" customWidth="1"/>
    <col min="5" max="8" width="25.28515625" customWidth="1"/>
    <col min="9" max="9" width="10.5703125" bestFit="1" customWidth="1"/>
    <col min="17" max="17" width="10.28515625" bestFit="1" customWidth="1"/>
    <col min="18" max="18" width="10.42578125" bestFit="1" customWidth="1"/>
    <col min="20" max="20" width="10.28515625" bestFit="1" customWidth="1"/>
    <col min="21" max="21" width="10.42578125" bestFit="1" customWidth="1"/>
    <col min="23" max="23" width="10.28515625" bestFit="1" customWidth="1"/>
    <col min="24" max="24" width="10.42578125" bestFit="1" customWidth="1"/>
    <col min="29" max="29" width="15.140625" customWidth="1"/>
    <col min="30" max="30" width="13.7109375" bestFit="1" customWidth="1"/>
  </cols>
  <sheetData>
    <row r="1" spans="1:30" ht="19.5" thickBot="1">
      <c r="A1" s="72" t="s">
        <v>88</v>
      </c>
      <c r="B1" s="19"/>
      <c r="C1" s="19"/>
      <c r="D1" s="19"/>
      <c r="E1" s="19"/>
      <c r="F1" s="19"/>
      <c r="G1" s="19"/>
      <c r="H1" s="19"/>
      <c r="I1" s="19"/>
      <c r="J1" s="139" t="s">
        <v>56</v>
      </c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  <c r="AA1" s="140"/>
      <c r="AB1" s="141"/>
      <c r="AD1" s="4"/>
    </row>
    <row r="2" spans="1:30" ht="19.5" thickBot="1">
      <c r="A2" s="73" t="s">
        <v>89</v>
      </c>
      <c r="B2" s="8"/>
      <c r="C2" s="8"/>
      <c r="D2" s="15"/>
      <c r="E2" s="15"/>
      <c r="F2" s="15"/>
      <c r="G2" s="15"/>
      <c r="H2" s="15"/>
      <c r="I2" s="8"/>
      <c r="J2" s="142" t="s">
        <v>90</v>
      </c>
      <c r="K2" s="143"/>
      <c r="L2" s="143"/>
      <c r="M2" s="143"/>
      <c r="N2" s="143"/>
      <c r="O2" s="143"/>
      <c r="P2" s="143"/>
      <c r="Q2" s="143"/>
      <c r="R2" s="143"/>
      <c r="S2" s="143"/>
      <c r="T2" s="143"/>
      <c r="U2" s="143"/>
      <c r="V2" s="143"/>
      <c r="W2" s="143"/>
      <c r="X2" s="143"/>
      <c r="Y2" s="143"/>
      <c r="Z2" s="143"/>
      <c r="AA2" s="143"/>
      <c r="AB2" s="144"/>
      <c r="AD2" s="145" t="s">
        <v>91</v>
      </c>
    </row>
    <row r="3" spans="1:30" ht="19.5" thickBot="1">
      <c r="A3" s="74"/>
      <c r="B3" s="8"/>
      <c r="C3" s="8"/>
      <c r="D3" s="15"/>
      <c r="E3" s="15"/>
      <c r="F3" s="15"/>
      <c r="G3" s="15"/>
      <c r="H3" s="15"/>
      <c r="I3" s="8"/>
      <c r="J3" s="45"/>
      <c r="K3" s="46"/>
      <c r="L3" s="46"/>
      <c r="M3" s="46"/>
      <c r="N3" s="46"/>
      <c r="O3" s="46"/>
      <c r="P3" s="46"/>
      <c r="Q3" s="148" t="s">
        <v>27</v>
      </c>
      <c r="R3" s="149"/>
      <c r="S3" s="46"/>
      <c r="T3" s="148" t="s">
        <v>28</v>
      </c>
      <c r="U3" s="149"/>
      <c r="V3" s="46"/>
      <c r="W3" s="148" t="s">
        <v>70</v>
      </c>
      <c r="X3" s="149"/>
      <c r="Y3" s="46"/>
      <c r="Z3" s="46"/>
      <c r="AA3" s="46"/>
      <c r="AB3" s="47"/>
      <c r="AD3" s="146"/>
    </row>
    <row r="4" spans="1:30" ht="15.75" thickBot="1">
      <c r="A4" s="75" t="s">
        <v>92</v>
      </c>
      <c r="B4" s="48" t="s">
        <v>60</v>
      </c>
      <c r="C4" s="48" t="s">
        <v>61</v>
      </c>
      <c r="D4" s="48" t="s">
        <v>109</v>
      </c>
      <c r="E4" s="48" t="s">
        <v>105</v>
      </c>
      <c r="F4" s="48" t="s">
        <v>106</v>
      </c>
      <c r="G4" s="48" t="s">
        <v>107</v>
      </c>
      <c r="H4" s="48" t="s">
        <v>110</v>
      </c>
      <c r="I4" s="49" t="s">
        <v>150</v>
      </c>
      <c r="J4" s="49" t="s">
        <v>62</v>
      </c>
      <c r="K4" s="49" t="s">
        <v>63</v>
      </c>
      <c r="L4" s="49" t="s">
        <v>64</v>
      </c>
      <c r="M4" s="49" t="s">
        <v>65</v>
      </c>
      <c r="N4" s="49" t="s">
        <v>44</v>
      </c>
      <c r="O4" s="49" t="s">
        <v>66</v>
      </c>
      <c r="P4" s="49" t="s">
        <v>67</v>
      </c>
      <c r="Q4" s="49" t="s">
        <v>93</v>
      </c>
      <c r="R4" s="49" t="s">
        <v>94</v>
      </c>
      <c r="S4" s="49" t="s">
        <v>68</v>
      </c>
      <c r="T4" s="49" t="s">
        <v>95</v>
      </c>
      <c r="U4" s="49" t="s">
        <v>96</v>
      </c>
      <c r="V4" s="49" t="s">
        <v>69</v>
      </c>
      <c r="W4" s="49" t="s">
        <v>97</v>
      </c>
      <c r="X4" s="49" t="s">
        <v>98</v>
      </c>
      <c r="Y4" s="49" t="s">
        <v>71</v>
      </c>
      <c r="Z4" s="49" t="s">
        <v>40</v>
      </c>
      <c r="AA4" s="49" t="s">
        <v>42</v>
      </c>
      <c r="AB4" s="50" t="s">
        <v>29</v>
      </c>
      <c r="AD4" s="147"/>
    </row>
    <row r="5" spans="1:30">
      <c r="A5" s="76">
        <v>42451</v>
      </c>
      <c r="B5" s="28"/>
      <c r="C5" s="28"/>
      <c r="D5" s="42"/>
      <c r="E5" s="42"/>
      <c r="F5" s="42"/>
      <c r="G5" s="42"/>
      <c r="H5" s="42"/>
      <c r="I5" s="29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30"/>
      <c r="AD5" s="31">
        <f>SUM(J5:AB5)</f>
        <v>0</v>
      </c>
    </row>
    <row r="6" spans="1:30">
      <c r="A6" s="76">
        <v>42451</v>
      </c>
      <c r="B6" s="28"/>
      <c r="C6" s="28"/>
      <c r="D6" s="42"/>
      <c r="E6" s="42"/>
      <c r="F6" s="42"/>
      <c r="G6" s="42"/>
      <c r="H6" s="42"/>
      <c r="I6" s="29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30"/>
      <c r="AD6" s="31">
        <f>SUM(J6:AB6)</f>
        <v>0</v>
      </c>
    </row>
    <row r="7" spans="1:30">
      <c r="A7" s="76">
        <v>42376</v>
      </c>
      <c r="B7" s="28"/>
      <c r="C7" s="28"/>
      <c r="D7" s="42"/>
      <c r="E7" s="42"/>
      <c r="F7" s="42"/>
      <c r="G7" s="42"/>
      <c r="H7" s="42"/>
      <c r="I7" s="29"/>
      <c r="J7" s="28"/>
      <c r="K7" s="28"/>
      <c r="L7" s="28"/>
      <c r="M7" s="28"/>
      <c r="N7" s="28"/>
      <c r="O7" s="28"/>
      <c r="P7" s="28"/>
      <c r="Q7" s="28"/>
      <c r="R7" s="28"/>
      <c r="S7" s="28"/>
      <c r="T7" s="28">
        <v>4400</v>
      </c>
      <c r="U7" s="28"/>
      <c r="V7" s="28"/>
      <c r="W7" s="28">
        <v>200</v>
      </c>
      <c r="X7" s="28"/>
      <c r="Y7" s="28"/>
      <c r="Z7" s="28"/>
      <c r="AA7" s="28"/>
      <c r="AB7" s="30"/>
      <c r="AD7" s="31">
        <f>SUM(J7:AB7)</f>
        <v>4600</v>
      </c>
    </row>
    <row r="8" spans="1:30">
      <c r="A8" s="76">
        <v>42396</v>
      </c>
      <c r="B8" s="28"/>
      <c r="C8" s="28"/>
      <c r="D8" s="42"/>
      <c r="E8" s="42"/>
      <c r="F8" s="42"/>
      <c r="G8" s="42"/>
      <c r="H8" s="42"/>
      <c r="I8" s="29"/>
      <c r="J8" s="28"/>
      <c r="K8" s="28"/>
      <c r="L8" s="28"/>
      <c r="M8" s="28"/>
      <c r="N8" s="28"/>
      <c r="O8" s="28"/>
      <c r="P8" s="28"/>
      <c r="Q8" s="28"/>
      <c r="R8" s="28"/>
      <c r="S8" s="28"/>
      <c r="T8" s="28">
        <v>4400</v>
      </c>
      <c r="U8" s="28"/>
      <c r="V8" s="28"/>
      <c r="W8" s="28">
        <v>200</v>
      </c>
      <c r="X8" s="28"/>
      <c r="Y8" s="28"/>
      <c r="Z8" s="28"/>
      <c r="AA8" s="28"/>
      <c r="AB8" s="30"/>
      <c r="AD8" s="31">
        <f t="shared" ref="AD8:AD25" si="0">SUM(J8:AB8)</f>
        <v>4600</v>
      </c>
    </row>
    <row r="9" spans="1:30">
      <c r="A9" s="76">
        <v>42396</v>
      </c>
      <c r="B9" s="28"/>
      <c r="C9" s="28"/>
      <c r="D9" s="42"/>
      <c r="E9" s="42"/>
      <c r="F9" s="42"/>
      <c r="G9" s="42"/>
      <c r="H9" s="42"/>
      <c r="I9" s="29"/>
      <c r="J9" s="28"/>
      <c r="K9" s="28"/>
      <c r="L9" s="28"/>
      <c r="M9" s="28"/>
      <c r="N9" s="28"/>
      <c r="O9" s="28"/>
      <c r="P9" s="28"/>
      <c r="Q9" s="28"/>
      <c r="R9" s="28"/>
      <c r="S9" s="28"/>
      <c r="T9" s="28">
        <v>4400</v>
      </c>
      <c r="U9" s="28"/>
      <c r="V9" s="28"/>
      <c r="W9" s="28">
        <v>200</v>
      </c>
      <c r="X9" s="28"/>
      <c r="Y9" s="28"/>
      <c r="Z9" s="28"/>
      <c r="AA9" s="28"/>
      <c r="AB9" s="30"/>
      <c r="AD9" s="31">
        <f t="shared" si="0"/>
        <v>4600</v>
      </c>
    </row>
    <row r="10" spans="1:30">
      <c r="A10" s="77">
        <v>42398</v>
      </c>
      <c r="B10" s="33"/>
      <c r="C10" s="33"/>
      <c r="D10" s="44"/>
      <c r="E10" s="44"/>
      <c r="F10" s="44"/>
      <c r="G10" s="44"/>
      <c r="H10" s="44"/>
      <c r="I10" s="29"/>
      <c r="J10" s="28"/>
      <c r="K10" s="28"/>
      <c r="L10" s="28"/>
      <c r="M10" s="28"/>
      <c r="N10" s="28"/>
      <c r="O10" s="28"/>
      <c r="P10" s="28"/>
      <c r="Q10" s="28">
        <v>7241</v>
      </c>
      <c r="R10" s="28"/>
      <c r="S10" s="28"/>
      <c r="T10" s="28"/>
      <c r="U10" s="28">
        <v>1000</v>
      </c>
      <c r="V10" s="28"/>
      <c r="W10" s="28"/>
      <c r="X10" s="28"/>
      <c r="Y10" s="28"/>
      <c r="Z10" s="28">
        <v>500</v>
      </c>
      <c r="AA10" s="28"/>
      <c r="AB10" s="30"/>
      <c r="AD10" s="31">
        <f t="shared" si="0"/>
        <v>8741</v>
      </c>
    </row>
    <row r="11" spans="1:30">
      <c r="A11" s="77">
        <v>42408</v>
      </c>
      <c r="B11" s="51"/>
      <c r="C11" s="51"/>
      <c r="D11" s="51"/>
      <c r="E11" s="51"/>
      <c r="F11" s="51"/>
      <c r="G11" s="51"/>
      <c r="H11" s="51"/>
      <c r="I11" s="52"/>
      <c r="J11" s="53"/>
      <c r="K11" s="53"/>
      <c r="L11" s="53"/>
      <c r="M11" s="53"/>
      <c r="N11" s="53"/>
      <c r="O11" s="53"/>
      <c r="P11" s="53"/>
      <c r="Q11" s="53">
        <v>7000</v>
      </c>
      <c r="R11" s="53"/>
      <c r="S11" s="53"/>
      <c r="T11" s="53">
        <v>19600</v>
      </c>
      <c r="U11" s="53"/>
      <c r="V11" s="53"/>
      <c r="W11" s="53">
        <v>400</v>
      </c>
      <c r="X11" s="53"/>
      <c r="Y11" s="53"/>
      <c r="Z11" s="53">
        <v>10</v>
      </c>
      <c r="AA11" s="53">
        <v>100</v>
      </c>
      <c r="AB11" s="54"/>
      <c r="AD11" s="31">
        <f t="shared" si="0"/>
        <v>27110</v>
      </c>
    </row>
    <row r="12" spans="1:30">
      <c r="A12" s="76">
        <v>42422</v>
      </c>
      <c r="B12" s="28"/>
      <c r="C12" s="28"/>
      <c r="D12" s="42"/>
      <c r="E12" s="42"/>
      <c r="F12" s="42"/>
      <c r="G12" s="42"/>
      <c r="H12" s="42"/>
      <c r="I12" s="29"/>
      <c r="J12" s="28"/>
      <c r="K12" s="28"/>
      <c r="L12" s="28"/>
      <c r="M12" s="28"/>
      <c r="N12" s="28"/>
      <c r="O12" s="28"/>
      <c r="P12" s="28"/>
      <c r="Q12" s="28">
        <v>2094</v>
      </c>
      <c r="R12" s="28"/>
      <c r="S12" s="28"/>
      <c r="T12" s="28">
        <v>11074</v>
      </c>
      <c r="U12" s="28"/>
      <c r="V12" s="28"/>
      <c r="W12" s="28">
        <v>118</v>
      </c>
      <c r="X12" s="28"/>
      <c r="Y12" s="28"/>
      <c r="Z12" s="28"/>
      <c r="AA12" s="28"/>
      <c r="AB12" s="30"/>
      <c r="AD12" s="31">
        <f t="shared" si="0"/>
        <v>13286</v>
      </c>
    </row>
    <row r="13" spans="1:30">
      <c r="A13" s="77">
        <v>42425</v>
      </c>
      <c r="B13" s="33"/>
      <c r="C13" s="33"/>
      <c r="D13" s="44"/>
      <c r="E13" s="44"/>
      <c r="F13" s="44"/>
      <c r="G13" s="44"/>
      <c r="H13" s="44"/>
      <c r="I13" s="29"/>
      <c r="J13" s="28"/>
      <c r="K13" s="28"/>
      <c r="L13" s="28"/>
      <c r="M13" s="28"/>
      <c r="N13" s="28"/>
      <c r="O13" s="28"/>
      <c r="P13" s="28"/>
      <c r="Q13" s="28">
        <v>790</v>
      </c>
      <c r="R13" s="28">
        <v>200</v>
      </c>
      <c r="S13" s="28"/>
      <c r="T13" s="28">
        <v>1080</v>
      </c>
      <c r="U13" s="28">
        <v>500</v>
      </c>
      <c r="V13" s="28"/>
      <c r="W13" s="28"/>
      <c r="X13" s="28"/>
      <c r="Y13" s="28"/>
      <c r="Z13" s="28"/>
      <c r="AA13" s="28"/>
      <c r="AB13" s="30"/>
      <c r="AD13" s="31">
        <f t="shared" si="0"/>
        <v>2570</v>
      </c>
    </row>
    <row r="14" spans="1:30">
      <c r="A14" s="77">
        <v>42426</v>
      </c>
      <c r="B14" s="33"/>
      <c r="C14" s="33"/>
      <c r="D14" s="44"/>
      <c r="E14" s="44"/>
      <c r="F14" s="44"/>
      <c r="G14" s="44"/>
      <c r="H14" s="44"/>
      <c r="I14" s="29"/>
      <c r="J14" s="28"/>
      <c r="K14" s="28"/>
      <c r="L14" s="28"/>
      <c r="M14" s="28"/>
      <c r="N14" s="28"/>
      <c r="O14" s="28"/>
      <c r="P14" s="28"/>
      <c r="Q14" s="28">
        <v>13218</v>
      </c>
      <c r="R14" s="28">
        <v>5859</v>
      </c>
      <c r="S14" s="28"/>
      <c r="T14" s="28"/>
      <c r="U14" s="28"/>
      <c r="V14" s="28"/>
      <c r="W14" s="28"/>
      <c r="X14" s="28"/>
      <c r="Y14" s="28"/>
      <c r="Z14" s="28"/>
      <c r="AA14" s="28"/>
      <c r="AB14" s="30"/>
      <c r="AD14" s="31">
        <f t="shared" si="0"/>
        <v>19077</v>
      </c>
    </row>
    <row r="15" spans="1:30">
      <c r="A15" s="77">
        <v>42429</v>
      </c>
      <c r="B15" s="33"/>
      <c r="C15" s="33"/>
      <c r="D15" s="44"/>
      <c r="E15" s="44"/>
      <c r="F15" s="44"/>
      <c r="G15" s="44"/>
      <c r="H15" s="44"/>
      <c r="I15" s="29"/>
      <c r="J15" s="28"/>
      <c r="K15" s="28"/>
      <c r="L15" s="28"/>
      <c r="M15" s="28"/>
      <c r="N15" s="28"/>
      <c r="O15" s="28"/>
      <c r="P15" s="28"/>
      <c r="Q15" s="28">
        <v>2782</v>
      </c>
      <c r="R15" s="28">
        <v>818</v>
      </c>
      <c r="S15" s="28"/>
      <c r="T15" s="28">
        <v>9534</v>
      </c>
      <c r="U15" s="28">
        <v>2466</v>
      </c>
      <c r="V15" s="28"/>
      <c r="W15" s="28">
        <v>486</v>
      </c>
      <c r="X15" s="28">
        <v>14</v>
      </c>
      <c r="Y15" s="28"/>
      <c r="Z15" s="28"/>
      <c r="AA15" s="28"/>
      <c r="AB15" s="30"/>
      <c r="AD15" s="31">
        <f t="shared" si="0"/>
        <v>16100</v>
      </c>
    </row>
    <row r="16" spans="1:30">
      <c r="A16" s="77">
        <v>42432</v>
      </c>
      <c r="B16" s="33"/>
      <c r="C16" s="33"/>
      <c r="D16" s="44"/>
      <c r="E16" s="44"/>
      <c r="F16" s="44"/>
      <c r="G16" s="44"/>
      <c r="H16" s="44"/>
      <c r="I16" s="29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>
        <v>100</v>
      </c>
      <c r="AA16" s="28"/>
      <c r="AB16" s="30"/>
      <c r="AD16" s="31">
        <f t="shared" si="0"/>
        <v>100</v>
      </c>
    </row>
    <row r="17" spans="1:30">
      <c r="A17" s="77">
        <v>42438</v>
      </c>
      <c r="B17" s="33"/>
      <c r="C17" s="33"/>
      <c r="D17" s="44"/>
      <c r="E17" s="44"/>
      <c r="F17" s="44"/>
      <c r="G17" s="44"/>
      <c r="H17" s="44"/>
      <c r="I17" s="29"/>
      <c r="J17" s="28"/>
      <c r="K17" s="28"/>
      <c r="L17" s="28"/>
      <c r="M17" s="28"/>
      <c r="N17" s="28"/>
      <c r="O17" s="28"/>
      <c r="P17" s="28"/>
      <c r="Q17" s="28"/>
      <c r="R17" s="28">
        <v>1000</v>
      </c>
      <c r="S17" s="28"/>
      <c r="T17" s="28"/>
      <c r="U17" s="28"/>
      <c r="V17" s="28"/>
      <c r="W17" s="28"/>
      <c r="X17" s="28"/>
      <c r="Y17" s="28"/>
      <c r="Z17" s="28"/>
      <c r="AA17" s="28"/>
      <c r="AB17" s="30"/>
      <c r="AD17" s="31">
        <f t="shared" si="0"/>
        <v>1000</v>
      </c>
    </row>
    <row r="18" spans="1:30">
      <c r="A18" s="77">
        <v>42433</v>
      </c>
      <c r="B18" s="33"/>
      <c r="C18" s="33"/>
      <c r="D18" s="44"/>
      <c r="E18" s="44"/>
      <c r="F18" s="44"/>
      <c r="G18" s="44"/>
      <c r="H18" s="44"/>
      <c r="I18" s="29"/>
      <c r="J18" s="28"/>
      <c r="K18" s="28"/>
      <c r="L18" s="28"/>
      <c r="M18" s="28"/>
      <c r="N18" s="28"/>
      <c r="O18" s="28"/>
      <c r="P18" s="28"/>
      <c r="Q18" s="28"/>
      <c r="R18" s="28">
        <v>916</v>
      </c>
      <c r="S18" s="28"/>
      <c r="T18" s="28"/>
      <c r="U18" s="28">
        <v>3546</v>
      </c>
      <c r="V18" s="28"/>
      <c r="W18" s="28"/>
      <c r="X18" s="28">
        <v>82</v>
      </c>
      <c r="Y18" s="28"/>
      <c r="Z18" s="28"/>
      <c r="AA18" s="28"/>
      <c r="AB18" s="30"/>
      <c r="AD18" s="31">
        <f t="shared" si="0"/>
        <v>4544</v>
      </c>
    </row>
    <row r="19" spans="1:30">
      <c r="A19" s="77">
        <v>42439</v>
      </c>
      <c r="B19" s="33"/>
      <c r="C19" s="33"/>
      <c r="D19" s="44"/>
      <c r="E19" s="44"/>
      <c r="F19" s="44"/>
      <c r="G19" s="44"/>
      <c r="H19" s="44"/>
      <c r="I19" s="29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>
        <v>4400</v>
      </c>
      <c r="U19" s="28"/>
      <c r="V19" s="28"/>
      <c r="W19" s="28">
        <v>200</v>
      </c>
      <c r="X19" s="28"/>
      <c r="Y19" s="28"/>
      <c r="Z19" s="28"/>
      <c r="AA19" s="28"/>
      <c r="AB19" s="30"/>
      <c r="AD19" s="31">
        <f t="shared" si="0"/>
        <v>4600</v>
      </c>
    </row>
    <row r="20" spans="1:30">
      <c r="A20" s="77">
        <v>42440</v>
      </c>
      <c r="B20" s="33"/>
      <c r="C20" s="33"/>
      <c r="D20" s="44"/>
      <c r="E20" s="44"/>
      <c r="F20" s="44"/>
      <c r="G20" s="44"/>
      <c r="H20" s="44"/>
      <c r="I20" s="29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>
        <v>4383</v>
      </c>
      <c r="U20" s="28">
        <v>17</v>
      </c>
      <c r="V20" s="28"/>
      <c r="W20" s="28">
        <v>200</v>
      </c>
      <c r="X20" s="28"/>
      <c r="Y20" s="28"/>
      <c r="Z20" s="28"/>
      <c r="AA20" s="28"/>
      <c r="AB20" s="30"/>
      <c r="AD20" s="31">
        <f t="shared" si="0"/>
        <v>4600</v>
      </c>
    </row>
    <row r="21" spans="1:30">
      <c r="A21" s="77">
        <v>42451</v>
      </c>
      <c r="B21" s="33"/>
      <c r="C21" s="33"/>
      <c r="D21" s="44"/>
      <c r="E21" s="44"/>
      <c r="F21" s="44"/>
      <c r="G21" s="44"/>
      <c r="H21" s="44"/>
      <c r="I21" s="29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30"/>
      <c r="AD21" s="31">
        <f t="shared" si="0"/>
        <v>0</v>
      </c>
    </row>
    <row r="22" spans="1:30">
      <c r="A22" s="77">
        <v>42451</v>
      </c>
      <c r="B22" s="33"/>
      <c r="C22" s="33"/>
      <c r="D22" s="44"/>
      <c r="E22" s="44"/>
      <c r="F22" s="44"/>
      <c r="G22" s="44"/>
      <c r="H22" s="44"/>
      <c r="I22" s="29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30"/>
      <c r="AD22" s="31">
        <f t="shared" si="0"/>
        <v>0</v>
      </c>
    </row>
    <row r="23" spans="1:30">
      <c r="A23" s="77">
        <v>42451</v>
      </c>
      <c r="B23" s="33"/>
      <c r="C23" s="33"/>
      <c r="D23" s="44"/>
      <c r="E23" s="44"/>
      <c r="F23" s="44"/>
      <c r="G23" s="44"/>
      <c r="H23" s="44"/>
      <c r="I23" s="29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30"/>
      <c r="AD23" s="31">
        <f t="shared" si="0"/>
        <v>0</v>
      </c>
    </row>
    <row r="24" spans="1:30">
      <c r="A24" s="77">
        <v>42451</v>
      </c>
      <c r="B24" s="33"/>
      <c r="C24" s="33"/>
      <c r="D24" s="44"/>
      <c r="E24" s="44"/>
      <c r="F24" s="44"/>
      <c r="G24" s="44"/>
      <c r="H24" s="44"/>
      <c r="I24" s="29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30"/>
      <c r="AD24" s="31">
        <f t="shared" si="0"/>
        <v>0</v>
      </c>
    </row>
    <row r="25" spans="1:30" ht="15.75" thickBot="1">
      <c r="A25" s="78"/>
      <c r="B25" s="35"/>
      <c r="C25" s="35"/>
      <c r="D25" s="35"/>
      <c r="E25" s="35"/>
      <c r="F25" s="35"/>
      <c r="G25" s="35"/>
      <c r="H25" s="35"/>
      <c r="I25" s="36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8"/>
      <c r="AD25" s="39">
        <f t="shared" si="0"/>
        <v>0</v>
      </c>
    </row>
    <row r="26" spans="1:30" ht="15.75" thickBot="1"/>
    <row r="27" spans="1:30" ht="15.75" thickBot="1">
      <c r="A27" s="150" t="s">
        <v>99</v>
      </c>
      <c r="B27" s="151"/>
      <c r="C27" s="151"/>
      <c r="D27" s="151"/>
      <c r="E27" s="151"/>
      <c r="F27" s="151"/>
      <c r="G27" s="151"/>
      <c r="H27" s="151"/>
      <c r="I27" s="152"/>
      <c r="J27" s="55"/>
      <c r="K27" s="56"/>
      <c r="L27" s="56"/>
      <c r="M27" s="56"/>
      <c r="N27" s="56"/>
      <c r="O27" s="56"/>
      <c r="P27" s="56"/>
      <c r="Q27" s="56">
        <f>5+3</f>
        <v>8</v>
      </c>
      <c r="R27" s="56"/>
      <c r="S27" s="56"/>
      <c r="T27" s="56">
        <v>16</v>
      </c>
      <c r="U27" s="56"/>
      <c r="V27" s="56"/>
      <c r="W27" s="56">
        <v>4</v>
      </c>
      <c r="X27" s="56"/>
      <c r="Y27" s="56"/>
      <c r="Z27" s="56"/>
      <c r="AA27" s="56"/>
      <c r="AB27" s="57"/>
      <c r="AD27" s="40" t="s">
        <v>77</v>
      </c>
    </row>
    <row r="28" spans="1:30" ht="15.75" thickBot="1">
      <c r="A28" s="153" t="s">
        <v>78</v>
      </c>
      <c r="B28" s="154"/>
      <c r="C28" s="154"/>
      <c r="D28" s="154"/>
      <c r="E28" s="154"/>
      <c r="F28" s="154"/>
      <c r="G28" s="154"/>
      <c r="H28" s="154"/>
      <c r="I28" s="155"/>
      <c r="J28" s="58">
        <f t="shared" ref="J28:AB28" si="1">SUM(J5:J27)</f>
        <v>0</v>
      </c>
      <c r="K28" s="58">
        <f t="shared" si="1"/>
        <v>0</v>
      </c>
      <c r="L28" s="58">
        <f t="shared" si="1"/>
        <v>0</v>
      </c>
      <c r="M28" s="58">
        <f t="shared" si="1"/>
        <v>0</v>
      </c>
      <c r="N28" s="58">
        <f t="shared" si="1"/>
        <v>0</v>
      </c>
      <c r="O28" s="58">
        <f t="shared" si="1"/>
        <v>0</v>
      </c>
      <c r="P28" s="58">
        <f t="shared" si="1"/>
        <v>0</v>
      </c>
      <c r="Q28" s="58">
        <f>SUM(Q5:Q27)</f>
        <v>33133</v>
      </c>
      <c r="R28" s="58">
        <f>SUM(R5:R27)</f>
        <v>8793</v>
      </c>
      <c r="S28" s="58">
        <f t="shared" si="1"/>
        <v>0</v>
      </c>
      <c r="T28" s="58">
        <f>SUM(T5:T27)</f>
        <v>63287</v>
      </c>
      <c r="U28" s="58">
        <f t="shared" si="1"/>
        <v>7529</v>
      </c>
      <c r="V28" s="58">
        <f t="shared" si="1"/>
        <v>0</v>
      </c>
      <c r="W28" s="58">
        <f t="shared" si="1"/>
        <v>2008</v>
      </c>
      <c r="X28" s="58">
        <f t="shared" si="1"/>
        <v>96</v>
      </c>
      <c r="Y28" s="58">
        <f t="shared" si="1"/>
        <v>0</v>
      </c>
      <c r="Z28" s="58">
        <f t="shared" si="1"/>
        <v>610</v>
      </c>
      <c r="AA28" s="58">
        <f t="shared" si="1"/>
        <v>100</v>
      </c>
      <c r="AB28" s="58">
        <f t="shared" si="1"/>
        <v>0</v>
      </c>
      <c r="AD28" s="41">
        <f>SUM(AD5:AD25)</f>
        <v>115528</v>
      </c>
    </row>
    <row r="32" spans="1:30" ht="15.75" thickBot="1"/>
    <row r="33" spans="1:8" ht="15.75" thickBot="1">
      <c r="A33" s="137" t="s">
        <v>79</v>
      </c>
      <c r="B33" s="138"/>
      <c r="C33" s="7"/>
      <c r="D33" s="7"/>
      <c r="E33" s="7"/>
      <c r="F33" s="7"/>
      <c r="G33" s="7"/>
      <c r="H33" s="7"/>
    </row>
    <row r="34" spans="1:8">
      <c r="A34" s="135" t="s">
        <v>76</v>
      </c>
      <c r="B34" s="136"/>
      <c r="C34" s="59">
        <f>SUMIF($B$5:$B$25,$A$34,$AD$5:$AD$25)</f>
        <v>0</v>
      </c>
      <c r="D34" s="71"/>
      <c r="E34" s="71"/>
      <c r="F34" s="71"/>
      <c r="G34" s="71"/>
      <c r="H34" s="71"/>
    </row>
    <row r="35" spans="1:8">
      <c r="A35" s="131" t="s">
        <v>80</v>
      </c>
      <c r="B35" s="132"/>
      <c r="C35" s="60">
        <f>SUMIF($B$5:$B$25,$A$35,$AD$5:$AD$25)</f>
        <v>0</v>
      </c>
      <c r="D35" s="71"/>
      <c r="E35" s="71"/>
      <c r="F35" s="71"/>
      <c r="G35" s="71"/>
      <c r="H35" s="71"/>
    </row>
    <row r="36" spans="1:8">
      <c r="A36" s="131" t="s">
        <v>81</v>
      </c>
      <c r="B36" s="132"/>
      <c r="C36" s="60">
        <f>SUMIF($B$5:$B$25,$A$36,$AD$5:$AD$25)</f>
        <v>0</v>
      </c>
      <c r="D36" s="71"/>
      <c r="E36" s="71"/>
      <c r="F36" s="71"/>
      <c r="G36" s="71"/>
      <c r="H36" s="71"/>
    </row>
    <row r="37" spans="1:8">
      <c r="A37" s="131" t="s">
        <v>82</v>
      </c>
      <c r="B37" s="132"/>
      <c r="C37" s="60">
        <f>SUMIF($B$5:$B$25,$A$37,$AD$5:$AD$25)</f>
        <v>0</v>
      </c>
      <c r="D37" s="71"/>
      <c r="E37" s="71"/>
      <c r="F37" s="71"/>
      <c r="G37" s="71"/>
      <c r="H37" s="71"/>
    </row>
    <row r="38" spans="1:8">
      <c r="A38" s="131" t="s">
        <v>73</v>
      </c>
      <c r="B38" s="132"/>
      <c r="C38" s="60">
        <f>SUMIF($B$5:$B$25,$A$38,$AD$5:$AD$25)</f>
        <v>0</v>
      </c>
      <c r="D38" s="71"/>
      <c r="E38" s="71"/>
      <c r="F38" s="71"/>
      <c r="G38" s="71"/>
      <c r="H38" s="71"/>
    </row>
    <row r="39" spans="1:8">
      <c r="A39" s="131" t="s">
        <v>83</v>
      </c>
      <c r="B39" s="132"/>
      <c r="C39" s="60">
        <f>SUMIF($B$5:$B$25,$A$39,$AD$5:$AD$25)</f>
        <v>0</v>
      </c>
      <c r="D39" s="71"/>
      <c r="E39" s="71"/>
      <c r="F39" s="71"/>
      <c r="G39" s="71"/>
      <c r="H39" s="71"/>
    </row>
    <row r="40" spans="1:8">
      <c r="A40" s="131" t="s">
        <v>84</v>
      </c>
      <c r="B40" s="132"/>
      <c r="C40" s="60">
        <f>SUMIF($B$5:$B$25,$A$40,$AD$5:$AD$25)</f>
        <v>0</v>
      </c>
      <c r="D40" s="71"/>
      <c r="E40" s="71"/>
      <c r="F40" s="71"/>
      <c r="G40" s="71"/>
      <c r="H40" s="71"/>
    </row>
    <row r="41" spans="1:8">
      <c r="A41" s="131" t="s">
        <v>85</v>
      </c>
      <c r="B41" s="132"/>
      <c r="C41" s="60">
        <f>SUMIF($B$5:$B$25,$A$41,$AD$5:$AD$25)</f>
        <v>0</v>
      </c>
      <c r="D41" s="71"/>
      <c r="E41" s="71"/>
      <c r="F41" s="71"/>
      <c r="G41" s="71"/>
      <c r="H41" s="71"/>
    </row>
    <row r="42" spans="1:8" ht="15.75" thickBot="1">
      <c r="A42" s="133" t="s">
        <v>86</v>
      </c>
      <c r="B42" s="134"/>
      <c r="C42" s="61">
        <f>SUMIF($B$5:$B$25,$A$42,$AD$5:$AD$25)</f>
        <v>0</v>
      </c>
      <c r="D42" s="71"/>
      <c r="E42" s="71"/>
      <c r="F42" s="71"/>
      <c r="G42" s="71"/>
      <c r="H42" s="71"/>
    </row>
  </sheetData>
  <mergeCells count="18">
    <mergeCell ref="A33:B33"/>
    <mergeCell ref="J1:AB1"/>
    <mergeCell ref="J2:AB2"/>
    <mergeCell ref="AD2:AD4"/>
    <mergeCell ref="Q3:R3"/>
    <mergeCell ref="T3:U3"/>
    <mergeCell ref="W3:X3"/>
    <mergeCell ref="A27:I27"/>
    <mergeCell ref="A28:I28"/>
    <mergeCell ref="A40:B40"/>
    <mergeCell ref="A41:B41"/>
    <mergeCell ref="A42:B42"/>
    <mergeCell ref="A34:B34"/>
    <mergeCell ref="A35:B35"/>
    <mergeCell ref="A36:B36"/>
    <mergeCell ref="A37:B37"/>
    <mergeCell ref="A38:B38"/>
    <mergeCell ref="A39:B39"/>
  </mergeCells>
  <pageMargins left="0.7" right="0.7" top="0.75" bottom="0.75" header="0.3" footer="0.3"/>
  <pageSetup paperSize="9" scale="2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>
    <tabColor theme="4" tint="0.59999389629810485"/>
  </sheetPr>
  <dimension ref="A1:V54"/>
  <sheetViews>
    <sheetView workbookViewId="0">
      <pane xSplit="20" ySplit="3" topLeftCell="U4" activePane="bottomRight" state="frozen"/>
      <selection pane="topRight" activeCell="U1" sqref="U1"/>
      <selection pane="bottomLeft" activeCell="A4" sqref="A4"/>
      <selection pane="bottomRight" activeCell="D26" sqref="D26"/>
    </sheetView>
  </sheetViews>
  <sheetFormatPr baseColWidth="10" defaultColWidth="9.140625" defaultRowHeight="15"/>
  <cols>
    <col min="1" max="1" width="21.140625" bestFit="1" customWidth="1"/>
    <col min="2" max="3" width="18.85546875" customWidth="1"/>
    <col min="4" max="4" width="15.5703125" bestFit="1" customWidth="1"/>
    <col min="22" max="22" width="13.7109375" bestFit="1" customWidth="1"/>
  </cols>
  <sheetData>
    <row r="1" spans="1:22" ht="19.5" thickBot="1">
      <c r="A1" s="18"/>
      <c r="B1" s="19"/>
      <c r="C1" s="19"/>
      <c r="D1" s="19"/>
      <c r="E1" s="139" t="s">
        <v>56</v>
      </c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1"/>
      <c r="V1" s="4"/>
    </row>
    <row r="2" spans="1:22" ht="19.5" thickBot="1">
      <c r="A2" s="20"/>
      <c r="B2" s="8"/>
      <c r="C2" s="8"/>
      <c r="D2" s="8"/>
      <c r="E2" s="142" t="s">
        <v>57</v>
      </c>
      <c r="F2" s="143"/>
      <c r="G2" s="143"/>
      <c r="H2" s="143"/>
      <c r="I2" s="143"/>
      <c r="J2" s="143"/>
      <c r="K2" s="143"/>
      <c r="L2" s="143"/>
      <c r="M2" s="143"/>
      <c r="N2" s="143"/>
      <c r="O2" s="143"/>
      <c r="P2" s="143"/>
      <c r="Q2" s="143"/>
      <c r="R2" s="143"/>
      <c r="S2" s="143"/>
      <c r="T2" s="144"/>
      <c r="V2" s="145" t="s">
        <v>58</v>
      </c>
    </row>
    <row r="3" spans="1:22" s="25" customFormat="1" ht="15.75" thickBot="1">
      <c r="A3" s="21" t="s">
        <v>59</v>
      </c>
      <c r="B3" s="22" t="s">
        <v>60</v>
      </c>
      <c r="C3" s="22" t="s">
        <v>61</v>
      </c>
      <c r="D3" s="23" t="s">
        <v>150</v>
      </c>
      <c r="E3" s="23" t="s">
        <v>62</v>
      </c>
      <c r="F3" s="23" t="s">
        <v>63</v>
      </c>
      <c r="G3" s="23" t="s">
        <v>64</v>
      </c>
      <c r="H3" s="23" t="s">
        <v>65</v>
      </c>
      <c r="I3" s="23" t="s">
        <v>44</v>
      </c>
      <c r="J3" s="23" t="s">
        <v>66</v>
      </c>
      <c r="K3" s="23" t="s">
        <v>67</v>
      </c>
      <c r="L3" s="23" t="s">
        <v>27</v>
      </c>
      <c r="M3" s="23" t="s">
        <v>68</v>
      </c>
      <c r="N3" s="23" t="s">
        <v>28</v>
      </c>
      <c r="O3" s="23" t="s">
        <v>69</v>
      </c>
      <c r="P3" s="23" t="s">
        <v>70</v>
      </c>
      <c r="Q3" s="23" t="s">
        <v>71</v>
      </c>
      <c r="R3" s="23" t="s">
        <v>40</v>
      </c>
      <c r="S3" s="23" t="s">
        <v>42</v>
      </c>
      <c r="T3" s="24" t="s">
        <v>29</v>
      </c>
      <c r="U3"/>
      <c r="V3" s="147"/>
    </row>
    <row r="4" spans="1:22" s="25" customFormat="1" ht="23.25">
      <c r="A4" s="158" t="s">
        <v>72</v>
      </c>
      <c r="B4" s="159"/>
      <c r="C4" s="159"/>
      <c r="D4" s="159"/>
      <c r="E4" s="159"/>
      <c r="F4" s="159"/>
      <c r="G4" s="159"/>
      <c r="H4" s="159"/>
      <c r="I4" s="159"/>
      <c r="J4" s="159"/>
      <c r="K4" s="159"/>
      <c r="L4" s="159"/>
      <c r="M4" s="159"/>
      <c r="N4" s="159"/>
      <c r="O4" s="159"/>
      <c r="P4" s="159"/>
      <c r="Q4" s="159"/>
      <c r="R4" s="159"/>
      <c r="S4" s="159"/>
      <c r="T4" s="160"/>
      <c r="U4"/>
      <c r="V4" s="26"/>
    </row>
    <row r="5" spans="1:22">
      <c r="A5" s="27">
        <v>42388</v>
      </c>
      <c r="B5" s="28"/>
      <c r="C5" s="28"/>
      <c r="D5" s="29"/>
      <c r="E5" s="28"/>
      <c r="F5" s="28"/>
      <c r="G5" s="28"/>
      <c r="H5" s="28"/>
      <c r="I5" s="28"/>
      <c r="J5" s="28"/>
      <c r="K5" s="28"/>
      <c r="L5" s="28"/>
      <c r="M5" s="28"/>
      <c r="N5" s="28">
        <v>10000</v>
      </c>
      <c r="O5" s="28"/>
      <c r="P5" s="28"/>
      <c r="Q5" s="28"/>
      <c r="R5" s="28"/>
      <c r="S5" s="28"/>
      <c r="T5" s="30"/>
      <c r="V5" s="31">
        <f t="shared" ref="V5:V36" si="0">SUM(E5:T5)</f>
        <v>10000</v>
      </c>
    </row>
    <row r="6" spans="1:22">
      <c r="A6" s="27">
        <v>42388</v>
      </c>
      <c r="B6" s="28"/>
      <c r="C6" s="28" t="s">
        <v>74</v>
      </c>
      <c r="D6" s="29"/>
      <c r="E6" s="28"/>
      <c r="F6" s="28"/>
      <c r="G6" s="28"/>
      <c r="H6" s="28"/>
      <c r="I6" s="28"/>
      <c r="J6" s="28"/>
      <c r="K6" s="28"/>
      <c r="L6" s="28"/>
      <c r="M6" s="28"/>
      <c r="N6" s="28">
        <v>4400</v>
      </c>
      <c r="O6" s="28"/>
      <c r="P6" s="28">
        <v>200</v>
      </c>
      <c r="Q6" s="28"/>
      <c r="R6" s="28"/>
      <c r="S6" s="28"/>
      <c r="T6" s="30"/>
      <c r="V6" s="31">
        <f t="shared" si="0"/>
        <v>4600</v>
      </c>
    </row>
    <row r="7" spans="1:22" ht="23.25">
      <c r="A7" s="161" t="s">
        <v>75</v>
      </c>
      <c r="B7" s="162"/>
      <c r="C7" s="162"/>
      <c r="D7" s="162"/>
      <c r="E7" s="162"/>
      <c r="F7" s="162"/>
      <c r="G7" s="162"/>
      <c r="H7" s="162"/>
      <c r="I7" s="162"/>
      <c r="J7" s="162"/>
      <c r="K7" s="162"/>
      <c r="L7" s="162"/>
      <c r="M7" s="162"/>
      <c r="N7" s="162"/>
      <c r="O7" s="162"/>
      <c r="P7" s="162"/>
      <c r="Q7" s="162"/>
      <c r="R7" s="162"/>
      <c r="S7" s="162"/>
      <c r="T7" s="163"/>
      <c r="V7" s="31">
        <f t="shared" si="0"/>
        <v>0</v>
      </c>
    </row>
    <row r="8" spans="1:22">
      <c r="A8" s="27">
        <v>42401</v>
      </c>
      <c r="B8" s="28"/>
      <c r="C8" s="28"/>
      <c r="D8" s="29"/>
      <c r="E8" s="28"/>
      <c r="F8" s="28"/>
      <c r="G8" s="28"/>
      <c r="H8" s="28"/>
      <c r="I8" s="28"/>
      <c r="J8" s="28"/>
      <c r="K8" s="28"/>
      <c r="L8" s="28">
        <v>3600</v>
      </c>
      <c r="M8" s="28"/>
      <c r="N8" s="28">
        <v>12000</v>
      </c>
      <c r="O8" s="28"/>
      <c r="P8" s="28">
        <v>400</v>
      </c>
      <c r="Q8" s="28"/>
      <c r="R8" s="28">
        <v>100</v>
      </c>
      <c r="S8" s="28"/>
      <c r="T8" s="30"/>
      <c r="V8" s="31">
        <f t="shared" si="0"/>
        <v>16100</v>
      </c>
    </row>
    <row r="9" spans="1:22">
      <c r="A9" s="27">
        <v>42404</v>
      </c>
      <c r="B9" s="28"/>
      <c r="C9" s="28"/>
      <c r="D9" s="29"/>
      <c r="E9" s="28"/>
      <c r="F9" s="28"/>
      <c r="G9" s="28"/>
      <c r="H9" s="28"/>
      <c r="I9" s="28"/>
      <c r="J9" s="28"/>
      <c r="K9" s="28"/>
      <c r="L9" s="28">
        <v>7000</v>
      </c>
      <c r="M9" s="28"/>
      <c r="N9" s="28">
        <v>19600</v>
      </c>
      <c r="O9" s="28"/>
      <c r="P9" s="28">
        <v>400</v>
      </c>
      <c r="Q9" s="28"/>
      <c r="R9" s="28">
        <v>10</v>
      </c>
      <c r="S9" s="28">
        <v>100</v>
      </c>
      <c r="T9" s="30"/>
      <c r="V9" s="31">
        <f t="shared" si="0"/>
        <v>27110</v>
      </c>
    </row>
    <row r="10" spans="1:22">
      <c r="A10" s="27">
        <v>42429</v>
      </c>
      <c r="B10" s="28"/>
      <c r="C10" s="28"/>
      <c r="D10" s="29"/>
      <c r="E10" s="28"/>
      <c r="F10" s="28"/>
      <c r="G10" s="28"/>
      <c r="H10" s="28"/>
      <c r="I10" s="28"/>
      <c r="J10" s="28"/>
      <c r="K10" s="28"/>
      <c r="L10" s="28">
        <v>3900</v>
      </c>
      <c r="M10" s="28"/>
      <c r="N10" s="28">
        <f>16600+1400</f>
        <v>18000</v>
      </c>
      <c r="O10" s="28"/>
      <c r="P10" s="28">
        <v>400</v>
      </c>
      <c r="Q10" s="28"/>
      <c r="R10" s="28"/>
      <c r="S10" s="28"/>
      <c r="T10" s="30"/>
      <c r="V10" s="31">
        <f t="shared" si="0"/>
        <v>22300</v>
      </c>
    </row>
    <row r="11" spans="1:22">
      <c r="A11" s="32"/>
      <c r="B11" s="33"/>
      <c r="C11" s="33"/>
      <c r="D11" s="29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30"/>
      <c r="V11" s="31">
        <f t="shared" si="0"/>
        <v>0</v>
      </c>
    </row>
    <row r="12" spans="1:22">
      <c r="A12" s="32"/>
      <c r="B12" s="33"/>
      <c r="C12" s="33"/>
      <c r="D12" s="29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30"/>
      <c r="V12" s="31">
        <f t="shared" si="0"/>
        <v>0</v>
      </c>
    </row>
    <row r="13" spans="1:22">
      <c r="A13" s="32"/>
      <c r="B13" s="33"/>
      <c r="C13" s="33"/>
      <c r="D13" s="29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30"/>
      <c r="V13" s="31">
        <f t="shared" si="0"/>
        <v>0</v>
      </c>
    </row>
    <row r="14" spans="1:22">
      <c r="A14" s="32"/>
      <c r="B14" s="33"/>
      <c r="C14" s="33"/>
      <c r="D14" s="29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30"/>
      <c r="V14" s="31">
        <f t="shared" si="0"/>
        <v>0</v>
      </c>
    </row>
    <row r="15" spans="1:22">
      <c r="A15" s="32"/>
      <c r="B15" s="33"/>
      <c r="C15" s="33"/>
      <c r="D15" s="29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30"/>
      <c r="V15" s="31">
        <f t="shared" si="0"/>
        <v>0</v>
      </c>
    </row>
    <row r="16" spans="1:22">
      <c r="A16" s="32"/>
      <c r="B16" s="33"/>
      <c r="C16" s="33"/>
      <c r="D16" s="29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30"/>
      <c r="V16" s="31">
        <f t="shared" si="0"/>
        <v>0</v>
      </c>
    </row>
    <row r="17" spans="1:22">
      <c r="A17" s="32"/>
      <c r="B17" s="33"/>
      <c r="C17" s="33"/>
      <c r="D17" s="29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30"/>
      <c r="V17" s="31">
        <f t="shared" si="0"/>
        <v>0</v>
      </c>
    </row>
    <row r="18" spans="1:22">
      <c r="A18" s="32"/>
      <c r="B18" s="33"/>
      <c r="C18" s="33"/>
      <c r="D18" s="29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30"/>
      <c r="V18" s="31">
        <f t="shared" si="0"/>
        <v>0</v>
      </c>
    </row>
    <row r="19" spans="1:22">
      <c r="A19" s="32"/>
      <c r="B19" s="33"/>
      <c r="C19" s="33"/>
      <c r="D19" s="29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30"/>
      <c r="V19" s="31">
        <f t="shared" si="0"/>
        <v>0</v>
      </c>
    </row>
    <row r="20" spans="1:22">
      <c r="A20" s="32"/>
      <c r="B20" s="33"/>
      <c r="C20" s="33"/>
      <c r="D20" s="29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30"/>
      <c r="V20" s="31">
        <f t="shared" si="0"/>
        <v>0</v>
      </c>
    </row>
    <row r="21" spans="1:22">
      <c r="A21" s="32"/>
      <c r="B21" s="33"/>
      <c r="C21" s="33"/>
      <c r="D21" s="29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30"/>
      <c r="V21" s="31">
        <f t="shared" si="0"/>
        <v>0</v>
      </c>
    </row>
    <row r="22" spans="1:22">
      <c r="A22" s="32"/>
      <c r="B22" s="33"/>
      <c r="C22" s="33"/>
      <c r="D22" s="29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30"/>
      <c r="V22" s="31">
        <f t="shared" si="0"/>
        <v>0</v>
      </c>
    </row>
    <row r="23" spans="1:22">
      <c r="A23" s="32"/>
      <c r="B23" s="33"/>
      <c r="C23" s="33"/>
      <c r="D23" s="29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30"/>
      <c r="V23" s="31">
        <f t="shared" si="0"/>
        <v>0</v>
      </c>
    </row>
    <row r="24" spans="1:22">
      <c r="A24" s="32"/>
      <c r="B24" s="33"/>
      <c r="C24" s="33"/>
      <c r="D24" s="29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30"/>
      <c r="V24" s="31">
        <f t="shared" si="0"/>
        <v>0</v>
      </c>
    </row>
    <row r="25" spans="1:22">
      <c r="A25" s="32"/>
      <c r="B25" s="33"/>
      <c r="C25" s="33"/>
      <c r="D25" s="29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30"/>
      <c r="V25" s="31">
        <f t="shared" si="0"/>
        <v>0</v>
      </c>
    </row>
    <row r="26" spans="1:22">
      <c r="A26" s="32"/>
      <c r="B26" s="33"/>
      <c r="C26" s="33"/>
      <c r="D26" s="29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30"/>
      <c r="V26" s="31">
        <f t="shared" si="0"/>
        <v>0</v>
      </c>
    </row>
    <row r="27" spans="1:22">
      <c r="A27" s="32"/>
      <c r="B27" s="33"/>
      <c r="C27" s="33"/>
      <c r="D27" s="29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30"/>
      <c r="V27" s="31">
        <f t="shared" si="0"/>
        <v>0</v>
      </c>
    </row>
    <row r="28" spans="1:22">
      <c r="A28" s="32"/>
      <c r="B28" s="33"/>
      <c r="C28" s="33"/>
      <c r="D28" s="29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30"/>
      <c r="V28" s="31">
        <f t="shared" si="0"/>
        <v>0</v>
      </c>
    </row>
    <row r="29" spans="1:22">
      <c r="A29" s="32"/>
      <c r="B29" s="33"/>
      <c r="C29" s="33"/>
      <c r="D29" s="29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30"/>
      <c r="V29" s="31">
        <f t="shared" si="0"/>
        <v>0</v>
      </c>
    </row>
    <row r="30" spans="1:22">
      <c r="A30" s="32"/>
      <c r="B30" s="33"/>
      <c r="C30" s="33"/>
      <c r="D30" s="29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30"/>
      <c r="V30" s="31">
        <f t="shared" si="0"/>
        <v>0</v>
      </c>
    </row>
    <row r="31" spans="1:22">
      <c r="A31" s="32"/>
      <c r="B31" s="33"/>
      <c r="C31" s="33"/>
      <c r="D31" s="29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30"/>
      <c r="V31" s="31">
        <f t="shared" si="0"/>
        <v>0</v>
      </c>
    </row>
    <row r="32" spans="1:22">
      <c r="A32" s="32"/>
      <c r="B32" s="33"/>
      <c r="C32" s="33"/>
      <c r="D32" s="29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30"/>
      <c r="V32" s="31">
        <f t="shared" si="0"/>
        <v>0</v>
      </c>
    </row>
    <row r="33" spans="1:22">
      <c r="A33" s="32"/>
      <c r="B33" s="33"/>
      <c r="C33" s="33"/>
      <c r="D33" s="29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30"/>
      <c r="V33" s="31">
        <f t="shared" si="0"/>
        <v>0</v>
      </c>
    </row>
    <row r="34" spans="1:22">
      <c r="A34" s="32"/>
      <c r="B34" s="33"/>
      <c r="C34" s="33"/>
      <c r="D34" s="29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30"/>
      <c r="V34" s="31">
        <f t="shared" si="0"/>
        <v>0</v>
      </c>
    </row>
    <row r="35" spans="1:22">
      <c r="A35" s="32"/>
      <c r="B35" s="33"/>
      <c r="C35" s="33"/>
      <c r="D35" s="29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30"/>
      <c r="V35" s="31">
        <f t="shared" si="0"/>
        <v>0</v>
      </c>
    </row>
    <row r="36" spans="1:22" ht="15.75" thickBot="1">
      <c r="A36" s="34"/>
      <c r="B36" s="35"/>
      <c r="C36" s="35"/>
      <c r="D36" s="36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8"/>
      <c r="V36" s="39">
        <f t="shared" si="0"/>
        <v>0</v>
      </c>
    </row>
    <row r="37" spans="1:22" ht="15.75" thickBot="1"/>
    <row r="38" spans="1:22" ht="15.75" thickBot="1">
      <c r="V38" s="40" t="s">
        <v>77</v>
      </c>
    </row>
    <row r="39" spans="1:22" ht="15.75" thickBot="1">
      <c r="A39" s="164" t="s">
        <v>78</v>
      </c>
      <c r="B39" s="165"/>
      <c r="C39" s="165"/>
      <c r="D39" s="166"/>
      <c r="E39" s="28">
        <f>SUM(E5:E36)</f>
        <v>0</v>
      </c>
      <c r="F39" s="28">
        <f>SUM(F5:F36)</f>
        <v>0</v>
      </c>
      <c r="G39" s="28">
        <f t="shared" ref="G39:T39" si="1">SUM(G5:G36)</f>
        <v>0</v>
      </c>
      <c r="H39" s="28">
        <f t="shared" si="1"/>
        <v>0</v>
      </c>
      <c r="I39" s="28">
        <f t="shared" si="1"/>
        <v>0</v>
      </c>
      <c r="J39" s="28">
        <f t="shared" si="1"/>
        <v>0</v>
      </c>
      <c r="K39" s="28">
        <f t="shared" si="1"/>
        <v>0</v>
      </c>
      <c r="L39" s="28">
        <f t="shared" si="1"/>
        <v>14500</v>
      </c>
      <c r="M39" s="28">
        <f t="shared" si="1"/>
        <v>0</v>
      </c>
      <c r="N39" s="28">
        <f t="shared" si="1"/>
        <v>64000</v>
      </c>
      <c r="O39" s="28">
        <f t="shared" si="1"/>
        <v>0</v>
      </c>
      <c r="P39" s="28">
        <f t="shared" si="1"/>
        <v>1400</v>
      </c>
      <c r="Q39" s="28">
        <f t="shared" si="1"/>
        <v>0</v>
      </c>
      <c r="R39" s="28">
        <f t="shared" si="1"/>
        <v>110</v>
      </c>
      <c r="S39" s="28">
        <f t="shared" si="1"/>
        <v>100</v>
      </c>
      <c r="T39" s="28">
        <f t="shared" si="1"/>
        <v>0</v>
      </c>
      <c r="V39" s="41">
        <f>SUM(V5:V36)</f>
        <v>80110</v>
      </c>
    </row>
    <row r="44" spans="1:22">
      <c r="A44" s="167" t="s">
        <v>79</v>
      </c>
      <c r="B44" s="167"/>
      <c r="C44" s="7"/>
    </row>
    <row r="45" spans="1:22">
      <c r="A45" s="132" t="s">
        <v>76</v>
      </c>
      <c r="B45" s="132"/>
      <c r="C45" s="43">
        <f>SUMIF($B$5:$B$36,$A$45,$V$5:$V$36)</f>
        <v>0</v>
      </c>
    </row>
    <row r="46" spans="1:22">
      <c r="A46" s="132" t="s">
        <v>80</v>
      </c>
      <c r="B46" s="132"/>
      <c r="C46" s="43">
        <f>SUMIF($B$5:$B$36,$A$46,$V$5:$V$36)</f>
        <v>0</v>
      </c>
    </row>
    <row r="47" spans="1:22">
      <c r="A47" s="132" t="s">
        <v>81</v>
      </c>
      <c r="B47" s="132"/>
      <c r="C47" s="43">
        <f>SUMIF($B$5:$B$36,$A$47,$V$5:$V$36)</f>
        <v>0</v>
      </c>
    </row>
    <row r="48" spans="1:22">
      <c r="A48" s="132" t="s">
        <v>82</v>
      </c>
      <c r="B48" s="132"/>
      <c r="C48" s="43">
        <f>SUMIF($B$5:$B$36,$A$48,$V$5:$V$36)</f>
        <v>0</v>
      </c>
    </row>
    <row r="49" spans="1:3">
      <c r="A49" s="132" t="s">
        <v>73</v>
      </c>
      <c r="B49" s="132"/>
      <c r="C49" s="43">
        <f>SUMIF($B$5:$B$36,$A$49,$V$5:$V$36)</f>
        <v>0</v>
      </c>
    </row>
    <row r="50" spans="1:3">
      <c r="A50" s="132" t="s">
        <v>83</v>
      </c>
      <c r="B50" s="132"/>
      <c r="C50" s="43">
        <f>SUMIF($B$5:$B$36,$A$50,$V$5:$V$36)</f>
        <v>0</v>
      </c>
    </row>
    <row r="51" spans="1:3">
      <c r="A51" s="132" t="s">
        <v>84</v>
      </c>
      <c r="B51" s="132"/>
      <c r="C51" s="43">
        <f>SUMIF($B$5:$B$36,$A$51,$V$5:$V$36)</f>
        <v>0</v>
      </c>
    </row>
    <row r="52" spans="1:3">
      <c r="A52" s="132" t="s">
        <v>85</v>
      </c>
      <c r="B52" s="132"/>
      <c r="C52" s="43">
        <f>SUMIF($B$5:$B$36,$A$52,$V$5:$V$36)</f>
        <v>0</v>
      </c>
    </row>
    <row r="53" spans="1:3">
      <c r="A53" s="132" t="s">
        <v>86</v>
      </c>
      <c r="B53" s="132"/>
      <c r="C53" s="43">
        <f>SUMIF($B$5:$B$36,$A$53,$V$5:$V$36)</f>
        <v>0</v>
      </c>
    </row>
    <row r="54" spans="1:3">
      <c r="A54" s="156" t="s">
        <v>87</v>
      </c>
      <c r="B54" s="157"/>
      <c r="C54" s="43">
        <f>SUMIF($B$5:$B$36,$A$54,$V$5:$V$36)</f>
        <v>0</v>
      </c>
    </row>
  </sheetData>
  <mergeCells count="17">
    <mergeCell ref="A49:B49"/>
    <mergeCell ref="E1:T1"/>
    <mergeCell ref="E2:T2"/>
    <mergeCell ref="V2:V3"/>
    <mergeCell ref="A4:T4"/>
    <mergeCell ref="A7:T7"/>
    <mergeCell ref="A39:D39"/>
    <mergeCell ref="A44:B44"/>
    <mergeCell ref="A45:B45"/>
    <mergeCell ref="A46:B46"/>
    <mergeCell ref="A47:B47"/>
    <mergeCell ref="A48:B48"/>
    <mergeCell ref="A50:B50"/>
    <mergeCell ref="A51:B51"/>
    <mergeCell ref="A52:B52"/>
    <mergeCell ref="A53:B53"/>
    <mergeCell ref="A54:B5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J37"/>
  <sheetViews>
    <sheetView workbookViewId="0">
      <selection sqref="A1:B36"/>
    </sheetView>
  </sheetViews>
  <sheetFormatPr baseColWidth="10" defaultColWidth="9.140625" defaultRowHeight="15"/>
  <cols>
    <col min="2" max="2" width="49.140625" bestFit="1" customWidth="1"/>
  </cols>
  <sheetData>
    <row r="1" spans="1:10">
      <c r="A1" s="11" t="s">
        <v>27</v>
      </c>
      <c r="B1" s="12" t="s">
        <v>114</v>
      </c>
      <c r="C1" s="9"/>
    </row>
    <row r="2" spans="1:10">
      <c r="A2" s="11" t="s">
        <v>67</v>
      </c>
      <c r="B2" s="12" t="s">
        <v>115</v>
      </c>
      <c r="C2" s="80"/>
    </row>
    <row r="3" spans="1:10">
      <c r="A3" s="13" t="s">
        <v>28</v>
      </c>
      <c r="B3" s="12" t="s">
        <v>116</v>
      </c>
    </row>
    <row r="4" spans="1:10">
      <c r="A4" s="13" t="s">
        <v>29</v>
      </c>
      <c r="B4" s="12" t="s">
        <v>117</v>
      </c>
    </row>
    <row r="5" spans="1:10">
      <c r="A5" s="13" t="s">
        <v>71</v>
      </c>
      <c r="B5" s="12" t="s">
        <v>118</v>
      </c>
    </row>
    <row r="6" spans="1:10" ht="15.75" customHeight="1">
      <c r="A6" s="13" t="s">
        <v>30</v>
      </c>
      <c r="B6" s="12" t="s">
        <v>119</v>
      </c>
    </row>
    <row r="7" spans="1:10">
      <c r="A7" s="13" t="s">
        <v>31</v>
      </c>
      <c r="B7" s="12" t="s">
        <v>120</v>
      </c>
    </row>
    <row r="8" spans="1:10">
      <c r="A8" s="13" t="s">
        <v>32</v>
      </c>
      <c r="B8" s="12" t="s">
        <v>121</v>
      </c>
    </row>
    <row r="9" spans="1:10">
      <c r="A9" s="13" t="s">
        <v>33</v>
      </c>
      <c r="B9" s="12" t="s">
        <v>122</v>
      </c>
    </row>
    <row r="10" spans="1:10">
      <c r="A10" s="13" t="s">
        <v>34</v>
      </c>
      <c r="B10" s="12" t="s">
        <v>123</v>
      </c>
    </row>
    <row r="11" spans="1:10">
      <c r="A11" s="13" t="s">
        <v>35</v>
      </c>
      <c r="B11" s="12" t="s">
        <v>124</v>
      </c>
      <c r="C11" s="10"/>
      <c r="D11" s="10"/>
      <c r="E11" s="10"/>
      <c r="F11" s="10"/>
      <c r="G11" s="10"/>
      <c r="H11" s="10"/>
      <c r="I11" s="10"/>
      <c r="J11" s="10"/>
    </row>
    <row r="12" spans="1:10">
      <c r="A12" s="13" t="s">
        <v>36</v>
      </c>
      <c r="B12" s="12" t="s">
        <v>125</v>
      </c>
    </row>
    <row r="13" spans="1:10">
      <c r="A13" s="13" t="s">
        <v>37</v>
      </c>
      <c r="B13" s="12" t="s">
        <v>126</v>
      </c>
    </row>
    <row r="14" spans="1:10">
      <c r="A14" s="13" t="s">
        <v>38</v>
      </c>
      <c r="B14" s="12" t="s">
        <v>127</v>
      </c>
    </row>
    <row r="15" spans="1:10">
      <c r="A15" s="13" t="s">
        <v>39</v>
      </c>
      <c r="B15" s="12" t="s">
        <v>128</v>
      </c>
    </row>
    <row r="16" spans="1:10">
      <c r="A16" s="13" t="s">
        <v>40</v>
      </c>
      <c r="B16" s="12" t="s">
        <v>129</v>
      </c>
    </row>
    <row r="17" spans="1:2">
      <c r="A17" s="13" t="s">
        <v>41</v>
      </c>
      <c r="B17" s="12" t="s">
        <v>130</v>
      </c>
    </row>
    <row r="18" spans="1:2">
      <c r="A18" s="13" t="s">
        <v>42</v>
      </c>
      <c r="B18" s="12" t="s">
        <v>131</v>
      </c>
    </row>
    <row r="19" spans="1:2">
      <c r="A19" s="13" t="s">
        <v>43</v>
      </c>
      <c r="B19" s="12" t="s">
        <v>132</v>
      </c>
    </row>
    <row r="20" spans="1:2">
      <c r="A20" s="13" t="s">
        <v>44</v>
      </c>
      <c r="B20" s="12" t="s">
        <v>133</v>
      </c>
    </row>
    <row r="21" spans="1:2">
      <c r="A21" s="13" t="s">
        <v>45</v>
      </c>
      <c r="B21" s="12" t="s">
        <v>134</v>
      </c>
    </row>
    <row r="22" spans="1:2">
      <c r="A22" s="13" t="s">
        <v>46</v>
      </c>
      <c r="B22" s="12" t="s">
        <v>135</v>
      </c>
    </row>
    <row r="23" spans="1:2">
      <c r="A23" s="13" t="s">
        <v>47</v>
      </c>
      <c r="B23" s="12" t="s">
        <v>136</v>
      </c>
    </row>
    <row r="24" spans="1:2">
      <c r="A24" s="13" t="s">
        <v>48</v>
      </c>
      <c r="B24" s="12" t="s">
        <v>137</v>
      </c>
    </row>
    <row r="25" spans="1:2">
      <c r="A25" s="13" t="s">
        <v>49</v>
      </c>
      <c r="B25" s="12" t="s">
        <v>138</v>
      </c>
    </row>
    <row r="26" spans="1:2">
      <c r="A26" s="13" t="s">
        <v>50</v>
      </c>
      <c r="B26" s="12" t="s">
        <v>139</v>
      </c>
    </row>
    <row r="27" spans="1:2">
      <c r="A27" s="13" t="s">
        <v>51</v>
      </c>
      <c r="B27" s="12" t="s">
        <v>140</v>
      </c>
    </row>
    <row r="28" spans="1:2">
      <c r="A28" s="13" t="s">
        <v>52</v>
      </c>
      <c r="B28" s="12" t="s">
        <v>141</v>
      </c>
    </row>
    <row r="29" spans="1:2">
      <c r="A29" s="13" t="s">
        <v>53</v>
      </c>
      <c r="B29" s="12" t="s">
        <v>142</v>
      </c>
    </row>
    <row r="30" spans="1:2">
      <c r="A30" s="13" t="s">
        <v>54</v>
      </c>
      <c r="B30" s="12" t="s">
        <v>143</v>
      </c>
    </row>
    <row r="31" spans="1:2">
      <c r="A31" s="13" t="s">
        <v>55</v>
      </c>
      <c r="B31" s="12" t="s">
        <v>144</v>
      </c>
    </row>
    <row r="32" spans="1:2">
      <c r="A32" s="13" t="s">
        <v>68</v>
      </c>
      <c r="B32" s="12" t="s">
        <v>145</v>
      </c>
    </row>
    <row r="33" spans="1:2">
      <c r="A33" s="13" t="s">
        <v>69</v>
      </c>
      <c r="B33" s="12" t="s">
        <v>146</v>
      </c>
    </row>
    <row r="34" spans="1:2">
      <c r="A34" s="13" t="s">
        <v>70</v>
      </c>
      <c r="B34" s="12" t="s">
        <v>147</v>
      </c>
    </row>
    <row r="35" spans="1:2">
      <c r="A35" s="13" t="s">
        <v>66</v>
      </c>
      <c r="B35" s="12" t="s">
        <v>148</v>
      </c>
    </row>
    <row r="36" spans="1:2">
      <c r="A36" s="13" t="s">
        <v>62</v>
      </c>
      <c r="B36" s="12" t="s">
        <v>149</v>
      </c>
    </row>
    <row r="37" spans="1:2">
      <c r="A37" s="1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'C:\Users\yannick.matufuana\Desktop\[KAM-FICHE NAVETTE+PRÉVISITE super U st angely 15032016.xlsm]Sheet3'!#REF!</xm:f>
          </x14:formula1>
          <xm:sqref>C11:G11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AB26"/>
  <sheetViews>
    <sheetView workbookViewId="0">
      <selection activeCell="F2" sqref="F2"/>
    </sheetView>
  </sheetViews>
  <sheetFormatPr baseColWidth="10" defaultColWidth="9.140625" defaultRowHeight="15"/>
  <cols>
    <col min="1" max="1" width="10.7109375" bestFit="1" customWidth="1"/>
    <col min="2" max="2" width="12.7109375" bestFit="1" customWidth="1"/>
    <col min="3" max="3" width="38.28515625" bestFit="1" customWidth="1"/>
    <col min="4" max="4" width="36.42578125" bestFit="1" customWidth="1"/>
    <col min="5" max="6" width="27.42578125" bestFit="1" customWidth="1"/>
    <col min="7" max="7" width="12.7109375" bestFit="1" customWidth="1"/>
    <col min="8" max="8" width="22.28515625" bestFit="1" customWidth="1"/>
    <col min="10" max="10" width="8.7109375" bestFit="1" customWidth="1"/>
    <col min="17" max="17" width="10.28515625" bestFit="1" customWidth="1"/>
    <col min="18" max="18" width="10.42578125" bestFit="1" customWidth="1"/>
    <col min="20" max="20" width="10.28515625" bestFit="1" customWidth="1"/>
    <col min="21" max="21" width="10.42578125" bestFit="1" customWidth="1"/>
    <col min="23" max="23" width="10.28515625" bestFit="1" customWidth="1"/>
    <col min="24" max="24" width="10.42578125" bestFit="1" customWidth="1"/>
  </cols>
  <sheetData>
    <row r="1" spans="1:28" ht="19.5" thickBot="1">
      <c r="A1" t="s">
        <v>112</v>
      </c>
      <c r="B1" s="70" t="s">
        <v>111</v>
      </c>
      <c r="C1" s="70" t="s">
        <v>103</v>
      </c>
      <c r="D1" s="70" t="s">
        <v>104</v>
      </c>
      <c r="E1" s="70" t="s">
        <v>105</v>
      </c>
      <c r="F1" s="70" t="s">
        <v>106</v>
      </c>
      <c r="G1" s="70" t="s">
        <v>107</v>
      </c>
      <c r="H1" s="70" t="s">
        <v>108</v>
      </c>
      <c r="I1" s="70" t="s">
        <v>113</v>
      </c>
      <c r="J1" s="168" t="s">
        <v>56</v>
      </c>
      <c r="K1" s="169"/>
      <c r="L1" s="169"/>
      <c r="M1" s="169"/>
      <c r="N1" s="169"/>
      <c r="O1" s="169"/>
      <c r="P1" s="169"/>
      <c r="Q1" s="169"/>
      <c r="R1" s="169"/>
      <c r="S1" s="169"/>
      <c r="T1" s="169"/>
      <c r="U1" s="169"/>
      <c r="V1" s="169"/>
      <c r="W1" s="169"/>
      <c r="X1" s="169"/>
      <c r="Y1" s="169"/>
      <c r="Z1" s="169"/>
      <c r="AA1" s="169"/>
      <c r="AB1" s="170"/>
    </row>
    <row r="2" spans="1:28" ht="19.5" thickBot="1">
      <c r="A2" s="79">
        <f>BL!F6</f>
        <v>42451</v>
      </c>
      <c r="B2" t="e">
        <f>MID(BL!A9,1,FIND(" ",BL!A9,1))</f>
        <v>#VALUE!</v>
      </c>
      <c r="C2" s="17" t="str">
        <f ca="1">F2</f>
        <v>se1</v>
      </c>
      <c r="D2" s="17" t="str">
        <f ca="1">BL!A10</f>
        <v>magasin1</v>
      </c>
      <c r="E2" s="17" t="str">
        <f ca="1">MID(BL!A11,1,6)</f>
        <v>adress</v>
      </c>
      <c r="F2" s="17" t="str">
        <f ca="1">MID(BL!A11,6,70)</f>
        <v>se1</v>
      </c>
      <c r="G2" s="17" t="str">
        <f ca="1">BL!A13</f>
        <v>ville1</v>
      </c>
      <c r="H2" s="16">
        <f ca="1">BL!A14</f>
        <v>320202020</v>
      </c>
      <c r="I2" s="16">
        <f>BL!D6</f>
        <v>24239</v>
      </c>
      <c r="J2" s="171" t="s">
        <v>90</v>
      </c>
      <c r="K2" s="172"/>
      <c r="L2" s="172"/>
      <c r="M2" s="172"/>
      <c r="N2" s="172"/>
      <c r="O2" s="172"/>
      <c r="P2" s="172"/>
      <c r="Q2" s="172"/>
      <c r="R2" s="172"/>
      <c r="S2" s="172"/>
      <c r="T2" s="172"/>
      <c r="U2" s="172"/>
      <c r="V2" s="172"/>
      <c r="W2" s="172"/>
      <c r="X2" s="172"/>
      <c r="Y2" s="172"/>
      <c r="Z2" s="172"/>
      <c r="AA2" s="172"/>
      <c r="AB2" s="173"/>
    </row>
    <row r="3" spans="1:28" ht="19.5" thickBot="1">
      <c r="J3" s="83"/>
      <c r="K3" s="84"/>
      <c r="L3" s="84"/>
      <c r="M3" s="84"/>
      <c r="N3" s="84"/>
      <c r="O3" s="84"/>
      <c r="P3" s="84"/>
      <c r="Q3" s="168" t="s">
        <v>27</v>
      </c>
      <c r="R3" s="170"/>
      <c r="S3" s="84"/>
      <c r="T3" s="168" t="s">
        <v>28</v>
      </c>
      <c r="U3" s="170"/>
      <c r="V3" s="84"/>
      <c r="W3" s="168" t="s">
        <v>70</v>
      </c>
      <c r="X3" s="170"/>
      <c r="Y3" s="84"/>
      <c r="Z3" s="84"/>
      <c r="AA3" s="84"/>
      <c r="AB3" s="85"/>
    </row>
    <row r="4" spans="1:28" ht="15.75" thickBot="1">
      <c r="J4" s="89" t="s">
        <v>62</v>
      </c>
      <c r="K4" s="88" t="s">
        <v>63</v>
      </c>
      <c r="L4" s="81" t="s">
        <v>64</v>
      </c>
      <c r="M4" s="81" t="s">
        <v>65</v>
      </c>
      <c r="N4" s="81" t="s">
        <v>44</v>
      </c>
      <c r="O4" s="81" t="s">
        <v>66</v>
      </c>
      <c r="P4" s="81" t="s">
        <v>67</v>
      </c>
      <c r="Q4" s="81" t="s">
        <v>93</v>
      </c>
      <c r="R4" s="81" t="s">
        <v>94</v>
      </c>
      <c r="S4" s="81" t="s">
        <v>68</v>
      </c>
      <c r="T4" s="81" t="s">
        <v>95</v>
      </c>
      <c r="U4" s="81" t="s">
        <v>96</v>
      </c>
      <c r="V4" s="81" t="s">
        <v>69</v>
      </c>
      <c r="W4" s="81" t="s">
        <v>97</v>
      </c>
      <c r="X4" s="81" t="s">
        <v>98</v>
      </c>
      <c r="Y4" s="81" t="s">
        <v>71</v>
      </c>
      <c r="Z4" s="81" t="s">
        <v>40</v>
      </c>
      <c r="AA4" s="81" t="s">
        <v>42</v>
      </c>
      <c r="AB4" s="82" t="s">
        <v>29</v>
      </c>
    </row>
    <row r="5" spans="1:28">
      <c r="J5" s="86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"13413-00"," ")</f>
        <v>13413-00</v>
      </c>
      <c r="K5" t="str">
        <f>IF(OR(BL!B28="66110-00",BL!B29="66110-00",BL!B30="66110-00",BL!B31="66110-00",BL!B32="66110-00",BL!B33="66110-00",BL!B34="66110-00",BL!B36="66110-00",BL!B37="66110-00",BL!B38="66110-00",BL!B39="66110-00",BL!B40="66110-00",BL!B41="66110-00",BL!B42="66110-00",BL!B43="66110-00",BL!B44="66110-00",BL!B45="66110-00",BL!B46="66110-00",BL!B47="66110-00",BL!B48="66110-00"),"66110-00"," ")</f>
        <v xml:space="preserve"> </v>
      </c>
      <c r="L5" t="str">
        <f>IF(OR(BL!B28="66122-01",BL!B29="66122-01",BL!B30="66122-01",BL!B31="66122-01",BL!B32="66122-01",BL!B33="66122-01",BL!B34="66122-01",BL!B36="66122-01",BL!B37="66122-01",BL!B38="66122-01",BL!B39="66122-01",BL!B40="66122-01",BL!B41="66122-01",BL!B42="66122-01",BL!B43="66122-01",BL!B44="66122-01",BL!B45="66122-01",BL!B46="66122-01",BL!B47="66122-01",BL!B48="66122-01"),"66122-01"," ")</f>
        <v xml:space="preserve"> </v>
      </c>
      <c r="M5" t="str">
        <f>IF(OR(BL!B28="66122-02",BL!B29="66122-02",BL!B30="66122-02",BL!B31="66122-02",BL!B32="66122-02",BL!B33="66122-02",BL!B34="66122-02",BL!B36="66122-02",BL!B37="66122-02",BL!B38="66122-02",BL!B39="66122-02",BL!B40="66122-02",BL!B41="66122-02",BL!B42="66122-02",BL!B43="66122-02",BL!B44="66122-02",BL!B45="66122-02",BL!B46="66122-02",BL!B47="66122-02",BL!B48="66122-02"),"66122-02"," ")</f>
        <v xml:space="preserve"> </v>
      </c>
      <c r="N5" t="str">
        <f>IF(OR(BL!B28="18210-00",BL!B29="18210-00",BL!B30="18210-00",BL!B31="18210-00",BL!B32="18210-00",BL!B33="18210-00",BL!B34="18210-00",BL!B36="18210-00",BL!B37="18210-00",BL!B38="18210-00",BL!B39="18210-00",BL!B40="18210-00",BL!B41="18210-00",BL!B42="18210-00",BL!B43="18210-00",BL!B44="18210-00",BL!B45="18210-00",BL!B46="18210-00",BL!B47="18210-00",BL!B48="18210-00"),"18210-00"," ")</f>
        <v xml:space="preserve"> </v>
      </c>
      <c r="O5" t="str">
        <f>IF(OR(BL!B28="19210-01",BL!B29="19210-01",BL!B30="19210-01",BL!B31="19210-01",BL!B32="19210-01",BL!B33="19210-01",BL!B34="19210-01",BL!B36="19210-01",BL!B37="19210-01",BL!B38="19210-01",BL!B39="19210-01",BL!B40="19210-01",BL!B41="19210-01",BL!B42="19210-01",BL!B43="19210-01",BL!B44="19210-01",BL!B45="19210-01",BL!B46="19210-01",BL!B47="19210-01",BL!B48="19210-01"),"19210-01"," ")</f>
        <v xml:space="preserve"> </v>
      </c>
      <c r="P5" t="str">
        <f>IF(OR(BL!B28="19220-00",BL!B29="19220-00",BL!B30="19220-00",BL!B31="19220-00",BL!B32="19220-00",BL!B33="19220-00",BL!B34="19220-00",BL!B36="19220-00",BL!B37="19220-00",BL!B38="19220-00",BL!B39="19220-00",BL!B40="19220-00",BL!B41="19220-00",BL!B42="19220-00",BL!B43="19220-00",BL!B44="19220-00",BL!B45="19220-00",BL!B46="19220-00",BL!B47="19220-00",BL!B48="19220-00"),"19220-00"," ")</f>
        <v xml:space="preserve"> </v>
      </c>
      <c r="Q5" t="str">
        <f>IF(OR(BL!B28="19220-01",BL!B29="19220-01",BL!B30="19220-01",BL!B31="19220-01",BL!B32="19220-01",BL!B33="19220-01",BL!B34="19220-01"),"19220-01"," ")</f>
        <v xml:space="preserve"> </v>
      </c>
      <c r="R5" t="str">
        <f>IF(OR(BL!B36="19220-01",BL!B37="19220-01",BL!B38="19220-01",BL!B39="19220-01",BL!B40="19220-01",BL!B41="19220-01",BL!B42="19220-01",BL!B43="19220-01",BL!B44="19220-01",BL!B45="19220-01",BL!B46="19220-01",BL!B47="19220-01",BL!B48="19220-01"),"19220-01"," ")</f>
        <v xml:space="preserve"> </v>
      </c>
      <c r="S5" t="str">
        <f>IF(OR(BL!B28="19320-00",BL!B29="19320-00",BL!B30="19320-00",BL!B31="19320-00",BL!B32="19320-00",BL!B33="19320-00",BL!B34="19320-00",BL!B36="19320-00",BL!B37="19320-00",BL!B38="19320-00",BL!B39="19320-00",BL!B40="19320-00",BL!B41="19320-00",BL!B42="19320-00",BL!B43="19320-00",BL!B44="19320-00",BL!B45="19320-00",BL!B46="19320-00",BL!B47="19320-00",BL!B48="19320-00"),"19320-00"," ")</f>
        <v xml:space="preserve"> </v>
      </c>
      <c r="T5" t="str">
        <f>IF(OR(BL!B28="19320-01",BL!B29="19320-01",BL!B30="19320-01",BL!B31="19320-01",BL!B32="19320-01",BL!B33="19320-01",BL!B34="19320-01"),"19320-01"," ")</f>
        <v xml:space="preserve"> </v>
      </c>
      <c r="U5" t="str">
        <f>IF(OR(BL!B36="19320-01",BL!B37="19320-01",BL!B38="19320-01",BL!B39="19320-01",BL!B40="19320-01",BL!B41="19320-01",BL!B42="19320-01",BL!B43="19320-01",BL!B44="19320-01",BL!B45="19320-01",BL!B46="19320-01",BL!B47="19320-01",BL!B48="19320-01"),"19320-01"," ")</f>
        <v xml:space="preserve"> </v>
      </c>
      <c r="V5" t="str">
        <f>IF(OR(BL!B28="19323-00",BL!B29="19323-00",BL!B30="19323-00",BL!B31="19323-00",BL!B32="19323-00",BL!B33="19323-00",BL!B34="19323-00",BL!B34="19323-00",BL!B36="19323-00",BL!B37="19323-00",BL!B38="19323-00",BL!B39="19323-00",BL!B40="19323-00",BL!B41="19323-00",BL!B42="19323-00",BL!B43="19323-00",BL!B44="19323-00",BL!B45="19323-00",BL!B46="19323-00",BL!B47="19323-00",BL!B48="19323-00"),"19323-00"," ")</f>
        <v xml:space="preserve"> </v>
      </c>
      <c r="W5" t="str">
        <f>IF(OR(BL!B28="19323-01",BL!B29="19323-01",BL!B30="19323-01",BL!B31="19323-01",BL!B32="19323-01",BL!B33="19323-01",BL!B34="19323-01"),"19323-01"," ")</f>
        <v xml:space="preserve"> </v>
      </c>
      <c r="X5" t="str">
        <f>IF(OR(BL!B36="19323-01",BL!B37="19323-01",BL!B38="19323-01",BL!B39="19323-01",BL!B40="19323-01",BL!B41="19323-01",BL!B42="19323-01",BL!B43="19323-01",BL!B44="19323-01",BL!B45="19323-01",BL!B46="19323-01",BL!B47="19323-01",BL!B48="19323-01"),"19323-01"," ")</f>
        <v xml:space="preserve"> </v>
      </c>
      <c r="Y5" t="str">
        <f>IF(OR(BL!B28="19420-00",BL!B29="19420-00",BL!B30="19420-00",BL!B31="19420-00",BL!B32="19420-00",BL!B33="19420-00",BL!B34="19420-00",BL!B36="19420-00",BL!B37="19420-00",BL!B38="19420-00",BL!B39="19420-00",BL!B40="19420-00",BL!B41="19420-00",BL!B42="19420-00",BL!B43="19420-00",BL!B44="19420-00",BL!B45="19420-00",BL!B46="19420-00",BL!B47="19420-00",BL!B48="19420-00"),"19420-00"," ")</f>
        <v xml:space="preserve"> </v>
      </c>
      <c r="Z5" t="str">
        <f>IF(OR(BL!B28="19700-01",BL!B29="19700-01",BL!B30="19700-01",BL!B31="19700-01",BL!B32="19700-01",BL!B33="19700-01",BL!B34="19700-01",BL!B36="19700-01",BL!B37="19700-01",BL!B38="19700-01",BL!B39="19700-01",BL!B40="19700-01",BL!B41="19700-01",BL!B42="19700-01",BL!B43="19700-01",BL!B44="19700-01",BL!B45="19700-01",BL!B46="19700-01",BL!B47="19700-01",BL!B48="19700-01"),"19700-01"," ")</f>
        <v xml:space="preserve"> </v>
      </c>
      <c r="AA5" t="str">
        <f>IF(OR(BL!B28="19800-01",BL!B29="19800-01",BL!B30="19800-01",BL!B31="19800-01",BL!B32="19800-01",BL!B33="19800-01",BL!B34="19800-01",BL!B36="19800-01",BL!B37="19800-01",BL!B38="19800-01",BL!B39="19800-01",BL!B40="19800-01",BL!B41="19800-01",BL!B42="19800-01",BL!B43="19800-01",BL!B44="19800-01",BL!B45="19800-01",BL!B46="19800-01",BL!B47="19800-01",BL!B48="19800-01"),"19800-01"," ")</f>
        <v xml:space="preserve"> </v>
      </c>
      <c r="AB5" t="str">
        <f>IF(OR(BL!B28="19420-01",BL!B29="19420-01",BL!B30="19420-01",BL!B31="19420-01",BL!B32="19420-01",BL!B33="19420-01",BL!B34="19420-01",BL!B36="19420-01",BL!B37="19420-01",BL!B38="19420-01",BL!B39="19420-01",BL!B40="19420-01",BL!B41="19420-01",BL!B42="19420-01",BL!B43="19420-01",BL!B44="19420-01",BL!B45="19420-01",BL!B46="19420-01",BL!B47="19420-01",BL!B48="19420-01"),"19420-01"," ")</f>
        <v xml:space="preserve"> </v>
      </c>
    </row>
    <row r="6" spans="1:28">
      <c r="J6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28," ")</f>
        <v>10</v>
      </c>
    </row>
    <row r="7" spans="1:28">
      <c r="J7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29," ")</f>
        <v>10</v>
      </c>
    </row>
    <row r="8" spans="1:28">
      <c r="J8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30," ")</f>
        <v>10</v>
      </c>
    </row>
    <row r="9" spans="1:28">
      <c r="J9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31," ")</f>
        <v>40</v>
      </c>
    </row>
    <row r="10" spans="1:28">
      <c r="J10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32," ")</f>
        <v>60</v>
      </c>
    </row>
    <row r="11" spans="1:28">
      <c r="J11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33," ")</f>
        <v>0</v>
      </c>
    </row>
    <row r="12" spans="1:28">
      <c r="J12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34," ")</f>
        <v>0</v>
      </c>
    </row>
    <row r="13" spans="1:28">
      <c r="J13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35," ")</f>
        <v>0</v>
      </c>
    </row>
    <row r="14" spans="1:28">
      <c r="J14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36," ")</f>
        <v>0</v>
      </c>
    </row>
    <row r="15" spans="1:28">
      <c r="J15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37," ")</f>
        <v>0</v>
      </c>
    </row>
    <row r="16" spans="1:28">
      <c r="J16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38," ")</f>
        <v>0</v>
      </c>
    </row>
    <row r="17" spans="10:10">
      <c r="J17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39," ")</f>
        <v>0</v>
      </c>
    </row>
    <row r="18" spans="10:10">
      <c r="J18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40," ")</f>
        <v>0</v>
      </c>
    </row>
    <row r="19" spans="10:10">
      <c r="J19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41," ")</f>
        <v>0</v>
      </c>
    </row>
    <row r="20" spans="10:10">
      <c r="J20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42," ")</f>
        <v>0</v>
      </c>
    </row>
    <row r="21" spans="10:10">
      <c r="J21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43," ")</f>
        <v>0</v>
      </c>
    </row>
    <row r="22" spans="10:10">
      <c r="J22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45," ")</f>
        <v>0</v>
      </c>
    </row>
    <row r="23" spans="10:10">
      <c r="J23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46," ")</f>
        <v>0</v>
      </c>
    </row>
    <row r="24" spans="10:10">
      <c r="J24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47," ")</f>
        <v>0</v>
      </c>
    </row>
    <row r="25" spans="10:10">
      <c r="J25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48," ")</f>
        <v>0</v>
      </c>
    </row>
    <row r="26" spans="10:10">
      <c r="J26">
        <f>SUM(J6:J25)</f>
        <v>130</v>
      </c>
    </row>
  </sheetData>
  <mergeCells count="5">
    <mergeCell ref="J1:AB1"/>
    <mergeCell ref="J2:AB2"/>
    <mergeCell ref="Q3:R3"/>
    <mergeCell ref="T3:U3"/>
    <mergeCell ref="W3:X3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H7"/>
  <sheetViews>
    <sheetView workbookViewId="0">
      <selection activeCell="F20" sqref="F20"/>
    </sheetView>
  </sheetViews>
  <sheetFormatPr baseColWidth="10" defaultRowHeight="15"/>
  <cols>
    <col min="1" max="1" width="11.42578125" style="174"/>
    <col min="2" max="2" width="13.140625" style="174" bestFit="1" customWidth="1"/>
    <col min="3" max="3" width="28.85546875" style="174" customWidth="1"/>
    <col min="4" max="4" width="11.42578125" style="175"/>
    <col min="5" max="5" width="16.42578125" style="174" customWidth="1"/>
    <col min="6" max="6" width="20.42578125" style="176" customWidth="1"/>
    <col min="7" max="16384" width="11.42578125" style="174"/>
  </cols>
  <sheetData>
    <row r="1" spans="1:8">
      <c r="A1" s="104" t="s">
        <v>111</v>
      </c>
      <c r="B1" s="104" t="s">
        <v>103</v>
      </c>
      <c r="C1" s="104" t="s">
        <v>104</v>
      </c>
      <c r="D1" s="104" t="s">
        <v>105</v>
      </c>
      <c r="E1" s="104" t="s">
        <v>106</v>
      </c>
      <c r="F1" s="104" t="s">
        <v>107</v>
      </c>
      <c r="G1" s="104" t="s">
        <v>108</v>
      </c>
      <c r="H1" s="104" t="s">
        <v>113</v>
      </c>
    </row>
    <row r="2" spans="1:8">
      <c r="A2" s="174" t="s">
        <v>151</v>
      </c>
      <c r="B2" s="174" t="s">
        <v>153</v>
      </c>
      <c r="C2" s="174" t="s">
        <v>155</v>
      </c>
      <c r="D2" s="175">
        <v>1</v>
      </c>
      <c r="E2" s="174" t="s">
        <v>157</v>
      </c>
      <c r="F2" s="176">
        <v>320202020</v>
      </c>
    </row>
    <row r="3" spans="1:8">
      <c r="A3" s="174" t="s">
        <v>152</v>
      </c>
      <c r="B3" s="174" t="s">
        <v>154</v>
      </c>
      <c r="C3" s="174" t="s">
        <v>156</v>
      </c>
      <c r="D3" s="175">
        <v>2</v>
      </c>
      <c r="E3" s="174" t="s">
        <v>158</v>
      </c>
      <c r="F3" s="176">
        <v>320202021</v>
      </c>
    </row>
    <row r="4" spans="1:8">
      <c r="A4" s="174" t="s">
        <v>159</v>
      </c>
      <c r="B4" s="174" t="s">
        <v>160</v>
      </c>
      <c r="C4" s="174" t="s">
        <v>161</v>
      </c>
      <c r="D4" s="175">
        <v>3</v>
      </c>
      <c r="E4" s="174" t="s">
        <v>162</v>
      </c>
      <c r="F4" s="176">
        <v>320202023</v>
      </c>
    </row>
    <row r="5" spans="1:8">
      <c r="A5" s="174" t="s">
        <v>163</v>
      </c>
      <c r="B5" s="174" t="s">
        <v>164</v>
      </c>
      <c r="C5" s="174" t="s">
        <v>165</v>
      </c>
      <c r="D5" s="175">
        <v>4</v>
      </c>
      <c r="E5" s="174" t="s">
        <v>166</v>
      </c>
      <c r="F5" s="176">
        <v>320202024</v>
      </c>
    </row>
    <row r="6" spans="1:8">
      <c r="A6" s="174" t="s">
        <v>167</v>
      </c>
      <c r="B6" s="174" t="s">
        <v>168</v>
      </c>
      <c r="C6" s="174" t="s">
        <v>169</v>
      </c>
      <c r="D6" s="175">
        <v>5</v>
      </c>
      <c r="E6" s="174" t="s">
        <v>170</v>
      </c>
      <c r="F6" s="176">
        <v>320202025</v>
      </c>
    </row>
    <row r="7" spans="1:8">
      <c r="A7" s="174" t="s">
        <v>171</v>
      </c>
      <c r="B7" s="174" t="s">
        <v>172</v>
      </c>
      <c r="C7" s="174" t="s">
        <v>173</v>
      </c>
      <c r="D7" s="175">
        <v>6</v>
      </c>
      <c r="E7" s="174" t="s">
        <v>174</v>
      </c>
      <c r="F7" s="176">
        <v>320202026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BL</vt:lpstr>
      <vt:lpstr>INVENTORY BALANCE</vt:lpstr>
      <vt:lpstr>SORTIES</vt:lpstr>
      <vt:lpstr>RECEPTION</vt:lpstr>
      <vt:lpstr>Produits </vt:lpstr>
      <vt:lpstr>Autre</vt:lpstr>
      <vt:lpstr>bdd_enseignes</vt:lpstr>
      <vt:lpstr>listeProduits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Matufuana</dc:creator>
  <cp:lastModifiedBy>Quentin</cp:lastModifiedBy>
  <cp:lastPrinted>2016-03-31T12:30:52Z</cp:lastPrinted>
  <dcterms:created xsi:type="dcterms:W3CDTF">2016-03-17T10:01:14Z</dcterms:created>
  <dcterms:modified xsi:type="dcterms:W3CDTF">2016-04-01T10:58:20Z</dcterms:modified>
</cp:coreProperties>
</file>