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90" windowWidth="19320" windowHeight="7740"/>
  </bookViews>
  <sheets>
    <sheet name="TCD" sheetId="7" r:id="rId1"/>
    <sheet name="DATA" sheetId="1" r:id="rId2"/>
    <sheet name="DV-IDENTITY-0" sheetId="4" state="veryHidden" r:id="rId3"/>
  </sheets>
  <calcPr calcId="145621"/>
  <pivotCaches>
    <pivotCache cacheId="10" r:id="rId4"/>
  </pivotCaches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2" i="1"/>
  <c r="A2" i="4" l="1"/>
  <c r="B2" i="4"/>
  <c r="C2" i="4"/>
  <c r="D2" i="4"/>
  <c r="E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AX2" i="4"/>
  <c r="AY2" i="4"/>
  <c r="AZ2" i="4"/>
  <c r="BA2" i="4"/>
  <c r="BB2" i="4"/>
  <c r="BC2" i="4"/>
  <c r="BD2" i="4"/>
  <c r="BE2" i="4"/>
  <c r="BF2" i="4"/>
  <c r="BG2" i="4"/>
  <c r="BH2" i="4"/>
  <c r="BI2" i="4"/>
  <c r="BJ2" i="4"/>
  <c r="BK2" i="4"/>
  <c r="BL2" i="4"/>
  <c r="BM2" i="4"/>
  <c r="BN2" i="4"/>
  <c r="BO2" i="4"/>
  <c r="BP2" i="4"/>
  <c r="BQ2" i="4"/>
  <c r="BR2" i="4"/>
  <c r="BS2" i="4"/>
  <c r="BT2" i="4"/>
  <c r="BU2" i="4"/>
  <c r="BV2" i="4"/>
  <c r="BW2" i="4"/>
  <c r="BX2" i="4"/>
  <c r="BY2" i="4"/>
  <c r="BZ2" i="4"/>
  <c r="CA2" i="4"/>
  <c r="CB2" i="4"/>
  <c r="CC2" i="4"/>
  <c r="CD2" i="4"/>
  <c r="CE2" i="4"/>
  <c r="CF2" i="4"/>
  <c r="CG2" i="4"/>
  <c r="CH2" i="4"/>
  <c r="CI2" i="4"/>
  <c r="CJ2" i="4"/>
  <c r="CK2" i="4"/>
  <c r="CL2" i="4"/>
  <c r="CM2" i="4"/>
  <c r="CN2" i="4"/>
  <c r="CO2" i="4"/>
  <c r="CP2" i="4"/>
  <c r="CQ2" i="4"/>
  <c r="CR2" i="4"/>
  <c r="CS2" i="4"/>
  <c r="CT2" i="4"/>
  <c r="CU2" i="4"/>
  <c r="CV2" i="4"/>
  <c r="CW2" i="4"/>
  <c r="CX2" i="4"/>
  <c r="CY2" i="4"/>
  <c r="CZ2" i="4"/>
  <c r="DA2" i="4"/>
  <c r="DB2" i="4"/>
  <c r="DC2" i="4"/>
  <c r="DD2" i="4"/>
  <c r="DE2" i="4"/>
  <c r="DF2" i="4"/>
  <c r="DG2" i="4"/>
  <c r="DH2" i="4"/>
  <c r="DI2" i="4"/>
  <c r="DJ2" i="4"/>
  <c r="DK2" i="4"/>
  <c r="DL2" i="4"/>
  <c r="DM2" i="4"/>
  <c r="DN2" i="4"/>
  <c r="DO2" i="4"/>
  <c r="DP2" i="4"/>
  <c r="DQ2" i="4"/>
  <c r="DR2" i="4"/>
  <c r="DS2" i="4"/>
  <c r="DT2" i="4"/>
  <c r="DU2" i="4"/>
  <c r="DV2" i="4"/>
  <c r="DW2" i="4"/>
  <c r="DX2" i="4"/>
  <c r="DY2" i="4"/>
  <c r="DZ2" i="4"/>
  <c r="EA2" i="4"/>
  <c r="EB2" i="4"/>
  <c r="EC2" i="4"/>
  <c r="ED2" i="4"/>
  <c r="EE2" i="4"/>
  <c r="EF2" i="4"/>
  <c r="EG2" i="4"/>
  <c r="EH2" i="4"/>
  <c r="EI2" i="4"/>
  <c r="EJ2" i="4"/>
  <c r="EK2" i="4"/>
  <c r="EL2" i="4"/>
  <c r="EM2" i="4"/>
  <c r="EN2" i="4"/>
  <c r="EO2" i="4"/>
  <c r="EP2" i="4"/>
  <c r="EQ2" i="4"/>
  <c r="ER2" i="4"/>
  <c r="ES2" i="4"/>
  <c r="ET2" i="4"/>
  <c r="EU2" i="4"/>
  <c r="EV2" i="4"/>
  <c r="EW2" i="4"/>
  <c r="EX2" i="4"/>
  <c r="EY2" i="4"/>
  <c r="EZ2" i="4"/>
  <c r="FA2" i="4"/>
  <c r="FB2" i="4"/>
  <c r="FC2" i="4"/>
  <c r="FD2" i="4"/>
  <c r="FE2" i="4"/>
  <c r="FF2" i="4"/>
  <c r="FG2" i="4"/>
  <c r="FH2" i="4"/>
  <c r="FI2" i="4"/>
  <c r="FJ2" i="4"/>
  <c r="A1" i="4"/>
  <c r="B1" i="4"/>
  <c r="C1" i="4"/>
  <c r="D1" i="4"/>
  <c r="E1" i="4"/>
  <c r="F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X1" i="4"/>
  <c r="Y1" i="4"/>
  <c r="Z1" i="4"/>
  <c r="AA1" i="4"/>
  <c r="AB1" i="4"/>
  <c r="AC1" i="4"/>
  <c r="AD1" i="4"/>
  <c r="AE1" i="4"/>
  <c r="AF1" i="4"/>
  <c r="AG1" i="4"/>
  <c r="AH1" i="4"/>
  <c r="AI1" i="4"/>
  <c r="AJ1" i="4"/>
  <c r="AK1" i="4"/>
  <c r="AL1" i="4"/>
  <c r="AM1" i="4"/>
  <c r="AN1" i="4"/>
  <c r="AO1" i="4"/>
  <c r="AP1" i="4"/>
  <c r="AQ1" i="4"/>
  <c r="AR1" i="4"/>
  <c r="AS1" i="4"/>
  <c r="AT1" i="4"/>
  <c r="AU1" i="4"/>
  <c r="AV1" i="4"/>
  <c r="AW1" i="4"/>
  <c r="AX1" i="4"/>
  <c r="AY1" i="4"/>
  <c r="AZ1" i="4"/>
  <c r="BA1" i="4"/>
  <c r="BB1" i="4"/>
  <c r="BC1" i="4"/>
  <c r="BD1" i="4"/>
  <c r="BE1" i="4"/>
  <c r="BF1" i="4"/>
  <c r="BG1" i="4"/>
  <c r="BH1" i="4"/>
  <c r="BI1" i="4"/>
  <c r="BJ1" i="4"/>
  <c r="BK1" i="4"/>
  <c r="BL1" i="4"/>
  <c r="BM1" i="4"/>
  <c r="BN1" i="4"/>
  <c r="BO1" i="4"/>
  <c r="BP1" i="4"/>
  <c r="BQ1" i="4"/>
  <c r="BR1" i="4"/>
  <c r="BS1" i="4"/>
  <c r="BT1" i="4"/>
  <c r="BU1" i="4"/>
  <c r="BV1" i="4"/>
  <c r="BW1" i="4"/>
  <c r="BX1" i="4"/>
  <c r="BY1" i="4"/>
  <c r="BZ1" i="4"/>
  <c r="CA1" i="4"/>
  <c r="CB1" i="4"/>
  <c r="CC1" i="4"/>
  <c r="CD1" i="4"/>
  <c r="CE1" i="4"/>
  <c r="CF1" i="4"/>
  <c r="CG1" i="4"/>
  <c r="CH1" i="4"/>
  <c r="CI1" i="4"/>
  <c r="CJ1" i="4"/>
  <c r="CK1" i="4"/>
  <c r="CL1" i="4"/>
  <c r="CM1" i="4"/>
  <c r="CN1" i="4"/>
  <c r="CO1" i="4"/>
  <c r="CP1" i="4"/>
  <c r="CQ1" i="4"/>
  <c r="CR1" i="4"/>
  <c r="CS1" i="4"/>
  <c r="CT1" i="4"/>
  <c r="CU1" i="4"/>
  <c r="CV1" i="4"/>
  <c r="CW1" i="4"/>
  <c r="CX1" i="4"/>
  <c r="CY1" i="4"/>
  <c r="CZ1" i="4"/>
  <c r="DA1" i="4"/>
  <c r="DB1" i="4"/>
  <c r="DC1" i="4"/>
  <c r="DD1" i="4"/>
  <c r="DE1" i="4"/>
  <c r="DF1" i="4"/>
  <c r="DG1" i="4"/>
  <c r="DH1" i="4"/>
  <c r="DI1" i="4"/>
  <c r="DJ1" i="4"/>
  <c r="DK1" i="4"/>
  <c r="DL1" i="4"/>
  <c r="DM1" i="4"/>
  <c r="DN1" i="4"/>
  <c r="DO1" i="4"/>
  <c r="DP1" i="4"/>
  <c r="DQ1" i="4"/>
  <c r="DR1" i="4"/>
  <c r="DS1" i="4"/>
  <c r="DT1" i="4"/>
  <c r="DU1" i="4"/>
  <c r="DV1" i="4"/>
  <c r="DW1" i="4"/>
  <c r="DX1" i="4"/>
  <c r="DY1" i="4"/>
  <c r="DZ1" i="4"/>
  <c r="EA1" i="4"/>
  <c r="EB1" i="4"/>
  <c r="EC1" i="4"/>
  <c r="ED1" i="4"/>
  <c r="EE1" i="4"/>
  <c r="EF1" i="4"/>
  <c r="EG1" i="4"/>
  <c r="EH1" i="4"/>
  <c r="EI1" i="4"/>
  <c r="EJ1" i="4"/>
  <c r="EK1" i="4"/>
  <c r="EL1" i="4"/>
  <c r="EM1" i="4"/>
  <c r="EN1" i="4"/>
  <c r="EO1" i="4"/>
  <c r="EP1" i="4"/>
  <c r="EQ1" i="4"/>
  <c r="ER1" i="4"/>
  <c r="ES1" i="4"/>
  <c r="ET1" i="4"/>
  <c r="EU1" i="4"/>
  <c r="EV1" i="4"/>
  <c r="EW1" i="4"/>
  <c r="EX1" i="4"/>
  <c r="EY1" i="4"/>
  <c r="EZ1" i="4"/>
  <c r="FA1" i="4"/>
  <c r="FB1" i="4"/>
  <c r="FC1" i="4"/>
  <c r="FD1" i="4"/>
  <c r="FE1" i="4"/>
  <c r="FF1" i="4"/>
  <c r="FG1" i="4"/>
  <c r="FH1" i="4"/>
  <c r="FI1" i="4"/>
  <c r="FJ1" i="4"/>
  <c r="FK1" i="4"/>
  <c r="FL1" i="4"/>
  <c r="FM1" i="4"/>
  <c r="FN1" i="4"/>
  <c r="FO1" i="4"/>
  <c r="FP1" i="4"/>
  <c r="FQ1" i="4"/>
  <c r="FR1" i="4"/>
  <c r="FS1" i="4"/>
  <c r="FT1" i="4"/>
  <c r="FU1" i="4"/>
  <c r="FV1" i="4"/>
  <c r="FW1" i="4"/>
  <c r="FX1" i="4"/>
  <c r="FY1" i="4"/>
  <c r="FZ1" i="4"/>
  <c r="GA1" i="4"/>
  <c r="GB1" i="4"/>
  <c r="GC1" i="4"/>
  <c r="GD1" i="4"/>
  <c r="GE1" i="4"/>
  <c r="GF1" i="4"/>
  <c r="GG1" i="4"/>
  <c r="GH1" i="4"/>
  <c r="GI1" i="4"/>
  <c r="GJ1" i="4"/>
  <c r="GK1" i="4"/>
  <c r="GL1" i="4"/>
  <c r="GM1" i="4"/>
  <c r="GN1" i="4"/>
  <c r="GO1" i="4"/>
  <c r="GP1" i="4"/>
  <c r="GQ1" i="4"/>
  <c r="GR1" i="4"/>
  <c r="GS1" i="4"/>
  <c r="GT1" i="4"/>
  <c r="GU1" i="4"/>
  <c r="GV1" i="4"/>
  <c r="GW1" i="4"/>
  <c r="GX1" i="4"/>
  <c r="GY1" i="4"/>
  <c r="GZ1" i="4"/>
  <c r="HA1" i="4"/>
  <c r="HB1" i="4"/>
  <c r="HC1" i="4"/>
  <c r="HD1" i="4"/>
  <c r="HE1" i="4"/>
  <c r="HF1" i="4"/>
  <c r="HG1" i="4"/>
  <c r="HH1" i="4"/>
  <c r="HI1" i="4"/>
  <c r="HJ1" i="4"/>
  <c r="HK1" i="4"/>
  <c r="HL1" i="4"/>
  <c r="HM1" i="4"/>
  <c r="HN1" i="4"/>
  <c r="HO1" i="4"/>
  <c r="HP1" i="4"/>
  <c r="HQ1" i="4"/>
  <c r="HR1" i="4"/>
  <c r="HS1" i="4"/>
  <c r="HT1" i="4"/>
  <c r="HU1" i="4"/>
  <c r="HV1" i="4"/>
  <c r="HW1" i="4"/>
  <c r="HX1" i="4"/>
  <c r="HY1" i="4"/>
  <c r="HZ1" i="4"/>
  <c r="IA1" i="4"/>
  <c r="IB1" i="4"/>
  <c r="IC1" i="4"/>
  <c r="ID1" i="4"/>
  <c r="IE1" i="4"/>
  <c r="IF1" i="4"/>
  <c r="IG1" i="4"/>
  <c r="IH1" i="4"/>
  <c r="II1" i="4"/>
  <c r="IJ1" i="4"/>
  <c r="IK1" i="4"/>
  <c r="IL1" i="4"/>
  <c r="IM1" i="4"/>
  <c r="IN1" i="4"/>
  <c r="IO1" i="4"/>
  <c r="IP1" i="4"/>
  <c r="IQ1" i="4"/>
  <c r="IR1" i="4"/>
  <c r="IS1" i="4"/>
  <c r="IT1" i="4"/>
  <c r="IU1" i="4"/>
  <c r="IV1" i="4"/>
  <c r="Z16" i="1"/>
  <c r="W16" i="1"/>
  <c r="T16" i="1"/>
  <c r="Z4" i="1"/>
  <c r="Z3" i="1"/>
  <c r="Z2" i="1"/>
  <c r="W2" i="1"/>
  <c r="W8" i="1"/>
  <c r="W7" i="1"/>
  <c r="W6" i="1"/>
  <c r="W5" i="1"/>
  <c r="W4" i="1"/>
  <c r="W3" i="1"/>
  <c r="T13" i="1"/>
  <c r="T12" i="1"/>
  <c r="T11" i="1"/>
  <c r="T10" i="1"/>
  <c r="T9" i="1"/>
  <c r="T8" i="1"/>
  <c r="T7" i="1"/>
  <c r="T6" i="1"/>
  <c r="T5" i="1"/>
  <c r="T4" i="1"/>
  <c r="T3" i="1"/>
  <c r="T2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<sst xmlns="http://schemas.openxmlformats.org/spreadsheetml/2006/main" count="102" uniqueCount="50">
  <si>
    <t>Doris</t>
  </si>
  <si>
    <t>Essence</t>
  </si>
  <si>
    <t>Ultramar</t>
  </si>
  <si>
    <t>Visa</t>
  </si>
  <si>
    <t>janvier</t>
  </si>
  <si>
    <t>février</t>
  </si>
  <si>
    <t>Pièces</t>
  </si>
  <si>
    <t>Gabriel</t>
  </si>
  <si>
    <t>mars</t>
  </si>
  <si>
    <t>Restaurant</t>
  </si>
  <si>
    <t>Richard</t>
  </si>
  <si>
    <t>Crevier</t>
  </si>
  <si>
    <t>avril</t>
  </si>
  <si>
    <t>Fourniture</t>
  </si>
  <si>
    <t>mai</t>
  </si>
  <si>
    <t>Entretien et réparations véhicule</t>
  </si>
  <si>
    <t>juin</t>
  </si>
  <si>
    <t>Péages</t>
  </si>
  <si>
    <t>A1796568</t>
  </si>
  <si>
    <t>juillet</t>
  </si>
  <si>
    <t>Location d'outils</t>
  </si>
  <si>
    <t>JRV02717</t>
  </si>
  <si>
    <t>Impériale</t>
  </si>
  <si>
    <t>août</t>
  </si>
  <si>
    <t>septembre</t>
  </si>
  <si>
    <t>octobre</t>
  </si>
  <si>
    <t>novembre</t>
  </si>
  <si>
    <t>décembre</t>
  </si>
  <si>
    <t>Total annuel</t>
  </si>
  <si>
    <t>AAAAAFvuPKY=</t>
  </si>
  <si>
    <t>AAAAAFvuPKc=</t>
  </si>
  <si>
    <t>Nom</t>
  </si>
  <si>
    <t>N°</t>
  </si>
  <si>
    <t>Nature dépense</t>
  </si>
  <si>
    <t>Type</t>
  </si>
  <si>
    <t>date</t>
  </si>
  <si>
    <t>Ligne</t>
  </si>
  <si>
    <t>Montant</t>
  </si>
  <si>
    <t>Carte</t>
  </si>
  <si>
    <t>Row Labels</t>
  </si>
  <si>
    <t>Grand Total</t>
  </si>
  <si>
    <t>Sum of Montant</t>
  </si>
  <si>
    <t>Sum of Montant2</t>
  </si>
  <si>
    <t>Sum of Montant3</t>
  </si>
  <si>
    <t>Sum of Montant4</t>
  </si>
  <si>
    <t>Doris Total</t>
  </si>
  <si>
    <t>Gabriel Total</t>
  </si>
  <si>
    <t>Richard Total</t>
  </si>
  <si>
    <t>MONTANT</t>
  </si>
  <si>
    <t>Sum of MONTANT5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</si>
</sst>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_ * #,##0.00_)\ [$$-C0C]_ ;_ * \(#,##0.00\)\ [$$-C0C]_ ;_ * &quot;-&quot;??_)\ [$$-C0C]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1" fillId="0" borderId="0" xfId="1"/>
    <xf numFmtId="0" fontId="1" fillId="0" borderId="0" xfId="1" applyNumberFormat="1"/>
    <xf numFmtId="165" fontId="1" fillId="0" borderId="0" xfId="1" applyNumberFormat="1"/>
    <xf numFmtId="0" fontId="1" fillId="0" borderId="0" xfId="1" applyBorder="1"/>
    <xf numFmtId="165" fontId="1" fillId="0" borderId="0" xfId="1" applyNumberFormat="1" applyBorder="1"/>
    <xf numFmtId="0" fontId="1" fillId="0" borderId="0" xfId="1" applyFill="1"/>
    <xf numFmtId="0" fontId="1" fillId="0" borderId="0" xfId="1" applyNumberFormat="1" applyFill="1"/>
    <xf numFmtId="165" fontId="1" fillId="0" borderId="0" xfId="1" applyNumberFormat="1" applyFill="1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0" applyFont="1"/>
    <xf numFmtId="0" fontId="2" fillId="0" borderId="1" xfId="0" applyFont="1" applyBorder="1"/>
    <xf numFmtId="0" fontId="1" fillId="0" borderId="1" xfId="1" applyBorder="1"/>
    <xf numFmtId="0" fontId="1" fillId="0" borderId="1" xfId="1" applyBorder="1" applyAlignment="1">
      <alignment horizontal="center"/>
    </xf>
    <xf numFmtId="164" fontId="1" fillId="0" borderId="1" xfId="1" applyNumberFormat="1" applyBorder="1"/>
    <xf numFmtId="0" fontId="1" fillId="0" borderId="1" xfId="1" applyNumberFormat="1" applyBorder="1"/>
    <xf numFmtId="165" fontId="1" fillId="0" borderId="1" xfId="1" applyNumberFormat="1" applyBorder="1"/>
    <xf numFmtId="165" fontId="1" fillId="0" borderId="1" xfId="1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mbou Ignacy (Consultant)" refreshedDate="41186.733606018519" createdVersion="4" refreshedVersion="4" minRefreshableVersion="3" recordCount="9">
  <cacheSource type="worksheet">
    <worksheetSource ref="A1:L10" sheet="DATA"/>
  </cacheSource>
  <cacheFields count="12">
    <cacheField name="Nom" numFmtId="0">
      <sharedItems count="3">
        <s v="Doris"/>
        <s v="Gabriel"/>
        <s v="Richard"/>
      </sharedItems>
    </cacheField>
    <cacheField name="N°" numFmtId="0">
      <sharedItems containsMixedTypes="1" containsNumber="1" containsInteger="1" minValue="2527" maxValue="9852"/>
    </cacheField>
    <cacheField name="Nature dépense" numFmtId="0">
      <sharedItems count="7">
        <s v="Essence"/>
        <s v="Pièces"/>
        <s v="Restaurant"/>
        <s v="Fourniture"/>
        <s v="Péages"/>
        <s v="Entretien et réparations véhicule"/>
        <s v="Location d'outils"/>
      </sharedItems>
    </cacheField>
    <cacheField name="Type" numFmtId="0">
      <sharedItems/>
    </cacheField>
    <cacheField name="date" numFmtId="164">
      <sharedItems containsSemiMixedTypes="0" containsNonDate="0" containsDate="1" containsString="0" minDate="2012-01-01T00:00:00" maxDate="2012-09-10T00:00:00"/>
    </cacheField>
    <cacheField name="Ligne" numFmtId="0">
      <sharedItems containsSemiMixedTypes="0" containsString="0" containsNumber="1" containsInteger="1" minValue="1" maxValue="9"/>
    </cacheField>
    <cacheField name="Montant" numFmtId="165">
      <sharedItems containsSemiMixedTypes="0" containsString="0" containsNumber="1" minValue="13.05" maxValue="99.15"/>
    </cacheField>
    <cacheField name="Montant2" numFmtId="165">
      <sharedItems containsSemiMixedTypes="0" containsString="0" containsNumber="1" minValue="0.65" maxValue="4.96"/>
    </cacheField>
    <cacheField name="Montant3" numFmtId="165">
      <sharedItems containsSemiMixedTypes="0" containsString="0" containsNumber="1" minValue="1.3" maxValue="9.92"/>
    </cacheField>
    <cacheField name="Montant4" numFmtId="165">
      <sharedItems containsSemiMixedTypes="0" containsString="0" containsNumber="1" minValue="15" maxValue="114"/>
    </cacheField>
    <cacheField name="MONTANT5" numFmtId="165">
      <sharedItems containsSemiMixedTypes="0" containsString="0" containsNumber="1" minValue="30" maxValue="228"/>
    </cacheField>
    <cacheField name="Carte" numFmtId="165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5984"/>
    <x v="0"/>
    <s v="Ultramar"/>
    <d v="2012-01-01T00:00:00"/>
    <n v="1"/>
    <n v="13.05"/>
    <n v="0.65"/>
    <n v="1.3"/>
    <n v="15"/>
    <n v="30"/>
    <s v="Visa"/>
  </r>
  <r>
    <x v="1"/>
    <n v="5933"/>
    <x v="1"/>
    <s v="Ultramar"/>
    <d v="2012-02-02T00:00:00"/>
    <n v="2"/>
    <n v="83.5"/>
    <n v="4.17"/>
    <n v="8.33"/>
    <n v="96"/>
    <n v="192"/>
    <s v="Visa"/>
  </r>
  <r>
    <x v="1"/>
    <n v="9594"/>
    <x v="2"/>
    <s v="Ultramar"/>
    <d v="2012-03-03T00:00:00"/>
    <n v="3"/>
    <n v="59.49"/>
    <n v="3.13"/>
    <n v="6.25"/>
    <n v="72"/>
    <n v="140.87"/>
    <s v="Visa"/>
  </r>
  <r>
    <x v="0"/>
    <n v="2536"/>
    <x v="3"/>
    <s v="Crevier"/>
    <d v="2012-04-04T00:00:00"/>
    <n v="4"/>
    <n v="91.32"/>
    <n v="4.57"/>
    <n v="9.11"/>
    <n v="105"/>
    <n v="210"/>
    <s v="Visa"/>
  </r>
  <r>
    <x v="0"/>
    <n v="3678"/>
    <x v="4"/>
    <s v="Crevier"/>
    <d v="2012-05-05T00:00:00"/>
    <n v="5"/>
    <n v="91.32"/>
    <n v="4.57"/>
    <n v="9.11"/>
    <n v="105"/>
    <n v="210"/>
    <s v="Visa"/>
  </r>
  <r>
    <x v="2"/>
    <n v="2527"/>
    <x v="5"/>
    <s v="Ultramar"/>
    <d v="2012-06-06T00:00:00"/>
    <n v="6"/>
    <n v="99.15"/>
    <n v="4.96"/>
    <n v="9.89"/>
    <n v="114"/>
    <n v="228"/>
    <s v="Visa"/>
  </r>
  <r>
    <x v="2"/>
    <s v="A1796568"/>
    <x v="0"/>
    <s v="Crevier"/>
    <d v="2012-07-07T00:00:00"/>
    <n v="7"/>
    <n v="53.06"/>
    <n v="2.65"/>
    <n v="5.29"/>
    <n v="61"/>
    <n v="122"/>
    <s v="Visa"/>
  </r>
  <r>
    <x v="0"/>
    <s v="JRV02717"/>
    <x v="6"/>
    <s v="Impériale"/>
    <d v="2012-08-08T00:00:00"/>
    <n v="8"/>
    <n v="99.12"/>
    <n v="4.96"/>
    <n v="9.92"/>
    <n v="114"/>
    <n v="228"/>
    <s v="Visa"/>
  </r>
  <r>
    <x v="2"/>
    <n v="9852"/>
    <x v="0"/>
    <s v="Ultramar"/>
    <d v="2012-09-09T00:00:00"/>
    <n v="9"/>
    <n v="53.94"/>
    <n v="2.7"/>
    <n v="5.38"/>
    <n v="62.02"/>
    <n v="124.04"/>
    <s v="Vis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G15" firstHeaderRow="0" firstDataRow="1" firstDataCol="2"/>
  <pivotFields count="12">
    <pivotField axis="axisRow" outline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axis="axisRow" showAll="0">
      <items count="8">
        <item x="5"/>
        <item x="0"/>
        <item x="3"/>
        <item x="6"/>
        <item x="4"/>
        <item x="1"/>
        <item x="2"/>
        <item t="default"/>
      </items>
    </pivotField>
    <pivotField showAll="0"/>
    <pivotField numFmtId="164" showAll="0"/>
    <pivotField showAll="0"/>
    <pivotField dataField="1" numFmtId="165" showAll="0"/>
    <pivotField dataField="1" numFmtId="165" showAll="0"/>
    <pivotField dataField="1" numFmtId="165" showAll="0"/>
    <pivotField dataField="1" numFmtId="165" showAll="0"/>
    <pivotField dataField="1" numFmtId="165" showAll="0"/>
    <pivotField showAll="0"/>
  </pivotFields>
  <rowFields count="2">
    <field x="0"/>
    <field x="2"/>
  </rowFields>
  <rowItems count="12">
    <i>
      <x/>
      <x v="1"/>
    </i>
    <i r="1">
      <x v="2"/>
    </i>
    <i r="1">
      <x v="3"/>
    </i>
    <i r="1">
      <x v="4"/>
    </i>
    <i t="default">
      <x/>
    </i>
    <i>
      <x v="1"/>
      <x v="5"/>
    </i>
    <i r="1">
      <x v="6"/>
    </i>
    <i t="default">
      <x v="1"/>
    </i>
    <i>
      <x v="2"/>
      <x/>
    </i>
    <i r="1">
      <x v="1"/>
    </i>
    <i t="default"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um of Montant" fld="6" baseField="0" baseItem="0"/>
    <dataField name="Sum of Montant2" fld="7" baseField="0" baseItem="0"/>
    <dataField name="Sum of Montant3" fld="8" baseField="0" baseItem="0"/>
    <dataField name="Sum of Montant4" fld="9" baseField="0" baseItem="0"/>
    <dataField name="Sum of MONTANT5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5"/>
  <sheetViews>
    <sheetView tabSelected="1" workbookViewId="0">
      <selection activeCell="A6" sqref="A6"/>
    </sheetView>
  </sheetViews>
  <sheetFormatPr defaultRowHeight="15" x14ac:dyDescent="0.25"/>
  <cols>
    <col min="1" max="1" width="13.140625" customWidth="1"/>
    <col min="2" max="2" width="30.85546875" customWidth="1"/>
    <col min="3" max="3" width="15.42578125" customWidth="1"/>
    <col min="4" max="5" width="16.42578125" bestFit="1" customWidth="1"/>
    <col min="6" max="6" width="16.42578125" customWidth="1"/>
    <col min="7" max="7" width="18.28515625" bestFit="1" customWidth="1"/>
  </cols>
  <sheetData>
    <row r="3" spans="1:7" x14ac:dyDescent="0.25">
      <c r="A3" s="10" t="s">
        <v>39</v>
      </c>
      <c r="B3" s="10" t="s">
        <v>33</v>
      </c>
      <c r="C3" t="s">
        <v>41</v>
      </c>
      <c r="D3" t="s">
        <v>42</v>
      </c>
      <c r="E3" t="s">
        <v>43</v>
      </c>
      <c r="F3" t="s">
        <v>44</v>
      </c>
      <c r="G3" t="s">
        <v>49</v>
      </c>
    </row>
    <row r="4" spans="1:7" x14ac:dyDescent="0.25">
      <c r="A4" s="11" t="s">
        <v>0</v>
      </c>
      <c r="B4" s="11" t="s">
        <v>1</v>
      </c>
      <c r="C4" s="12">
        <v>13.05</v>
      </c>
      <c r="D4" s="12">
        <v>0.65</v>
      </c>
      <c r="E4" s="12">
        <v>1.3</v>
      </c>
      <c r="F4" s="12">
        <v>15</v>
      </c>
      <c r="G4" s="12">
        <v>30</v>
      </c>
    </row>
    <row r="5" spans="1:7" x14ac:dyDescent="0.25">
      <c r="A5" s="11" t="s">
        <v>0</v>
      </c>
      <c r="B5" s="11" t="s">
        <v>13</v>
      </c>
      <c r="C5" s="12">
        <v>91.32</v>
      </c>
      <c r="D5" s="12">
        <v>4.57</v>
      </c>
      <c r="E5" s="12">
        <v>9.11</v>
      </c>
      <c r="F5" s="12">
        <v>105</v>
      </c>
      <c r="G5" s="12">
        <v>210</v>
      </c>
    </row>
    <row r="6" spans="1:7" x14ac:dyDescent="0.25">
      <c r="A6" s="11" t="s">
        <v>0</v>
      </c>
      <c r="B6" s="11" t="s">
        <v>20</v>
      </c>
      <c r="C6" s="12">
        <v>99.12</v>
      </c>
      <c r="D6" s="12">
        <v>4.96</v>
      </c>
      <c r="E6" s="12">
        <v>9.92</v>
      </c>
      <c r="F6" s="12">
        <v>114</v>
      </c>
      <c r="G6" s="12">
        <v>228</v>
      </c>
    </row>
    <row r="7" spans="1:7" x14ac:dyDescent="0.25">
      <c r="A7" s="11" t="s">
        <v>0</v>
      </c>
      <c r="B7" s="11" t="s">
        <v>17</v>
      </c>
      <c r="C7" s="12">
        <v>91.32</v>
      </c>
      <c r="D7" s="12">
        <v>4.57</v>
      </c>
      <c r="E7" s="12">
        <v>9.11</v>
      </c>
      <c r="F7" s="12">
        <v>105</v>
      </c>
      <c r="G7" s="12">
        <v>210</v>
      </c>
    </row>
    <row r="8" spans="1:7" x14ac:dyDescent="0.25">
      <c r="A8" s="11" t="s">
        <v>45</v>
      </c>
      <c r="C8" s="12">
        <v>294.81</v>
      </c>
      <c r="D8" s="12">
        <v>14.75</v>
      </c>
      <c r="E8" s="12">
        <v>29.439999999999998</v>
      </c>
      <c r="F8" s="12">
        <v>339</v>
      </c>
      <c r="G8" s="12">
        <v>678</v>
      </c>
    </row>
    <row r="9" spans="1:7" x14ac:dyDescent="0.25">
      <c r="A9" s="11" t="s">
        <v>7</v>
      </c>
      <c r="B9" s="11" t="s">
        <v>6</v>
      </c>
      <c r="C9" s="12">
        <v>83.5</v>
      </c>
      <c r="D9" s="12">
        <v>4.17</v>
      </c>
      <c r="E9" s="12">
        <v>8.33</v>
      </c>
      <c r="F9" s="12">
        <v>96</v>
      </c>
      <c r="G9" s="12">
        <v>192</v>
      </c>
    </row>
    <row r="10" spans="1:7" x14ac:dyDescent="0.25">
      <c r="A10" s="11" t="s">
        <v>7</v>
      </c>
      <c r="B10" s="11" t="s">
        <v>9</v>
      </c>
      <c r="C10" s="12">
        <v>59.49</v>
      </c>
      <c r="D10" s="12">
        <v>3.13</v>
      </c>
      <c r="E10" s="12">
        <v>6.25</v>
      </c>
      <c r="F10" s="12">
        <v>72</v>
      </c>
      <c r="G10" s="12">
        <v>140.87</v>
      </c>
    </row>
    <row r="11" spans="1:7" x14ac:dyDescent="0.25">
      <c r="A11" s="11" t="s">
        <v>46</v>
      </c>
      <c r="C11" s="12">
        <v>142.99</v>
      </c>
      <c r="D11" s="12">
        <v>7.3</v>
      </c>
      <c r="E11" s="12">
        <v>14.58</v>
      </c>
      <c r="F11" s="12">
        <v>168</v>
      </c>
      <c r="G11" s="12">
        <v>332.87</v>
      </c>
    </row>
    <row r="12" spans="1:7" x14ac:dyDescent="0.25">
      <c r="A12" s="11" t="s">
        <v>10</v>
      </c>
      <c r="B12" s="11" t="s">
        <v>15</v>
      </c>
      <c r="C12" s="12">
        <v>99.15</v>
      </c>
      <c r="D12" s="12">
        <v>4.96</v>
      </c>
      <c r="E12" s="12">
        <v>9.89</v>
      </c>
      <c r="F12" s="12">
        <v>114</v>
      </c>
      <c r="G12" s="12">
        <v>228</v>
      </c>
    </row>
    <row r="13" spans="1:7" x14ac:dyDescent="0.25">
      <c r="A13" s="11" t="s">
        <v>10</v>
      </c>
      <c r="B13" s="11" t="s">
        <v>1</v>
      </c>
      <c r="C13" s="12">
        <v>107</v>
      </c>
      <c r="D13" s="12">
        <v>5.35</v>
      </c>
      <c r="E13" s="12">
        <v>10.67</v>
      </c>
      <c r="F13" s="12">
        <v>123.02000000000001</v>
      </c>
      <c r="G13" s="12">
        <v>246.04000000000002</v>
      </c>
    </row>
    <row r="14" spans="1:7" x14ac:dyDescent="0.25">
      <c r="A14" s="11" t="s">
        <v>47</v>
      </c>
      <c r="C14" s="12">
        <v>206.15</v>
      </c>
      <c r="D14" s="12">
        <v>10.309999999999999</v>
      </c>
      <c r="E14" s="12">
        <v>20.560000000000002</v>
      </c>
      <c r="F14" s="12">
        <v>237.02</v>
      </c>
      <c r="G14" s="12">
        <v>474.04</v>
      </c>
    </row>
    <row r="15" spans="1:7" x14ac:dyDescent="0.25">
      <c r="A15" s="11" t="s">
        <v>40</v>
      </c>
      <c r="C15" s="12">
        <v>643.95000000000005</v>
      </c>
      <c r="D15" s="12">
        <v>32.36</v>
      </c>
      <c r="E15" s="12">
        <v>64.58</v>
      </c>
      <c r="F15" s="12">
        <v>744.02</v>
      </c>
      <c r="G15" s="12">
        <v>1484.9099999999999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6"/>
  <sheetViews>
    <sheetView workbookViewId="0">
      <selection activeCell="I6" sqref="I6"/>
    </sheetView>
  </sheetViews>
  <sheetFormatPr defaultColWidth="11.42578125" defaultRowHeight="15" x14ac:dyDescent="0.25"/>
  <cols>
    <col min="3" max="3" width="31.42578125" bestFit="1" customWidth="1"/>
    <col min="20" max="20" width="12.7109375" customWidth="1"/>
    <col min="23" max="23" width="14.85546875" customWidth="1"/>
  </cols>
  <sheetData>
    <row r="1" spans="1:27" s="13" customFormat="1" x14ac:dyDescent="0.25">
      <c r="A1" s="14" t="s">
        <v>31</v>
      </c>
      <c r="B1" s="14" t="s">
        <v>32</v>
      </c>
      <c r="C1" s="14" t="s">
        <v>33</v>
      </c>
      <c r="D1" s="14" t="s">
        <v>34</v>
      </c>
      <c r="E1" s="14" t="s">
        <v>35</v>
      </c>
      <c r="F1" s="14" t="s">
        <v>36</v>
      </c>
      <c r="G1" s="14" t="s">
        <v>37</v>
      </c>
      <c r="H1" s="14" t="s">
        <v>37</v>
      </c>
      <c r="I1" s="14" t="s">
        <v>37</v>
      </c>
      <c r="J1" s="14" t="s">
        <v>37</v>
      </c>
      <c r="K1" s="14" t="s">
        <v>48</v>
      </c>
      <c r="L1" s="14" t="s">
        <v>38</v>
      </c>
    </row>
    <row r="2" spans="1:27" x14ac:dyDescent="0.25">
      <c r="A2" s="15" t="s">
        <v>0</v>
      </c>
      <c r="B2" s="16">
        <v>5984</v>
      </c>
      <c r="C2" s="15" t="s">
        <v>1</v>
      </c>
      <c r="D2" s="15" t="s">
        <v>2</v>
      </c>
      <c r="E2" s="17">
        <v>40909</v>
      </c>
      <c r="F2" s="18">
        <f t="shared" ref="F2:F10" si="0">MONTH(E2)</f>
        <v>1</v>
      </c>
      <c r="G2" s="19">
        <v>13.05</v>
      </c>
      <c r="H2" s="19">
        <v>0.65</v>
      </c>
      <c r="I2" s="19">
        <v>1.3</v>
      </c>
      <c r="J2" s="19">
        <v>15</v>
      </c>
      <c r="K2" s="19">
        <f>SUM(G2:J2)</f>
        <v>30</v>
      </c>
      <c r="L2" s="20" t="s">
        <v>3</v>
      </c>
      <c r="M2" s="5"/>
      <c r="N2" s="5"/>
      <c r="O2" s="5"/>
      <c r="P2" s="5"/>
      <c r="Q2" s="5"/>
      <c r="R2" s="1" t="s">
        <v>4</v>
      </c>
      <c r="S2" s="2">
        <v>1</v>
      </c>
      <c r="T2" s="3">
        <f t="shared" ref="T2:T13" si="1">SUMIF($F$2:$F$200,S2,$J$2:$J$200)</f>
        <v>15</v>
      </c>
      <c r="U2" s="1"/>
      <c r="V2" s="2" t="s">
        <v>1</v>
      </c>
      <c r="W2" s="3">
        <f>SUMIF(C2:C198,V2,J2:J198)</f>
        <v>138.02000000000001</v>
      </c>
      <c r="X2" s="1"/>
      <c r="Y2" s="1" t="s">
        <v>0</v>
      </c>
      <c r="Z2" s="1">
        <f>SUMIF(A2:A198,Y2,J2:J198)</f>
        <v>339</v>
      </c>
      <c r="AA2" s="2"/>
    </row>
    <row r="3" spans="1:27" x14ac:dyDescent="0.25">
      <c r="A3" s="15" t="s">
        <v>7</v>
      </c>
      <c r="B3" s="16">
        <v>5933</v>
      </c>
      <c r="C3" s="15" t="s">
        <v>6</v>
      </c>
      <c r="D3" s="15" t="s">
        <v>2</v>
      </c>
      <c r="E3" s="17">
        <v>40941</v>
      </c>
      <c r="F3" s="18">
        <f t="shared" si="0"/>
        <v>2</v>
      </c>
      <c r="G3" s="19">
        <v>83.5</v>
      </c>
      <c r="H3" s="19">
        <v>4.17</v>
      </c>
      <c r="I3" s="19">
        <v>8.33</v>
      </c>
      <c r="J3" s="19">
        <v>96</v>
      </c>
      <c r="K3" s="19">
        <f t="shared" ref="K3:K10" si="2">SUM(G3:J3)</f>
        <v>192</v>
      </c>
      <c r="L3" s="20" t="s">
        <v>3</v>
      </c>
      <c r="M3" s="1"/>
      <c r="N3" s="1"/>
      <c r="O3" s="1"/>
      <c r="P3" s="1"/>
      <c r="Q3" s="1"/>
      <c r="R3" s="4" t="s">
        <v>5</v>
      </c>
      <c r="S3" s="2">
        <v>2</v>
      </c>
      <c r="T3" s="3">
        <f t="shared" si="1"/>
        <v>96</v>
      </c>
      <c r="U3" s="1"/>
      <c r="V3" s="2" t="s">
        <v>6</v>
      </c>
      <c r="W3" s="3">
        <f>SUMIF(C2:C198,V3,J2:J198)</f>
        <v>96</v>
      </c>
      <c r="X3" s="1"/>
      <c r="Y3" s="1" t="s">
        <v>7</v>
      </c>
      <c r="Z3" s="1">
        <f>SUMIF(A2:A198,Y3,J2:J198)</f>
        <v>168</v>
      </c>
      <c r="AA3" s="2"/>
    </row>
    <row r="4" spans="1:27" x14ac:dyDescent="0.25">
      <c r="A4" s="15" t="s">
        <v>7</v>
      </c>
      <c r="B4" s="16">
        <v>9594</v>
      </c>
      <c r="C4" s="15" t="s">
        <v>9</v>
      </c>
      <c r="D4" s="15" t="s">
        <v>2</v>
      </c>
      <c r="E4" s="17">
        <v>40971</v>
      </c>
      <c r="F4" s="18">
        <f t="shared" si="0"/>
        <v>3</v>
      </c>
      <c r="G4" s="19">
        <v>59.49</v>
      </c>
      <c r="H4" s="19">
        <v>3.13</v>
      </c>
      <c r="I4" s="19">
        <v>6.25</v>
      </c>
      <c r="J4" s="19">
        <v>72</v>
      </c>
      <c r="K4" s="19">
        <f t="shared" si="2"/>
        <v>140.87</v>
      </c>
      <c r="L4" s="20" t="s">
        <v>3</v>
      </c>
      <c r="M4" s="5"/>
      <c r="N4" s="5"/>
      <c r="O4" s="5"/>
      <c r="P4" s="5"/>
      <c r="Q4" s="5"/>
      <c r="R4" s="4" t="s">
        <v>8</v>
      </c>
      <c r="S4" s="2">
        <v>3</v>
      </c>
      <c r="T4" s="3">
        <f t="shared" si="1"/>
        <v>72</v>
      </c>
      <c r="U4" s="1"/>
      <c r="V4" s="2" t="s">
        <v>9</v>
      </c>
      <c r="W4" s="3">
        <f>SUMIF(C2:C198,V4,J2:J198)</f>
        <v>72</v>
      </c>
      <c r="X4" s="1"/>
      <c r="Y4" s="1" t="s">
        <v>10</v>
      </c>
      <c r="Z4" s="1">
        <f>SUMIF(A2:A198,Y4,J2:J198)</f>
        <v>237.02</v>
      </c>
      <c r="AA4" s="2"/>
    </row>
    <row r="5" spans="1:27" x14ac:dyDescent="0.25">
      <c r="A5" s="15" t="s">
        <v>0</v>
      </c>
      <c r="B5" s="16">
        <v>2536</v>
      </c>
      <c r="C5" s="15" t="s">
        <v>13</v>
      </c>
      <c r="D5" s="15" t="s">
        <v>11</v>
      </c>
      <c r="E5" s="17">
        <v>41003</v>
      </c>
      <c r="F5" s="18">
        <f t="shared" si="0"/>
        <v>4</v>
      </c>
      <c r="G5" s="19">
        <v>91.32</v>
      </c>
      <c r="H5" s="19">
        <v>4.57</v>
      </c>
      <c r="I5" s="19">
        <v>9.11</v>
      </c>
      <c r="J5" s="19">
        <v>105</v>
      </c>
      <c r="K5" s="19">
        <f t="shared" si="2"/>
        <v>210</v>
      </c>
      <c r="L5" s="20" t="s">
        <v>3</v>
      </c>
      <c r="M5" s="5"/>
      <c r="N5" s="5"/>
      <c r="O5" s="5"/>
      <c r="P5" s="5"/>
      <c r="Q5" s="5"/>
      <c r="R5" s="1" t="s">
        <v>12</v>
      </c>
      <c r="S5" s="2">
        <v>4</v>
      </c>
      <c r="T5" s="3">
        <f t="shared" si="1"/>
        <v>105</v>
      </c>
      <c r="U5" s="1"/>
      <c r="V5" s="2" t="s">
        <v>13</v>
      </c>
      <c r="W5" s="3">
        <f>SUMIF(C2:C198,V5,J2:J198)</f>
        <v>105</v>
      </c>
      <c r="X5" s="1"/>
      <c r="Y5" s="2"/>
      <c r="Z5" s="2"/>
      <c r="AA5" s="2"/>
    </row>
    <row r="6" spans="1:27" x14ac:dyDescent="0.25">
      <c r="A6" s="15" t="s">
        <v>0</v>
      </c>
      <c r="B6" s="16">
        <v>3678</v>
      </c>
      <c r="C6" s="15" t="s">
        <v>17</v>
      </c>
      <c r="D6" s="15" t="s">
        <v>11</v>
      </c>
      <c r="E6" s="17">
        <v>41034</v>
      </c>
      <c r="F6" s="18">
        <f t="shared" si="0"/>
        <v>5</v>
      </c>
      <c r="G6" s="19">
        <v>91.32</v>
      </c>
      <c r="H6" s="19">
        <v>4.57</v>
      </c>
      <c r="I6" s="19">
        <v>9.11</v>
      </c>
      <c r="J6" s="19">
        <v>105</v>
      </c>
      <c r="K6" s="19">
        <f t="shared" si="2"/>
        <v>210</v>
      </c>
      <c r="L6" s="20" t="s">
        <v>3</v>
      </c>
      <c r="M6" s="5"/>
      <c r="N6" s="5"/>
      <c r="O6" s="5"/>
      <c r="P6" s="5"/>
      <c r="Q6" s="5"/>
      <c r="R6" s="1" t="s">
        <v>14</v>
      </c>
      <c r="S6" s="2">
        <v>5</v>
      </c>
      <c r="T6" s="3">
        <f t="shared" si="1"/>
        <v>105</v>
      </c>
      <c r="U6" s="1"/>
      <c r="V6" s="2" t="s">
        <v>15</v>
      </c>
      <c r="W6" s="3">
        <f>SUMIF(C2:C198,V6,J2:J198)</f>
        <v>114</v>
      </c>
      <c r="X6" s="1"/>
      <c r="Y6" s="2"/>
      <c r="Z6" s="2"/>
      <c r="AA6" s="2"/>
    </row>
    <row r="7" spans="1:27" x14ac:dyDescent="0.25">
      <c r="A7" s="15" t="s">
        <v>10</v>
      </c>
      <c r="B7" s="16">
        <v>2527</v>
      </c>
      <c r="C7" s="15" t="s">
        <v>15</v>
      </c>
      <c r="D7" s="15" t="s">
        <v>2</v>
      </c>
      <c r="E7" s="17">
        <v>41066</v>
      </c>
      <c r="F7" s="18">
        <f t="shared" si="0"/>
        <v>6</v>
      </c>
      <c r="G7" s="19">
        <v>99.15</v>
      </c>
      <c r="H7" s="19">
        <v>4.96</v>
      </c>
      <c r="I7" s="19">
        <v>9.89</v>
      </c>
      <c r="J7" s="19">
        <v>114</v>
      </c>
      <c r="K7" s="19">
        <f t="shared" si="2"/>
        <v>228</v>
      </c>
      <c r="L7" s="20" t="s">
        <v>3</v>
      </c>
      <c r="M7" s="1"/>
      <c r="N7" s="1"/>
      <c r="O7" s="1"/>
      <c r="P7" s="1"/>
      <c r="Q7" s="1"/>
      <c r="R7" s="1" t="s">
        <v>16</v>
      </c>
      <c r="S7" s="2">
        <v>6</v>
      </c>
      <c r="T7" s="3">
        <f t="shared" si="1"/>
        <v>114</v>
      </c>
      <c r="U7" s="1"/>
      <c r="V7" s="2" t="s">
        <v>17</v>
      </c>
      <c r="W7" s="3">
        <f>SUMIF(C2:C198,V7,J2:J198)</f>
        <v>105</v>
      </c>
      <c r="X7" s="1"/>
      <c r="Y7" s="1"/>
      <c r="Z7" s="1"/>
      <c r="AA7" s="2"/>
    </row>
    <row r="8" spans="1:27" x14ac:dyDescent="0.25">
      <c r="A8" s="15" t="s">
        <v>10</v>
      </c>
      <c r="B8" s="16" t="s">
        <v>18</v>
      </c>
      <c r="C8" s="15" t="s">
        <v>1</v>
      </c>
      <c r="D8" s="15" t="s">
        <v>11</v>
      </c>
      <c r="E8" s="17">
        <v>41097</v>
      </c>
      <c r="F8" s="18">
        <f t="shared" si="0"/>
        <v>7</v>
      </c>
      <c r="G8" s="19">
        <v>53.06</v>
      </c>
      <c r="H8" s="19">
        <v>2.65</v>
      </c>
      <c r="I8" s="19">
        <v>5.29</v>
      </c>
      <c r="J8" s="19">
        <v>61</v>
      </c>
      <c r="K8" s="19">
        <f t="shared" si="2"/>
        <v>122</v>
      </c>
      <c r="L8" s="20" t="s">
        <v>3</v>
      </c>
      <c r="M8" s="5"/>
      <c r="N8" s="5"/>
      <c r="O8" s="5"/>
      <c r="P8" s="5"/>
      <c r="Q8" s="5"/>
      <c r="R8" s="1" t="s">
        <v>19</v>
      </c>
      <c r="S8" s="2">
        <v>7</v>
      </c>
      <c r="T8" s="3">
        <f t="shared" si="1"/>
        <v>61</v>
      </c>
      <c r="U8" s="1"/>
      <c r="V8" s="2" t="s">
        <v>20</v>
      </c>
      <c r="W8" s="3">
        <f>SUMIF(C2:C198,V8,J2:J198)</f>
        <v>114</v>
      </c>
      <c r="X8" s="1"/>
      <c r="Y8" s="2"/>
      <c r="Z8" s="2"/>
      <c r="AA8" s="2"/>
    </row>
    <row r="9" spans="1:27" x14ac:dyDescent="0.25">
      <c r="A9" s="15" t="s">
        <v>0</v>
      </c>
      <c r="B9" s="16" t="s">
        <v>21</v>
      </c>
      <c r="C9" s="15" t="s">
        <v>20</v>
      </c>
      <c r="D9" s="15" t="s">
        <v>22</v>
      </c>
      <c r="E9" s="17">
        <v>41129</v>
      </c>
      <c r="F9" s="18">
        <f t="shared" si="0"/>
        <v>8</v>
      </c>
      <c r="G9" s="19">
        <v>99.12</v>
      </c>
      <c r="H9" s="19">
        <v>4.96</v>
      </c>
      <c r="I9" s="19">
        <v>9.92</v>
      </c>
      <c r="J9" s="19">
        <v>114</v>
      </c>
      <c r="K9" s="19">
        <f t="shared" si="2"/>
        <v>228</v>
      </c>
      <c r="L9" s="20" t="s">
        <v>3</v>
      </c>
      <c r="M9" s="5"/>
      <c r="N9" s="5"/>
      <c r="O9" s="5"/>
      <c r="P9" s="5"/>
      <c r="Q9" s="5"/>
      <c r="R9" s="1" t="s">
        <v>23</v>
      </c>
      <c r="S9" s="2">
        <v>8</v>
      </c>
      <c r="T9" s="3">
        <f t="shared" si="1"/>
        <v>114</v>
      </c>
      <c r="U9" s="1"/>
      <c r="V9" s="2"/>
      <c r="W9" s="1"/>
      <c r="X9" s="1"/>
      <c r="Y9" s="2"/>
      <c r="Z9" s="2"/>
      <c r="AA9" s="2"/>
    </row>
    <row r="10" spans="1:27" x14ac:dyDescent="0.25">
      <c r="A10" s="15" t="s">
        <v>10</v>
      </c>
      <c r="B10" s="16">
        <v>9852</v>
      </c>
      <c r="C10" s="15" t="s">
        <v>1</v>
      </c>
      <c r="D10" s="15" t="s">
        <v>2</v>
      </c>
      <c r="E10" s="17">
        <v>41161</v>
      </c>
      <c r="F10" s="18">
        <f t="shared" si="0"/>
        <v>9</v>
      </c>
      <c r="G10" s="19">
        <v>53.94</v>
      </c>
      <c r="H10" s="19">
        <v>2.7</v>
      </c>
      <c r="I10" s="19">
        <v>5.38</v>
      </c>
      <c r="J10" s="19">
        <v>62.02</v>
      </c>
      <c r="K10" s="19">
        <f t="shared" si="2"/>
        <v>124.04</v>
      </c>
      <c r="L10" s="20" t="s">
        <v>3</v>
      </c>
      <c r="M10" s="5"/>
      <c r="N10" s="5"/>
      <c r="O10" s="5"/>
      <c r="P10" s="5"/>
      <c r="Q10" s="5"/>
      <c r="R10" s="1" t="s">
        <v>24</v>
      </c>
      <c r="S10" s="2">
        <v>9</v>
      </c>
      <c r="T10" s="3">
        <f t="shared" si="1"/>
        <v>62.02</v>
      </c>
      <c r="U10" s="1"/>
      <c r="V10" s="2"/>
      <c r="W10" s="1"/>
      <c r="X10" s="1"/>
      <c r="Y10" s="2"/>
      <c r="Z10" s="2"/>
      <c r="AA10" s="2"/>
    </row>
    <row r="11" spans="1:27" x14ac:dyDescent="0.25">
      <c r="R11" s="6" t="s">
        <v>25</v>
      </c>
      <c r="S11" s="7">
        <v>10</v>
      </c>
      <c r="T11" s="8">
        <f t="shared" si="1"/>
        <v>0</v>
      </c>
    </row>
    <row r="12" spans="1:27" x14ac:dyDescent="0.25">
      <c r="R12" s="6" t="s">
        <v>26</v>
      </c>
      <c r="S12" s="7">
        <v>11</v>
      </c>
      <c r="T12" s="8">
        <f t="shared" si="1"/>
        <v>0</v>
      </c>
    </row>
    <row r="13" spans="1:27" x14ac:dyDescent="0.25">
      <c r="R13" s="6" t="s">
        <v>27</v>
      </c>
      <c r="S13" s="7">
        <v>12</v>
      </c>
      <c r="T13" s="8">
        <f t="shared" si="1"/>
        <v>0</v>
      </c>
    </row>
    <row r="16" spans="1:27" x14ac:dyDescent="0.25">
      <c r="R16" s="6" t="s">
        <v>28</v>
      </c>
      <c r="T16" s="9">
        <f>SUM(T2:T15)</f>
        <v>744.02</v>
      </c>
      <c r="W16" s="9">
        <f>SUM(W2:W15)</f>
        <v>744.02</v>
      </c>
      <c r="Z16">
        <f>SUM(Z2:Z15)</f>
        <v>744.02</v>
      </c>
    </row>
  </sheetData>
  <pageMargins left="0.7" right="0.7" top="0.75" bottom="0.75" header="0.3" footer="0.3"/>
  <customProperties>
    <customPr name="DVSECTION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2"/>
  <sheetViews>
    <sheetView workbookViewId="0">
      <selection activeCell="FL2" sqref="FL2"/>
    </sheetView>
  </sheetViews>
  <sheetFormatPr defaultColWidth="11.42578125" defaultRowHeight="15" x14ac:dyDescent="0.25"/>
  <sheetData>
    <row r="1" spans="1:256" x14ac:dyDescent="0.25">
      <c r="A1" t="e">
        <f>IF(DATA!2:2,"AAAAAF++vwA=",0)</f>
        <v>#VALUE!</v>
      </c>
      <c r="B1" t="e">
        <f>AND(DATA!A2,"AAAAAF++vwE=")</f>
        <v>#VALUE!</v>
      </c>
      <c r="C1" t="e">
        <f>AND(DATA!B2,"AAAAAF++vwI=")</f>
        <v>#VALUE!</v>
      </c>
      <c r="D1" t="e">
        <f>AND(DATA!C2,"AAAAAF++vwM=")</f>
        <v>#VALUE!</v>
      </c>
      <c r="E1" t="e">
        <f>AND(DATA!D2,"AAAAAF++vwQ=")</f>
        <v>#VALUE!</v>
      </c>
      <c r="F1" t="e">
        <f>AND(DATA!E2,"AAAAAF++vwU=")</f>
        <v>#VALUE!</v>
      </c>
      <c r="G1" t="e">
        <f>AND(DATA!F2,"AAAAAF++vwY=")</f>
        <v>#VALUE!</v>
      </c>
      <c r="H1" t="e">
        <f>AND(DATA!G2,"AAAAAF++vwc=")</f>
        <v>#VALUE!</v>
      </c>
      <c r="I1" t="e">
        <f>AND(DATA!H2,"AAAAAF++vwg=")</f>
        <v>#VALUE!</v>
      </c>
      <c r="J1" t="e">
        <f>AND(DATA!I2,"AAAAAF++vwk=")</f>
        <v>#VALUE!</v>
      </c>
      <c r="K1" t="e">
        <f>AND(DATA!J2,"AAAAAF++vwo=")</f>
        <v>#VALUE!</v>
      </c>
      <c r="L1" t="e">
        <f>AND(DATA!L2,"AAAAAF++vws=")</f>
        <v>#VALUE!</v>
      </c>
      <c r="M1" t="e">
        <f>AND(DATA!M2,"AAAAAF++vww=")</f>
        <v>#VALUE!</v>
      </c>
      <c r="N1" t="e">
        <f>AND(DATA!N2,"AAAAAF++vw0=")</f>
        <v>#VALUE!</v>
      </c>
      <c r="O1" t="e">
        <f>AND(DATA!O2,"AAAAAF++vw4=")</f>
        <v>#VALUE!</v>
      </c>
      <c r="P1" t="e">
        <f>AND(DATA!P2,"AAAAAF++vw8=")</f>
        <v>#VALUE!</v>
      </c>
      <c r="Q1" t="e">
        <f>AND(DATA!Q2,"AAAAAF++vxA=")</f>
        <v>#VALUE!</v>
      </c>
      <c r="R1" t="e">
        <f>AND(DATA!R2,"AAAAAF++vxE=")</f>
        <v>#VALUE!</v>
      </c>
      <c r="S1" t="e">
        <f>AND(DATA!S2,"AAAAAF++vxI=")</f>
        <v>#VALUE!</v>
      </c>
      <c r="T1" t="e">
        <f>AND(DATA!T2,"AAAAAF++vxM=")</f>
        <v>#VALUE!</v>
      </c>
      <c r="U1" t="e">
        <f>AND(DATA!U2,"AAAAAF++vxQ=")</f>
        <v>#VALUE!</v>
      </c>
      <c r="V1" t="e">
        <f>AND(DATA!V2,"AAAAAF++vxU=")</f>
        <v>#VALUE!</v>
      </c>
      <c r="W1" t="e">
        <f>AND(DATA!W2,"AAAAAF++vxY=")</f>
        <v>#VALUE!</v>
      </c>
      <c r="X1" t="e">
        <f>AND(DATA!X2,"AAAAAF++vxc=")</f>
        <v>#VALUE!</v>
      </c>
      <c r="Y1" t="e">
        <f>AND(DATA!Y2,"AAAAAF++vxg=")</f>
        <v>#VALUE!</v>
      </c>
      <c r="Z1" t="e">
        <f>AND(DATA!Z2,"AAAAAF++vxk=")</f>
        <v>#VALUE!</v>
      </c>
      <c r="AA1">
        <f>IF(DATA!3:3,"AAAAAF++vxo=",0)</f>
        <v>0</v>
      </c>
      <c r="AB1" t="e">
        <f>AND(DATA!A3,"AAAAAF++vxs=")</f>
        <v>#VALUE!</v>
      </c>
      <c r="AC1" t="e">
        <f>AND(DATA!B3,"AAAAAF++vxw=")</f>
        <v>#VALUE!</v>
      </c>
      <c r="AD1" t="e">
        <f>AND(DATA!C3,"AAAAAF++vx0=")</f>
        <v>#VALUE!</v>
      </c>
      <c r="AE1" t="e">
        <f>AND(DATA!D3,"AAAAAF++vx4=")</f>
        <v>#VALUE!</v>
      </c>
      <c r="AF1" t="e">
        <f>AND(DATA!E3,"AAAAAF++vx8=")</f>
        <v>#VALUE!</v>
      </c>
      <c r="AG1" t="e">
        <f>AND(DATA!F3,"AAAAAF++vyA=")</f>
        <v>#VALUE!</v>
      </c>
      <c r="AH1" t="e">
        <f>AND(DATA!G3,"AAAAAF++vyE=")</f>
        <v>#VALUE!</v>
      </c>
      <c r="AI1" t="e">
        <f>AND(DATA!H3,"AAAAAF++vyI=")</f>
        <v>#VALUE!</v>
      </c>
      <c r="AJ1" t="e">
        <f>AND(DATA!I3,"AAAAAF++vyM=")</f>
        <v>#VALUE!</v>
      </c>
      <c r="AK1" t="e">
        <f>AND(DATA!J3,"AAAAAF++vyQ=")</f>
        <v>#VALUE!</v>
      </c>
      <c r="AL1" t="e">
        <f>AND(DATA!L3,"AAAAAF++vyU=")</f>
        <v>#VALUE!</v>
      </c>
      <c r="AM1" t="e">
        <f>AND(DATA!M3,"AAAAAF++vyY=")</f>
        <v>#VALUE!</v>
      </c>
      <c r="AN1" t="e">
        <f>AND(DATA!N3,"AAAAAF++vyc=")</f>
        <v>#VALUE!</v>
      </c>
      <c r="AO1" t="e">
        <f>AND(DATA!O3,"AAAAAF++vyg=")</f>
        <v>#VALUE!</v>
      </c>
      <c r="AP1" t="e">
        <f>AND(DATA!P3,"AAAAAF++vyk=")</f>
        <v>#VALUE!</v>
      </c>
      <c r="AQ1" t="e">
        <f>AND(DATA!Q3,"AAAAAF++vyo=")</f>
        <v>#VALUE!</v>
      </c>
      <c r="AR1" t="e">
        <f>AND(DATA!R3,"AAAAAF++vys=")</f>
        <v>#VALUE!</v>
      </c>
      <c r="AS1" t="e">
        <f>AND(DATA!S3,"AAAAAF++vyw=")</f>
        <v>#VALUE!</v>
      </c>
      <c r="AT1" t="e">
        <f>AND(DATA!T3,"AAAAAF++vy0=")</f>
        <v>#VALUE!</v>
      </c>
      <c r="AU1" t="e">
        <f>AND(DATA!U3,"AAAAAF++vy4=")</f>
        <v>#VALUE!</v>
      </c>
      <c r="AV1" t="e">
        <f>AND(DATA!V3,"AAAAAF++vy8=")</f>
        <v>#VALUE!</v>
      </c>
      <c r="AW1" t="e">
        <f>AND(DATA!W3,"AAAAAF++vzA=")</f>
        <v>#VALUE!</v>
      </c>
      <c r="AX1" t="e">
        <f>AND(DATA!X3,"AAAAAF++vzE=")</f>
        <v>#VALUE!</v>
      </c>
      <c r="AY1" t="e">
        <f>AND(DATA!Y3,"AAAAAF++vzI=")</f>
        <v>#VALUE!</v>
      </c>
      <c r="AZ1" t="e">
        <f>AND(DATA!Z3,"AAAAAF++vzM=")</f>
        <v>#VALUE!</v>
      </c>
      <c r="BA1">
        <f>IF(DATA!4:4,"AAAAAF++vzQ=",0)</f>
        <v>0</v>
      </c>
      <c r="BB1" t="e">
        <f>AND(DATA!A4,"AAAAAF++vzU=")</f>
        <v>#VALUE!</v>
      </c>
      <c r="BC1" t="e">
        <f>AND(DATA!B4,"AAAAAF++vzY=")</f>
        <v>#VALUE!</v>
      </c>
      <c r="BD1" t="e">
        <f>AND(DATA!C4,"AAAAAF++vzc=")</f>
        <v>#VALUE!</v>
      </c>
      <c r="BE1" t="e">
        <f>AND(DATA!D4,"AAAAAF++vzg=")</f>
        <v>#VALUE!</v>
      </c>
      <c r="BF1" t="e">
        <f>AND(DATA!E4,"AAAAAF++vzk=")</f>
        <v>#VALUE!</v>
      </c>
      <c r="BG1" t="e">
        <f>AND(DATA!F4,"AAAAAF++vzo=")</f>
        <v>#VALUE!</v>
      </c>
      <c r="BH1" t="e">
        <f>AND(DATA!G4,"AAAAAF++vzs=")</f>
        <v>#VALUE!</v>
      </c>
      <c r="BI1" t="e">
        <f>AND(DATA!H4,"AAAAAF++vzw=")</f>
        <v>#VALUE!</v>
      </c>
      <c r="BJ1" t="e">
        <f>AND(DATA!I4,"AAAAAF++vz0=")</f>
        <v>#VALUE!</v>
      </c>
      <c r="BK1" t="e">
        <f>AND(DATA!J4,"AAAAAF++vz4=")</f>
        <v>#VALUE!</v>
      </c>
      <c r="BL1" t="e">
        <f>AND(DATA!L4,"AAAAAF++vz8=")</f>
        <v>#VALUE!</v>
      </c>
      <c r="BM1" t="e">
        <f>AND(DATA!M4,"AAAAAF++v0A=")</f>
        <v>#VALUE!</v>
      </c>
      <c r="BN1" t="e">
        <f>AND(DATA!N4,"AAAAAF++v0E=")</f>
        <v>#VALUE!</v>
      </c>
      <c r="BO1" t="e">
        <f>AND(DATA!O4,"AAAAAF++v0I=")</f>
        <v>#VALUE!</v>
      </c>
      <c r="BP1" t="e">
        <f>AND(DATA!P4,"AAAAAF++v0M=")</f>
        <v>#VALUE!</v>
      </c>
      <c r="BQ1" t="e">
        <f>AND(DATA!Q4,"AAAAAF++v0Q=")</f>
        <v>#VALUE!</v>
      </c>
      <c r="BR1" t="e">
        <f>AND(DATA!R4,"AAAAAF++v0U=")</f>
        <v>#VALUE!</v>
      </c>
      <c r="BS1" t="e">
        <f>AND(DATA!S4,"AAAAAF++v0Y=")</f>
        <v>#VALUE!</v>
      </c>
      <c r="BT1" t="e">
        <f>AND(DATA!T4,"AAAAAF++v0c=")</f>
        <v>#VALUE!</v>
      </c>
      <c r="BU1" t="e">
        <f>AND(DATA!U4,"AAAAAF++v0g=")</f>
        <v>#VALUE!</v>
      </c>
      <c r="BV1" t="e">
        <f>AND(DATA!V4,"AAAAAF++v0k=")</f>
        <v>#VALUE!</v>
      </c>
      <c r="BW1" t="e">
        <f>AND(DATA!W4,"AAAAAF++v0o=")</f>
        <v>#VALUE!</v>
      </c>
      <c r="BX1" t="e">
        <f>AND(DATA!X4,"AAAAAF++v0s=")</f>
        <v>#VALUE!</v>
      </c>
      <c r="BY1" t="e">
        <f>AND(DATA!Y4,"AAAAAF++v0w=")</f>
        <v>#VALUE!</v>
      </c>
      <c r="BZ1" t="e">
        <f>AND(DATA!Z4,"AAAAAF++v00=")</f>
        <v>#VALUE!</v>
      </c>
      <c r="CA1">
        <f>IF(DATA!5:5,"AAAAAF++v04=",0)</f>
        <v>0</v>
      </c>
      <c r="CB1" t="e">
        <f>AND(DATA!A5,"AAAAAF++v08=")</f>
        <v>#VALUE!</v>
      </c>
      <c r="CC1" t="e">
        <f>AND(DATA!B5,"AAAAAF++v1A=")</f>
        <v>#VALUE!</v>
      </c>
      <c r="CD1" t="e">
        <f>AND(DATA!C5,"AAAAAF++v1E=")</f>
        <v>#VALUE!</v>
      </c>
      <c r="CE1" t="e">
        <f>AND(DATA!D5,"AAAAAF++v1I=")</f>
        <v>#VALUE!</v>
      </c>
      <c r="CF1" t="e">
        <f>AND(DATA!E5,"AAAAAF++v1M=")</f>
        <v>#VALUE!</v>
      </c>
      <c r="CG1" t="e">
        <f>AND(DATA!F5,"AAAAAF++v1Q=")</f>
        <v>#VALUE!</v>
      </c>
      <c r="CH1" t="e">
        <f>AND(DATA!G5,"AAAAAF++v1U=")</f>
        <v>#VALUE!</v>
      </c>
      <c r="CI1" t="e">
        <f>AND(DATA!H5,"AAAAAF++v1Y=")</f>
        <v>#VALUE!</v>
      </c>
      <c r="CJ1" t="e">
        <f>AND(DATA!I5,"AAAAAF++v1c=")</f>
        <v>#VALUE!</v>
      </c>
      <c r="CK1" t="e">
        <f>AND(DATA!J5,"AAAAAF++v1g=")</f>
        <v>#VALUE!</v>
      </c>
      <c r="CL1" t="e">
        <f>AND(DATA!L5,"AAAAAF++v1k=")</f>
        <v>#VALUE!</v>
      </c>
      <c r="CM1" t="e">
        <f>AND(DATA!M5,"AAAAAF++v1o=")</f>
        <v>#VALUE!</v>
      </c>
      <c r="CN1" t="e">
        <f>AND(DATA!N5,"AAAAAF++v1s=")</f>
        <v>#VALUE!</v>
      </c>
      <c r="CO1" t="e">
        <f>AND(DATA!O5,"AAAAAF++v1w=")</f>
        <v>#VALUE!</v>
      </c>
      <c r="CP1" t="e">
        <f>AND(DATA!P5,"AAAAAF++v10=")</f>
        <v>#VALUE!</v>
      </c>
      <c r="CQ1" t="e">
        <f>AND(DATA!Q5,"AAAAAF++v14=")</f>
        <v>#VALUE!</v>
      </c>
      <c r="CR1" t="e">
        <f>AND(DATA!R5,"AAAAAF++v18=")</f>
        <v>#VALUE!</v>
      </c>
      <c r="CS1" t="e">
        <f>AND(DATA!S5,"AAAAAF++v2A=")</f>
        <v>#VALUE!</v>
      </c>
      <c r="CT1" t="e">
        <f>AND(DATA!T5,"AAAAAF++v2E=")</f>
        <v>#VALUE!</v>
      </c>
      <c r="CU1" t="e">
        <f>AND(DATA!U5,"AAAAAF++v2I=")</f>
        <v>#VALUE!</v>
      </c>
      <c r="CV1" t="e">
        <f>AND(DATA!V5,"AAAAAF++v2M=")</f>
        <v>#VALUE!</v>
      </c>
      <c r="CW1" t="e">
        <f>AND(DATA!W5,"AAAAAF++v2Q=")</f>
        <v>#VALUE!</v>
      </c>
      <c r="CX1" t="e">
        <f>AND(DATA!X5,"AAAAAF++v2U=")</f>
        <v>#VALUE!</v>
      </c>
      <c r="CY1" t="e">
        <f>AND(DATA!Y5,"AAAAAF++v2Y=")</f>
        <v>#VALUE!</v>
      </c>
      <c r="CZ1" t="e">
        <f>AND(DATA!Z5,"AAAAAF++v2c=")</f>
        <v>#VALUE!</v>
      </c>
      <c r="DA1">
        <f>IF(DATA!6:6,"AAAAAF++v2g=",0)</f>
        <v>0</v>
      </c>
      <c r="DB1" t="e">
        <f>AND(DATA!A6,"AAAAAF++v2k=")</f>
        <v>#VALUE!</v>
      </c>
      <c r="DC1" t="e">
        <f>AND(DATA!B6,"AAAAAF++v2o=")</f>
        <v>#VALUE!</v>
      </c>
      <c r="DD1" t="e">
        <f>AND(DATA!C6,"AAAAAF++v2s=")</f>
        <v>#VALUE!</v>
      </c>
      <c r="DE1" t="e">
        <f>AND(DATA!D6,"AAAAAF++v2w=")</f>
        <v>#VALUE!</v>
      </c>
      <c r="DF1" t="e">
        <f>AND(DATA!E6,"AAAAAF++v20=")</f>
        <v>#VALUE!</v>
      </c>
      <c r="DG1" t="e">
        <f>AND(DATA!F6,"AAAAAF++v24=")</f>
        <v>#VALUE!</v>
      </c>
      <c r="DH1" t="e">
        <f>AND(DATA!G6,"AAAAAF++v28=")</f>
        <v>#VALUE!</v>
      </c>
      <c r="DI1" t="e">
        <f>AND(DATA!H6,"AAAAAF++v3A=")</f>
        <v>#VALUE!</v>
      </c>
      <c r="DJ1" t="e">
        <f>AND(DATA!I6,"AAAAAF++v3E=")</f>
        <v>#VALUE!</v>
      </c>
      <c r="DK1" t="e">
        <f>AND(DATA!J6,"AAAAAF++v3I=")</f>
        <v>#VALUE!</v>
      </c>
      <c r="DL1" t="e">
        <f>AND(DATA!L6,"AAAAAF++v3M=")</f>
        <v>#VALUE!</v>
      </c>
      <c r="DM1" t="e">
        <f>AND(DATA!M6,"AAAAAF++v3Q=")</f>
        <v>#VALUE!</v>
      </c>
      <c r="DN1" t="e">
        <f>AND(DATA!N6,"AAAAAF++v3U=")</f>
        <v>#VALUE!</v>
      </c>
      <c r="DO1" t="e">
        <f>AND(DATA!O6,"AAAAAF++v3Y=")</f>
        <v>#VALUE!</v>
      </c>
      <c r="DP1" t="e">
        <f>AND(DATA!P6,"AAAAAF++v3c=")</f>
        <v>#VALUE!</v>
      </c>
      <c r="DQ1" t="e">
        <f>AND(DATA!Q6,"AAAAAF++v3g=")</f>
        <v>#VALUE!</v>
      </c>
      <c r="DR1" t="e">
        <f>AND(DATA!R6,"AAAAAF++v3k=")</f>
        <v>#VALUE!</v>
      </c>
      <c r="DS1" t="e">
        <f>AND(DATA!S6,"AAAAAF++v3o=")</f>
        <v>#VALUE!</v>
      </c>
      <c r="DT1" t="e">
        <f>AND(DATA!T6,"AAAAAF++v3s=")</f>
        <v>#VALUE!</v>
      </c>
      <c r="DU1" t="e">
        <f>AND(DATA!U6,"AAAAAF++v3w=")</f>
        <v>#VALUE!</v>
      </c>
      <c r="DV1" t="e">
        <f>AND(DATA!V6,"AAAAAF++v30=")</f>
        <v>#VALUE!</v>
      </c>
      <c r="DW1" t="e">
        <f>AND(DATA!W6,"AAAAAF++v34=")</f>
        <v>#VALUE!</v>
      </c>
      <c r="DX1" t="e">
        <f>AND(DATA!X6,"AAAAAF++v38=")</f>
        <v>#VALUE!</v>
      </c>
      <c r="DY1" t="e">
        <f>AND(DATA!Y6,"AAAAAF++v4A=")</f>
        <v>#VALUE!</v>
      </c>
      <c r="DZ1" t="e">
        <f>AND(DATA!Z6,"AAAAAF++v4E=")</f>
        <v>#VALUE!</v>
      </c>
      <c r="EA1">
        <f>IF(DATA!7:7,"AAAAAF++v4I=",0)</f>
        <v>0</v>
      </c>
      <c r="EB1" t="e">
        <f>AND(DATA!A7,"AAAAAF++v4M=")</f>
        <v>#VALUE!</v>
      </c>
      <c r="EC1" t="e">
        <f>AND(DATA!B7,"AAAAAF++v4Q=")</f>
        <v>#VALUE!</v>
      </c>
      <c r="ED1" t="e">
        <f>AND(DATA!C7,"AAAAAF++v4U=")</f>
        <v>#VALUE!</v>
      </c>
      <c r="EE1" t="e">
        <f>AND(DATA!D7,"AAAAAF++v4Y=")</f>
        <v>#VALUE!</v>
      </c>
      <c r="EF1" t="e">
        <f>AND(DATA!E7,"AAAAAF++v4c=")</f>
        <v>#VALUE!</v>
      </c>
      <c r="EG1" t="e">
        <f>AND(DATA!F7,"AAAAAF++v4g=")</f>
        <v>#VALUE!</v>
      </c>
      <c r="EH1" t="e">
        <f>AND(DATA!G7,"AAAAAF++v4k=")</f>
        <v>#VALUE!</v>
      </c>
      <c r="EI1" t="e">
        <f>AND(DATA!H7,"AAAAAF++v4o=")</f>
        <v>#VALUE!</v>
      </c>
      <c r="EJ1" t="e">
        <f>AND(DATA!I7,"AAAAAF++v4s=")</f>
        <v>#VALUE!</v>
      </c>
      <c r="EK1" t="e">
        <f>AND(DATA!J7,"AAAAAF++v4w=")</f>
        <v>#VALUE!</v>
      </c>
      <c r="EL1" t="e">
        <f>AND(DATA!L7,"AAAAAF++v40=")</f>
        <v>#VALUE!</v>
      </c>
      <c r="EM1" t="e">
        <f>AND(DATA!M7,"AAAAAF++v44=")</f>
        <v>#VALUE!</v>
      </c>
      <c r="EN1" t="e">
        <f>AND(DATA!N7,"AAAAAF++v48=")</f>
        <v>#VALUE!</v>
      </c>
      <c r="EO1" t="e">
        <f>AND(DATA!O7,"AAAAAF++v5A=")</f>
        <v>#VALUE!</v>
      </c>
      <c r="EP1" t="e">
        <f>AND(DATA!P7,"AAAAAF++v5E=")</f>
        <v>#VALUE!</v>
      </c>
      <c r="EQ1" t="e">
        <f>AND(DATA!Q7,"AAAAAF++v5I=")</f>
        <v>#VALUE!</v>
      </c>
      <c r="ER1" t="e">
        <f>AND(DATA!R7,"AAAAAF++v5M=")</f>
        <v>#VALUE!</v>
      </c>
      <c r="ES1" t="e">
        <f>AND(DATA!S7,"AAAAAF++v5Q=")</f>
        <v>#VALUE!</v>
      </c>
      <c r="ET1" t="e">
        <f>AND(DATA!T7,"AAAAAF++v5U=")</f>
        <v>#VALUE!</v>
      </c>
      <c r="EU1" t="e">
        <f>AND(DATA!U7,"AAAAAF++v5Y=")</f>
        <v>#VALUE!</v>
      </c>
      <c r="EV1" t="e">
        <f>AND(DATA!V7,"AAAAAF++v5c=")</f>
        <v>#VALUE!</v>
      </c>
      <c r="EW1" t="e">
        <f>AND(DATA!W7,"AAAAAF++v5g=")</f>
        <v>#VALUE!</v>
      </c>
      <c r="EX1" t="e">
        <f>AND(DATA!X7,"AAAAAF++v5k=")</f>
        <v>#VALUE!</v>
      </c>
      <c r="EY1" t="e">
        <f>AND(DATA!Y7,"AAAAAF++v5o=")</f>
        <v>#VALUE!</v>
      </c>
      <c r="EZ1" t="e">
        <f>AND(DATA!Z7,"AAAAAF++v5s=")</f>
        <v>#VALUE!</v>
      </c>
      <c r="FA1">
        <f>IF(DATA!8:8,"AAAAAF++v5w=",0)</f>
        <v>0</v>
      </c>
      <c r="FB1" t="e">
        <f>AND(DATA!A8,"AAAAAF++v50=")</f>
        <v>#VALUE!</v>
      </c>
      <c r="FC1" t="e">
        <f>AND(DATA!B8,"AAAAAF++v54=")</f>
        <v>#VALUE!</v>
      </c>
      <c r="FD1" t="e">
        <f>AND(DATA!C8,"AAAAAF++v58=")</f>
        <v>#VALUE!</v>
      </c>
      <c r="FE1" t="e">
        <f>AND(DATA!D8,"AAAAAF++v6A=")</f>
        <v>#VALUE!</v>
      </c>
      <c r="FF1" t="e">
        <f>AND(DATA!E8,"AAAAAF++v6E=")</f>
        <v>#VALUE!</v>
      </c>
      <c r="FG1" t="e">
        <f>AND(DATA!F8,"AAAAAF++v6I=")</f>
        <v>#VALUE!</v>
      </c>
      <c r="FH1" t="e">
        <f>AND(DATA!G8,"AAAAAF++v6M=")</f>
        <v>#VALUE!</v>
      </c>
      <c r="FI1" t="e">
        <f>AND(DATA!H8,"AAAAAF++v6Q=")</f>
        <v>#VALUE!</v>
      </c>
      <c r="FJ1" t="e">
        <f>AND(DATA!I8,"AAAAAF++v6U=")</f>
        <v>#VALUE!</v>
      </c>
      <c r="FK1" t="e">
        <f>AND(DATA!J8,"AAAAAF++v6Y=")</f>
        <v>#VALUE!</v>
      </c>
      <c r="FL1" t="e">
        <f>AND(DATA!L8,"AAAAAF++v6c=")</f>
        <v>#VALUE!</v>
      </c>
      <c r="FM1" t="e">
        <f>AND(DATA!M8,"AAAAAF++v6g=")</f>
        <v>#VALUE!</v>
      </c>
      <c r="FN1" t="e">
        <f>AND(DATA!N8,"AAAAAF++v6k=")</f>
        <v>#VALUE!</v>
      </c>
      <c r="FO1" t="e">
        <f>AND(DATA!O8,"AAAAAF++v6o=")</f>
        <v>#VALUE!</v>
      </c>
      <c r="FP1" t="e">
        <f>AND(DATA!P8,"AAAAAF++v6s=")</f>
        <v>#VALUE!</v>
      </c>
      <c r="FQ1" t="e">
        <f>AND(DATA!Q8,"AAAAAF++v6w=")</f>
        <v>#VALUE!</v>
      </c>
      <c r="FR1" t="e">
        <f>AND(DATA!R8,"AAAAAF++v60=")</f>
        <v>#VALUE!</v>
      </c>
      <c r="FS1" t="e">
        <f>AND(DATA!S8,"AAAAAF++v64=")</f>
        <v>#VALUE!</v>
      </c>
      <c r="FT1" t="e">
        <f>AND(DATA!T8,"AAAAAF++v68=")</f>
        <v>#VALUE!</v>
      </c>
      <c r="FU1" t="e">
        <f>AND(DATA!U8,"AAAAAF++v7A=")</f>
        <v>#VALUE!</v>
      </c>
      <c r="FV1" t="e">
        <f>AND(DATA!V8,"AAAAAF++v7E=")</f>
        <v>#VALUE!</v>
      </c>
      <c r="FW1" t="e">
        <f>AND(DATA!W8,"AAAAAF++v7I=")</f>
        <v>#VALUE!</v>
      </c>
      <c r="FX1" t="e">
        <f>AND(DATA!X8,"AAAAAF++v7M=")</f>
        <v>#VALUE!</v>
      </c>
      <c r="FY1" t="e">
        <f>AND(DATA!Y8,"AAAAAF++v7Q=")</f>
        <v>#VALUE!</v>
      </c>
      <c r="FZ1" t="e">
        <f>AND(DATA!Z8,"AAAAAF++v7U=")</f>
        <v>#VALUE!</v>
      </c>
      <c r="GA1">
        <f>IF(DATA!9:9,"AAAAAF++v7Y=",0)</f>
        <v>0</v>
      </c>
      <c r="GB1" t="e">
        <f>AND(DATA!A9,"AAAAAF++v7c=")</f>
        <v>#VALUE!</v>
      </c>
      <c r="GC1" t="e">
        <f>AND(DATA!B9,"AAAAAF++v7g=")</f>
        <v>#VALUE!</v>
      </c>
      <c r="GD1" t="e">
        <f>AND(DATA!C9,"AAAAAF++v7k=")</f>
        <v>#VALUE!</v>
      </c>
      <c r="GE1" t="e">
        <f>AND(DATA!D9,"AAAAAF++v7o=")</f>
        <v>#VALUE!</v>
      </c>
      <c r="GF1" t="e">
        <f>AND(DATA!E9,"AAAAAF++v7s=")</f>
        <v>#VALUE!</v>
      </c>
      <c r="GG1" t="e">
        <f>AND(DATA!F9,"AAAAAF++v7w=")</f>
        <v>#VALUE!</v>
      </c>
      <c r="GH1" t="e">
        <f>AND(DATA!G9,"AAAAAF++v70=")</f>
        <v>#VALUE!</v>
      </c>
      <c r="GI1" t="e">
        <f>AND(DATA!H9,"AAAAAF++v74=")</f>
        <v>#VALUE!</v>
      </c>
      <c r="GJ1" t="e">
        <f>AND(DATA!I9,"AAAAAF++v78=")</f>
        <v>#VALUE!</v>
      </c>
      <c r="GK1" t="e">
        <f>AND(DATA!J9,"AAAAAF++v8A=")</f>
        <v>#VALUE!</v>
      </c>
      <c r="GL1" t="e">
        <f>AND(DATA!L9,"AAAAAF++v8E=")</f>
        <v>#VALUE!</v>
      </c>
      <c r="GM1" t="e">
        <f>AND(DATA!M9,"AAAAAF++v8I=")</f>
        <v>#VALUE!</v>
      </c>
      <c r="GN1" t="e">
        <f>AND(DATA!N9,"AAAAAF++v8M=")</f>
        <v>#VALUE!</v>
      </c>
      <c r="GO1" t="e">
        <f>AND(DATA!O9,"AAAAAF++v8Q=")</f>
        <v>#VALUE!</v>
      </c>
      <c r="GP1" t="e">
        <f>AND(DATA!P9,"AAAAAF++v8U=")</f>
        <v>#VALUE!</v>
      </c>
      <c r="GQ1" t="e">
        <f>AND(DATA!Q9,"AAAAAF++v8Y=")</f>
        <v>#VALUE!</v>
      </c>
      <c r="GR1" t="e">
        <f>AND(DATA!R9,"AAAAAF++v8c=")</f>
        <v>#VALUE!</v>
      </c>
      <c r="GS1" t="e">
        <f>AND(DATA!S9,"AAAAAF++v8g=")</f>
        <v>#VALUE!</v>
      </c>
      <c r="GT1" t="e">
        <f>AND(DATA!T9,"AAAAAF++v8k=")</f>
        <v>#VALUE!</v>
      </c>
      <c r="GU1" t="e">
        <f>AND(DATA!U9,"AAAAAF++v8o=")</f>
        <v>#VALUE!</v>
      </c>
      <c r="GV1" t="e">
        <f>AND(DATA!V9,"AAAAAF++v8s=")</f>
        <v>#VALUE!</v>
      </c>
      <c r="GW1" t="e">
        <f>AND(DATA!W9,"AAAAAF++v8w=")</f>
        <v>#VALUE!</v>
      </c>
      <c r="GX1" t="e">
        <f>AND(DATA!X9,"AAAAAF++v80=")</f>
        <v>#VALUE!</v>
      </c>
      <c r="GY1" t="e">
        <f>AND(DATA!Y9,"AAAAAF++v84=")</f>
        <v>#VALUE!</v>
      </c>
      <c r="GZ1" t="e">
        <f>AND(DATA!Z9,"AAAAAF++v88=")</f>
        <v>#VALUE!</v>
      </c>
      <c r="HA1">
        <f>IF(DATA!10:10,"AAAAAF++v9A=",0)</f>
        <v>0</v>
      </c>
      <c r="HB1" t="e">
        <f>AND(DATA!A10,"AAAAAF++v9E=")</f>
        <v>#VALUE!</v>
      </c>
      <c r="HC1" t="e">
        <f>AND(DATA!B10,"AAAAAF++v9I=")</f>
        <v>#VALUE!</v>
      </c>
      <c r="HD1" t="e">
        <f>AND(DATA!C10,"AAAAAF++v9M=")</f>
        <v>#VALUE!</v>
      </c>
      <c r="HE1" t="e">
        <f>AND(DATA!D10,"AAAAAF++v9Q=")</f>
        <v>#VALUE!</v>
      </c>
      <c r="HF1" t="e">
        <f>AND(DATA!E10,"AAAAAF++v9U=")</f>
        <v>#VALUE!</v>
      </c>
      <c r="HG1" t="e">
        <f>AND(DATA!F10,"AAAAAF++v9Y=")</f>
        <v>#VALUE!</v>
      </c>
      <c r="HH1" t="e">
        <f>AND(DATA!G10,"AAAAAF++v9c=")</f>
        <v>#VALUE!</v>
      </c>
      <c r="HI1" t="e">
        <f>AND(DATA!H10,"AAAAAF++v9g=")</f>
        <v>#VALUE!</v>
      </c>
      <c r="HJ1" t="e">
        <f>AND(DATA!I10,"AAAAAF++v9k=")</f>
        <v>#VALUE!</v>
      </c>
      <c r="HK1" t="e">
        <f>AND(DATA!J10,"AAAAAF++v9o=")</f>
        <v>#VALUE!</v>
      </c>
      <c r="HL1" t="e">
        <f>AND(DATA!L10,"AAAAAF++v9s=")</f>
        <v>#VALUE!</v>
      </c>
      <c r="HM1" t="e">
        <f>AND(DATA!M10,"AAAAAF++v9w=")</f>
        <v>#VALUE!</v>
      </c>
      <c r="HN1" t="e">
        <f>AND(DATA!N10,"AAAAAF++v90=")</f>
        <v>#VALUE!</v>
      </c>
      <c r="HO1" t="e">
        <f>AND(DATA!O10,"AAAAAF++v94=")</f>
        <v>#VALUE!</v>
      </c>
      <c r="HP1" t="e">
        <f>AND(DATA!P10,"AAAAAF++v98=")</f>
        <v>#VALUE!</v>
      </c>
      <c r="HQ1" t="e">
        <f>AND(DATA!Q10,"AAAAAF++v+A=")</f>
        <v>#VALUE!</v>
      </c>
      <c r="HR1" t="e">
        <f>AND(DATA!R10,"AAAAAF++v+E=")</f>
        <v>#VALUE!</v>
      </c>
      <c r="HS1" t="e">
        <f>AND(DATA!S10,"AAAAAF++v+I=")</f>
        <v>#VALUE!</v>
      </c>
      <c r="HT1" t="e">
        <f>AND(DATA!T10,"AAAAAF++v+M=")</f>
        <v>#VALUE!</v>
      </c>
      <c r="HU1" t="e">
        <f>AND(DATA!U10,"AAAAAF++v+Q=")</f>
        <v>#VALUE!</v>
      </c>
      <c r="HV1" t="e">
        <f>AND(DATA!V10,"AAAAAF++v+U=")</f>
        <v>#VALUE!</v>
      </c>
      <c r="HW1" t="e">
        <f>AND(DATA!W10,"AAAAAF++v+Y=")</f>
        <v>#VALUE!</v>
      </c>
      <c r="HX1" t="e">
        <f>AND(DATA!X10,"AAAAAF++v+c=")</f>
        <v>#VALUE!</v>
      </c>
      <c r="HY1" t="e">
        <f>AND(DATA!Y10,"AAAAAF++v+g=")</f>
        <v>#VALUE!</v>
      </c>
      <c r="HZ1" t="e">
        <f>AND(DATA!Z10,"AAAAAF++v+k=")</f>
        <v>#VALUE!</v>
      </c>
      <c r="IA1">
        <f>IF(DATA!11:11,"AAAAAF++v+o=",0)</f>
        <v>0</v>
      </c>
      <c r="IB1" t="e">
        <f>AND(DATA!A11,"AAAAAF++v+s=")</f>
        <v>#VALUE!</v>
      </c>
      <c r="IC1" t="e">
        <f>AND(DATA!B11,"AAAAAF++v+w=")</f>
        <v>#VALUE!</v>
      </c>
      <c r="ID1" t="e">
        <f>AND(DATA!C11,"AAAAAF++v+0=")</f>
        <v>#VALUE!</v>
      </c>
      <c r="IE1" t="e">
        <f>AND(DATA!D11,"AAAAAF++v+4=")</f>
        <v>#VALUE!</v>
      </c>
      <c r="IF1" t="e">
        <f>AND(DATA!E11,"AAAAAF++v+8=")</f>
        <v>#VALUE!</v>
      </c>
      <c r="IG1" t="e">
        <f>AND(DATA!F11,"AAAAAF++v/A=")</f>
        <v>#VALUE!</v>
      </c>
      <c r="IH1" t="e">
        <f>AND(DATA!G11,"AAAAAF++v/E=")</f>
        <v>#VALUE!</v>
      </c>
      <c r="II1" t="e">
        <f>AND(DATA!H11,"AAAAAF++v/I=")</f>
        <v>#VALUE!</v>
      </c>
      <c r="IJ1" t="e">
        <f>AND(DATA!I11,"AAAAAF++v/M=")</f>
        <v>#VALUE!</v>
      </c>
      <c r="IK1" t="e">
        <f>AND(DATA!J11,"AAAAAF++v/Q=")</f>
        <v>#VALUE!</v>
      </c>
      <c r="IL1" t="e">
        <f>AND(DATA!L11,"AAAAAF++v/U=")</f>
        <v>#VALUE!</v>
      </c>
      <c r="IM1" t="e">
        <f>AND(DATA!M11,"AAAAAF++v/Y=")</f>
        <v>#VALUE!</v>
      </c>
      <c r="IN1" t="e">
        <f>AND(DATA!N11,"AAAAAF++v/c=")</f>
        <v>#VALUE!</v>
      </c>
      <c r="IO1" t="e">
        <f>AND(DATA!O11,"AAAAAF++v/g=")</f>
        <v>#VALUE!</v>
      </c>
      <c r="IP1" t="e">
        <f>AND(DATA!P11,"AAAAAF++v/k=")</f>
        <v>#VALUE!</v>
      </c>
      <c r="IQ1" t="e">
        <f>AND(DATA!Q11,"AAAAAF++v/o=")</f>
        <v>#VALUE!</v>
      </c>
      <c r="IR1" t="e">
        <f>AND(DATA!R11,"AAAAAF++v/s=")</f>
        <v>#VALUE!</v>
      </c>
      <c r="IS1" t="e">
        <f>AND(DATA!S11,"AAAAAF++v/w=")</f>
        <v>#VALUE!</v>
      </c>
      <c r="IT1" t="e">
        <f>AND(DATA!T11,"AAAAAF++v/0=")</f>
        <v>#VALUE!</v>
      </c>
      <c r="IU1" t="e">
        <f>AND(DATA!U11,"AAAAAF++v/4=")</f>
        <v>#VALUE!</v>
      </c>
      <c r="IV1" t="e">
        <f>AND(DATA!V11,"AAAAAF++v/8=")</f>
        <v>#VALUE!</v>
      </c>
    </row>
    <row r="2" spans="1:256" x14ac:dyDescent="0.25">
      <c r="A2" t="e">
        <f>AND(DATA!W11,"AAAAAFvuPAA=")</f>
        <v>#VALUE!</v>
      </c>
      <c r="B2" t="e">
        <f>AND(DATA!X11,"AAAAAFvuPAE=")</f>
        <v>#VALUE!</v>
      </c>
      <c r="C2" t="e">
        <f>AND(DATA!Y11,"AAAAAFvuPAI=")</f>
        <v>#VALUE!</v>
      </c>
      <c r="D2" t="e">
        <f>AND(DATA!Z11,"AAAAAFvuPAM=")</f>
        <v>#VALUE!</v>
      </c>
      <c r="E2">
        <f>IF(DATA!12:12,"AAAAAFvuPAQ=",0)</f>
        <v>0</v>
      </c>
      <c r="F2" t="e">
        <f>AND(DATA!A12,"AAAAAFvuPAU=")</f>
        <v>#VALUE!</v>
      </c>
      <c r="G2" t="e">
        <f>AND(DATA!B12,"AAAAAFvuPAY=")</f>
        <v>#VALUE!</v>
      </c>
      <c r="H2" t="e">
        <f>AND(DATA!C12,"AAAAAFvuPAc=")</f>
        <v>#VALUE!</v>
      </c>
      <c r="I2" t="e">
        <f>AND(DATA!D12,"AAAAAFvuPAg=")</f>
        <v>#VALUE!</v>
      </c>
      <c r="J2" t="e">
        <f>AND(DATA!E12,"AAAAAFvuPAk=")</f>
        <v>#VALUE!</v>
      </c>
      <c r="K2" t="e">
        <f>AND(DATA!F12,"AAAAAFvuPAo=")</f>
        <v>#VALUE!</v>
      </c>
      <c r="L2" t="e">
        <f>AND(DATA!G12,"AAAAAFvuPAs=")</f>
        <v>#VALUE!</v>
      </c>
      <c r="M2" t="e">
        <f>AND(DATA!H12,"AAAAAFvuPAw=")</f>
        <v>#VALUE!</v>
      </c>
      <c r="N2" t="e">
        <f>AND(DATA!I12,"AAAAAFvuPA0=")</f>
        <v>#VALUE!</v>
      </c>
      <c r="O2" t="e">
        <f>AND(DATA!J12,"AAAAAFvuPA4=")</f>
        <v>#VALUE!</v>
      </c>
      <c r="P2" t="e">
        <f>AND(DATA!L12,"AAAAAFvuPA8=")</f>
        <v>#VALUE!</v>
      </c>
      <c r="Q2" t="e">
        <f>AND(DATA!M12,"AAAAAFvuPBA=")</f>
        <v>#VALUE!</v>
      </c>
      <c r="R2" t="e">
        <f>AND(DATA!N12,"AAAAAFvuPBE=")</f>
        <v>#VALUE!</v>
      </c>
      <c r="S2" t="e">
        <f>AND(DATA!O12,"AAAAAFvuPBI=")</f>
        <v>#VALUE!</v>
      </c>
      <c r="T2" t="e">
        <f>AND(DATA!P12,"AAAAAFvuPBM=")</f>
        <v>#VALUE!</v>
      </c>
      <c r="U2" t="e">
        <f>AND(DATA!Q12,"AAAAAFvuPBQ=")</f>
        <v>#VALUE!</v>
      </c>
      <c r="V2" t="e">
        <f>AND(DATA!R12,"AAAAAFvuPBU=")</f>
        <v>#VALUE!</v>
      </c>
      <c r="W2" t="e">
        <f>AND(DATA!S12,"AAAAAFvuPBY=")</f>
        <v>#VALUE!</v>
      </c>
      <c r="X2" t="e">
        <f>AND(DATA!T12,"AAAAAFvuPBc=")</f>
        <v>#VALUE!</v>
      </c>
      <c r="Y2" t="e">
        <f>AND(DATA!U12,"AAAAAFvuPBg=")</f>
        <v>#VALUE!</v>
      </c>
      <c r="Z2" t="e">
        <f>AND(DATA!V12,"AAAAAFvuPBk=")</f>
        <v>#VALUE!</v>
      </c>
      <c r="AA2" t="e">
        <f>AND(DATA!W12,"AAAAAFvuPBo=")</f>
        <v>#VALUE!</v>
      </c>
      <c r="AB2" t="e">
        <f>AND(DATA!X12,"AAAAAFvuPBs=")</f>
        <v>#VALUE!</v>
      </c>
      <c r="AC2" t="e">
        <f>AND(DATA!Y12,"AAAAAFvuPBw=")</f>
        <v>#VALUE!</v>
      </c>
      <c r="AD2" t="e">
        <f>AND(DATA!Z12,"AAAAAFvuPB0=")</f>
        <v>#VALUE!</v>
      </c>
      <c r="AE2">
        <f>IF(DATA!13:13,"AAAAAFvuPB4=",0)</f>
        <v>0</v>
      </c>
      <c r="AF2" t="e">
        <f>AND(DATA!A13,"AAAAAFvuPB8=")</f>
        <v>#VALUE!</v>
      </c>
      <c r="AG2" t="e">
        <f>AND(DATA!B13,"AAAAAFvuPCA=")</f>
        <v>#VALUE!</v>
      </c>
      <c r="AH2" t="e">
        <f>AND(DATA!C13,"AAAAAFvuPCE=")</f>
        <v>#VALUE!</v>
      </c>
      <c r="AI2" t="e">
        <f>AND(DATA!D13,"AAAAAFvuPCI=")</f>
        <v>#VALUE!</v>
      </c>
      <c r="AJ2" t="e">
        <f>AND(DATA!E13,"AAAAAFvuPCM=")</f>
        <v>#VALUE!</v>
      </c>
      <c r="AK2" t="e">
        <f>AND(DATA!F13,"AAAAAFvuPCQ=")</f>
        <v>#VALUE!</v>
      </c>
      <c r="AL2" t="e">
        <f>AND(DATA!G13,"AAAAAFvuPCU=")</f>
        <v>#VALUE!</v>
      </c>
      <c r="AM2" t="e">
        <f>AND(DATA!H13,"AAAAAFvuPCY=")</f>
        <v>#VALUE!</v>
      </c>
      <c r="AN2" t="e">
        <f>AND(DATA!I13,"AAAAAFvuPCc=")</f>
        <v>#VALUE!</v>
      </c>
      <c r="AO2" t="e">
        <f>AND(DATA!J13,"AAAAAFvuPCg=")</f>
        <v>#VALUE!</v>
      </c>
      <c r="AP2" t="e">
        <f>AND(DATA!L13,"AAAAAFvuPCk=")</f>
        <v>#VALUE!</v>
      </c>
      <c r="AQ2" t="e">
        <f>AND(DATA!M13,"AAAAAFvuPCo=")</f>
        <v>#VALUE!</v>
      </c>
      <c r="AR2" t="e">
        <f>AND(DATA!N13,"AAAAAFvuPCs=")</f>
        <v>#VALUE!</v>
      </c>
      <c r="AS2" t="e">
        <f>AND(DATA!O13,"AAAAAFvuPCw=")</f>
        <v>#VALUE!</v>
      </c>
      <c r="AT2" t="e">
        <f>AND(DATA!P13,"AAAAAFvuPC0=")</f>
        <v>#VALUE!</v>
      </c>
      <c r="AU2" t="e">
        <f>AND(DATA!Q13,"AAAAAFvuPC4=")</f>
        <v>#VALUE!</v>
      </c>
      <c r="AV2" t="e">
        <f>AND(DATA!R13,"AAAAAFvuPC8=")</f>
        <v>#VALUE!</v>
      </c>
      <c r="AW2" t="e">
        <f>AND(DATA!S13,"AAAAAFvuPDA=")</f>
        <v>#VALUE!</v>
      </c>
      <c r="AX2" t="e">
        <f>AND(DATA!T13,"AAAAAFvuPDE=")</f>
        <v>#VALUE!</v>
      </c>
      <c r="AY2" t="e">
        <f>AND(DATA!U13,"AAAAAFvuPDI=")</f>
        <v>#VALUE!</v>
      </c>
      <c r="AZ2" t="e">
        <f>AND(DATA!V13,"AAAAAFvuPDM=")</f>
        <v>#VALUE!</v>
      </c>
      <c r="BA2" t="e">
        <f>AND(DATA!W13,"AAAAAFvuPDQ=")</f>
        <v>#VALUE!</v>
      </c>
      <c r="BB2" t="e">
        <f>AND(DATA!X13,"AAAAAFvuPDU=")</f>
        <v>#VALUE!</v>
      </c>
      <c r="BC2" t="e">
        <f>AND(DATA!Y13,"AAAAAFvuPDY=")</f>
        <v>#VALUE!</v>
      </c>
      <c r="BD2" t="e">
        <f>AND(DATA!Z13,"AAAAAFvuPDc=")</f>
        <v>#VALUE!</v>
      </c>
      <c r="BE2">
        <f>IF(DATA!14:14,"AAAAAFvuPDg=",0)</f>
        <v>0</v>
      </c>
      <c r="BF2" t="e">
        <f>AND(DATA!A14,"AAAAAFvuPDk=")</f>
        <v>#VALUE!</v>
      </c>
      <c r="BG2" t="e">
        <f>AND(DATA!B14,"AAAAAFvuPDo=")</f>
        <v>#VALUE!</v>
      </c>
      <c r="BH2" t="e">
        <f>AND(DATA!C14,"AAAAAFvuPDs=")</f>
        <v>#VALUE!</v>
      </c>
      <c r="BI2" t="e">
        <f>AND(DATA!D14,"AAAAAFvuPDw=")</f>
        <v>#VALUE!</v>
      </c>
      <c r="BJ2" t="e">
        <f>AND(DATA!E14,"AAAAAFvuPD0=")</f>
        <v>#VALUE!</v>
      </c>
      <c r="BK2" t="e">
        <f>AND(DATA!F14,"AAAAAFvuPD4=")</f>
        <v>#VALUE!</v>
      </c>
      <c r="BL2" t="e">
        <f>AND(DATA!G14,"AAAAAFvuPD8=")</f>
        <v>#VALUE!</v>
      </c>
      <c r="BM2" t="e">
        <f>AND(DATA!H14,"AAAAAFvuPEA=")</f>
        <v>#VALUE!</v>
      </c>
      <c r="BN2" t="e">
        <f>AND(DATA!I14,"AAAAAFvuPEE=")</f>
        <v>#VALUE!</v>
      </c>
      <c r="BO2" t="e">
        <f>AND(DATA!J14,"AAAAAFvuPEI=")</f>
        <v>#VALUE!</v>
      </c>
      <c r="BP2" t="e">
        <f>AND(DATA!L14,"AAAAAFvuPEM=")</f>
        <v>#VALUE!</v>
      </c>
      <c r="BQ2" t="e">
        <f>AND(DATA!M14,"AAAAAFvuPEQ=")</f>
        <v>#VALUE!</v>
      </c>
      <c r="BR2" t="e">
        <f>AND(DATA!N14,"AAAAAFvuPEU=")</f>
        <v>#VALUE!</v>
      </c>
      <c r="BS2" t="e">
        <f>AND(DATA!O14,"AAAAAFvuPEY=")</f>
        <v>#VALUE!</v>
      </c>
      <c r="BT2" t="e">
        <f>AND(DATA!P14,"AAAAAFvuPEc=")</f>
        <v>#VALUE!</v>
      </c>
      <c r="BU2" t="e">
        <f>AND(DATA!Q14,"AAAAAFvuPEg=")</f>
        <v>#VALUE!</v>
      </c>
      <c r="BV2" t="e">
        <f>AND(DATA!R14,"AAAAAFvuPEk=")</f>
        <v>#VALUE!</v>
      </c>
      <c r="BW2" t="e">
        <f>AND(DATA!S14,"AAAAAFvuPEo=")</f>
        <v>#VALUE!</v>
      </c>
      <c r="BX2" t="e">
        <f>AND(DATA!T14,"AAAAAFvuPEs=")</f>
        <v>#VALUE!</v>
      </c>
      <c r="BY2" t="e">
        <f>AND(DATA!U14,"AAAAAFvuPEw=")</f>
        <v>#VALUE!</v>
      </c>
      <c r="BZ2" t="e">
        <f>AND(DATA!V14,"AAAAAFvuPE0=")</f>
        <v>#VALUE!</v>
      </c>
      <c r="CA2" t="e">
        <f>AND(DATA!W14,"AAAAAFvuPE4=")</f>
        <v>#VALUE!</v>
      </c>
      <c r="CB2" t="e">
        <f>AND(DATA!X14,"AAAAAFvuPE8=")</f>
        <v>#VALUE!</v>
      </c>
      <c r="CC2" t="e">
        <f>AND(DATA!Y14,"AAAAAFvuPFA=")</f>
        <v>#VALUE!</v>
      </c>
      <c r="CD2" t="e">
        <f>AND(DATA!Z14,"AAAAAFvuPFE=")</f>
        <v>#VALUE!</v>
      </c>
      <c r="CE2">
        <f>IF(DATA!15:15,"AAAAAFvuPFI=",0)</f>
        <v>0</v>
      </c>
      <c r="CF2" t="e">
        <f>AND(DATA!A15,"AAAAAFvuPFM=")</f>
        <v>#VALUE!</v>
      </c>
      <c r="CG2" t="e">
        <f>AND(DATA!B15,"AAAAAFvuPFQ=")</f>
        <v>#VALUE!</v>
      </c>
      <c r="CH2" t="e">
        <f>AND(DATA!C15,"AAAAAFvuPFU=")</f>
        <v>#VALUE!</v>
      </c>
      <c r="CI2" t="e">
        <f>AND(DATA!D15,"AAAAAFvuPFY=")</f>
        <v>#VALUE!</v>
      </c>
      <c r="CJ2" t="e">
        <f>AND(DATA!E15,"AAAAAFvuPFc=")</f>
        <v>#VALUE!</v>
      </c>
      <c r="CK2" t="e">
        <f>AND(DATA!F15,"AAAAAFvuPFg=")</f>
        <v>#VALUE!</v>
      </c>
      <c r="CL2" t="e">
        <f>AND(DATA!G15,"AAAAAFvuPFk=")</f>
        <v>#VALUE!</v>
      </c>
      <c r="CM2" t="e">
        <f>AND(DATA!H15,"AAAAAFvuPFo=")</f>
        <v>#VALUE!</v>
      </c>
      <c r="CN2" t="e">
        <f>AND(DATA!I15,"AAAAAFvuPFs=")</f>
        <v>#VALUE!</v>
      </c>
      <c r="CO2" t="e">
        <f>AND(DATA!J15,"AAAAAFvuPFw=")</f>
        <v>#VALUE!</v>
      </c>
      <c r="CP2" t="e">
        <f>AND(DATA!L15,"AAAAAFvuPF0=")</f>
        <v>#VALUE!</v>
      </c>
      <c r="CQ2" t="e">
        <f>AND(DATA!M15,"AAAAAFvuPF4=")</f>
        <v>#VALUE!</v>
      </c>
      <c r="CR2" t="e">
        <f>AND(DATA!N15,"AAAAAFvuPF8=")</f>
        <v>#VALUE!</v>
      </c>
      <c r="CS2" t="e">
        <f>AND(DATA!O15,"AAAAAFvuPGA=")</f>
        <v>#VALUE!</v>
      </c>
      <c r="CT2" t="e">
        <f>AND(DATA!P15,"AAAAAFvuPGE=")</f>
        <v>#VALUE!</v>
      </c>
      <c r="CU2" t="e">
        <f>AND(DATA!Q15,"AAAAAFvuPGI=")</f>
        <v>#VALUE!</v>
      </c>
      <c r="CV2" t="e">
        <f>AND(DATA!R15,"AAAAAFvuPGM=")</f>
        <v>#VALUE!</v>
      </c>
      <c r="CW2" t="e">
        <f>AND(DATA!S15,"AAAAAFvuPGQ=")</f>
        <v>#VALUE!</v>
      </c>
      <c r="CX2" t="e">
        <f>AND(DATA!T15,"AAAAAFvuPGU=")</f>
        <v>#VALUE!</v>
      </c>
      <c r="CY2" t="e">
        <f>AND(DATA!U15,"AAAAAFvuPGY=")</f>
        <v>#VALUE!</v>
      </c>
      <c r="CZ2" t="e">
        <f>AND(DATA!V15,"AAAAAFvuPGc=")</f>
        <v>#VALUE!</v>
      </c>
      <c r="DA2" t="e">
        <f>AND(DATA!W15,"AAAAAFvuPGg=")</f>
        <v>#VALUE!</v>
      </c>
      <c r="DB2" t="e">
        <f>AND(DATA!X15,"AAAAAFvuPGk=")</f>
        <v>#VALUE!</v>
      </c>
      <c r="DC2" t="e">
        <f>AND(DATA!Y15,"AAAAAFvuPGo=")</f>
        <v>#VALUE!</v>
      </c>
      <c r="DD2" t="e">
        <f>AND(DATA!Z15,"AAAAAFvuPGs=")</f>
        <v>#VALUE!</v>
      </c>
      <c r="DE2">
        <f>IF(DATA!16:16,"AAAAAFvuPGw=",0)</f>
        <v>0</v>
      </c>
      <c r="DF2" t="e">
        <f>AND(DATA!A16,"AAAAAFvuPG0=")</f>
        <v>#VALUE!</v>
      </c>
      <c r="DG2" t="e">
        <f>AND(DATA!B16,"AAAAAFvuPG4=")</f>
        <v>#VALUE!</v>
      </c>
      <c r="DH2" t="e">
        <f>AND(DATA!C16,"AAAAAFvuPG8=")</f>
        <v>#VALUE!</v>
      </c>
      <c r="DI2" t="e">
        <f>AND(DATA!D16,"AAAAAFvuPHA=")</f>
        <v>#VALUE!</v>
      </c>
      <c r="DJ2" t="e">
        <f>AND(DATA!E16,"AAAAAFvuPHE=")</f>
        <v>#VALUE!</v>
      </c>
      <c r="DK2" t="e">
        <f>AND(DATA!F16,"AAAAAFvuPHI=")</f>
        <v>#VALUE!</v>
      </c>
      <c r="DL2" t="e">
        <f>AND(DATA!G16,"AAAAAFvuPHM=")</f>
        <v>#VALUE!</v>
      </c>
      <c r="DM2" t="e">
        <f>AND(DATA!H16,"AAAAAFvuPHQ=")</f>
        <v>#VALUE!</v>
      </c>
      <c r="DN2" t="e">
        <f>AND(DATA!I16,"AAAAAFvuPHU=")</f>
        <v>#VALUE!</v>
      </c>
      <c r="DO2" t="e">
        <f>AND(DATA!J16,"AAAAAFvuPHY=")</f>
        <v>#VALUE!</v>
      </c>
      <c r="DP2" t="e">
        <f>AND(DATA!L16,"AAAAAFvuPHc=")</f>
        <v>#VALUE!</v>
      </c>
      <c r="DQ2" t="e">
        <f>AND(DATA!M16,"AAAAAFvuPHg=")</f>
        <v>#VALUE!</v>
      </c>
      <c r="DR2" t="e">
        <f>AND(DATA!N16,"AAAAAFvuPHk=")</f>
        <v>#VALUE!</v>
      </c>
      <c r="DS2" t="e">
        <f>AND(DATA!O16,"AAAAAFvuPHo=")</f>
        <v>#VALUE!</v>
      </c>
      <c r="DT2" t="e">
        <f>AND(DATA!P16,"AAAAAFvuPHs=")</f>
        <v>#VALUE!</v>
      </c>
      <c r="DU2" t="e">
        <f>AND(DATA!Q16,"AAAAAFvuPHw=")</f>
        <v>#VALUE!</v>
      </c>
      <c r="DV2" t="e">
        <f>AND(DATA!R16,"AAAAAFvuPH0=")</f>
        <v>#VALUE!</v>
      </c>
      <c r="DW2" t="e">
        <f>AND(DATA!S16,"AAAAAFvuPH4=")</f>
        <v>#VALUE!</v>
      </c>
      <c r="DX2" t="e">
        <f>AND(DATA!T16,"AAAAAFvuPH8=")</f>
        <v>#VALUE!</v>
      </c>
      <c r="DY2" t="e">
        <f>AND(DATA!U16,"AAAAAFvuPIA=")</f>
        <v>#VALUE!</v>
      </c>
      <c r="DZ2" t="e">
        <f>AND(DATA!V16,"AAAAAFvuPIE=")</f>
        <v>#VALUE!</v>
      </c>
      <c r="EA2" t="e">
        <f>AND(DATA!W16,"AAAAAFvuPII=")</f>
        <v>#VALUE!</v>
      </c>
      <c r="EB2" t="e">
        <f>AND(DATA!X16,"AAAAAFvuPIM=")</f>
        <v>#VALUE!</v>
      </c>
      <c r="EC2" t="e">
        <f>AND(DATA!Y16,"AAAAAFvuPIQ=")</f>
        <v>#VALUE!</v>
      </c>
      <c r="ED2" t="e">
        <f>AND(DATA!Z16,"AAAAAFvuPIU=")</f>
        <v>#VALUE!</v>
      </c>
      <c r="EE2" t="e">
        <f>IF(DATA!A:A,"AAAAAFvuPIY=",0)</f>
        <v>#VALUE!</v>
      </c>
      <c r="EF2" t="str">
        <f>IF(DATA!B:B,"AAAAAFvuPIc=",0)</f>
        <v>AAAAAFvuPIc=</v>
      </c>
      <c r="EG2" t="e">
        <f>IF(DATA!C:C,"AAAAAFvuPIg=",0)</f>
        <v>#VALUE!</v>
      </c>
      <c r="EH2" t="e">
        <f>IF(DATA!D:D,"AAAAAFvuPIk=",0)</f>
        <v>#VALUE!</v>
      </c>
      <c r="EI2" t="str">
        <f>IF(DATA!E:E,"AAAAAFvuPIo=",0)</f>
        <v>AAAAAFvuPIo=</v>
      </c>
      <c r="EJ2" t="str">
        <f>IF(DATA!F:F,"AAAAAFvuPIs=",0)</f>
        <v>AAAAAFvuPIs=</v>
      </c>
      <c r="EK2" t="str">
        <f>IF(DATA!G:G,"AAAAAFvuPIw=",0)</f>
        <v>AAAAAFvuPIw=</v>
      </c>
      <c r="EL2" t="str">
        <f>IF(DATA!H:H,"AAAAAFvuPI0=",0)</f>
        <v>AAAAAFvuPI0=</v>
      </c>
      <c r="EM2" t="str">
        <f>IF(DATA!I:I,"AAAAAFvuPI4=",0)</f>
        <v>AAAAAFvuPI4=</v>
      </c>
      <c r="EN2" t="str">
        <f>IF(DATA!J:J,"AAAAAFvuPI8=",0)</f>
        <v>AAAAAFvuPI8=</v>
      </c>
      <c r="EO2" t="e">
        <f>IF(DATA!L:L,"AAAAAFvuPJA=",0)</f>
        <v>#VALUE!</v>
      </c>
      <c r="EP2">
        <f>IF(DATA!M:M,"AAAAAFvuPJE=",0)</f>
        <v>0</v>
      </c>
      <c r="EQ2">
        <f>IF(DATA!N:N,"AAAAAFvuPJI=",0)</f>
        <v>0</v>
      </c>
      <c r="ER2">
        <f>IF(DATA!O:O,"AAAAAFvuPJM=",0)</f>
        <v>0</v>
      </c>
      <c r="ES2">
        <f>IF(DATA!P:P,"AAAAAFvuPJQ=",0)</f>
        <v>0</v>
      </c>
      <c r="ET2">
        <f>IF(DATA!Q:Q,"AAAAAFvuPJU=",0)</f>
        <v>0</v>
      </c>
      <c r="EU2" t="e">
        <f>IF(DATA!R:R,"AAAAAFvuPJY=",0)</f>
        <v>#VALUE!</v>
      </c>
      <c r="EV2" t="str">
        <f>IF(DATA!S:S,"AAAAAFvuPJc=",0)</f>
        <v>AAAAAFvuPJc=</v>
      </c>
      <c r="EW2" t="str">
        <f>IF(DATA!T:T,"AAAAAFvuPJg=",0)</f>
        <v>AAAAAFvuPJg=</v>
      </c>
      <c r="EX2">
        <f>IF(DATA!U:U,"AAAAAFvuPJk=",0)</f>
        <v>0</v>
      </c>
      <c r="EY2" t="e">
        <f>IF(DATA!V:V,"AAAAAFvuPJo=",0)</f>
        <v>#VALUE!</v>
      </c>
      <c r="EZ2" t="str">
        <f>IF(DATA!W:W,"AAAAAFvuPJs=",0)</f>
        <v>AAAAAFvuPJs=</v>
      </c>
      <c r="FA2">
        <f>IF(DATA!X:X,"AAAAAFvuPJw=",0)</f>
        <v>0</v>
      </c>
      <c r="FB2" t="e">
        <f>IF(DATA!Y:Y,"AAAAAFvuPJ0=",0)</f>
        <v>#VALUE!</v>
      </c>
      <c r="FC2" t="str">
        <f>IF(DATA!Z:Z,"AAAAAFvuPJ4=",0)</f>
        <v>AAAAAFvuPJ4=</v>
      </c>
      <c r="FD2">
        <f>IF(DATA!AA:AA,"AAAAAFvuPJ8=",0)</f>
        <v>0</v>
      </c>
      <c r="FE2" t="e">
        <f>IF(#REF!,"AAAAAFvuPKA=",0)</f>
        <v>#REF!</v>
      </c>
      <c r="FF2" t="e">
        <f>AND(#REF!,"AAAAAFvuPKE=")</f>
        <v>#REF!</v>
      </c>
      <c r="FG2" t="e">
        <f>IF(#REF!,"AAAAAFvuPKI=",0)</f>
        <v>#REF!</v>
      </c>
      <c r="FH2" t="e">
        <f>IF(#REF!,"AAAAAFvuPKM=",0)</f>
        <v>#REF!</v>
      </c>
      <c r="FI2" t="e">
        <f>AND(#REF!,"AAAAAFvuPKQ=")</f>
        <v>#REF!</v>
      </c>
      <c r="FJ2" t="e">
        <f>IF(#REF!,"AAAAAFvuPKU=",0)</f>
        <v>#REF!</v>
      </c>
      <c r="FK2" t="s">
        <v>29</v>
      </c>
      <c r="FL2" s="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 Environnement</dc:creator>
  <cp:lastModifiedBy>Tambou Ignacy (Consultant)</cp:lastModifiedBy>
  <dcterms:created xsi:type="dcterms:W3CDTF">2012-10-04T14:45:49Z</dcterms:created>
  <dcterms:modified xsi:type="dcterms:W3CDTF">2012-10-04T15:37:39Z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Tracking">
    <vt:lpwstr>true</vt:lpwstr>
  </property>
  <property fmtid="{D5CDD505-2E9C-101B-9397-08002B2CF9AE}" pid="3" name="Google.Documents.DocumentId">
    <vt:lpwstr>1m3BUKaq9hf5h08_icNxyYA5eAoiW_yAWsL2BUymlSFA</vt:lpwstr>
  </property>
  <property fmtid="{D5CDD505-2E9C-101B-9397-08002B2CF9AE}" pid="4" name="Google.Documents.RevisionId">
    <vt:lpwstr>02571223989229050226</vt:lpwstr>
  </property>
  <property fmtid="{D5CDD505-2E9C-101B-9397-08002B2CF9AE}" pid="5" name="Google.Documents.PluginVersion">
    <vt:lpwstr>2.0.2662.553</vt:lpwstr>
  </property>
  <property fmtid="{D5CDD505-2E9C-101B-9397-08002B2CF9AE}" pid="6" name="Google.Documents.MergeIncapabilityFlags">
    <vt:i4>0</vt:i4>
  </property>
</Properties>
</file>