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3600" windowWidth="23040" windowHeight="9075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6" l="1"/>
  <c r="C5" i="6" s="1"/>
  <c r="C9" i="17" l="1"/>
  <c r="C8" i="17"/>
  <c r="C7" i="17"/>
  <c r="B10" i="17" l="1"/>
  <c r="B11" i="17"/>
  <c r="B12" i="17"/>
  <c r="D12" i="17" s="1"/>
  <c r="B13" i="17"/>
  <c r="B1" i="18" l="1"/>
  <c r="A4" i="18" l="1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I77" i="6" s="1"/>
  <c r="H78" i="6"/>
  <c r="H77" i="6" s="1"/>
  <c r="G78" i="6"/>
  <c r="G77" i="6" s="1"/>
  <c r="F78" i="6"/>
  <c r="F77" i="6" s="1"/>
  <c r="E78" i="6"/>
  <c r="E77" i="6" s="1"/>
  <c r="D78" i="6"/>
  <c r="D77" i="6" s="1"/>
  <c r="C78" i="6"/>
  <c r="C77" i="6" s="1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I203" i="6" s="1"/>
  <c r="H204" i="6"/>
  <c r="H203" i="6" s="1"/>
  <c r="G204" i="6"/>
  <c r="G203" i="6" s="1"/>
  <c r="F204" i="6"/>
  <c r="F203" i="6" s="1"/>
  <c r="E204" i="6"/>
  <c r="E203" i="6" s="1"/>
  <c r="D204" i="6"/>
  <c r="D203" i="6" s="1"/>
  <c r="C204" i="6"/>
  <c r="C203" i="6" s="1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I185" i="6" s="1"/>
  <c r="H186" i="6"/>
  <c r="H185" i="6" s="1"/>
  <c r="G186" i="6"/>
  <c r="G185" i="6" s="1"/>
  <c r="F186" i="6"/>
  <c r="F185" i="6" s="1"/>
  <c r="E186" i="6"/>
  <c r="E185" i="6" s="1"/>
  <c r="D186" i="6"/>
  <c r="D185" i="6" s="1"/>
  <c r="C186" i="6"/>
  <c r="C185" i="6" s="1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I167" i="6" s="1"/>
  <c r="H168" i="6"/>
  <c r="H167" i="6" s="1"/>
  <c r="G168" i="6"/>
  <c r="G167" i="6" s="1"/>
  <c r="F168" i="6"/>
  <c r="F167" i="6" s="1"/>
  <c r="E168" i="6"/>
  <c r="E167" i="6" s="1"/>
  <c r="D168" i="6"/>
  <c r="D167" i="6" s="1"/>
  <c r="C168" i="6"/>
  <c r="C167" i="6" s="1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I149" i="6" s="1"/>
  <c r="H150" i="6"/>
  <c r="H149" i="6" s="1"/>
  <c r="G150" i="6"/>
  <c r="G149" i="6" s="1"/>
  <c r="F150" i="6"/>
  <c r="F149" i="6" s="1"/>
  <c r="E150" i="6"/>
  <c r="E149" i="6" s="1"/>
  <c r="D150" i="6"/>
  <c r="D149" i="6" s="1"/>
  <c r="C150" i="6"/>
  <c r="C149" i="6" s="1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I131" i="6" s="1"/>
  <c r="H132" i="6"/>
  <c r="H131" i="6" s="1"/>
  <c r="G132" i="6"/>
  <c r="G131" i="6" s="1"/>
  <c r="F132" i="6"/>
  <c r="F131" i="6" s="1"/>
  <c r="E132" i="6"/>
  <c r="E131" i="6" s="1"/>
  <c r="D132" i="6"/>
  <c r="D131" i="6" s="1"/>
  <c r="C132" i="6"/>
  <c r="C131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I113" i="6" s="1"/>
  <c r="H114" i="6"/>
  <c r="H113" i="6" s="1"/>
  <c r="G114" i="6"/>
  <c r="G113" i="6" s="1"/>
  <c r="F114" i="6"/>
  <c r="F113" i="6" s="1"/>
  <c r="E114" i="6"/>
  <c r="E113" i="6" s="1"/>
  <c r="D114" i="6"/>
  <c r="D113" i="6" s="1"/>
  <c r="C114" i="6"/>
  <c r="C113" i="6" s="1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I95" i="6" s="1"/>
  <c r="H96" i="6"/>
  <c r="H95" i="6" s="1"/>
  <c r="G96" i="6"/>
  <c r="G95" i="6" s="1"/>
  <c r="F96" i="6"/>
  <c r="F95" i="6" s="1"/>
  <c r="E96" i="6"/>
  <c r="E95" i="6" s="1"/>
  <c r="D96" i="6"/>
  <c r="D95" i="6" s="1"/>
  <c r="C96" i="6"/>
  <c r="C95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I59" i="6" s="1"/>
  <c r="H60" i="6"/>
  <c r="H59" i="6" s="1"/>
  <c r="G60" i="6"/>
  <c r="G59" i="6" s="1"/>
  <c r="F60" i="6"/>
  <c r="F59" i="6" s="1"/>
  <c r="E60" i="6"/>
  <c r="E59" i="6" s="1"/>
  <c r="D60" i="6"/>
  <c r="D59" i="6" s="1"/>
  <c r="C60" i="6"/>
  <c r="C59" i="6" s="1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I41" i="6" s="1"/>
  <c r="H42" i="6"/>
  <c r="H41" i="6" s="1"/>
  <c r="G42" i="6"/>
  <c r="G41" i="6" s="1"/>
  <c r="F42" i="6"/>
  <c r="F41" i="6" s="1"/>
  <c r="E42" i="6"/>
  <c r="E41" i="6" s="1"/>
  <c r="D42" i="6"/>
  <c r="D41" i="6" s="1"/>
  <c r="C42" i="6"/>
  <c r="C41" i="6" s="1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I23" i="6" s="1"/>
  <c r="H24" i="6"/>
  <c r="H23" i="6" s="1"/>
  <c r="G24" i="6"/>
  <c r="G23" i="6" s="1"/>
  <c r="F24" i="6"/>
  <c r="F23" i="6" s="1"/>
  <c r="E24" i="6"/>
  <c r="E23" i="6" s="1"/>
  <c r="D24" i="6"/>
  <c r="D23" i="6" s="1"/>
  <c r="C24" i="6"/>
  <c r="C23" i="6" s="1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7" i="6"/>
  <c r="P23" i="6" l="1"/>
  <c r="Z23" i="6"/>
  <c r="AJ23" i="6"/>
  <c r="AV23" i="6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M7" i="6" l="1"/>
  <c r="K5" i="6"/>
  <c r="T5" i="6" s="1"/>
  <c r="AC5" i="6" s="1"/>
  <c r="AL5" i="6" s="1"/>
  <c r="AU5" i="6" s="1"/>
  <c r="B23" i="6" s="1"/>
  <c r="K23" i="6" s="1"/>
  <c r="T23" i="6" s="1"/>
  <c r="AC23" i="6" s="1"/>
  <c r="AL23" i="6" s="1"/>
  <c r="AU23" i="6" s="1"/>
  <c r="D25" i="6"/>
  <c r="C25" i="6"/>
  <c r="AR25" i="6" l="1"/>
  <c r="AQ25" i="6"/>
  <c r="B41" i="6"/>
  <c r="K41" i="6" s="1"/>
  <c r="T41" i="6" s="1"/>
  <c r="AC41" i="6" s="1"/>
  <c r="AL41" i="6" s="1"/>
  <c r="C43" i="6"/>
  <c r="D43" i="6"/>
  <c r="H14" i="6" l="1"/>
  <c r="G14" i="6"/>
  <c r="F14" i="6"/>
  <c r="E14" i="6"/>
  <c r="D14" i="6"/>
  <c r="C14" i="6"/>
  <c r="AW190" i="6" l="1"/>
  <c r="AW154" i="6"/>
  <c r="AW100" i="6"/>
  <c r="AW64" i="6"/>
  <c r="D46" i="6"/>
  <c r="C46" i="6"/>
  <c r="M10" i="6" l="1"/>
  <c r="I10" i="6"/>
  <c r="I14" i="6" s="1"/>
  <c r="H10" i="6"/>
  <c r="G10" i="6"/>
  <c r="F10" i="6"/>
  <c r="E10" i="6"/>
  <c r="D10" i="6"/>
  <c r="C10" i="6"/>
  <c r="D28" i="6"/>
  <c r="C28" i="6"/>
  <c r="AR28" i="6"/>
  <c r="AQ28" i="6"/>
  <c r="AW28" i="6"/>
  <c r="AV28" i="6"/>
  <c r="I12" i="6" l="1"/>
  <c r="I13" i="6"/>
  <c r="I11" i="6"/>
  <c r="C8" i="6"/>
  <c r="F13" i="6" l="1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G12" i="6" l="1"/>
  <c r="H12" i="6" s="1"/>
  <c r="G11" i="6"/>
  <c r="H11" i="6" s="1"/>
  <c r="AX32" i="6"/>
  <c r="AT32" i="6"/>
  <c r="AV79" i="6" l="1"/>
  <c r="AV82" i="6" s="1"/>
  <c r="AW79" i="6"/>
  <c r="AW82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X82" i="6" l="1"/>
  <c r="AR4" i="6" l="1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W199" i="6" l="1"/>
  <c r="AW163" i="6"/>
  <c r="AW109" i="6"/>
  <c r="AW91" i="6"/>
  <c r="AV91" i="6"/>
  <c r="AW73" i="6"/>
  <c r="D55" i="6"/>
  <c r="C55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AX91" i="6" l="1"/>
  <c r="AX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J85" i="6"/>
  <c r="AA85" i="6"/>
  <c r="R85" i="6"/>
  <c r="I85" i="6"/>
  <c r="AW84" i="6"/>
  <c r="AV84" i="6"/>
  <c r="AJ84" i="6"/>
  <c r="AA84" i="6"/>
  <c r="R84" i="6"/>
  <c r="I84" i="6"/>
  <c r="AW83" i="6"/>
  <c r="AV83" i="6"/>
  <c r="AJ83" i="6"/>
  <c r="AA83" i="6"/>
  <c r="R83" i="6"/>
  <c r="I83" i="6"/>
  <c r="AW81" i="6"/>
  <c r="AV81" i="6"/>
  <c r="AW80" i="6"/>
  <c r="AV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AV97" i="6" l="1"/>
  <c r="AV98" i="6" s="1"/>
  <c r="AX98" i="6" s="1"/>
  <c r="AX83" i="6"/>
  <c r="AX27" i="6"/>
  <c r="AX30" i="6"/>
  <c r="AX29" i="6"/>
  <c r="AX26" i="6"/>
  <c r="AX84" i="6"/>
  <c r="AX81" i="6"/>
  <c r="AY216" i="6"/>
  <c r="AX80" i="6"/>
  <c r="AY213" i="6"/>
  <c r="AY215" i="6"/>
  <c r="AX31" i="6"/>
  <c r="AX85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G9" i="6"/>
  <c r="H9" i="6"/>
  <c r="I9" i="6"/>
  <c r="C9" i="6"/>
  <c r="AV100" i="6" l="1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V109" i="6" l="1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R120" i="6" l="1"/>
  <c r="AX102" i="6"/>
  <c r="AX101" i="6"/>
  <c r="J9" i="6"/>
  <c r="J10" i="6"/>
  <c r="J11" i="6"/>
  <c r="J12" i="6"/>
  <c r="J13" i="6"/>
  <c r="J14" i="6"/>
  <c r="J15" i="6"/>
  <c r="J16" i="6"/>
  <c r="J17" i="6"/>
  <c r="J18" i="6"/>
  <c r="AY18" i="6" s="1"/>
  <c r="R119" i="6" l="1"/>
  <c r="R121" i="6"/>
  <c r="C19" i="14"/>
  <c r="AY17" i="6"/>
  <c r="AY16" i="6"/>
  <c r="AY15" i="6"/>
  <c r="D8" i="6"/>
  <c r="E8" i="6"/>
  <c r="F8" i="6"/>
  <c r="G8" i="6"/>
  <c r="H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C133" i="6"/>
  <c r="C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C136" i="6" l="1"/>
  <c r="C137" i="6" s="1"/>
  <c r="C145" i="6"/>
  <c r="H112" i="6"/>
  <c r="H94" i="6"/>
  <c r="H76" i="6"/>
  <c r="H58" i="6"/>
  <c r="H40" i="6"/>
  <c r="H22" i="6"/>
  <c r="C139" i="6" l="1"/>
  <c r="C135" i="6"/>
  <c r="C138" i="6"/>
  <c r="R138" i="6" l="1"/>
  <c r="R137" i="6"/>
  <c r="R139" i="6"/>
  <c r="AA139" i="6" l="1"/>
  <c r="AA138" i="6"/>
  <c r="AA137" i="6"/>
  <c r="AW133" i="6"/>
  <c r="AW134" i="6" s="1"/>
  <c r="AJ138" i="6" l="1"/>
  <c r="AJ137" i="6"/>
  <c r="AJ139" i="6"/>
  <c r="AW145" i="6"/>
  <c r="AW136" i="6"/>
  <c r="AW135" i="6" s="1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D187" i="6"/>
  <c r="C187" i="6"/>
  <c r="C188" i="6" l="1"/>
  <c r="C190" i="6"/>
  <c r="C199" i="6" s="1"/>
  <c r="D188" i="6"/>
  <c r="D190" i="6"/>
  <c r="D189" i="6" s="1"/>
  <c r="D199" i="6" l="1"/>
  <c r="D193" i="6"/>
  <c r="C193" i="6"/>
  <c r="D192" i="6"/>
  <c r="C191" i="6"/>
  <c r="C192" i="6"/>
  <c r="D191" i="6"/>
  <c r="C189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5" i="6" l="1"/>
  <c r="C208" i="6" s="1"/>
  <c r="C151" i="6"/>
  <c r="C154" i="6" s="1"/>
  <c r="AJ102" i="6"/>
  <c r="AS25" i="6"/>
  <c r="AS26" i="6" s="1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N7" i="6" l="1"/>
  <c r="N19" i="6" s="1"/>
  <c r="O7" i="6"/>
  <c r="O19" i="6" s="1"/>
  <c r="Q7" i="6"/>
  <c r="Q10" i="6" s="1"/>
  <c r="Q9" i="6" s="1"/>
  <c r="P7" i="6"/>
  <c r="P19" i="6" s="1"/>
  <c r="L7" i="6"/>
  <c r="L10" i="6" s="1"/>
  <c r="R7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S19" i="6" l="1"/>
  <c r="N12" i="6"/>
  <c r="N11" i="6"/>
  <c r="O13" i="6"/>
  <c r="Q13" i="6"/>
  <c r="S8" i="6"/>
  <c r="S10" i="6"/>
  <c r="O12" i="6"/>
  <c r="O11" i="6"/>
  <c r="R9" i="6"/>
  <c r="S9" i="6" s="1"/>
  <c r="R14" i="6"/>
  <c r="S14" i="6" s="1"/>
  <c r="N13" i="6"/>
  <c r="P13" i="6"/>
  <c r="S13" i="6" l="1"/>
  <c r="P11" i="6"/>
  <c r="P12" i="6"/>
  <c r="Q12" i="6" l="1"/>
  <c r="S12" i="6" s="1"/>
  <c r="Q11" i="6"/>
  <c r="S11" i="6" s="1"/>
  <c r="W7" i="6"/>
  <c r="X7" i="6"/>
  <c r="X10" i="6" s="1"/>
  <c r="X9" i="6" s="1"/>
  <c r="V7" i="6"/>
  <c r="V10" i="6" s="1"/>
  <c r="V9" i="6" s="1"/>
  <c r="Z7" i="6"/>
  <c r="Z10" i="6" s="1"/>
  <c r="Z9" i="6" s="1"/>
  <c r="Y7" i="6"/>
  <c r="Y10" i="6" s="1"/>
  <c r="Y9" i="6" s="1"/>
  <c r="AA7" i="6"/>
  <c r="AA10" i="6" s="1"/>
  <c r="U7" i="6"/>
  <c r="U8" i="6" s="1"/>
  <c r="AP7" i="6" l="1"/>
  <c r="AS7" i="6"/>
  <c r="AN7" i="6"/>
  <c r="AO7" i="6"/>
  <c r="AQ7" i="6"/>
  <c r="AR7" i="6"/>
  <c r="AM7" i="6"/>
  <c r="AA9" i="6"/>
  <c r="AA14" i="6"/>
  <c r="AB14" i="6" s="1"/>
  <c r="U10" i="6"/>
  <c r="AA19" i="6"/>
  <c r="AA8" i="6"/>
  <c r="U19" i="6"/>
  <c r="AI7" i="6"/>
  <c r="AJ7" i="6"/>
  <c r="AH7" i="6"/>
  <c r="AE7" i="6"/>
  <c r="AG7" i="6"/>
  <c r="AF7" i="6"/>
  <c r="AD7" i="6"/>
  <c r="Y19" i="6"/>
  <c r="Y8" i="6"/>
  <c r="X8" i="6"/>
  <c r="X19" i="6"/>
  <c r="V8" i="6"/>
  <c r="V19" i="6"/>
  <c r="Z19" i="6"/>
  <c r="Z8" i="6"/>
  <c r="W19" i="6"/>
  <c r="W8" i="6"/>
  <c r="W10" i="6"/>
  <c r="W9" i="6" s="1"/>
  <c r="AB8" i="6" l="1"/>
  <c r="AE8" i="6"/>
  <c r="AE10" i="6"/>
  <c r="AE9" i="6" s="1"/>
  <c r="AI8" i="6"/>
  <c r="AI19" i="6"/>
  <c r="AI10" i="6"/>
  <c r="AI9" i="6" s="1"/>
  <c r="AW7" i="6"/>
  <c r="AV7" i="6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9" i="6"/>
  <c r="AQ10" i="6"/>
  <c r="AQ9" i="6" s="1"/>
  <c r="AB19" i="6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9" i="6"/>
  <c r="AP10" i="6"/>
  <c r="AP9" i="6" s="1"/>
  <c r="Y12" i="6" l="1"/>
  <c r="AN19" i="6"/>
  <c r="Y11" i="6"/>
  <c r="Z11" i="6" s="1"/>
  <c r="AO19" i="6"/>
  <c r="AS13" i="6"/>
  <c r="AS11" i="6"/>
  <c r="AS12" i="6"/>
  <c r="AB13" i="6"/>
  <c r="AW8" i="6"/>
  <c r="AW19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I13" i="6"/>
  <c r="AF13" i="6"/>
  <c r="AE11" i="6"/>
  <c r="AE13" i="6"/>
  <c r="AG13" i="6"/>
  <c r="AD11" i="6"/>
  <c r="AD12" i="6"/>
  <c r="AD13" i="6"/>
  <c r="AD9" i="6"/>
  <c r="AG19" i="6"/>
  <c r="AK8" i="6"/>
  <c r="AQ11" i="6"/>
  <c r="AR12" i="6"/>
  <c r="AP12" i="6"/>
  <c r="AP13" i="6"/>
  <c r="AP11" i="6"/>
  <c r="AN11" i="6"/>
  <c r="AO13" i="6"/>
  <c r="AQ13" i="6"/>
  <c r="AR11" i="6"/>
  <c r="AT10" i="6"/>
  <c r="AO11" i="6"/>
  <c r="AR13" i="6"/>
  <c r="AN13" i="6"/>
  <c r="AQ12" i="6"/>
  <c r="AN12" i="6"/>
  <c r="AO12" i="6"/>
  <c r="AM9" i="6"/>
  <c r="AM11" i="6"/>
  <c r="AM12" i="6"/>
  <c r="AM13" i="6"/>
  <c r="AH19" i="6"/>
  <c r="AT8" i="6"/>
  <c r="F25" i="6"/>
  <c r="G25" i="6"/>
  <c r="H25" i="6"/>
  <c r="I25" i="6"/>
  <c r="E25" i="6"/>
  <c r="AE19" i="6"/>
  <c r="AV8" i="6"/>
  <c r="AV10" i="6"/>
  <c r="AV19" i="6"/>
  <c r="AT19" i="6" l="1"/>
  <c r="Z12" i="6"/>
  <c r="AB12" i="6" s="1"/>
  <c r="AB11" i="6"/>
  <c r="AX8" i="6"/>
  <c r="AY8" i="6" s="1"/>
  <c r="C9" i="14" s="1"/>
  <c r="AK9" i="6"/>
  <c r="AX19" i="6"/>
  <c r="AK19" i="6"/>
  <c r="AT9" i="6"/>
  <c r="AH12" i="6"/>
  <c r="AI12" i="6" s="1"/>
  <c r="AK12" i="6" s="1"/>
  <c r="AH11" i="6"/>
  <c r="AI11" i="6" s="1"/>
  <c r="AK11" i="6" s="1"/>
  <c r="AY14" i="6"/>
  <c r="C15" i="14" s="1"/>
  <c r="O25" i="6"/>
  <c r="N25" i="6"/>
  <c r="P25" i="6"/>
  <c r="R25" i="6"/>
  <c r="L25" i="6"/>
  <c r="Q25" i="6"/>
  <c r="M25" i="6"/>
  <c r="I37" i="6"/>
  <c r="I26" i="6"/>
  <c r="I28" i="6"/>
  <c r="AK13" i="6"/>
  <c r="H37" i="6"/>
  <c r="H26" i="6"/>
  <c r="H28" i="6"/>
  <c r="H27" i="6" s="1"/>
  <c r="AT13" i="6"/>
  <c r="G37" i="6"/>
  <c r="G26" i="6"/>
  <c r="G28" i="6"/>
  <c r="G27" i="6" s="1"/>
  <c r="AT12" i="6"/>
  <c r="AW13" i="6"/>
  <c r="AW12" i="6"/>
  <c r="AX10" i="6"/>
  <c r="AY10" i="6" s="1"/>
  <c r="C11" i="14" s="1"/>
  <c r="AW11" i="6"/>
  <c r="AV11" i="6"/>
  <c r="AV9" i="6"/>
  <c r="AX9" i="6" s="1"/>
  <c r="AV12" i="6"/>
  <c r="AV13" i="6"/>
  <c r="F37" i="6"/>
  <c r="F26" i="6"/>
  <c r="F28" i="6"/>
  <c r="F27" i="6" s="1"/>
  <c r="AT11" i="6"/>
  <c r="E26" i="6"/>
  <c r="E37" i="6"/>
  <c r="E28" i="6"/>
  <c r="AY19" i="6" l="1"/>
  <c r="C20" i="14" s="1"/>
  <c r="C8" i="14" s="1"/>
  <c r="AY9" i="6"/>
  <c r="C10" i="14" s="1"/>
  <c r="AX13" i="6"/>
  <c r="AY13" i="6" s="1"/>
  <c r="C14" i="14" s="1"/>
  <c r="J37" i="6"/>
  <c r="AX11" i="6"/>
  <c r="AY11" i="6" s="1"/>
  <c r="C12" i="14" s="1"/>
  <c r="L26" i="6"/>
  <c r="L37" i="6"/>
  <c r="L28" i="6"/>
  <c r="R26" i="6"/>
  <c r="R37" i="6"/>
  <c r="R28" i="6"/>
  <c r="P37" i="6"/>
  <c r="P26" i="6"/>
  <c r="P28" i="6"/>
  <c r="P27" i="6" s="1"/>
  <c r="N37" i="6"/>
  <c r="N26" i="6"/>
  <c r="N28" i="6"/>
  <c r="N27" i="6" s="1"/>
  <c r="H31" i="6"/>
  <c r="G31" i="6"/>
  <c r="G30" i="6"/>
  <c r="H29" i="6"/>
  <c r="H30" i="6"/>
  <c r="F29" i="6"/>
  <c r="F31" i="6"/>
  <c r="F30" i="6"/>
  <c r="G29" i="6"/>
  <c r="J28" i="6"/>
  <c r="E27" i="6"/>
  <c r="E30" i="6"/>
  <c r="E29" i="6"/>
  <c r="E31" i="6"/>
  <c r="AX12" i="6"/>
  <c r="AY12" i="6" s="1"/>
  <c r="O37" i="6"/>
  <c r="O26" i="6"/>
  <c r="O28" i="6"/>
  <c r="O27" i="6" s="1"/>
  <c r="Z25" i="6"/>
  <c r="V25" i="6"/>
  <c r="Y25" i="6"/>
  <c r="AA25" i="6"/>
  <c r="U25" i="6"/>
  <c r="W25" i="6"/>
  <c r="X25" i="6"/>
  <c r="J26" i="6"/>
  <c r="I27" i="6"/>
  <c r="I32" i="6"/>
  <c r="J32" i="6" s="1"/>
  <c r="M37" i="6"/>
  <c r="M26" i="6"/>
  <c r="M28" i="6"/>
  <c r="M27" i="6" s="1"/>
  <c r="Q37" i="6"/>
  <c r="Q26" i="6"/>
  <c r="Q28" i="6"/>
  <c r="Q27" i="6" s="1"/>
  <c r="J29" i="6" l="1"/>
  <c r="AZ5" i="6"/>
  <c r="C13" i="14"/>
  <c r="AA37" i="6"/>
  <c r="AA26" i="6"/>
  <c r="AA28" i="6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S37" i="6"/>
  <c r="Z26" i="6"/>
  <c r="Z37" i="6"/>
  <c r="Z28" i="6"/>
  <c r="Z27" i="6" s="1"/>
  <c r="S26" i="6"/>
  <c r="AJ25" i="6"/>
  <c r="AE25" i="6"/>
  <c r="AF25" i="6"/>
  <c r="AI25" i="6"/>
  <c r="AG25" i="6"/>
  <c r="AD25" i="6"/>
  <c r="AH25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P30" i="6" l="1"/>
  <c r="Q30" i="6" s="1"/>
  <c r="S30" i="6" s="1"/>
  <c r="P29" i="6"/>
  <c r="Q29" i="6" s="1"/>
  <c r="AO25" i="6"/>
  <c r="AO28" i="6" s="1"/>
  <c r="AO27" i="6" s="1"/>
  <c r="AP25" i="6"/>
  <c r="AN25" i="6"/>
  <c r="AM25" i="6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Z31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B59" i="6" l="1"/>
  <c r="AV43" i="6"/>
  <c r="AW43" i="6"/>
  <c r="AF37" i="6"/>
  <c r="AE37" i="6"/>
  <c r="S29" i="6"/>
  <c r="AG37" i="6"/>
  <c r="AH37" i="6"/>
  <c r="AO26" i="6"/>
  <c r="AO37" i="6"/>
  <c r="AP28" i="6"/>
  <c r="AP27" i="6" s="1"/>
  <c r="AP37" i="6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F43" i="6"/>
  <c r="G43" i="6"/>
  <c r="H43" i="6"/>
  <c r="I43" i="6"/>
  <c r="E43" i="6"/>
  <c r="AM37" i="6"/>
  <c r="AM28" i="6"/>
  <c r="AM26" i="6"/>
  <c r="AK26" i="6"/>
  <c r="AN26" i="6"/>
  <c r="AN37" i="6"/>
  <c r="AN28" i="6"/>
  <c r="AN27" i="6" s="1"/>
  <c r="AJ32" i="6"/>
  <c r="AK32" i="6" s="1"/>
  <c r="AY32" i="6" s="1"/>
  <c r="D15" i="14" s="1"/>
  <c r="AJ27" i="6"/>
  <c r="AB31" i="6"/>
  <c r="AW46" i="6" l="1"/>
  <c r="AW45" i="6" s="1"/>
  <c r="AW55" i="6"/>
  <c r="AW44" i="6"/>
  <c r="AV46" i="6"/>
  <c r="AV55" i="6"/>
  <c r="AX55" i="6" s="1"/>
  <c r="AV44" i="6"/>
  <c r="AH30" i="6"/>
  <c r="AI30" i="6" s="1"/>
  <c r="AH29" i="6"/>
  <c r="AI29" i="6" s="1"/>
  <c r="AK29" i="6" s="1"/>
  <c r="AK37" i="6"/>
  <c r="AK31" i="6"/>
  <c r="AT37" i="6"/>
  <c r="AT26" i="6"/>
  <c r="AY26" i="6" s="1"/>
  <c r="D9" i="14" s="1"/>
  <c r="I55" i="6"/>
  <c r="I44" i="6"/>
  <c r="I46" i="6"/>
  <c r="H55" i="6"/>
  <c r="H44" i="6"/>
  <c r="H46" i="6"/>
  <c r="H45" i="6" s="1"/>
  <c r="G55" i="6"/>
  <c r="G44" i="6"/>
  <c r="G46" i="6"/>
  <c r="G45" i="6" s="1"/>
  <c r="F44" i="6"/>
  <c r="F46" i="6"/>
  <c r="F45" i="6" s="1"/>
  <c r="F55" i="6"/>
  <c r="E55" i="6"/>
  <c r="E46" i="6"/>
  <c r="E44" i="6"/>
  <c r="AK27" i="6"/>
  <c r="AN31" i="6"/>
  <c r="AN30" i="6"/>
  <c r="AP29" i="6"/>
  <c r="AS31" i="6"/>
  <c r="AQ30" i="6"/>
  <c r="AO30" i="6"/>
  <c r="AT28" i="6"/>
  <c r="AY28" i="6" s="1"/>
  <c r="D11" i="14" s="1"/>
  <c r="AN29" i="6"/>
  <c r="AR30" i="6"/>
  <c r="AP30" i="6"/>
  <c r="AP31" i="6"/>
  <c r="AR31" i="6"/>
  <c r="AS29" i="6"/>
  <c r="AR29" i="6"/>
  <c r="AQ29" i="6"/>
  <c r="AM27" i="6"/>
  <c r="AT27" i="6" s="1"/>
  <c r="AO29" i="6"/>
  <c r="AO31" i="6"/>
  <c r="AS30" i="6"/>
  <c r="AQ31" i="6"/>
  <c r="AM31" i="6"/>
  <c r="AM30" i="6"/>
  <c r="AM29" i="6"/>
  <c r="P43" i="6"/>
  <c r="O43" i="6"/>
  <c r="M43" i="6"/>
  <c r="N43" i="6"/>
  <c r="Q43" i="6"/>
  <c r="R43" i="6"/>
  <c r="L43" i="6"/>
  <c r="AX46" i="6" l="1"/>
  <c r="AW49" i="6"/>
  <c r="AW48" i="6"/>
  <c r="AW47" i="6"/>
  <c r="AV47" i="6"/>
  <c r="AX47" i="6" s="1"/>
  <c r="AV45" i="6"/>
  <c r="AX45" i="6" s="1"/>
  <c r="AV49" i="6"/>
  <c r="AX49" i="6" s="1"/>
  <c r="AV48" i="6"/>
  <c r="AX44" i="6"/>
  <c r="AK30" i="6"/>
  <c r="AY37" i="6"/>
  <c r="D20" i="14" s="1"/>
  <c r="D8" i="14" s="1"/>
  <c r="AT29" i="6"/>
  <c r="AY29" i="6" s="1"/>
  <c r="D12" i="14" s="1"/>
  <c r="J44" i="6"/>
  <c r="AT30" i="6"/>
  <c r="AY30" i="6" s="1"/>
  <c r="D13" i="14" s="1"/>
  <c r="AT31" i="6"/>
  <c r="AY31" i="6" s="1"/>
  <c r="D14" i="14" s="1"/>
  <c r="J55" i="6"/>
  <c r="P44" i="6"/>
  <c r="P46" i="6"/>
  <c r="P45" i="6" s="1"/>
  <c r="AY27" i="6"/>
  <c r="D10" i="14" s="1"/>
  <c r="F48" i="6"/>
  <c r="G49" i="6"/>
  <c r="F49" i="6"/>
  <c r="G48" i="6"/>
  <c r="H49" i="6"/>
  <c r="H48" i="6"/>
  <c r="F47" i="6"/>
  <c r="G47" i="6"/>
  <c r="H47" i="6"/>
  <c r="J46" i="6"/>
  <c r="E49" i="6"/>
  <c r="E45" i="6"/>
  <c r="E47" i="6"/>
  <c r="E48" i="6"/>
  <c r="Y43" i="6"/>
  <c r="W43" i="6"/>
  <c r="Z43" i="6"/>
  <c r="X43" i="6"/>
  <c r="AA43" i="6"/>
  <c r="U43" i="6"/>
  <c r="V43" i="6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X48" i="6" l="1"/>
  <c r="AZ23" i="6"/>
  <c r="BA23" i="6" s="1"/>
  <c r="D22" i="14" s="1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G43" i="6"/>
  <c r="AE43" i="6"/>
  <c r="AH43" i="6"/>
  <c r="AI43" i="6"/>
  <c r="AF43" i="6"/>
  <c r="AJ43" i="6"/>
  <c r="AD43" i="6"/>
  <c r="X55" i="6" l="1"/>
  <c r="Y55" i="6"/>
  <c r="W55" i="6"/>
  <c r="V55" i="6"/>
  <c r="D21" i="14"/>
  <c r="AR43" i="6"/>
  <c r="AR55" i="6" s="1"/>
  <c r="AS43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AO43" i="6"/>
  <c r="AP43" i="6"/>
  <c r="AN43" i="6"/>
  <c r="AQ43" i="6"/>
  <c r="AM43" i="6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K59" i="6" l="1"/>
  <c r="T59" i="6" s="1"/>
  <c r="AC59" i="6" s="1"/>
  <c r="AL59" i="6" s="1"/>
  <c r="AU59" i="6" s="1"/>
  <c r="B77" i="6" s="1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C61" i="6"/>
  <c r="F61" i="6"/>
  <c r="G61" i="6"/>
  <c r="E61" i="6"/>
  <c r="D61" i="6"/>
  <c r="AS46" i="6"/>
  <c r="AS55" i="6"/>
  <c r="AS44" i="6"/>
  <c r="AB45" i="6"/>
  <c r="AK44" i="6"/>
  <c r="AN55" i="6"/>
  <c r="AN44" i="6"/>
  <c r="AN46" i="6"/>
  <c r="AN45" i="6" s="1"/>
  <c r="AJ45" i="6"/>
  <c r="AJ50" i="6"/>
  <c r="AK50" i="6" s="1"/>
  <c r="AP55" i="6"/>
  <c r="AP44" i="6"/>
  <c r="AP46" i="6"/>
  <c r="AP45" i="6" s="1"/>
  <c r="AO55" i="6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I61" i="6"/>
  <c r="H61" i="6"/>
  <c r="AM44" i="6"/>
  <c r="AM55" i="6"/>
  <c r="AM46" i="6"/>
  <c r="AQ55" i="6"/>
  <c r="AQ44" i="6"/>
  <c r="AQ46" i="6"/>
  <c r="AQ45" i="6" s="1"/>
  <c r="AK55" i="6" l="1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N61" i="6"/>
  <c r="M61" i="6"/>
  <c r="Q61" i="6"/>
  <c r="R61" i="6"/>
  <c r="P61" i="6"/>
  <c r="O61" i="6"/>
  <c r="L61" i="6"/>
  <c r="AT55" i="6"/>
  <c r="H62" i="6"/>
  <c r="H73" i="6"/>
  <c r="H64" i="6"/>
  <c r="AK49" i="6"/>
  <c r="I73" i="6"/>
  <c r="I62" i="6"/>
  <c r="I64" i="6"/>
  <c r="AY55" i="6" l="1"/>
  <c r="E20" i="14" s="1"/>
  <c r="E8" i="14" s="1"/>
  <c r="AQ47" i="6"/>
  <c r="AQ48" i="6"/>
  <c r="AR48" i="6" s="1"/>
  <c r="C63" i="6"/>
  <c r="C67" i="6"/>
  <c r="C66" i="6"/>
  <c r="C65" i="6"/>
  <c r="G65" i="6" s="1"/>
  <c r="H65" i="6" s="1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W61" i="6"/>
  <c r="Z61" i="6"/>
  <c r="V61" i="6"/>
  <c r="X61" i="6"/>
  <c r="AA61" i="6"/>
  <c r="Y61" i="6"/>
  <c r="U61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N73" i="6" l="1"/>
  <c r="AS48" i="6"/>
  <c r="AT48" i="6" s="1"/>
  <c r="AY48" i="6" s="1"/>
  <c r="M73" i="6"/>
  <c r="AR47" i="6"/>
  <c r="AS47" i="6" s="1"/>
  <c r="P73" i="6"/>
  <c r="O73" i="6"/>
  <c r="H66" i="6"/>
  <c r="G66" i="6"/>
  <c r="J73" i="6"/>
  <c r="J65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AE61" i="6"/>
  <c r="AF61" i="6"/>
  <c r="AH61" i="6"/>
  <c r="AI61" i="6"/>
  <c r="AG61" i="6"/>
  <c r="AJ61" i="6"/>
  <c r="AD61" i="6"/>
  <c r="AV61" i="6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W73" i="6" l="1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V62" i="6"/>
  <c r="AX62" i="6" s="1"/>
  <c r="AV64" i="6"/>
  <c r="AV73" i="6" s="1"/>
  <c r="AX73" i="6" s="1"/>
  <c r="AE62" i="6"/>
  <c r="AE64" i="6"/>
  <c r="AE63" i="6" s="1"/>
  <c r="AP61" i="6"/>
  <c r="AQ61" i="6"/>
  <c r="AO61" i="6"/>
  <c r="AN61" i="6"/>
  <c r="AS61" i="6"/>
  <c r="AR61" i="6"/>
  <c r="AM61" i="6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K77" i="6" l="1"/>
  <c r="T77" i="6" s="1"/>
  <c r="AC77" i="6" s="1"/>
  <c r="AL77" i="6" s="1"/>
  <c r="AF73" i="6"/>
  <c r="AH73" i="6"/>
  <c r="AG73" i="6"/>
  <c r="AE73" i="6"/>
  <c r="AB73" i="6"/>
  <c r="S65" i="6"/>
  <c r="AV66" i="6"/>
  <c r="AV65" i="6"/>
  <c r="AV67" i="6"/>
  <c r="AW66" i="6"/>
  <c r="AV63" i="6"/>
  <c r="AX63" i="6" s="1"/>
  <c r="AW65" i="6"/>
  <c r="AX64" i="6"/>
  <c r="AW67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G79" i="6"/>
  <c r="H79" i="6"/>
  <c r="F79" i="6"/>
  <c r="D79" i="6"/>
  <c r="E79" i="6"/>
  <c r="I79" i="6"/>
  <c r="C79" i="6"/>
  <c r="AR62" i="6"/>
  <c r="AR73" i="6"/>
  <c r="AR64" i="6"/>
  <c r="AR63" i="6" s="1"/>
  <c r="AS62" i="6"/>
  <c r="AS73" i="6"/>
  <c r="AS64" i="6"/>
  <c r="AU77" i="6" l="1"/>
  <c r="B95" i="6" s="1"/>
  <c r="AR79" i="6"/>
  <c r="AS79" i="6"/>
  <c r="AK73" i="6"/>
  <c r="AH65" i="6"/>
  <c r="AI65" i="6" s="1"/>
  <c r="AK65" i="6" s="1"/>
  <c r="AH66" i="6"/>
  <c r="AI66" i="6" s="1"/>
  <c r="AK66" i="6" s="1"/>
  <c r="AX66" i="6"/>
  <c r="AM73" i="6"/>
  <c r="AS66" i="6"/>
  <c r="AS65" i="6"/>
  <c r="AS67" i="6"/>
  <c r="AX67" i="6"/>
  <c r="AX65" i="6"/>
  <c r="AP73" i="6"/>
  <c r="I80" i="6"/>
  <c r="I91" i="6"/>
  <c r="I82" i="6"/>
  <c r="E80" i="6"/>
  <c r="E82" i="6"/>
  <c r="E81" i="6" s="1"/>
  <c r="D80" i="6"/>
  <c r="D82" i="6"/>
  <c r="D81" i="6" s="1"/>
  <c r="AT62" i="6"/>
  <c r="AY62" i="6" s="1"/>
  <c r="F9" i="14" s="1"/>
  <c r="F80" i="6"/>
  <c r="F82" i="6"/>
  <c r="F81" i="6" s="1"/>
  <c r="AO66" i="6"/>
  <c r="AP66" i="6"/>
  <c r="AR67" i="6"/>
  <c r="AP67" i="6"/>
  <c r="AN67" i="6"/>
  <c r="AO67" i="6"/>
  <c r="AQ67" i="6"/>
  <c r="AN66" i="6"/>
  <c r="AN65" i="6"/>
  <c r="AT64" i="6"/>
  <c r="AY64" i="6" s="1"/>
  <c r="F11" i="14" s="1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H80" i="6"/>
  <c r="H91" i="6"/>
  <c r="H82" i="6"/>
  <c r="H81" i="6" s="1"/>
  <c r="AO73" i="6"/>
  <c r="G80" i="6"/>
  <c r="G82" i="6"/>
  <c r="G81" i="6" s="1"/>
  <c r="AQ73" i="6"/>
  <c r="AK67" i="6"/>
  <c r="R79" i="6"/>
  <c r="M79" i="6"/>
  <c r="Q79" i="6"/>
  <c r="O79" i="6"/>
  <c r="P79" i="6"/>
  <c r="N79" i="6"/>
  <c r="L79" i="6"/>
  <c r="C82" i="6"/>
  <c r="C91" i="6"/>
  <c r="C80" i="6"/>
  <c r="AK63" i="6"/>
  <c r="AS82" i="6" l="1"/>
  <c r="AS91" i="6"/>
  <c r="AS80" i="6"/>
  <c r="AR82" i="6"/>
  <c r="AR81" i="6" s="1"/>
  <c r="AR91" i="6"/>
  <c r="AR80" i="6"/>
  <c r="D97" i="6"/>
  <c r="E97" i="6"/>
  <c r="C97" i="6"/>
  <c r="G91" i="6"/>
  <c r="F91" i="6"/>
  <c r="D91" i="6"/>
  <c r="E91" i="6"/>
  <c r="AQ66" i="6"/>
  <c r="AR66" i="6" s="1"/>
  <c r="AT73" i="6"/>
  <c r="AY73" i="6" s="1"/>
  <c r="F20" i="14" s="1"/>
  <c r="F8" i="14" s="1"/>
  <c r="AT63" i="6"/>
  <c r="AY63" i="6" s="1"/>
  <c r="F10" i="14" s="1"/>
  <c r="J80" i="6"/>
  <c r="P80" i="6"/>
  <c r="P82" i="6"/>
  <c r="P81" i="6" s="1"/>
  <c r="I81" i="6"/>
  <c r="I86" i="6"/>
  <c r="J86" i="6" s="1"/>
  <c r="O80" i="6"/>
  <c r="O82" i="6"/>
  <c r="O81" i="6" s="1"/>
  <c r="Q80" i="6"/>
  <c r="Q91" i="6"/>
  <c r="Q82" i="6"/>
  <c r="Q81" i="6" s="1"/>
  <c r="M80" i="6"/>
  <c r="M82" i="6"/>
  <c r="M81" i="6" s="1"/>
  <c r="AQ65" i="6"/>
  <c r="AR65" i="6" s="1"/>
  <c r="AT65" i="6" s="1"/>
  <c r="AY65" i="6" s="1"/>
  <c r="F12" i="14" s="1"/>
  <c r="R91" i="6"/>
  <c r="R80" i="6"/>
  <c r="R82" i="6"/>
  <c r="AT67" i="6"/>
  <c r="AY67" i="6" s="1"/>
  <c r="F14" i="14" s="1"/>
  <c r="V79" i="6"/>
  <c r="W79" i="6"/>
  <c r="X79" i="6"/>
  <c r="Y79" i="6"/>
  <c r="AA79" i="6"/>
  <c r="Z79" i="6"/>
  <c r="U79" i="6"/>
  <c r="L80" i="6"/>
  <c r="L82" i="6"/>
  <c r="L91" i="6" s="1"/>
  <c r="E83" i="6"/>
  <c r="H84" i="6"/>
  <c r="D83" i="6"/>
  <c r="H83" i="6"/>
  <c r="G83" i="6"/>
  <c r="H85" i="6"/>
  <c r="G84" i="6"/>
  <c r="F85" i="6"/>
  <c r="D85" i="6"/>
  <c r="G85" i="6"/>
  <c r="F83" i="6"/>
  <c r="F84" i="6"/>
  <c r="E85" i="6"/>
  <c r="E84" i="6"/>
  <c r="D84" i="6"/>
  <c r="J82" i="6"/>
  <c r="C81" i="6"/>
  <c r="C85" i="6"/>
  <c r="C83" i="6"/>
  <c r="C84" i="6"/>
  <c r="N80" i="6"/>
  <c r="N82" i="6"/>
  <c r="N81" i="6" s="1"/>
  <c r="E100" i="6" l="1"/>
  <c r="E99" i="6" s="1"/>
  <c r="E109" i="6"/>
  <c r="E98" i="6"/>
  <c r="D100" i="6"/>
  <c r="D99" i="6" s="1"/>
  <c r="D109" i="6"/>
  <c r="D98" i="6"/>
  <c r="C100" i="6"/>
  <c r="C109" i="6"/>
  <c r="C98" i="6"/>
  <c r="AS86" i="6"/>
  <c r="AT86" i="6" s="1"/>
  <c r="AS81" i="6"/>
  <c r="N91" i="6"/>
  <c r="M91" i="6"/>
  <c r="O91" i="6"/>
  <c r="P91" i="6"/>
  <c r="J91" i="6"/>
  <c r="AT66" i="6"/>
  <c r="AY66" i="6" s="1"/>
  <c r="AZ59" i="6" s="1"/>
  <c r="J81" i="6"/>
  <c r="J83" i="6"/>
  <c r="J85" i="6"/>
  <c r="V80" i="6"/>
  <c r="V82" i="6"/>
  <c r="V81" i="6" s="1"/>
  <c r="AH79" i="6"/>
  <c r="AJ79" i="6"/>
  <c r="AI79" i="6"/>
  <c r="AG79" i="6"/>
  <c r="AD79" i="6"/>
  <c r="AE79" i="6"/>
  <c r="AF79" i="6"/>
  <c r="U80" i="6"/>
  <c r="U82" i="6"/>
  <c r="U91" i="6" s="1"/>
  <c r="R86" i="6"/>
  <c r="S86" i="6" s="1"/>
  <c r="R81" i="6"/>
  <c r="Z80" i="6"/>
  <c r="Z91" i="6"/>
  <c r="Z82" i="6"/>
  <c r="Z81" i="6" s="1"/>
  <c r="O84" i="6"/>
  <c r="P85" i="6"/>
  <c r="M84" i="6"/>
  <c r="M83" i="6"/>
  <c r="Q85" i="6"/>
  <c r="O85" i="6"/>
  <c r="M85" i="6"/>
  <c r="N83" i="6"/>
  <c r="S82" i="6"/>
  <c r="N85" i="6"/>
  <c r="N84" i="6"/>
  <c r="O83" i="6"/>
  <c r="L85" i="6"/>
  <c r="L83" i="6"/>
  <c r="L81" i="6"/>
  <c r="L84" i="6"/>
  <c r="AA80" i="6"/>
  <c r="AA91" i="6"/>
  <c r="AA82" i="6"/>
  <c r="S80" i="6"/>
  <c r="Y80" i="6"/>
  <c r="Y82" i="6"/>
  <c r="Y81" i="6" s="1"/>
  <c r="J84" i="6"/>
  <c r="X80" i="6"/>
  <c r="X82" i="6"/>
  <c r="X81" i="6" s="1"/>
  <c r="W82" i="6"/>
  <c r="W81" i="6" s="1"/>
  <c r="W80" i="6"/>
  <c r="D102" i="6" l="1"/>
  <c r="C101" i="6"/>
  <c r="C99" i="6"/>
  <c r="E103" i="6"/>
  <c r="C102" i="6"/>
  <c r="D103" i="6"/>
  <c r="E101" i="6"/>
  <c r="C103" i="6"/>
  <c r="E102" i="6"/>
  <c r="D101" i="6"/>
  <c r="W91" i="6"/>
  <c r="V91" i="6"/>
  <c r="Y91" i="6"/>
  <c r="X91" i="6"/>
  <c r="S91" i="6"/>
  <c r="F13" i="14"/>
  <c r="P84" i="6"/>
  <c r="Q84" i="6" s="1"/>
  <c r="S84" i="6" s="1"/>
  <c r="AP79" i="6"/>
  <c r="AP80" i="6" s="1"/>
  <c r="AQ79" i="6"/>
  <c r="S81" i="6"/>
  <c r="P83" i="6"/>
  <c r="Q83" i="6" s="1"/>
  <c r="AH82" i="6"/>
  <c r="AH81" i="6" s="1"/>
  <c r="AH80" i="6"/>
  <c r="AO79" i="6"/>
  <c r="AN79" i="6"/>
  <c r="AM79" i="6"/>
  <c r="AF80" i="6"/>
  <c r="AF82" i="6"/>
  <c r="AF81" i="6" s="1"/>
  <c r="AE80" i="6"/>
  <c r="AE82" i="6"/>
  <c r="AE81" i="6" s="1"/>
  <c r="V84" i="6"/>
  <c r="W83" i="6"/>
  <c r="X85" i="6"/>
  <c r="V83" i="6"/>
  <c r="X84" i="6"/>
  <c r="W84" i="6"/>
  <c r="W85" i="6"/>
  <c r="V85" i="6"/>
  <c r="X83" i="6"/>
  <c r="Y85" i="6"/>
  <c r="AB82" i="6"/>
  <c r="Z85" i="6"/>
  <c r="U81" i="6"/>
  <c r="U85" i="6"/>
  <c r="U84" i="6"/>
  <c r="U83" i="6"/>
  <c r="AD80" i="6"/>
  <c r="AD82" i="6"/>
  <c r="AD91" i="6" s="1"/>
  <c r="S85" i="6"/>
  <c r="AB80" i="6"/>
  <c r="AG80" i="6"/>
  <c r="AG82" i="6"/>
  <c r="AG81" i="6" s="1"/>
  <c r="AI82" i="6"/>
  <c r="AI81" i="6" s="1"/>
  <c r="AI80" i="6"/>
  <c r="AI91" i="6"/>
  <c r="F21" i="14"/>
  <c r="BA59" i="6"/>
  <c r="F22" i="14" s="1"/>
  <c r="AA81" i="6"/>
  <c r="AA86" i="6"/>
  <c r="AB86" i="6" s="1"/>
  <c r="AJ80" i="6"/>
  <c r="AJ82" i="6"/>
  <c r="AJ91" i="6"/>
  <c r="K95" i="6" l="1"/>
  <c r="T95" i="6" s="1"/>
  <c r="AC95" i="6" s="1"/>
  <c r="AL95" i="6" s="1"/>
  <c r="AU95" i="6" s="1"/>
  <c r="B113" i="6" s="1"/>
  <c r="AB91" i="6"/>
  <c r="Y83" i="6"/>
  <c r="Z83" i="6" s="1"/>
  <c r="Y84" i="6"/>
  <c r="Z84" i="6" s="1"/>
  <c r="S83" i="6"/>
  <c r="AP82" i="6"/>
  <c r="AP81" i="6" s="1"/>
  <c r="AQ82" i="6"/>
  <c r="AQ81" i="6" s="1"/>
  <c r="AQ91" i="6"/>
  <c r="AQ80" i="6"/>
  <c r="AH91" i="6"/>
  <c r="AB81" i="6"/>
  <c r="AG91" i="6"/>
  <c r="AF91" i="6"/>
  <c r="AB85" i="6"/>
  <c r="G97" i="6"/>
  <c r="I97" i="6"/>
  <c r="H97" i="6"/>
  <c r="F97" i="6"/>
  <c r="AM80" i="6"/>
  <c r="AM82" i="6"/>
  <c r="AM91" i="6" s="1"/>
  <c r="AI85" i="6"/>
  <c r="AE83" i="6"/>
  <c r="AG83" i="6"/>
  <c r="AG84" i="6"/>
  <c r="AK82" i="6"/>
  <c r="AE84" i="6"/>
  <c r="AG85" i="6"/>
  <c r="AF84" i="6"/>
  <c r="AF83" i="6"/>
  <c r="AH85" i="6"/>
  <c r="AE85" i="6"/>
  <c r="AF85" i="6"/>
  <c r="AD83" i="6"/>
  <c r="AD85" i="6"/>
  <c r="AD84" i="6"/>
  <c r="AD81" i="6"/>
  <c r="AN80" i="6"/>
  <c r="AN82" i="6"/>
  <c r="AN81" i="6" s="1"/>
  <c r="AJ81" i="6"/>
  <c r="AJ86" i="6"/>
  <c r="AK86" i="6" s="1"/>
  <c r="AY86" i="6" s="1"/>
  <c r="G15" i="14" s="1"/>
  <c r="AK80" i="6"/>
  <c r="AE91" i="6"/>
  <c r="AO80" i="6"/>
  <c r="AO82" i="6"/>
  <c r="AO81" i="6" s="1"/>
  <c r="AB83" i="6" l="1"/>
  <c r="AB84" i="6"/>
  <c r="AN91" i="6"/>
  <c r="AO91" i="6"/>
  <c r="AP91" i="6"/>
  <c r="AH83" i="6"/>
  <c r="AI83" i="6" s="1"/>
  <c r="AK83" i="6" s="1"/>
  <c r="AK91" i="6"/>
  <c r="AH84" i="6"/>
  <c r="AI84" i="6" s="1"/>
  <c r="AK81" i="6"/>
  <c r="F98" i="6"/>
  <c r="F100" i="6"/>
  <c r="F109" i="6"/>
  <c r="H98" i="6"/>
  <c r="H109" i="6"/>
  <c r="H100" i="6"/>
  <c r="H99" i="6" s="1"/>
  <c r="Q97" i="6"/>
  <c r="O97" i="6"/>
  <c r="M97" i="6"/>
  <c r="L97" i="6"/>
  <c r="R97" i="6"/>
  <c r="N97" i="6"/>
  <c r="P97" i="6"/>
  <c r="I98" i="6"/>
  <c r="I109" i="6"/>
  <c r="I100" i="6"/>
  <c r="G98" i="6"/>
  <c r="G100" i="6"/>
  <c r="G99" i="6" s="1"/>
  <c r="AK85" i="6"/>
  <c r="AP83" i="6"/>
  <c r="AO85" i="6"/>
  <c r="AP85" i="6"/>
  <c r="AN84" i="6"/>
  <c r="AQ84" i="6" s="1"/>
  <c r="AN83" i="6"/>
  <c r="AO84" i="6"/>
  <c r="AO83" i="6"/>
  <c r="AT82" i="6"/>
  <c r="AY82" i="6" s="1"/>
  <c r="G11" i="14" s="1"/>
  <c r="AR85" i="6"/>
  <c r="AP84" i="6"/>
  <c r="AS85" i="6"/>
  <c r="AQ85" i="6"/>
  <c r="AN85" i="6"/>
  <c r="AM83" i="6"/>
  <c r="AM81" i="6"/>
  <c r="AT81" i="6" s="1"/>
  <c r="AM84" i="6"/>
  <c r="AM85" i="6"/>
  <c r="AT80" i="6"/>
  <c r="AY80" i="6" s="1"/>
  <c r="G9" i="14" s="1"/>
  <c r="AR84" i="6" l="1"/>
  <c r="AQ83" i="6"/>
  <c r="AS84" i="6"/>
  <c r="AT84" i="6" s="1"/>
  <c r="G109" i="6"/>
  <c r="J109" i="6" s="1"/>
  <c r="AK84" i="6"/>
  <c r="AT91" i="6"/>
  <c r="AY91" i="6" s="1"/>
  <c r="G20" i="14" s="1"/>
  <c r="G8" i="14" s="1"/>
  <c r="AY81" i="6"/>
  <c r="G10" i="14" s="1"/>
  <c r="P98" i="6"/>
  <c r="P100" i="6"/>
  <c r="P99" i="6" s="1"/>
  <c r="N98" i="6"/>
  <c r="N100" i="6"/>
  <c r="N99" i="6" s="1"/>
  <c r="R109" i="6"/>
  <c r="R98" i="6"/>
  <c r="R100" i="6"/>
  <c r="I99" i="6"/>
  <c r="I104" i="6"/>
  <c r="J104" i="6" s="1"/>
  <c r="L98" i="6"/>
  <c r="L100" i="6"/>
  <c r="L109" i="6" s="1"/>
  <c r="G103" i="6"/>
  <c r="G102" i="6"/>
  <c r="H101" i="6"/>
  <c r="H102" i="6"/>
  <c r="H103" i="6"/>
  <c r="G101" i="6"/>
  <c r="F99" i="6"/>
  <c r="J100" i="6"/>
  <c r="F101" i="6"/>
  <c r="F102" i="6"/>
  <c r="F103" i="6"/>
  <c r="M98" i="6"/>
  <c r="M100" i="6"/>
  <c r="M99" i="6" s="1"/>
  <c r="J98" i="6"/>
  <c r="AT85" i="6"/>
  <c r="AY85" i="6" s="1"/>
  <c r="G14" i="14" s="1"/>
  <c r="O98" i="6"/>
  <c r="O100" i="6"/>
  <c r="O99" i="6" s="1"/>
  <c r="Q98" i="6"/>
  <c r="Q109" i="6"/>
  <c r="Q100" i="6"/>
  <c r="Q99" i="6" s="1"/>
  <c r="Y97" i="6"/>
  <c r="AA97" i="6"/>
  <c r="Z97" i="6"/>
  <c r="X97" i="6"/>
  <c r="W97" i="6"/>
  <c r="U97" i="6"/>
  <c r="V97" i="6"/>
  <c r="AR83" i="6" l="1"/>
  <c r="M109" i="6"/>
  <c r="P109" i="6"/>
  <c r="O109" i="6"/>
  <c r="N109" i="6"/>
  <c r="AY84" i="6"/>
  <c r="G13" i="14" s="1"/>
  <c r="AA109" i="6"/>
  <c r="AA98" i="6"/>
  <c r="AA100" i="6"/>
  <c r="J103" i="6"/>
  <c r="Y98" i="6"/>
  <c r="Y100" i="6"/>
  <c r="Y99" i="6" s="1"/>
  <c r="J102" i="6"/>
  <c r="R99" i="6"/>
  <c r="R104" i="6"/>
  <c r="S104" i="6" s="1"/>
  <c r="Z109" i="6"/>
  <c r="Z98" i="6"/>
  <c r="Z100" i="6"/>
  <c r="Z99" i="6" s="1"/>
  <c r="AF97" i="6"/>
  <c r="AI97" i="6"/>
  <c r="AG97" i="6"/>
  <c r="AH97" i="6"/>
  <c r="AD97" i="6"/>
  <c r="AJ97" i="6"/>
  <c r="AE97" i="6"/>
  <c r="J101" i="6"/>
  <c r="V98" i="6"/>
  <c r="V100" i="6"/>
  <c r="V99" i="6" s="1"/>
  <c r="P103" i="6"/>
  <c r="O102" i="6"/>
  <c r="N103" i="6"/>
  <c r="O101" i="6"/>
  <c r="M101" i="6"/>
  <c r="O103" i="6"/>
  <c r="M103" i="6"/>
  <c r="S100" i="6"/>
  <c r="N101" i="6"/>
  <c r="N102" i="6"/>
  <c r="Q103" i="6"/>
  <c r="M102" i="6"/>
  <c r="L101" i="6"/>
  <c r="L102" i="6"/>
  <c r="L103" i="6"/>
  <c r="L99" i="6"/>
  <c r="U98" i="6"/>
  <c r="U100" i="6"/>
  <c r="J99" i="6"/>
  <c r="X98" i="6"/>
  <c r="X100" i="6"/>
  <c r="X99" i="6" s="1"/>
  <c r="W98" i="6"/>
  <c r="W100" i="6"/>
  <c r="W99" i="6" s="1"/>
  <c r="S98" i="6"/>
  <c r="AS83" i="6" l="1"/>
  <c r="AT83" i="6" s="1"/>
  <c r="AY83" i="6" s="1"/>
  <c r="G12" i="14" s="1"/>
  <c r="S109" i="6"/>
  <c r="P102" i="6"/>
  <c r="Q102" i="6" s="1"/>
  <c r="S102" i="6" s="1"/>
  <c r="P101" i="6"/>
  <c r="Q101" i="6" s="1"/>
  <c r="S101" i="6" s="1"/>
  <c r="AZ77" i="6"/>
  <c r="G21" i="14" s="1"/>
  <c r="S99" i="6"/>
  <c r="AR97" i="6"/>
  <c r="AR109" i="6" s="1"/>
  <c r="AS97" i="6"/>
  <c r="AB98" i="6"/>
  <c r="AE98" i="6"/>
  <c r="AE100" i="6"/>
  <c r="AE99" i="6" s="1"/>
  <c r="AJ109" i="6"/>
  <c r="AJ98" i="6"/>
  <c r="AJ100" i="6"/>
  <c r="W109" i="6"/>
  <c r="AD100" i="6"/>
  <c r="AD109" i="6" s="1"/>
  <c r="AD98" i="6"/>
  <c r="AA99" i="6"/>
  <c r="AA104" i="6"/>
  <c r="AB104" i="6" s="1"/>
  <c r="AH98" i="6"/>
  <c r="AH100" i="6"/>
  <c r="AH99" i="6" s="1"/>
  <c r="AG98" i="6"/>
  <c r="AG100" i="6"/>
  <c r="AG99" i="6" s="1"/>
  <c r="AB100" i="6"/>
  <c r="X103" i="6"/>
  <c r="Z103" i="6"/>
  <c r="W101" i="6"/>
  <c r="V102" i="6"/>
  <c r="W103" i="6"/>
  <c r="V103" i="6"/>
  <c r="X102" i="6"/>
  <c r="W102" i="6"/>
  <c r="X101" i="6"/>
  <c r="V101" i="6"/>
  <c r="Y103" i="6"/>
  <c r="U99" i="6"/>
  <c r="U103" i="6"/>
  <c r="U101" i="6"/>
  <c r="U102" i="6"/>
  <c r="V109" i="6"/>
  <c r="AI98" i="6"/>
  <c r="AI100" i="6"/>
  <c r="AI99" i="6" s="1"/>
  <c r="AI109" i="6"/>
  <c r="U109" i="6"/>
  <c r="X109" i="6"/>
  <c r="AF98" i="6"/>
  <c r="AF100" i="6"/>
  <c r="AF99" i="6" s="1"/>
  <c r="Y109" i="6"/>
  <c r="BA77" i="6"/>
  <c r="G22" i="14" s="1"/>
  <c r="S103" i="6"/>
  <c r="AO97" i="6"/>
  <c r="AQ97" i="6"/>
  <c r="AM97" i="6"/>
  <c r="AP97" i="6"/>
  <c r="AN97" i="6"/>
  <c r="K113" i="6" l="1"/>
  <c r="T113" i="6" s="1"/>
  <c r="AC113" i="6" s="1"/>
  <c r="AL113" i="6" s="1"/>
  <c r="AU113" i="6" s="1"/>
  <c r="B131" i="6" s="1"/>
  <c r="AF109" i="6"/>
  <c r="AH109" i="6"/>
  <c r="AE109" i="6"/>
  <c r="AG109" i="6"/>
  <c r="AR100" i="6"/>
  <c r="AR99" i="6" s="1"/>
  <c r="AR98" i="6"/>
  <c r="AS98" i="6"/>
  <c r="AS109" i="6"/>
  <c r="AS100" i="6"/>
  <c r="C115" i="6"/>
  <c r="F115" i="6"/>
  <c r="E115" i="6"/>
  <c r="G115" i="6"/>
  <c r="D115" i="6"/>
  <c r="Y101" i="6"/>
  <c r="Z101" i="6" s="1"/>
  <c r="AB101" i="6" s="1"/>
  <c r="Y102" i="6"/>
  <c r="Z102" i="6" s="1"/>
  <c r="AB102" i="6" s="1"/>
  <c r="AB99" i="6"/>
  <c r="AK98" i="6"/>
  <c r="AG101" i="6"/>
  <c r="AE101" i="6"/>
  <c r="AF103" i="6"/>
  <c r="AF102" i="6"/>
  <c r="AI103" i="6"/>
  <c r="AE103" i="6"/>
  <c r="AG102" i="6"/>
  <c r="AE102" i="6"/>
  <c r="AF101" i="6"/>
  <c r="AH103" i="6"/>
  <c r="AK100" i="6"/>
  <c r="AG103" i="6"/>
  <c r="AD103" i="6"/>
  <c r="AD101" i="6"/>
  <c r="AD99" i="6"/>
  <c r="AD102" i="6"/>
  <c r="AM98" i="6"/>
  <c r="AM100" i="6"/>
  <c r="AM109" i="6" s="1"/>
  <c r="AQ100" i="6"/>
  <c r="AQ99" i="6" s="1"/>
  <c r="AQ98" i="6"/>
  <c r="AB103" i="6"/>
  <c r="AJ99" i="6"/>
  <c r="AJ104" i="6"/>
  <c r="AK104" i="6" s="1"/>
  <c r="AO98" i="6"/>
  <c r="AO100" i="6"/>
  <c r="AO99" i="6" s="1"/>
  <c r="AB109" i="6"/>
  <c r="AP98" i="6"/>
  <c r="AP100" i="6"/>
  <c r="AP99" i="6" s="1"/>
  <c r="I115" i="6"/>
  <c r="H115" i="6"/>
  <c r="AN98" i="6"/>
  <c r="AN100" i="6"/>
  <c r="AN99" i="6" s="1"/>
  <c r="AP109" i="6" l="1"/>
  <c r="AO109" i="6"/>
  <c r="AN109" i="6"/>
  <c r="AQ109" i="6"/>
  <c r="AH102" i="6"/>
  <c r="AI102" i="6" s="1"/>
  <c r="AK102" i="6" s="1"/>
  <c r="AK109" i="6"/>
  <c r="AH101" i="6"/>
  <c r="AI101" i="6" s="1"/>
  <c r="D118" i="6"/>
  <c r="D116" i="6"/>
  <c r="G118" i="6"/>
  <c r="G117" i="6" s="1"/>
  <c r="G127" i="6"/>
  <c r="G116" i="6"/>
  <c r="AS99" i="6"/>
  <c r="AS104" i="6"/>
  <c r="AT104" i="6" s="1"/>
  <c r="AY104" i="6" s="1"/>
  <c r="H15" i="14" s="1"/>
  <c r="E118" i="6"/>
  <c r="E117" i="6" s="1"/>
  <c r="E127" i="6"/>
  <c r="E116" i="6"/>
  <c r="C118" i="6"/>
  <c r="C116" i="6"/>
  <c r="F116" i="6"/>
  <c r="F118" i="6"/>
  <c r="F117" i="6" s="1"/>
  <c r="F127" i="6"/>
  <c r="AK103" i="6"/>
  <c r="AO103" i="6"/>
  <c r="AT100" i="6"/>
  <c r="AY100" i="6" s="1"/>
  <c r="H11" i="14" s="1"/>
  <c r="AP102" i="6"/>
  <c r="AN101" i="6"/>
  <c r="AN102" i="6"/>
  <c r="AR103" i="6"/>
  <c r="AP103" i="6"/>
  <c r="AQ103" i="6"/>
  <c r="AO101" i="6"/>
  <c r="AP101" i="6"/>
  <c r="AN103" i="6"/>
  <c r="AS103" i="6"/>
  <c r="AO102" i="6"/>
  <c r="AM101" i="6"/>
  <c r="AM99" i="6"/>
  <c r="AM103" i="6"/>
  <c r="AM102" i="6"/>
  <c r="Q115" i="6"/>
  <c r="R115" i="6"/>
  <c r="P115" i="6"/>
  <c r="O115" i="6"/>
  <c r="N115" i="6"/>
  <c r="M115" i="6"/>
  <c r="L115" i="6"/>
  <c r="AT98" i="6"/>
  <c r="AY98" i="6" s="1"/>
  <c r="H9" i="14" s="1"/>
  <c r="H116" i="6"/>
  <c r="H118" i="6"/>
  <c r="H127" i="6"/>
  <c r="I116" i="6"/>
  <c r="I127" i="6"/>
  <c r="I118" i="6"/>
  <c r="AK99" i="6"/>
  <c r="AT109" i="6" l="1"/>
  <c r="AY109" i="6" s="1"/>
  <c r="H20" i="14" s="1"/>
  <c r="H8" i="14" s="1"/>
  <c r="AK101" i="6"/>
  <c r="AT9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G119" i="6" s="1"/>
  <c r="F120" i="6"/>
  <c r="G120" i="6" s="1"/>
  <c r="F121" i="6"/>
  <c r="G121" i="6"/>
  <c r="D127" i="6"/>
  <c r="D117" i="6"/>
  <c r="AQ101" i="6"/>
  <c r="AR101" i="6" s="1"/>
  <c r="J116" i="6"/>
  <c r="AY99" i="6"/>
  <c r="H10" i="14" s="1"/>
  <c r="AQ102" i="6"/>
  <c r="AR102" i="6" s="1"/>
  <c r="AS102" i="6" s="1"/>
  <c r="AT102" i="6" s="1"/>
  <c r="AY102" i="6" s="1"/>
  <c r="AS101" i="6"/>
  <c r="P116" i="6"/>
  <c r="P118" i="6"/>
  <c r="P117" i="6" s="1"/>
  <c r="R116" i="6"/>
  <c r="R127" i="6"/>
  <c r="R118" i="6"/>
  <c r="Q116" i="6"/>
  <c r="Q127" i="6"/>
  <c r="Q118" i="6"/>
  <c r="Q117" i="6" s="1"/>
  <c r="X115" i="6"/>
  <c r="V115" i="6"/>
  <c r="Y115" i="6"/>
  <c r="Z115" i="6"/>
  <c r="AA115" i="6"/>
  <c r="W115" i="6"/>
  <c r="U115" i="6"/>
  <c r="L116" i="6"/>
  <c r="L118" i="6"/>
  <c r="L127" i="6" s="1"/>
  <c r="AT103" i="6"/>
  <c r="AY103" i="6" s="1"/>
  <c r="H14" i="14" s="1"/>
  <c r="M116" i="6"/>
  <c r="M118" i="6"/>
  <c r="M117" i="6" s="1"/>
  <c r="H117" i="6"/>
  <c r="H121" i="6"/>
  <c r="J118" i="6"/>
  <c r="H120" i="6"/>
  <c r="H119" i="6"/>
  <c r="I117" i="6"/>
  <c r="I122" i="6"/>
  <c r="J122" i="6" s="1"/>
  <c r="N116" i="6"/>
  <c r="N118" i="6"/>
  <c r="N117" i="6" s="1"/>
  <c r="O116" i="6"/>
  <c r="O118" i="6"/>
  <c r="O117" i="6" s="1"/>
  <c r="AT101" i="6" l="1"/>
  <c r="AY101" i="6" s="1"/>
  <c r="H12" i="14" s="1"/>
  <c r="J120" i="6"/>
  <c r="J127" i="6"/>
  <c r="J121" i="6"/>
  <c r="J119" i="6"/>
  <c r="N127" i="6"/>
  <c r="J117" i="6"/>
  <c r="H13" i="14"/>
  <c r="AZ95" i="6"/>
  <c r="V116" i="6"/>
  <c r="V118" i="6"/>
  <c r="V117" i="6" s="1"/>
  <c r="X116" i="6"/>
  <c r="X118" i="6"/>
  <c r="X117" i="6" s="1"/>
  <c r="AI115" i="6"/>
  <c r="AJ115" i="6"/>
  <c r="AG115" i="6"/>
  <c r="AF115" i="6"/>
  <c r="AE115" i="6"/>
  <c r="AD115" i="6"/>
  <c r="AH115" i="6"/>
  <c r="O127" i="6"/>
  <c r="M127" i="6"/>
  <c r="U116" i="6"/>
  <c r="U118" i="6"/>
  <c r="U127" i="6" s="1"/>
  <c r="P127" i="6"/>
  <c r="W116" i="6"/>
  <c r="W118" i="6"/>
  <c r="W117" i="6" s="1"/>
  <c r="AA116" i="6"/>
  <c r="AA127" i="6"/>
  <c r="AA118" i="6"/>
  <c r="S118" i="6"/>
  <c r="O119" i="6"/>
  <c r="M121" i="6"/>
  <c r="O120" i="6"/>
  <c r="N120" i="6"/>
  <c r="M119" i="6"/>
  <c r="O121" i="6"/>
  <c r="N119" i="6"/>
  <c r="M120" i="6"/>
  <c r="Q121" i="6"/>
  <c r="N121" i="6"/>
  <c r="P121" i="6"/>
  <c r="L117" i="6"/>
  <c r="L119" i="6"/>
  <c r="L120" i="6"/>
  <c r="L121" i="6"/>
  <c r="Z127" i="6"/>
  <c r="Z116" i="6"/>
  <c r="Z118" i="6"/>
  <c r="Z117" i="6" s="1"/>
  <c r="R122" i="6"/>
  <c r="S122" i="6" s="1"/>
  <c r="R117" i="6"/>
  <c r="S116" i="6"/>
  <c r="Y116" i="6"/>
  <c r="Y118" i="6"/>
  <c r="Y117" i="6" s="1"/>
  <c r="V127" i="6" l="1"/>
  <c r="Y127" i="6"/>
  <c r="W127" i="6"/>
  <c r="X127" i="6"/>
  <c r="S127" i="6"/>
  <c r="P119" i="6"/>
  <c r="Q119" i="6" s="1"/>
  <c r="S121" i="6"/>
  <c r="AP115" i="6"/>
  <c r="AN115" i="6"/>
  <c r="AQ115" i="6"/>
  <c r="AO115" i="6"/>
  <c r="AM115" i="6"/>
  <c r="AR115" i="6"/>
  <c r="AS115" i="6"/>
  <c r="AW115" i="6"/>
  <c r="V120" i="6"/>
  <c r="Y121" i="6"/>
  <c r="AB118" i="6"/>
  <c r="X119" i="6"/>
  <c r="V119" i="6"/>
  <c r="Z121" i="6"/>
  <c r="W119" i="6"/>
  <c r="V121" i="6"/>
  <c r="W121" i="6"/>
  <c r="X120" i="6"/>
  <c r="X121" i="6"/>
  <c r="W120" i="6"/>
  <c r="U120" i="6"/>
  <c r="U121" i="6"/>
  <c r="U119" i="6"/>
  <c r="U117" i="6"/>
  <c r="AE116" i="6"/>
  <c r="AE118" i="6"/>
  <c r="AE117" i="6" s="1"/>
  <c r="AB116" i="6"/>
  <c r="AF116" i="6"/>
  <c r="AF118" i="6"/>
  <c r="AF117" i="6" s="1"/>
  <c r="AG116" i="6"/>
  <c r="AG118" i="6"/>
  <c r="AG117" i="6" s="1"/>
  <c r="AJ116" i="6"/>
  <c r="AJ127" i="6"/>
  <c r="AJ118" i="6"/>
  <c r="P120" i="6"/>
  <c r="Q120" i="6" s="1"/>
  <c r="S120" i="6" s="1"/>
  <c r="AI118" i="6"/>
  <c r="AI117" i="6" s="1"/>
  <c r="AI127" i="6"/>
  <c r="AI116" i="6"/>
  <c r="S117" i="6"/>
  <c r="AH116" i="6"/>
  <c r="AH118" i="6"/>
  <c r="AH117" i="6" s="1"/>
  <c r="H21" i="14"/>
  <c r="BA95" i="6"/>
  <c r="H22" i="14" s="1"/>
  <c r="AA117" i="6"/>
  <c r="AA122" i="6"/>
  <c r="AB122" i="6" s="1"/>
  <c r="AD118" i="6"/>
  <c r="AD127" i="6" s="1"/>
  <c r="AD116" i="6"/>
  <c r="AG127" i="6" l="1"/>
  <c r="AF127" i="6"/>
  <c r="AE127" i="6"/>
  <c r="AH127" i="6"/>
  <c r="AB127" i="6"/>
  <c r="Y119" i="6"/>
  <c r="Z119" i="6" s="1"/>
  <c r="Y120" i="6"/>
  <c r="Z120" i="6" s="1"/>
  <c r="S119" i="6"/>
  <c r="AW118" i="6"/>
  <c r="AW117" i="6" s="1"/>
  <c r="AW116" i="6"/>
  <c r="AB121" i="6"/>
  <c r="AQ116" i="6"/>
  <c r="AQ118" i="6"/>
  <c r="AQ117" i="6" s="1"/>
  <c r="AN116" i="6"/>
  <c r="AN118" i="6"/>
  <c r="AN117" i="6" s="1"/>
  <c r="AP116" i="6"/>
  <c r="AP118" i="6"/>
  <c r="AP117" i="6" s="1"/>
  <c r="AV115" i="6"/>
  <c r="AS127" i="6"/>
  <c r="AS116" i="6"/>
  <c r="AS118" i="6"/>
  <c r="AR127" i="6"/>
  <c r="AR116" i="6"/>
  <c r="AR118" i="6"/>
  <c r="AR117" i="6" s="1"/>
  <c r="AM116" i="6"/>
  <c r="AM118" i="6"/>
  <c r="AM127" i="6" s="1"/>
  <c r="AF119" i="6"/>
  <c r="AG119" i="6"/>
  <c r="AF121" i="6"/>
  <c r="AH121" i="6"/>
  <c r="AE121" i="6"/>
  <c r="AG121" i="6"/>
  <c r="AE120" i="6"/>
  <c r="AK118" i="6"/>
  <c r="AI121" i="6"/>
  <c r="AG120" i="6"/>
  <c r="AF120" i="6"/>
  <c r="AE119" i="6"/>
  <c r="AD120" i="6"/>
  <c r="AD117" i="6"/>
  <c r="AD119" i="6"/>
  <c r="AD121" i="6"/>
  <c r="AK116" i="6"/>
  <c r="AJ117" i="6"/>
  <c r="AJ122" i="6"/>
  <c r="AK122" i="6" s="1"/>
  <c r="AB117" i="6"/>
  <c r="AO116" i="6"/>
  <c r="AO118" i="6"/>
  <c r="AO117" i="6" s="1"/>
  <c r="K131" i="6" l="1"/>
  <c r="T131" i="6" s="1"/>
  <c r="AC131" i="6" s="1"/>
  <c r="AL131" i="6" s="1"/>
  <c r="AN127" i="6"/>
  <c r="AP127" i="6"/>
  <c r="AO127" i="6"/>
  <c r="AQ127" i="6"/>
  <c r="AK127" i="6"/>
  <c r="AB119" i="6"/>
  <c r="AB120" i="6"/>
  <c r="AW127" i="6"/>
  <c r="AS121" i="6"/>
  <c r="AS119" i="6"/>
  <c r="AS120" i="6"/>
  <c r="AK117" i="6"/>
  <c r="AH120" i="6"/>
  <c r="AI120" i="6" s="1"/>
  <c r="AK120" i="6" s="1"/>
  <c r="AN120" i="6"/>
  <c r="AT118" i="6"/>
  <c r="AO120" i="6"/>
  <c r="AQ121" i="6"/>
  <c r="AR121" i="6"/>
  <c r="AO119" i="6"/>
  <c r="AN121" i="6"/>
  <c r="AO121" i="6"/>
  <c r="AN119" i="6"/>
  <c r="AP121" i="6"/>
  <c r="AP119" i="6"/>
  <c r="AP120" i="6"/>
  <c r="AM117" i="6"/>
  <c r="AM120" i="6"/>
  <c r="AM119" i="6"/>
  <c r="AM121" i="6"/>
  <c r="AS117" i="6"/>
  <c r="AS122" i="6"/>
  <c r="AT122" i="6" s="1"/>
  <c r="AY122" i="6" s="1"/>
  <c r="I15" i="14" s="1"/>
  <c r="AT116" i="6"/>
  <c r="AH119" i="6"/>
  <c r="E133" i="6"/>
  <c r="G133" i="6"/>
  <c r="H133" i="6"/>
  <c r="I133" i="6"/>
  <c r="F133" i="6"/>
  <c r="D133" i="6"/>
  <c r="AK121" i="6"/>
  <c r="AV116" i="6"/>
  <c r="AX116" i="6" s="1"/>
  <c r="AV118" i="6"/>
  <c r="AU131" i="6" l="1"/>
  <c r="AS133" i="6"/>
  <c r="AT127" i="6"/>
  <c r="AQ119" i="6"/>
  <c r="AR119" i="6" s="1"/>
  <c r="AQ120" i="6"/>
  <c r="AR120" i="6" s="1"/>
  <c r="AI119" i="6"/>
  <c r="AK119" i="6" s="1"/>
  <c r="AY116" i="6"/>
  <c r="I9" i="14" s="1"/>
  <c r="AT117" i="6"/>
  <c r="D134" i="6"/>
  <c r="D136" i="6"/>
  <c r="F134" i="6"/>
  <c r="F136" i="6"/>
  <c r="F135" i="6" s="1"/>
  <c r="I134" i="6"/>
  <c r="I145" i="6"/>
  <c r="I136" i="6"/>
  <c r="AW119" i="6"/>
  <c r="AW121" i="6"/>
  <c r="AW120" i="6"/>
  <c r="AX118" i="6"/>
  <c r="AY118" i="6" s="1"/>
  <c r="I11" i="14" s="1"/>
  <c r="AV120" i="6"/>
  <c r="AV121" i="6"/>
  <c r="AV119" i="6"/>
  <c r="AV117" i="6"/>
  <c r="AX117" i="6" s="1"/>
  <c r="G134" i="6"/>
  <c r="G136" i="6"/>
  <c r="G135" i="6" s="1"/>
  <c r="E134" i="6"/>
  <c r="E136" i="6"/>
  <c r="E135" i="6" s="1"/>
  <c r="AT121" i="6"/>
  <c r="H134" i="6"/>
  <c r="H145" i="6"/>
  <c r="H136" i="6"/>
  <c r="H135" i="6" s="1"/>
  <c r="AV127" i="6"/>
  <c r="AX127" i="6" s="1"/>
  <c r="R133" i="6"/>
  <c r="N133" i="6"/>
  <c r="M133" i="6"/>
  <c r="L133" i="6"/>
  <c r="P133" i="6"/>
  <c r="O133" i="6"/>
  <c r="Q133" i="6"/>
  <c r="AS136" i="6" l="1"/>
  <c r="AS145" i="6"/>
  <c r="AS134" i="6"/>
  <c r="B149" i="6"/>
  <c r="AV133" i="6"/>
  <c r="AY127" i="6"/>
  <c r="I20" i="14" s="1"/>
  <c r="I8" i="14" s="1"/>
  <c r="AT119" i="6"/>
  <c r="AT120" i="6"/>
  <c r="AY117" i="6"/>
  <c r="I10" i="14" s="1"/>
  <c r="G145" i="6"/>
  <c r="H137" i="6"/>
  <c r="F138" i="6"/>
  <c r="H138" i="6"/>
  <c r="E137" i="6"/>
  <c r="G139" i="6"/>
  <c r="E138" i="6"/>
  <c r="F137" i="6"/>
  <c r="F139" i="6"/>
  <c r="H139" i="6"/>
  <c r="E139" i="6"/>
  <c r="G137" i="6"/>
  <c r="G138" i="6"/>
  <c r="D137" i="6"/>
  <c r="D138" i="6"/>
  <c r="D139" i="6"/>
  <c r="D135" i="6"/>
  <c r="J136" i="6"/>
  <c r="L134" i="6"/>
  <c r="L136" i="6"/>
  <c r="L145" i="6" s="1"/>
  <c r="D145" i="6"/>
  <c r="M136" i="6"/>
  <c r="M135" i="6" s="1"/>
  <c r="M134" i="6"/>
  <c r="I135" i="6"/>
  <c r="I140" i="6"/>
  <c r="J140" i="6" s="1"/>
  <c r="J134" i="6"/>
  <c r="N134" i="6"/>
  <c r="N136" i="6"/>
  <c r="N135" i="6" s="1"/>
  <c r="AX119" i="6"/>
  <c r="O134" i="6"/>
  <c r="O136" i="6"/>
  <c r="O135" i="6" s="1"/>
  <c r="R145" i="6"/>
  <c r="R134" i="6"/>
  <c r="R136" i="6"/>
  <c r="AX121" i="6"/>
  <c r="AY121" i="6" s="1"/>
  <c r="I14" i="14" s="1"/>
  <c r="W133" i="6"/>
  <c r="Z133" i="6"/>
  <c r="V133" i="6"/>
  <c r="AA133" i="6"/>
  <c r="U133" i="6"/>
  <c r="X133" i="6"/>
  <c r="Y133" i="6"/>
  <c r="E145" i="6"/>
  <c r="AX120" i="6"/>
  <c r="P134" i="6"/>
  <c r="P136" i="6"/>
  <c r="P135" i="6" s="1"/>
  <c r="Q145" i="6"/>
  <c r="Q134" i="6"/>
  <c r="Q136" i="6"/>
  <c r="Q135" i="6" s="1"/>
  <c r="F145" i="6"/>
  <c r="F151" i="6" l="1"/>
  <c r="D151" i="6"/>
  <c r="E151" i="6"/>
  <c r="AV136" i="6"/>
  <c r="AV134" i="6"/>
  <c r="AX134" i="6" s="1"/>
  <c r="AV145" i="6"/>
  <c r="AX145" i="6" s="1"/>
  <c r="AS135" i="6"/>
  <c r="AS140" i="6"/>
  <c r="AT140" i="6" s="1"/>
  <c r="AY119" i="6"/>
  <c r="I12" i="14" s="1"/>
  <c r="AY120" i="6"/>
  <c r="AZ113" i="6" s="1"/>
  <c r="P145" i="6"/>
  <c r="M145" i="6"/>
  <c r="O145" i="6"/>
  <c r="N145" i="6"/>
  <c r="X134" i="6"/>
  <c r="X136" i="6"/>
  <c r="X135" i="6" s="1"/>
  <c r="U136" i="6"/>
  <c r="U145" i="6" s="1"/>
  <c r="U134" i="6"/>
  <c r="N138" i="6"/>
  <c r="M137" i="6"/>
  <c r="Q139" i="6"/>
  <c r="N139" i="6"/>
  <c r="S136" i="6"/>
  <c r="M138" i="6"/>
  <c r="O137" i="6"/>
  <c r="O139" i="6"/>
  <c r="P139" i="6"/>
  <c r="O138" i="6"/>
  <c r="M139" i="6"/>
  <c r="N137" i="6"/>
  <c r="L138" i="6"/>
  <c r="L139" i="6"/>
  <c r="L135" i="6"/>
  <c r="L137" i="6"/>
  <c r="S134" i="6"/>
  <c r="V134" i="6"/>
  <c r="V136" i="6"/>
  <c r="V135" i="6" s="1"/>
  <c r="Z134" i="6"/>
  <c r="Z145" i="6"/>
  <c r="Z136" i="6"/>
  <c r="Z135" i="6" s="1"/>
  <c r="J135" i="6"/>
  <c r="AA134" i="6"/>
  <c r="AA145" i="6"/>
  <c r="AA136" i="6"/>
  <c r="W134" i="6"/>
  <c r="W136" i="6"/>
  <c r="W135" i="6" s="1"/>
  <c r="J139" i="6"/>
  <c r="AJ133" i="6"/>
  <c r="AI133" i="6"/>
  <c r="AG133" i="6"/>
  <c r="AH133" i="6"/>
  <c r="AF133" i="6"/>
  <c r="AE133" i="6"/>
  <c r="AD133" i="6"/>
  <c r="J138" i="6"/>
  <c r="Y134" i="6"/>
  <c r="Y136" i="6"/>
  <c r="Y135" i="6" s="1"/>
  <c r="R135" i="6"/>
  <c r="R140" i="6"/>
  <c r="S140" i="6" s="1"/>
  <c r="J145" i="6"/>
  <c r="J137" i="6"/>
  <c r="AX136" i="6" l="1"/>
  <c r="AV139" i="6"/>
  <c r="AW139" i="6"/>
  <c r="AV137" i="6"/>
  <c r="AV138" i="6"/>
  <c r="AX138" i="6" s="1"/>
  <c r="AW137" i="6"/>
  <c r="AV135" i="6"/>
  <c r="AX135" i="6" s="1"/>
  <c r="AW138" i="6"/>
  <c r="D154" i="6"/>
  <c r="D152" i="6"/>
  <c r="D163" i="6"/>
  <c r="E152" i="6"/>
  <c r="E154" i="6"/>
  <c r="E153" i="6" s="1"/>
  <c r="F154" i="6"/>
  <c r="F153" i="6" s="1"/>
  <c r="F152" i="6"/>
  <c r="W145" i="6"/>
  <c r="V145" i="6"/>
  <c r="X145" i="6"/>
  <c r="Y145" i="6"/>
  <c r="I13" i="14"/>
  <c r="P137" i="6"/>
  <c r="Q137" i="6" s="1"/>
  <c r="S137" i="6" s="1"/>
  <c r="S145" i="6"/>
  <c r="P138" i="6"/>
  <c r="Q138" i="6" s="1"/>
  <c r="S138" i="6" s="1"/>
  <c r="AQ133" i="6"/>
  <c r="AQ136" i="6" s="1"/>
  <c r="AQ135" i="6" s="1"/>
  <c r="AR133" i="6"/>
  <c r="AJ134" i="6"/>
  <c r="AJ145" i="6"/>
  <c r="AJ136" i="6"/>
  <c r="X138" i="6"/>
  <c r="W137" i="6"/>
  <c r="W138" i="6"/>
  <c r="V138" i="6"/>
  <c r="AB136" i="6"/>
  <c r="X137" i="6"/>
  <c r="Z139" i="6"/>
  <c r="V139" i="6"/>
  <c r="Y139" i="6"/>
  <c r="W139" i="6"/>
  <c r="X139" i="6"/>
  <c r="V137" i="6"/>
  <c r="U138" i="6"/>
  <c r="U137" i="6"/>
  <c r="U139" i="6"/>
  <c r="U135" i="6"/>
  <c r="AO133" i="6"/>
  <c r="AN133" i="6"/>
  <c r="AP133" i="6"/>
  <c r="AM133" i="6"/>
  <c r="K149" i="6"/>
  <c r="T149" i="6" s="1"/>
  <c r="AC149" i="6" s="1"/>
  <c r="AL149" i="6" s="1"/>
  <c r="AD134" i="6"/>
  <c r="AD136" i="6"/>
  <c r="AD145" i="6" s="1"/>
  <c r="AE134" i="6"/>
  <c r="AE136" i="6"/>
  <c r="AE135" i="6" s="1"/>
  <c r="S135" i="6"/>
  <c r="AF134" i="6"/>
  <c r="AF136" i="6"/>
  <c r="AF135" i="6" s="1"/>
  <c r="S139" i="6"/>
  <c r="AH134" i="6"/>
  <c r="AH136" i="6"/>
  <c r="AH135" i="6" s="1"/>
  <c r="AA135" i="6"/>
  <c r="AA140" i="6"/>
  <c r="AB140" i="6" s="1"/>
  <c r="AG134" i="6"/>
  <c r="AG136" i="6"/>
  <c r="AG135" i="6" s="1"/>
  <c r="I21" i="14"/>
  <c r="BA113" i="6"/>
  <c r="I22" i="14" s="1"/>
  <c r="AI145" i="6"/>
  <c r="AI134" i="6"/>
  <c r="AI136" i="6"/>
  <c r="AI135" i="6" s="1"/>
  <c r="AB134" i="6"/>
  <c r="AX137" i="6" l="1"/>
  <c r="E163" i="6"/>
  <c r="AX139" i="6"/>
  <c r="F163" i="6"/>
  <c r="D153" i="6"/>
  <c r="F157" i="6"/>
  <c r="D155" i="6"/>
  <c r="F155" i="6"/>
  <c r="E156" i="6"/>
  <c r="E155" i="6"/>
  <c r="D157" i="6"/>
  <c r="D156" i="6"/>
  <c r="F156" i="6"/>
  <c r="E157" i="6"/>
  <c r="AG145" i="6"/>
  <c r="AF145" i="6"/>
  <c r="AH145" i="6"/>
  <c r="AE145" i="6"/>
  <c r="AB145" i="6"/>
  <c r="AQ134" i="6"/>
  <c r="AQ145" i="6"/>
  <c r="AR136" i="6"/>
  <c r="AR135" i="6" s="1"/>
  <c r="AR145" i="6"/>
  <c r="AR134" i="6"/>
  <c r="Y138" i="6"/>
  <c r="Z138" i="6" s="1"/>
  <c r="AB138" i="6" s="1"/>
  <c r="I151" i="6"/>
  <c r="H151" i="6"/>
  <c r="G151" i="6"/>
  <c r="AM136" i="6"/>
  <c r="AM145" i="6" s="1"/>
  <c r="AM134" i="6"/>
  <c r="AP134" i="6"/>
  <c r="AP136" i="6"/>
  <c r="AP135" i="6" s="1"/>
  <c r="AN136" i="6"/>
  <c r="AN135" i="6" s="1"/>
  <c r="AN134" i="6"/>
  <c r="AJ135" i="6"/>
  <c r="AJ140" i="6"/>
  <c r="AK140" i="6" s="1"/>
  <c r="AY140" i="6" s="1"/>
  <c r="J15" i="14" s="1"/>
  <c r="AO136" i="6"/>
  <c r="AO135" i="6" s="1"/>
  <c r="AO134" i="6"/>
  <c r="AK134" i="6"/>
  <c r="Y137" i="6"/>
  <c r="AB135" i="6"/>
  <c r="AF139" i="6"/>
  <c r="AE139" i="6"/>
  <c r="AG138" i="6"/>
  <c r="AH139" i="6"/>
  <c r="AI139" i="6"/>
  <c r="AG139" i="6"/>
  <c r="AF137" i="6"/>
  <c r="AE138" i="6"/>
  <c r="AG137" i="6"/>
  <c r="AK136" i="6"/>
  <c r="AE137" i="6"/>
  <c r="AF138" i="6"/>
  <c r="AD139" i="6"/>
  <c r="AD138" i="6"/>
  <c r="AD137" i="6"/>
  <c r="AD135" i="6"/>
  <c r="AB139" i="6"/>
  <c r="AK145" i="6" l="1"/>
  <c r="AH137" i="6"/>
  <c r="AI137" i="6" s="1"/>
  <c r="AH138" i="6"/>
  <c r="AO145" i="6"/>
  <c r="AK135" i="6"/>
  <c r="AN145" i="6"/>
  <c r="G154" i="6"/>
  <c r="G163" i="6" s="1"/>
  <c r="G152" i="6"/>
  <c r="P151" i="6"/>
  <c r="O151" i="6"/>
  <c r="Q151" i="6"/>
  <c r="N151" i="6"/>
  <c r="M151" i="6"/>
  <c r="R151" i="6"/>
  <c r="L151" i="6"/>
  <c r="AP145" i="6"/>
  <c r="H152" i="6"/>
  <c r="H163" i="6"/>
  <c r="H154" i="6"/>
  <c r="H153" i="6" s="1"/>
  <c r="I163" i="6"/>
  <c r="I152" i="6"/>
  <c r="I154" i="6"/>
  <c r="Z137" i="6"/>
  <c r="AB137" i="6" s="1"/>
  <c r="AT134" i="6"/>
  <c r="AY134" i="6" s="1"/>
  <c r="J9" i="14" s="1"/>
  <c r="AN138" i="6"/>
  <c r="AP138" i="6"/>
  <c r="AT136" i="6"/>
  <c r="AY136" i="6" s="1"/>
  <c r="J11" i="14" s="1"/>
  <c r="AO139" i="6"/>
  <c r="AP139" i="6"/>
  <c r="AN139" i="6"/>
  <c r="AR139" i="6"/>
  <c r="AO138" i="6"/>
  <c r="AQ139" i="6"/>
  <c r="AO137" i="6"/>
  <c r="AP137" i="6"/>
  <c r="AS139" i="6"/>
  <c r="AN137" i="6"/>
  <c r="AM139" i="6"/>
  <c r="AM135" i="6"/>
  <c r="AT135" i="6" s="1"/>
  <c r="AM138" i="6"/>
  <c r="AM137" i="6"/>
  <c r="AK139" i="6"/>
  <c r="AK137" i="6" l="1"/>
  <c r="AI138" i="6"/>
  <c r="AK138" i="6" s="1"/>
  <c r="AQ138" i="6"/>
  <c r="AR138" i="6" s="1"/>
  <c r="AS138" i="6" s="1"/>
  <c r="AY135" i="6"/>
  <c r="J10" i="14" s="1"/>
  <c r="AT145" i="6"/>
  <c r="AY145" i="6" s="1"/>
  <c r="J20" i="14" s="1"/>
  <c r="J8" i="14" s="1"/>
  <c r="AQ137" i="6"/>
  <c r="AR137" i="6" s="1"/>
  <c r="I153" i="6"/>
  <c r="I158" i="6"/>
  <c r="J158" i="6" s="1"/>
  <c r="Y151" i="6"/>
  <c r="W151" i="6"/>
  <c r="X151" i="6"/>
  <c r="AA151" i="6"/>
  <c r="Z151" i="6"/>
  <c r="V151" i="6"/>
  <c r="U151" i="6"/>
  <c r="J163" i="6"/>
  <c r="R163" i="6"/>
  <c r="R152" i="6"/>
  <c r="R154" i="6"/>
  <c r="H157" i="6"/>
  <c r="H156" i="6"/>
  <c r="H155" i="6"/>
  <c r="J154" i="6"/>
  <c r="G153" i="6"/>
  <c r="G155" i="6"/>
  <c r="G156" i="6"/>
  <c r="G157" i="6"/>
  <c r="M152" i="6"/>
  <c r="M154" i="6"/>
  <c r="M153" i="6" s="1"/>
  <c r="N152" i="6"/>
  <c r="N154" i="6"/>
  <c r="N153" i="6" s="1"/>
  <c r="Q152" i="6"/>
  <c r="Q163" i="6"/>
  <c r="Q154" i="6"/>
  <c r="Q153" i="6" s="1"/>
  <c r="O152" i="6"/>
  <c r="O154" i="6"/>
  <c r="O153" i="6" s="1"/>
  <c r="P154" i="6"/>
  <c r="P153" i="6" s="1"/>
  <c r="P152" i="6"/>
  <c r="AT139" i="6"/>
  <c r="AY139" i="6" s="1"/>
  <c r="J14" i="14" s="1"/>
  <c r="L154" i="6"/>
  <c r="L163" i="6" s="1"/>
  <c r="L152" i="6"/>
  <c r="J152" i="6"/>
  <c r="O163" i="6" l="1"/>
  <c r="M163" i="6"/>
  <c r="P163" i="6"/>
  <c r="N163" i="6"/>
  <c r="AT138" i="6"/>
  <c r="AY138" i="6" s="1"/>
  <c r="J13" i="14" s="1"/>
  <c r="J155" i="6"/>
  <c r="J153" i="6"/>
  <c r="AS137" i="6"/>
  <c r="AT137" i="6" s="1"/>
  <c r="AY137" i="6" s="1"/>
  <c r="J12" i="14" s="1"/>
  <c r="J156" i="6"/>
  <c r="J157" i="6"/>
  <c r="S152" i="6"/>
  <c r="W152" i="6"/>
  <c r="W154" i="6"/>
  <c r="W153" i="6" s="1"/>
  <c r="Y152" i="6"/>
  <c r="Y154" i="6"/>
  <c r="Y153" i="6" s="1"/>
  <c r="U152" i="6"/>
  <c r="U154" i="6"/>
  <c r="U163" i="6" s="1"/>
  <c r="V152" i="6"/>
  <c r="V154" i="6"/>
  <c r="V153" i="6" s="1"/>
  <c r="AE151" i="6"/>
  <c r="AG151" i="6"/>
  <c r="AJ151" i="6"/>
  <c r="AD151" i="6"/>
  <c r="AF151" i="6"/>
  <c r="AH151" i="6"/>
  <c r="AI151" i="6"/>
  <c r="AU149" i="6"/>
  <c r="B167" i="6" s="1"/>
  <c r="Z152" i="6"/>
  <c r="Z163" i="6"/>
  <c r="Z154" i="6"/>
  <c r="Z153" i="6" s="1"/>
  <c r="N155" i="6"/>
  <c r="O156" i="6"/>
  <c r="N157" i="6"/>
  <c r="M155" i="6"/>
  <c r="M157" i="6"/>
  <c r="N156" i="6"/>
  <c r="O157" i="6"/>
  <c r="P157" i="6"/>
  <c r="Q157" i="6"/>
  <c r="S154" i="6"/>
  <c r="M156" i="6"/>
  <c r="O155" i="6"/>
  <c r="L155" i="6"/>
  <c r="L153" i="6"/>
  <c r="L156" i="6"/>
  <c r="L157" i="6"/>
  <c r="R153" i="6"/>
  <c r="R158" i="6"/>
  <c r="S158" i="6" s="1"/>
  <c r="AA163" i="6"/>
  <c r="AA152" i="6"/>
  <c r="AA154" i="6"/>
  <c r="X152" i="6"/>
  <c r="X154" i="6"/>
  <c r="X153" i="6" s="1"/>
  <c r="Y163" i="6" l="1"/>
  <c r="V163" i="6"/>
  <c r="X163" i="6"/>
  <c r="W163" i="6"/>
  <c r="S163" i="6"/>
  <c r="AZ131" i="6"/>
  <c r="J21" i="14" s="1"/>
  <c r="AS151" i="6"/>
  <c r="AS163" i="6" s="1"/>
  <c r="AV151" i="6"/>
  <c r="P156" i="6"/>
  <c r="Q156" i="6" s="1"/>
  <c r="S156" i="6" s="1"/>
  <c r="S153" i="6"/>
  <c r="AH152" i="6"/>
  <c r="AH154" i="6"/>
  <c r="AH153" i="6" s="1"/>
  <c r="AF152" i="6"/>
  <c r="AF154" i="6"/>
  <c r="AF153" i="6" s="1"/>
  <c r="AD152" i="6"/>
  <c r="AD154" i="6"/>
  <c r="X155" i="6"/>
  <c r="V155" i="6"/>
  <c r="W155" i="6"/>
  <c r="Y157" i="6"/>
  <c r="AB154" i="6"/>
  <c r="V156" i="6"/>
  <c r="W156" i="6"/>
  <c r="X157" i="6"/>
  <c r="Z157" i="6"/>
  <c r="W157" i="6"/>
  <c r="X156" i="6"/>
  <c r="V157" i="6"/>
  <c r="U156" i="6"/>
  <c r="U157" i="6"/>
  <c r="U153" i="6"/>
  <c r="U155" i="6"/>
  <c r="AJ163" i="6"/>
  <c r="AJ152" i="6"/>
  <c r="AJ154" i="6"/>
  <c r="AB152" i="6"/>
  <c r="AG152" i="6"/>
  <c r="AG154" i="6"/>
  <c r="AG153" i="6" s="1"/>
  <c r="AA153" i="6"/>
  <c r="AA158" i="6"/>
  <c r="AB158" i="6" s="1"/>
  <c r="AE152" i="6"/>
  <c r="AE154" i="6"/>
  <c r="AE153" i="6" s="1"/>
  <c r="S157" i="6"/>
  <c r="AR151" i="6"/>
  <c r="AQ151" i="6"/>
  <c r="AN151" i="6"/>
  <c r="AO151" i="6"/>
  <c r="AP151" i="6"/>
  <c r="AM151" i="6"/>
  <c r="P155" i="6"/>
  <c r="AI163" i="6"/>
  <c r="AI152" i="6"/>
  <c r="AI154" i="6"/>
  <c r="AI153" i="6" s="1"/>
  <c r="AB163" i="6" l="1"/>
  <c r="BA131" i="6"/>
  <c r="J22" i="14" s="1"/>
  <c r="Y156" i="6"/>
  <c r="Z156" i="6" s="1"/>
  <c r="Y155" i="6"/>
  <c r="AS154" i="6"/>
  <c r="AS153" i="6" s="1"/>
  <c r="AS152" i="6"/>
  <c r="AV163" i="6"/>
  <c r="AX163" i="6" s="1"/>
  <c r="AV154" i="6"/>
  <c r="AV152" i="6"/>
  <c r="AX152" i="6" s="1"/>
  <c r="AF163" i="6"/>
  <c r="AG163" i="6"/>
  <c r="AB153" i="6"/>
  <c r="AB157" i="6"/>
  <c r="AM154" i="6"/>
  <c r="AM163" i="6" s="1"/>
  <c r="AM152" i="6"/>
  <c r="AH163" i="6"/>
  <c r="AP152" i="6"/>
  <c r="AP154" i="6"/>
  <c r="AP153" i="6" s="1"/>
  <c r="AE163" i="6"/>
  <c r="AJ153" i="6"/>
  <c r="AJ158" i="6"/>
  <c r="AK158" i="6" s="1"/>
  <c r="AF155" i="6"/>
  <c r="AG155" i="6"/>
  <c r="AF157" i="6"/>
  <c r="AH157" i="6"/>
  <c r="AI157" i="6"/>
  <c r="AE155" i="6"/>
  <c r="AE157" i="6"/>
  <c r="AG157" i="6"/>
  <c r="AF156" i="6"/>
  <c r="AG156" i="6"/>
  <c r="AE156" i="6"/>
  <c r="AK154" i="6"/>
  <c r="AD153" i="6"/>
  <c r="AD156" i="6"/>
  <c r="AD157" i="6"/>
  <c r="AD155" i="6"/>
  <c r="AO152" i="6"/>
  <c r="AO154" i="6"/>
  <c r="AO153" i="6" s="1"/>
  <c r="AK152" i="6"/>
  <c r="AN152" i="6"/>
  <c r="AN154" i="6"/>
  <c r="AN153" i="6" s="1"/>
  <c r="AD163" i="6"/>
  <c r="Q155" i="6"/>
  <c r="S155" i="6" s="1"/>
  <c r="AQ152" i="6"/>
  <c r="AQ154" i="6"/>
  <c r="AQ153" i="6" s="1"/>
  <c r="AR163" i="6"/>
  <c r="AR152" i="6"/>
  <c r="AR154" i="6"/>
  <c r="AR153" i="6" s="1"/>
  <c r="E169" i="6" l="1"/>
  <c r="E170" i="6" s="1"/>
  <c r="K167" i="6"/>
  <c r="T167" i="6" s="1"/>
  <c r="AC167" i="6" s="1"/>
  <c r="AL167" i="6" s="1"/>
  <c r="AN163" i="6"/>
  <c r="AO163" i="6"/>
  <c r="AB156" i="6"/>
  <c r="AQ163" i="6"/>
  <c r="AS158" i="6"/>
  <c r="AT158" i="6" s="1"/>
  <c r="AY158" i="6" s="1"/>
  <c r="K15" i="14" s="1"/>
  <c r="Z155" i="6"/>
  <c r="AB155" i="6" s="1"/>
  <c r="AP163" i="6"/>
  <c r="I169" i="6"/>
  <c r="I181" i="6" s="1"/>
  <c r="H169" i="6"/>
  <c r="H172" i="6" s="1"/>
  <c r="H171" i="6" s="1"/>
  <c r="C169" i="6"/>
  <c r="C172" i="6" s="1"/>
  <c r="G169" i="6"/>
  <c r="G172" i="6" s="1"/>
  <c r="G171" i="6" s="1"/>
  <c r="D169" i="6"/>
  <c r="F169" i="6"/>
  <c r="F170" i="6" s="1"/>
  <c r="AW157" i="6"/>
  <c r="AW155" i="6"/>
  <c r="AV153" i="6"/>
  <c r="AX153" i="6" s="1"/>
  <c r="AV156" i="6"/>
  <c r="AV155" i="6"/>
  <c r="AX154" i="6"/>
  <c r="AV157" i="6"/>
  <c r="AW156" i="6"/>
  <c r="AH156" i="6"/>
  <c r="AI156" i="6" s="1"/>
  <c r="AK156" i="6" s="1"/>
  <c r="AK163" i="6"/>
  <c r="AK157" i="6"/>
  <c r="AK153" i="6"/>
  <c r="AT152" i="6"/>
  <c r="AY152" i="6" s="1"/>
  <c r="K9" i="14" s="1"/>
  <c r="AQ157" i="6"/>
  <c r="AP156" i="6"/>
  <c r="AN157" i="6"/>
  <c r="AN155" i="6"/>
  <c r="AP155" i="6"/>
  <c r="AO157" i="6"/>
  <c r="AS157" i="6"/>
  <c r="AR157" i="6"/>
  <c r="AT154" i="6"/>
  <c r="AN156" i="6"/>
  <c r="AO156" i="6"/>
  <c r="AO155" i="6"/>
  <c r="AP157" i="6"/>
  <c r="AM156" i="6"/>
  <c r="AM153" i="6"/>
  <c r="AT153" i="6" s="1"/>
  <c r="AM157" i="6"/>
  <c r="AM155" i="6"/>
  <c r="AH155" i="6"/>
  <c r="AI155" i="6" s="1"/>
  <c r="AK155" i="6" s="1"/>
  <c r="E172" i="6" l="1"/>
  <c r="E171" i="6" s="1"/>
  <c r="M169" i="6"/>
  <c r="M170" i="6" s="1"/>
  <c r="AQ156" i="6"/>
  <c r="AR156" i="6" s="1"/>
  <c r="I172" i="6"/>
  <c r="I171" i="6" s="1"/>
  <c r="I170" i="6"/>
  <c r="G181" i="6"/>
  <c r="AT163" i="6"/>
  <c r="AY163" i="6" s="1"/>
  <c r="K20" i="14" s="1"/>
  <c r="K8" i="14" s="1"/>
  <c r="L169" i="6"/>
  <c r="R169" i="6"/>
  <c r="R181" i="6" s="1"/>
  <c r="N169" i="6"/>
  <c r="N170" i="6" s="1"/>
  <c r="O169" i="6"/>
  <c r="O170" i="6" s="1"/>
  <c r="AQ155" i="6"/>
  <c r="AR155" i="6" s="1"/>
  <c r="AY154" i="6"/>
  <c r="K11" i="14" s="1"/>
  <c r="H170" i="6"/>
  <c r="Q169" i="6"/>
  <c r="Q172" i="6" s="1"/>
  <c r="Q171" i="6" s="1"/>
  <c r="P169" i="6"/>
  <c r="P172" i="6" s="1"/>
  <c r="P171" i="6" s="1"/>
  <c r="F172" i="6"/>
  <c r="F171" i="6" s="1"/>
  <c r="Y169" i="6"/>
  <c r="H181" i="6"/>
  <c r="G170" i="6"/>
  <c r="C170" i="6"/>
  <c r="D170" i="6"/>
  <c r="D172" i="6"/>
  <c r="D171" i="6" s="1"/>
  <c r="AX157" i="6"/>
  <c r="AX156" i="6"/>
  <c r="AX155" i="6"/>
  <c r="C181" i="6"/>
  <c r="C175" i="6"/>
  <c r="C171" i="6"/>
  <c r="C174" i="6"/>
  <c r="C173" i="6"/>
  <c r="AY153" i="6"/>
  <c r="K10" i="14" s="1"/>
  <c r="E181" i="6"/>
  <c r="AT157" i="6"/>
  <c r="AS155" i="6" l="1"/>
  <c r="AT155" i="6" s="1"/>
  <c r="AY155" i="6" s="1"/>
  <c r="K12" i="14" s="1"/>
  <c r="AS156" i="6"/>
  <c r="AT156" i="6" s="1"/>
  <c r="AY156" i="6" s="1"/>
  <c r="K13" i="14" s="1"/>
  <c r="M172" i="6"/>
  <c r="M171" i="6" s="1"/>
  <c r="F181" i="6"/>
  <c r="D181" i="6"/>
  <c r="I176" i="6"/>
  <c r="J176" i="6" s="1"/>
  <c r="L170" i="6"/>
  <c r="L172" i="6"/>
  <c r="Q170" i="6"/>
  <c r="X169" i="6"/>
  <c r="X170" i="6" s="1"/>
  <c r="R170" i="6"/>
  <c r="R172" i="6"/>
  <c r="R176" i="6" s="1"/>
  <c r="S176" i="6" s="1"/>
  <c r="Q181" i="6"/>
  <c r="O172" i="6"/>
  <c r="O171" i="6" s="1"/>
  <c r="N172" i="6"/>
  <c r="N171" i="6" s="1"/>
  <c r="P170" i="6"/>
  <c r="AI169" i="6"/>
  <c r="P181" i="6"/>
  <c r="V169" i="6"/>
  <c r="V170" i="6" s="1"/>
  <c r="U169" i="6"/>
  <c r="U170" i="6" s="1"/>
  <c r="Z169" i="6"/>
  <c r="Z172" i="6" s="1"/>
  <c r="Z171" i="6" s="1"/>
  <c r="W169" i="6"/>
  <c r="W170" i="6" s="1"/>
  <c r="J170" i="6"/>
  <c r="AA169" i="6"/>
  <c r="AA170" i="6" s="1"/>
  <c r="F173" i="6"/>
  <c r="F174" i="6"/>
  <c r="E174" i="6"/>
  <c r="AY157" i="6"/>
  <c r="K14" i="14" s="1"/>
  <c r="H175" i="6"/>
  <c r="D173" i="6"/>
  <c r="E175" i="6"/>
  <c r="D174" i="6"/>
  <c r="J172" i="6"/>
  <c r="D175" i="6"/>
  <c r="F175" i="6"/>
  <c r="E173" i="6"/>
  <c r="G175" i="6"/>
  <c r="J171" i="6"/>
  <c r="Y170" i="6"/>
  <c r="Y172" i="6"/>
  <c r="Y171" i="6" s="1"/>
  <c r="M181" i="6" l="1"/>
  <c r="M175" i="6"/>
  <c r="O181" i="6"/>
  <c r="N181" i="6"/>
  <c r="L181" i="6"/>
  <c r="J181" i="6"/>
  <c r="R171" i="6"/>
  <c r="L175" i="6"/>
  <c r="L174" i="6"/>
  <c r="M173" i="6"/>
  <c r="M174" i="6"/>
  <c r="L171" i="6"/>
  <c r="L173" i="6"/>
  <c r="X172" i="6"/>
  <c r="X171" i="6" s="1"/>
  <c r="AA181" i="6"/>
  <c r="U172" i="6"/>
  <c r="U171" i="6" s="1"/>
  <c r="S170" i="6"/>
  <c r="AA172" i="6"/>
  <c r="AA176" i="6" s="1"/>
  <c r="AB176" i="6" s="1"/>
  <c r="O175" i="6"/>
  <c r="AE169" i="6"/>
  <c r="AE170" i="6" s="1"/>
  <c r="AJ169" i="6"/>
  <c r="AJ170" i="6" s="1"/>
  <c r="N175" i="6"/>
  <c r="AF169" i="6"/>
  <c r="AF170" i="6" s="1"/>
  <c r="S172" i="6"/>
  <c r="Z170" i="6"/>
  <c r="AB170" i="6" s="1"/>
  <c r="AH169" i="6"/>
  <c r="AH172" i="6" s="1"/>
  <c r="AH171" i="6" s="1"/>
  <c r="AG169" i="6"/>
  <c r="AG172" i="6" s="1"/>
  <c r="AG171" i="6" s="1"/>
  <c r="Q175" i="6"/>
  <c r="V172" i="6"/>
  <c r="V171" i="6" s="1"/>
  <c r="N174" i="6"/>
  <c r="O173" i="6"/>
  <c r="P175" i="6"/>
  <c r="Z181" i="6"/>
  <c r="AD169" i="6"/>
  <c r="AD172" i="6" s="1"/>
  <c r="AD181" i="6" s="1"/>
  <c r="N173" i="6"/>
  <c r="O174" i="6"/>
  <c r="W172" i="6"/>
  <c r="W171" i="6" s="1"/>
  <c r="G174" i="6"/>
  <c r="H174" i="6" s="1"/>
  <c r="G173" i="6"/>
  <c r="H173" i="6" s="1"/>
  <c r="AZ149" i="6"/>
  <c r="BA149" i="6" s="1"/>
  <c r="K22" i="14" s="1"/>
  <c r="J175" i="6"/>
  <c r="AI170" i="6"/>
  <c r="AI181" i="6"/>
  <c r="AI172" i="6"/>
  <c r="AI171" i="6" s="1"/>
  <c r="Y181" i="6"/>
  <c r="AR169" i="6"/>
  <c r="AQ169" i="6"/>
  <c r="AP169" i="6"/>
  <c r="AS169" i="6"/>
  <c r="U181" i="6"/>
  <c r="AM169" i="6" l="1"/>
  <c r="AM172" i="6" s="1"/>
  <c r="AM181" i="6" s="1"/>
  <c r="AU167" i="6"/>
  <c r="S181" i="6"/>
  <c r="AF172" i="6"/>
  <c r="AF171" i="6" s="1"/>
  <c r="W181" i="6"/>
  <c r="X181" i="6"/>
  <c r="V181" i="6"/>
  <c r="S171" i="6"/>
  <c r="P174" i="6"/>
  <c r="Q174" i="6" s="1"/>
  <c r="S174" i="6" s="1"/>
  <c r="P173" i="6"/>
  <c r="Q173" i="6" s="1"/>
  <c r="W175" i="6"/>
  <c r="AJ172" i="6"/>
  <c r="AJ171" i="6" s="1"/>
  <c r="AJ181" i="6"/>
  <c r="Z175" i="6"/>
  <c r="AA171" i="6"/>
  <c r="AB171" i="6" s="1"/>
  <c r="U175" i="6"/>
  <c r="AB172" i="6"/>
  <c r="U174" i="6"/>
  <c r="X173" i="6"/>
  <c r="V173" i="6"/>
  <c r="U173" i="6"/>
  <c r="AE172" i="6"/>
  <c r="AE171" i="6" s="1"/>
  <c r="AG170" i="6"/>
  <c r="K21" i="14"/>
  <c r="W173" i="6"/>
  <c r="AH170" i="6"/>
  <c r="X174" i="6"/>
  <c r="W174" i="6"/>
  <c r="V174" i="6"/>
  <c r="AN169" i="6"/>
  <c r="AO169" i="6"/>
  <c r="AO172" i="6" s="1"/>
  <c r="AO171" i="6" s="1"/>
  <c r="J174" i="6"/>
  <c r="S175" i="6"/>
  <c r="X175" i="6"/>
  <c r="V175" i="6"/>
  <c r="Y175" i="6"/>
  <c r="AD170" i="6"/>
  <c r="AG181" i="6"/>
  <c r="AH181" i="6"/>
  <c r="J173" i="6"/>
  <c r="AR181" i="6"/>
  <c r="AR170" i="6"/>
  <c r="AR172" i="6"/>
  <c r="AR171" i="6" s="1"/>
  <c r="AD175" i="6"/>
  <c r="AD174" i="6"/>
  <c r="AD173" i="6"/>
  <c r="AD171" i="6"/>
  <c r="AW169" i="6"/>
  <c r="AV169" i="6"/>
  <c r="AS170" i="6"/>
  <c r="AS181" i="6"/>
  <c r="AS172" i="6"/>
  <c r="AP170" i="6"/>
  <c r="AP172" i="6"/>
  <c r="AP171" i="6" s="1"/>
  <c r="AQ181" i="6"/>
  <c r="AQ170" i="6"/>
  <c r="AQ172" i="6"/>
  <c r="AQ171" i="6" s="1"/>
  <c r="AP181" i="6" l="1"/>
  <c r="B185" i="6"/>
  <c r="K185" i="6" s="1"/>
  <c r="T185" i="6" s="1"/>
  <c r="AC185" i="6" s="1"/>
  <c r="AL185" i="6" s="1"/>
  <c r="AS187" i="6" s="1"/>
  <c r="AM170" i="6"/>
  <c r="AF181" i="6"/>
  <c r="AB181" i="6"/>
  <c r="Y173" i="6"/>
  <c r="Z173" i="6" s="1"/>
  <c r="Y174" i="6"/>
  <c r="Z174" i="6" s="1"/>
  <c r="AE173" i="6"/>
  <c r="S173" i="6"/>
  <c r="AG173" i="6"/>
  <c r="AK170" i="6"/>
  <c r="AN172" i="6"/>
  <c r="AN171" i="6" s="1"/>
  <c r="AG175" i="6"/>
  <c r="AN170" i="6"/>
  <c r="AH175" i="6"/>
  <c r="AE181" i="6"/>
  <c r="AK181" i="6" s="1"/>
  <c r="AE174" i="6"/>
  <c r="AK172" i="6"/>
  <c r="AJ176" i="6"/>
  <c r="AK176" i="6" s="1"/>
  <c r="AF173" i="6"/>
  <c r="AF174" i="6"/>
  <c r="AF175" i="6"/>
  <c r="AO170" i="6"/>
  <c r="AE175" i="6"/>
  <c r="AG174" i="6"/>
  <c r="AI175" i="6"/>
  <c r="AO181" i="6"/>
  <c r="AB175" i="6"/>
  <c r="AK171" i="6"/>
  <c r="AW181" i="6"/>
  <c r="AW170" i="6"/>
  <c r="AW172" i="6"/>
  <c r="AW171" i="6" s="1"/>
  <c r="AS171" i="6"/>
  <c r="AS176" i="6"/>
  <c r="AT176" i="6" s="1"/>
  <c r="AV181" i="6"/>
  <c r="AV172" i="6"/>
  <c r="AV170" i="6"/>
  <c r="H187" i="6"/>
  <c r="F187" i="6"/>
  <c r="G187" i="6"/>
  <c r="E187" i="6"/>
  <c r="AM171" i="6"/>
  <c r="AM173" i="6"/>
  <c r="AM174" i="6"/>
  <c r="AM175" i="6"/>
  <c r="AS190" i="6" l="1"/>
  <c r="AS199" i="6"/>
  <c r="AS188" i="6"/>
  <c r="I187" i="6"/>
  <c r="I188" i="6" s="1"/>
  <c r="AN181" i="6"/>
  <c r="AT181" i="6" s="1"/>
  <c r="AH173" i="6"/>
  <c r="AB173" i="6"/>
  <c r="AT170" i="6"/>
  <c r="AB174" i="6"/>
  <c r="AN173" i="6"/>
  <c r="AN174" i="6"/>
  <c r="AS174" i="6" s="1"/>
  <c r="AH174" i="6"/>
  <c r="AI174" i="6" s="1"/>
  <c r="AK174" i="6" s="1"/>
  <c r="AQ175" i="6"/>
  <c r="AP174" i="6"/>
  <c r="AP175" i="6"/>
  <c r="AO175" i="6"/>
  <c r="AO173" i="6"/>
  <c r="AR175" i="6"/>
  <c r="AO174" i="6"/>
  <c r="AP173" i="6"/>
  <c r="AT172" i="6"/>
  <c r="AN175" i="6"/>
  <c r="AS175" i="6"/>
  <c r="AI173" i="6"/>
  <c r="AK173" i="6" s="1"/>
  <c r="AY176" i="6"/>
  <c r="L15" i="14" s="1"/>
  <c r="B9" i="17" s="1"/>
  <c r="D9" i="17" s="1"/>
  <c r="AK175" i="6"/>
  <c r="AX181" i="6"/>
  <c r="AT171" i="6"/>
  <c r="AQ174" i="6"/>
  <c r="AR174" i="6" s="1"/>
  <c r="E190" i="6"/>
  <c r="E188" i="6"/>
  <c r="E199" i="6"/>
  <c r="AW174" i="6"/>
  <c r="AW173" i="6"/>
  <c r="AW175" i="6"/>
  <c r="AX172" i="6"/>
  <c r="AV174" i="6"/>
  <c r="AV173" i="6"/>
  <c r="AV175" i="6"/>
  <c r="AV171" i="6"/>
  <c r="AX171" i="6" s="1"/>
  <c r="AY171" i="6" s="1"/>
  <c r="L10" i="14" s="1"/>
  <c r="B4" i="17" s="1"/>
  <c r="Q187" i="6"/>
  <c r="M187" i="6"/>
  <c r="P187" i="6"/>
  <c r="N187" i="6"/>
  <c r="O187" i="6"/>
  <c r="R187" i="6"/>
  <c r="L187" i="6"/>
  <c r="I190" i="6"/>
  <c r="G188" i="6"/>
  <c r="G190" i="6"/>
  <c r="G189" i="6" s="1"/>
  <c r="AQ173" i="6"/>
  <c r="F188" i="6"/>
  <c r="F190" i="6"/>
  <c r="F189" i="6" s="1"/>
  <c r="H188" i="6"/>
  <c r="H199" i="6"/>
  <c r="H190" i="6"/>
  <c r="H189" i="6" s="1"/>
  <c r="AX170" i="6"/>
  <c r="AS194" i="6" l="1"/>
  <c r="AT194" i="6" s="1"/>
  <c r="AS189" i="6"/>
  <c r="I199" i="6"/>
  <c r="AY170" i="6"/>
  <c r="L9" i="14" s="1"/>
  <c r="B3" i="17" s="1"/>
  <c r="F199" i="6"/>
  <c r="G199" i="6"/>
  <c r="AY181" i="6"/>
  <c r="L20" i="14" s="1"/>
  <c r="L8" i="14" s="1"/>
  <c r="AT175" i="6"/>
  <c r="AY172" i="6"/>
  <c r="L11" i="14" s="1"/>
  <c r="B5" i="17" s="1"/>
  <c r="AT174" i="6"/>
  <c r="AX175" i="6"/>
  <c r="AX173" i="6"/>
  <c r="Q188" i="6"/>
  <c r="Q199" i="6"/>
  <c r="Q190" i="6"/>
  <c r="Q189" i="6" s="1"/>
  <c r="AA187" i="6"/>
  <c r="V187" i="6"/>
  <c r="X187" i="6"/>
  <c r="Y187" i="6"/>
  <c r="Z187" i="6"/>
  <c r="U187" i="6"/>
  <c r="W187" i="6"/>
  <c r="L188" i="6"/>
  <c r="L190" i="6"/>
  <c r="J188" i="6"/>
  <c r="R188" i="6"/>
  <c r="R199" i="6"/>
  <c r="R190" i="6"/>
  <c r="H192" i="6"/>
  <c r="F192" i="6"/>
  <c r="H191" i="6"/>
  <c r="F191" i="6"/>
  <c r="F193" i="6"/>
  <c r="G192" i="6"/>
  <c r="H193" i="6"/>
  <c r="G191" i="6"/>
  <c r="G193" i="6"/>
  <c r="E191" i="6"/>
  <c r="E192" i="6"/>
  <c r="J190" i="6"/>
  <c r="E193" i="6"/>
  <c r="E189" i="6"/>
  <c r="O188" i="6"/>
  <c r="O190" i="6"/>
  <c r="O189" i="6" s="1"/>
  <c r="AX174" i="6"/>
  <c r="B14" i="17"/>
  <c r="N188" i="6"/>
  <c r="N190" i="6"/>
  <c r="N189" i="6" s="1"/>
  <c r="AR173" i="6"/>
  <c r="I189" i="6"/>
  <c r="I194" i="6"/>
  <c r="J194" i="6" s="1"/>
  <c r="P188" i="6"/>
  <c r="P190" i="6"/>
  <c r="P189" i="6" s="1"/>
  <c r="M188" i="6"/>
  <c r="M190" i="6"/>
  <c r="M189" i="6" s="1"/>
  <c r="AS173" i="6" l="1"/>
  <c r="AT173" i="6" s="1"/>
  <c r="AY173" i="6" s="1"/>
  <c r="L12" i="14" s="1"/>
  <c r="B6" i="17" s="1"/>
  <c r="J199" i="6"/>
  <c r="AY175" i="6"/>
  <c r="L14" i="14" s="1"/>
  <c r="B8" i="17" s="1"/>
  <c r="D8" i="17" s="1"/>
  <c r="AY174" i="6"/>
  <c r="L13" i="14" s="1"/>
  <c r="B7" i="17" s="1"/>
  <c r="D7" i="17" s="1"/>
  <c r="J192" i="6"/>
  <c r="J191" i="6"/>
  <c r="P199" i="6"/>
  <c r="O192" i="6"/>
  <c r="M193" i="6"/>
  <c r="Q193" i="6"/>
  <c r="N192" i="6"/>
  <c r="N191" i="6"/>
  <c r="P193" i="6"/>
  <c r="M192" i="6"/>
  <c r="O193" i="6"/>
  <c r="M191" i="6"/>
  <c r="S190" i="6"/>
  <c r="N193" i="6"/>
  <c r="O191" i="6"/>
  <c r="L192" i="6"/>
  <c r="L191" i="6"/>
  <c r="L189" i="6"/>
  <c r="L193" i="6"/>
  <c r="X188" i="6"/>
  <c r="X190" i="6"/>
  <c r="X189" i="6" s="1"/>
  <c r="S188" i="6"/>
  <c r="V188" i="6"/>
  <c r="V190" i="6"/>
  <c r="V189" i="6" s="1"/>
  <c r="AA190" i="6"/>
  <c r="AA188" i="6"/>
  <c r="AA199" i="6"/>
  <c r="O199" i="6"/>
  <c r="R189" i="6"/>
  <c r="R194" i="6"/>
  <c r="S194" i="6" s="1"/>
  <c r="W188" i="6"/>
  <c r="W190" i="6"/>
  <c r="W189" i="6" s="1"/>
  <c r="U188" i="6"/>
  <c r="U190" i="6"/>
  <c r="U199" i="6" s="1"/>
  <c r="J189" i="6"/>
  <c r="AH187" i="6"/>
  <c r="AF187" i="6"/>
  <c r="AG187" i="6"/>
  <c r="AJ187" i="6"/>
  <c r="AE187" i="6"/>
  <c r="AI187" i="6"/>
  <c r="AU185" i="6"/>
  <c r="AD187" i="6"/>
  <c r="M199" i="6"/>
  <c r="N199" i="6"/>
  <c r="J193" i="6"/>
  <c r="Z199" i="6"/>
  <c r="Z188" i="6"/>
  <c r="Z190" i="6"/>
  <c r="Z189" i="6" s="1"/>
  <c r="L199" i="6"/>
  <c r="Y188" i="6"/>
  <c r="Y190" i="6"/>
  <c r="Y189" i="6" s="1"/>
  <c r="B203" i="6" l="1"/>
  <c r="AV187" i="6"/>
  <c r="AZ167" i="6"/>
  <c r="BA167" i="6" s="1"/>
  <c r="L22" i="14" s="1"/>
  <c r="B16" i="17" s="1"/>
  <c r="E18" i="17"/>
  <c r="W199" i="6"/>
  <c r="Y199" i="6"/>
  <c r="V199" i="6"/>
  <c r="X199" i="6"/>
  <c r="S199" i="6"/>
  <c r="AQ187" i="6"/>
  <c r="AQ190" i="6" s="1"/>
  <c r="AQ189" i="6" s="1"/>
  <c r="AR187" i="6"/>
  <c r="P192" i="6"/>
  <c r="Q192" i="6" s="1"/>
  <c r="S192" i="6" s="1"/>
  <c r="S189" i="6"/>
  <c r="AF188" i="6"/>
  <c r="AF190" i="6"/>
  <c r="AF189" i="6" s="1"/>
  <c r="AH188" i="6"/>
  <c r="AH190" i="6"/>
  <c r="AH189" i="6" s="1"/>
  <c r="S193" i="6"/>
  <c r="AD188" i="6"/>
  <c r="AD190" i="6"/>
  <c r="AD199" i="6" s="1"/>
  <c r="AP187" i="6"/>
  <c r="AN187" i="6"/>
  <c r="AM187" i="6"/>
  <c r="AO187" i="6"/>
  <c r="K203" i="6"/>
  <c r="T203" i="6" s="1"/>
  <c r="AC203" i="6" s="1"/>
  <c r="AL203" i="6" s="1"/>
  <c r="V193" i="6"/>
  <c r="W192" i="6"/>
  <c r="Y193" i="6"/>
  <c r="AB190" i="6"/>
  <c r="X191" i="6"/>
  <c r="W191" i="6"/>
  <c r="Z193" i="6"/>
  <c r="X192" i="6"/>
  <c r="X193" i="6"/>
  <c r="V192" i="6"/>
  <c r="W193" i="6"/>
  <c r="V191" i="6"/>
  <c r="U192" i="6"/>
  <c r="U189" i="6"/>
  <c r="U193" i="6"/>
  <c r="U191" i="6"/>
  <c r="P191" i="6"/>
  <c r="Q191" i="6" s="1"/>
  <c r="S191" i="6" s="1"/>
  <c r="AJ188" i="6"/>
  <c r="AJ199" i="6"/>
  <c r="AJ190" i="6"/>
  <c r="AI188" i="6"/>
  <c r="AI199" i="6"/>
  <c r="AI190" i="6"/>
  <c r="AI189" i="6" s="1"/>
  <c r="AE188" i="6"/>
  <c r="AE190" i="6"/>
  <c r="AE189" i="6" s="1"/>
  <c r="AB188" i="6"/>
  <c r="AG190" i="6"/>
  <c r="AG189" i="6" s="1"/>
  <c r="AG188" i="6"/>
  <c r="AA194" i="6"/>
  <c r="AB194" i="6" s="1"/>
  <c r="AA189" i="6"/>
  <c r="AV188" i="6" l="1"/>
  <c r="AX188" i="6" s="1"/>
  <c r="AV190" i="6"/>
  <c r="AV199" i="6"/>
  <c r="AX199" i="6" s="1"/>
  <c r="D205" i="6"/>
  <c r="E205" i="6"/>
  <c r="F205" i="6"/>
  <c r="AF199" i="6"/>
  <c r="AH199" i="6"/>
  <c r="AG199" i="6"/>
  <c r="AE199" i="6"/>
  <c r="L21" i="14"/>
  <c r="B15" i="17" s="1"/>
  <c r="Y192" i="6"/>
  <c r="Z192" i="6" s="1"/>
  <c r="AB192" i="6" s="1"/>
  <c r="Y191" i="6"/>
  <c r="Z191" i="6" s="1"/>
  <c r="AB199" i="6"/>
  <c r="AQ199" i="6"/>
  <c r="AQ188" i="6"/>
  <c r="AR190" i="6"/>
  <c r="AR189" i="6" s="1"/>
  <c r="AR199" i="6"/>
  <c r="AR188" i="6"/>
  <c r="AN188" i="6"/>
  <c r="AN190" i="6"/>
  <c r="AN189" i="6" s="1"/>
  <c r="AP188" i="6"/>
  <c r="AP190" i="6"/>
  <c r="AP189" i="6" s="1"/>
  <c r="AB193" i="6"/>
  <c r="AB189" i="6"/>
  <c r="AE193" i="6"/>
  <c r="AF193" i="6"/>
  <c r="AK190" i="6"/>
  <c r="AE191" i="6"/>
  <c r="AG192" i="6"/>
  <c r="AE192" i="6"/>
  <c r="AG193" i="6"/>
  <c r="AF192" i="6"/>
  <c r="AH193" i="6"/>
  <c r="AF191" i="6"/>
  <c r="AG191" i="6"/>
  <c r="AI193" i="6"/>
  <c r="AD191" i="6"/>
  <c r="AD193" i="6"/>
  <c r="AD192" i="6"/>
  <c r="AD189" i="6"/>
  <c r="AJ189" i="6"/>
  <c r="AJ194" i="6"/>
  <c r="AK194" i="6" s="1"/>
  <c r="AY194" i="6" s="1"/>
  <c r="M15" i="14" s="1"/>
  <c r="H205" i="6"/>
  <c r="I205" i="6"/>
  <c r="G205" i="6"/>
  <c r="AK188" i="6"/>
  <c r="AO188" i="6"/>
  <c r="AO190" i="6"/>
  <c r="AO189" i="6" s="1"/>
  <c r="AM190" i="6"/>
  <c r="AM199" i="6" s="1"/>
  <c r="AM188" i="6"/>
  <c r="D217" i="6" l="1"/>
  <c r="D206" i="6"/>
  <c r="D208" i="6"/>
  <c r="F206" i="6"/>
  <c r="F208" i="6"/>
  <c r="F207" i="6" s="1"/>
  <c r="F217" i="6"/>
  <c r="AV189" i="6"/>
  <c r="AX189" i="6" s="1"/>
  <c r="AV192" i="6"/>
  <c r="AW191" i="6"/>
  <c r="AW193" i="6"/>
  <c r="AV191" i="6"/>
  <c r="AX191" i="6" s="1"/>
  <c r="AV193" i="6"/>
  <c r="AX193" i="6" s="1"/>
  <c r="AX190" i="6"/>
  <c r="AW192" i="6"/>
  <c r="E206" i="6"/>
  <c r="E208" i="6"/>
  <c r="E207" i="6" s="1"/>
  <c r="E217" i="6"/>
  <c r="AN199" i="6"/>
  <c r="AO199" i="6"/>
  <c r="AP199" i="6"/>
  <c r="AK199" i="6"/>
  <c r="AB191" i="6"/>
  <c r="AK193" i="6"/>
  <c r="G208" i="6"/>
  <c r="G217" i="6" s="1"/>
  <c r="G206" i="6"/>
  <c r="H208" i="6"/>
  <c r="H207" i="6" s="1"/>
  <c r="H206" i="6"/>
  <c r="H217" i="6"/>
  <c r="AH192" i="6"/>
  <c r="AI192" i="6" s="1"/>
  <c r="AP193" i="6"/>
  <c r="AN193" i="6"/>
  <c r="AQ193" i="6"/>
  <c r="AS193" i="6"/>
  <c r="AT190" i="6"/>
  <c r="AY190" i="6" s="1"/>
  <c r="M11" i="14" s="1"/>
  <c r="AN191" i="6"/>
  <c r="AR193" i="6"/>
  <c r="AO193" i="6"/>
  <c r="AP191" i="6"/>
  <c r="AP192" i="6"/>
  <c r="AO191" i="6"/>
  <c r="AN192" i="6"/>
  <c r="AO192" i="6"/>
  <c r="AM193" i="6"/>
  <c r="AM189" i="6"/>
  <c r="AT189" i="6" s="1"/>
  <c r="AM191" i="6"/>
  <c r="AM192" i="6"/>
  <c r="I217" i="6"/>
  <c r="I206" i="6"/>
  <c r="I208" i="6"/>
  <c r="AH191" i="6"/>
  <c r="AI191" i="6" s="1"/>
  <c r="AT188" i="6"/>
  <c r="AY188" i="6" s="1"/>
  <c r="M9" i="14" s="1"/>
  <c r="R205" i="6"/>
  <c r="Q205" i="6"/>
  <c r="O205" i="6"/>
  <c r="N205" i="6"/>
  <c r="M205" i="6"/>
  <c r="L205" i="6"/>
  <c r="P205" i="6"/>
  <c r="AK189" i="6"/>
  <c r="AX192" i="6" l="1"/>
  <c r="D207" i="6"/>
  <c r="D209" i="6"/>
  <c r="D210" i="6"/>
  <c r="D211" i="6"/>
  <c r="F209" i="6"/>
  <c r="E209" i="6"/>
  <c r="F211" i="6"/>
  <c r="E211" i="6"/>
  <c r="E210" i="6"/>
  <c r="F210" i="6"/>
  <c r="AY189" i="6"/>
  <c r="M10" i="14" s="1"/>
  <c r="AT199" i="6"/>
  <c r="AY199" i="6" s="1"/>
  <c r="M20" i="14" s="1"/>
  <c r="M8" i="14" s="1"/>
  <c r="AQ192" i="6"/>
  <c r="AR192" i="6" s="1"/>
  <c r="AS192" i="6" s="1"/>
  <c r="AQ191" i="6"/>
  <c r="M208" i="6"/>
  <c r="M207" i="6" s="1"/>
  <c r="M206" i="6"/>
  <c r="I207" i="6"/>
  <c r="I212" i="6"/>
  <c r="J212" i="6" s="1"/>
  <c r="AK191" i="6"/>
  <c r="N206" i="6"/>
  <c r="N208" i="6"/>
  <c r="N207" i="6" s="1"/>
  <c r="AK192" i="6"/>
  <c r="O208" i="6"/>
  <c r="O207" i="6" s="1"/>
  <c r="O206" i="6"/>
  <c r="J217" i="6"/>
  <c r="J206" i="6"/>
  <c r="R206" i="6"/>
  <c r="R217" i="6"/>
  <c r="R208" i="6"/>
  <c r="H210" i="6"/>
  <c r="H211" i="6"/>
  <c r="H209" i="6"/>
  <c r="G209" i="6"/>
  <c r="G211" i="6"/>
  <c r="J208" i="6"/>
  <c r="G207" i="6"/>
  <c r="G210" i="6"/>
  <c r="P206" i="6"/>
  <c r="P208" i="6"/>
  <c r="P207" i="6" s="1"/>
  <c r="X205" i="6"/>
  <c r="AA205" i="6"/>
  <c r="Z205" i="6"/>
  <c r="Y205" i="6"/>
  <c r="W205" i="6"/>
  <c r="U205" i="6"/>
  <c r="V205" i="6"/>
  <c r="AT193" i="6"/>
  <c r="AY193" i="6" s="1"/>
  <c r="M14" i="14" s="1"/>
  <c r="Q217" i="6"/>
  <c r="Q206" i="6"/>
  <c r="Q208" i="6"/>
  <c r="Q207" i="6" s="1"/>
  <c r="L206" i="6"/>
  <c r="L208" i="6"/>
  <c r="L217" i="6" s="1"/>
  <c r="M217" i="6" l="1"/>
  <c r="AR191" i="6"/>
  <c r="AS191" i="6" s="1"/>
  <c r="AT191" i="6" s="1"/>
  <c r="AY191" i="6" s="1"/>
  <c r="M12" i="14" s="1"/>
  <c r="P217" i="6"/>
  <c r="O217" i="6"/>
  <c r="N217" i="6"/>
  <c r="AT192" i="6"/>
  <c r="AY192" i="6" s="1"/>
  <c r="M13" i="14" s="1"/>
  <c r="J210" i="6"/>
  <c r="J211" i="6"/>
  <c r="J209" i="6"/>
  <c r="Z217" i="6"/>
  <c r="Z206" i="6"/>
  <c r="Z208" i="6"/>
  <c r="Z207" i="6" s="1"/>
  <c r="AA206" i="6"/>
  <c r="AA217" i="6"/>
  <c r="AA208" i="6"/>
  <c r="X206" i="6"/>
  <c r="X208" i="6"/>
  <c r="X207" i="6" s="1"/>
  <c r="AE205" i="6"/>
  <c r="AG205" i="6"/>
  <c r="AJ205" i="6"/>
  <c r="AI205" i="6"/>
  <c r="AF205" i="6"/>
  <c r="AH205" i="6"/>
  <c r="AU203" i="6"/>
  <c r="AD205" i="6"/>
  <c r="V206" i="6"/>
  <c r="V208" i="6"/>
  <c r="V207" i="6" s="1"/>
  <c r="S208" i="6"/>
  <c r="M210" i="6"/>
  <c r="P211" i="6"/>
  <c r="O210" i="6"/>
  <c r="N211" i="6"/>
  <c r="M211" i="6"/>
  <c r="N210" i="6"/>
  <c r="O209" i="6"/>
  <c r="Q211" i="6"/>
  <c r="O211" i="6"/>
  <c r="M209" i="6"/>
  <c r="N209" i="6"/>
  <c r="L207" i="6"/>
  <c r="L211" i="6"/>
  <c r="L209" i="6"/>
  <c r="L210" i="6"/>
  <c r="U208" i="6"/>
  <c r="U217" i="6" s="1"/>
  <c r="U206" i="6"/>
  <c r="W206" i="6"/>
  <c r="W208" i="6"/>
  <c r="W207" i="6" s="1"/>
  <c r="R212" i="6"/>
  <c r="S212" i="6" s="1"/>
  <c r="R207" i="6"/>
  <c r="S206" i="6"/>
  <c r="Y206" i="6"/>
  <c r="Y208" i="6"/>
  <c r="Y207" i="6" s="1"/>
  <c r="J207" i="6"/>
  <c r="V217" i="6" l="1"/>
  <c r="Y217" i="6"/>
  <c r="W217" i="6"/>
  <c r="X217" i="6"/>
  <c r="P209" i="6"/>
  <c r="Q209" i="6" s="1"/>
  <c r="S217" i="6"/>
  <c r="P210" i="6"/>
  <c r="Q210" i="6" s="1"/>
  <c r="AV205" i="6"/>
  <c r="AV206" i="6" s="1"/>
  <c r="AW205" i="6"/>
  <c r="AZ185" i="6"/>
  <c r="BA185" i="6" s="1"/>
  <c r="M22" i="14" s="1"/>
  <c r="AB206" i="6"/>
  <c r="AG208" i="6"/>
  <c r="AG207" i="6" s="1"/>
  <c r="AG206" i="6"/>
  <c r="AE208" i="6"/>
  <c r="AE207" i="6" s="1"/>
  <c r="AE206" i="6"/>
  <c r="AA212" i="6"/>
  <c r="AB212" i="6" s="1"/>
  <c r="AA207" i="6"/>
  <c r="AD208" i="6"/>
  <c r="AD217" i="6" s="1"/>
  <c r="AD206" i="6"/>
  <c r="AO205" i="6"/>
  <c r="AS205" i="6"/>
  <c r="AR205" i="6"/>
  <c r="AN205" i="6"/>
  <c r="AM205" i="6"/>
  <c r="AQ205" i="6"/>
  <c r="AP205" i="6"/>
  <c r="X209" i="6"/>
  <c r="V211" i="6"/>
  <c r="V209" i="6"/>
  <c r="AB208" i="6"/>
  <c r="X210" i="6"/>
  <c r="Y211" i="6"/>
  <c r="Z211" i="6"/>
  <c r="X211" i="6"/>
  <c r="W209" i="6"/>
  <c r="W211" i="6"/>
  <c r="V210" i="6"/>
  <c r="W210" i="6"/>
  <c r="U210" i="6"/>
  <c r="U211" i="6"/>
  <c r="U209" i="6"/>
  <c r="U207" i="6"/>
  <c r="S211" i="6"/>
  <c r="AH206" i="6"/>
  <c r="AH208" i="6"/>
  <c r="AH207" i="6" s="1"/>
  <c r="S207" i="6"/>
  <c r="AF206" i="6"/>
  <c r="AF208" i="6"/>
  <c r="AF207" i="6" s="1"/>
  <c r="AI217" i="6"/>
  <c r="AI206" i="6"/>
  <c r="AI208" i="6"/>
  <c r="AI207" i="6" s="1"/>
  <c r="AJ206" i="6"/>
  <c r="AJ217" i="6"/>
  <c r="AJ208" i="6"/>
  <c r="AG217" i="6" l="1"/>
  <c r="AF217" i="6"/>
  <c r="AH217" i="6"/>
  <c r="AE217" i="6"/>
  <c r="AB217" i="6"/>
  <c r="S209" i="6"/>
  <c r="S210" i="6"/>
  <c r="M21" i="14"/>
  <c r="AV208" i="6"/>
  <c r="AW208" i="6"/>
  <c r="AW207" i="6" s="1"/>
  <c r="AW206" i="6"/>
  <c r="AX206" i="6" s="1"/>
  <c r="AW217" i="6"/>
  <c r="AB207" i="6"/>
  <c r="Y209" i="6"/>
  <c r="Z209" i="6" s="1"/>
  <c r="AQ206" i="6"/>
  <c r="AQ208" i="6"/>
  <c r="AQ207" i="6" s="1"/>
  <c r="AF211" i="6"/>
  <c r="AG209" i="6"/>
  <c r="AE209" i="6"/>
  <c r="AK208" i="6"/>
  <c r="AD207" i="6"/>
  <c r="AE211" i="6"/>
  <c r="AG211" i="6"/>
  <c r="AG210" i="6"/>
  <c r="AF210" i="6"/>
  <c r="AE210" i="6"/>
  <c r="AI211" i="6"/>
  <c r="AF209" i="6"/>
  <c r="AH211" i="6"/>
  <c r="AD209" i="6"/>
  <c r="AD210" i="6"/>
  <c r="AD211" i="6"/>
  <c r="AM208" i="6"/>
  <c r="AM206" i="6"/>
  <c r="AN206" i="6"/>
  <c r="AN208" i="6"/>
  <c r="AN207" i="6" s="1"/>
  <c r="AR206" i="6"/>
  <c r="AR217" i="6"/>
  <c r="AR208" i="6"/>
  <c r="AR207" i="6" s="1"/>
  <c r="Y210" i="6"/>
  <c r="AS217" i="6"/>
  <c r="AS206" i="6"/>
  <c r="AS208" i="6"/>
  <c r="AJ207" i="6"/>
  <c r="AJ212" i="6"/>
  <c r="AK212" i="6" s="1"/>
  <c r="AO206" i="6"/>
  <c r="AO208" i="6"/>
  <c r="AO207" i="6" s="1"/>
  <c r="AB211" i="6"/>
  <c r="AP206" i="6"/>
  <c r="AP208" i="6"/>
  <c r="AP207" i="6" s="1"/>
  <c r="AK206" i="6"/>
  <c r="AM217" i="6" l="1"/>
  <c r="AS211" i="6"/>
  <c r="AS210" i="6"/>
  <c r="AS209" i="6"/>
  <c r="AK217" i="6"/>
  <c r="AB209" i="6"/>
  <c r="AH209" i="6"/>
  <c r="AI209" i="6" s="1"/>
  <c r="AK209" i="6" s="1"/>
  <c r="AH210" i="6"/>
  <c r="AI210" i="6" s="1"/>
  <c r="AV210" i="6"/>
  <c r="AV217" i="6"/>
  <c r="AX217" i="6" s="1"/>
  <c r="AV207" i="6"/>
  <c r="AX207" i="6" s="1"/>
  <c r="AW209" i="6"/>
  <c r="AW211" i="6"/>
  <c r="AV209" i="6"/>
  <c r="AV211" i="6"/>
  <c r="AX208" i="6"/>
  <c r="AW210" i="6"/>
  <c r="AX210" i="6" s="1"/>
  <c r="AK207" i="6"/>
  <c r="AO217" i="6"/>
  <c r="AT206" i="6"/>
  <c r="AY206" i="6" s="1"/>
  <c r="N9" i="14" s="1"/>
  <c r="P9" i="14" s="1"/>
  <c r="AQ217" i="6"/>
  <c r="AQ211" i="6"/>
  <c r="AT208" i="6"/>
  <c r="AN211" i="6"/>
  <c r="AN209" i="6"/>
  <c r="AP210" i="6"/>
  <c r="AO211" i="6"/>
  <c r="AO209" i="6"/>
  <c r="AO210" i="6"/>
  <c r="AR211" i="6"/>
  <c r="AP209" i="6"/>
  <c r="AN210" i="6"/>
  <c r="AP211" i="6"/>
  <c r="AM210" i="6"/>
  <c r="AM211" i="6"/>
  <c r="AM209" i="6"/>
  <c r="AM207" i="6"/>
  <c r="AK211" i="6"/>
  <c r="AP217" i="6"/>
  <c r="AS207" i="6"/>
  <c r="AS212" i="6"/>
  <c r="AT212" i="6" s="1"/>
  <c r="AY212" i="6" s="1"/>
  <c r="N15" i="14" s="1"/>
  <c r="P15" i="14" s="1"/>
  <c r="AN217" i="6"/>
  <c r="Z210" i="6"/>
  <c r="AB210" i="6" s="1"/>
  <c r="AK210" i="6" l="1"/>
  <c r="AX209" i="6"/>
  <c r="AX211" i="6"/>
  <c r="AY208" i="6"/>
  <c r="N11" i="14" s="1"/>
  <c r="P11" i="14" s="1"/>
  <c r="AQ210" i="6"/>
  <c r="AR210" i="6" s="1"/>
  <c r="AT210" i="6" s="1"/>
  <c r="AY210" i="6" s="1"/>
  <c r="AT207" i="6"/>
  <c r="AY207" i="6" s="1"/>
  <c r="N10" i="14" s="1"/>
  <c r="P10" i="14" s="1"/>
  <c r="AT211" i="6"/>
  <c r="AY211" i="6" s="1"/>
  <c r="N14" i="14" s="1"/>
  <c r="P14" i="14" s="1"/>
  <c r="AT217" i="6"/>
  <c r="AY217" i="6" s="1"/>
  <c r="N20" i="14" s="1"/>
  <c r="P20" i="14" s="1"/>
  <c r="AQ209" i="6"/>
  <c r="AR209" i="6" s="1"/>
  <c r="AT209" i="6" s="1"/>
  <c r="AY209" i="6" l="1"/>
  <c r="N12" i="14" s="1"/>
  <c r="P12" i="14" s="1"/>
  <c r="N8" i="14"/>
  <c r="P8" i="14" s="1"/>
  <c r="N13" i="14"/>
  <c r="P13" i="14" s="1"/>
  <c r="AZ203" i="6"/>
  <c r="N21" i="14" l="1"/>
  <c r="BA203" i="6"/>
  <c r="N22" i="14" s="1"/>
  <c r="P22" i="14" s="1"/>
</calcChain>
</file>

<file path=xl/comments1.xml><?xml version="1.0" encoding="utf-8"?>
<comments xmlns="http://schemas.openxmlformats.org/spreadsheetml/2006/main">
  <authors>
    <author>ignacy</author>
  </authors>
  <commentList>
    <comment ref="P23" authorId="0" shapeId="0">
      <text>
        <r>
          <rPr>
            <sz val="9"/>
            <color indexed="81"/>
            <rFont val="Tahoma"/>
            <family val="2"/>
          </rPr>
          <t>Papa a 73 ans</t>
        </r>
      </text>
    </comment>
    <comment ref="N77" authorId="0" shapeId="0">
      <text>
        <r>
          <rPr>
            <sz val="9"/>
            <color indexed="81"/>
            <rFont val="Tahoma"/>
            <family val="2"/>
          </rPr>
          <t>Maman a 69 ans</t>
        </r>
      </text>
    </comment>
    <comment ref="L95" authorId="0" shapeId="0">
      <text>
        <r>
          <rPr>
            <sz val="9"/>
            <color indexed="81"/>
            <rFont val="Tahoma"/>
            <family val="2"/>
          </rPr>
          <t>Ma Douce et Belle a 43 ans</t>
        </r>
      </text>
    </comment>
    <comment ref="G167" authorId="0" shapeId="0">
      <text>
        <r>
          <rPr>
            <sz val="9"/>
            <color indexed="81"/>
            <rFont val="Tahoma"/>
            <family val="2"/>
          </rPr>
          <t>Mathéo a 10 ans</t>
        </r>
      </text>
    </comment>
    <comment ref="AN185" authorId="0" shapeId="0">
      <text>
        <r>
          <rPr>
            <sz val="9"/>
            <color indexed="81"/>
            <rFont val="Tahoma"/>
            <family val="2"/>
          </rPr>
          <t>Jumeaux a 19 ans</t>
        </r>
      </text>
    </comment>
    <comment ref="X203" authorId="0" shapeId="0">
      <text>
        <r>
          <rPr>
            <sz val="9"/>
            <color indexed="81"/>
            <rFont val="Tahoma"/>
            <family val="2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<sst xmlns="http://schemas.openxmlformats.org/spreadsheetml/2006/main" count="418" uniqueCount="110">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</sst>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04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1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4" fontId="7" fillId="8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49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textRotation="45"/>
    </xf>
    <xf numFmtId="0" fontId="12" fillId="7" borderId="0" xfId="2" applyFont="1" applyFill="1" applyBorder="1" applyAlignment="1">
      <alignment horizontal="center" vertical="center" wrapText="1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dov/Downloads/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8">
        <v>2020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3" t="s">
        <v>38</v>
      </c>
      <c r="BA2" s="103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3"/>
      <c r="BA3" s="103"/>
      <c r="BF3" s="6"/>
    </row>
    <row r="4" spans="1:59" s="2" customFormat="1" ht="27">
      <c r="A4" s="20"/>
      <c r="B4" s="20"/>
      <c r="C4" s="21" t="s">
        <v>0</v>
      </c>
      <c r="D4" s="21"/>
      <c r="E4" s="21"/>
      <c r="F4" s="21"/>
      <c r="G4" s="21"/>
      <c r="H4" s="100">
        <f>Année_Calendaire</f>
        <v>2020</v>
      </c>
      <c r="I4" s="100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0">
        <f>Année_Calendaire</f>
        <v>2020</v>
      </c>
      <c r="AA4" s="100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0">
        <f>Année_Calendaire</f>
        <v>2020</v>
      </c>
      <c r="AS4" s="100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1"/>
      <c r="BE4" s="101"/>
      <c r="BF4" s="42"/>
    </row>
    <row r="5" spans="1:59" s="23" customFormat="1" ht="29.25" customHeight="1">
      <c r="A5" s="36"/>
      <c r="B5" s="55" t="s">
        <v>67</v>
      </c>
      <c r="C5" s="91" t="str">
        <f>IF(C6&lt;&gt;"","Lun","")</f>
        <v/>
      </c>
      <c r="D5" s="91" t="str">
        <f>IF(D6&lt;&gt;"","Mar","")</f>
        <v/>
      </c>
      <c r="E5" s="91" t="str">
        <f>IF(E6&lt;&gt;"","Mer","")</f>
        <v>Mer</v>
      </c>
      <c r="F5" s="91" t="str">
        <f>IF(F6&lt;&gt;"","Jeu","")</f>
        <v>Jeu</v>
      </c>
      <c r="G5" s="91" t="str">
        <f>IF(G6&lt;&gt;"","Ven","")</f>
        <v>Ven</v>
      </c>
      <c r="H5" s="91" t="str">
        <f>IF(H6&lt;&gt;"","Sam","")</f>
        <v>Sam</v>
      </c>
      <c r="I5" s="91" t="str">
        <f>IF(I6&lt;&gt;"","Dim","")</f>
        <v>Dim</v>
      </c>
      <c r="J5" s="102" t="s">
        <v>25</v>
      </c>
      <c r="K5" s="55" t="str">
        <f>IF(L5="",LEFT(B5)&amp;MOD(RIGHT(B5),5),LEFT(B5)&amp;MOD(RIGHT(B5),4)+1)</f>
        <v>C4</v>
      </c>
      <c r="L5" s="91" t="str">
        <f>IF(L6&lt;&gt;"","Lun","")</f>
        <v>Lun</v>
      </c>
      <c r="M5" s="91" t="str">
        <f>IF(M6&lt;&gt;"","Mar","")</f>
        <v>Mar</v>
      </c>
      <c r="N5" s="91" t="str">
        <f>IF(N6&lt;&gt;"","Mer","")</f>
        <v>Mer</v>
      </c>
      <c r="O5" s="91" t="str">
        <f>IF(O6&lt;&gt;"","Jeu","")</f>
        <v>Jeu</v>
      </c>
      <c r="P5" s="91" t="str">
        <f>IF(P6&lt;&gt;"","Ven","")</f>
        <v>Ven</v>
      </c>
      <c r="Q5" s="91" t="str">
        <f>IF(Q6&lt;&gt;"","Sam","")</f>
        <v>Sam</v>
      </c>
      <c r="R5" s="91" t="str">
        <f>IF(R6&lt;&gt;"","Dim","")</f>
        <v>Dim</v>
      </c>
      <c r="S5" s="102" t="s">
        <v>25</v>
      </c>
      <c r="T5" s="55" t="str">
        <f>IF(U5="",LEFT(K5)&amp;MOD(RIGHT(K5),5),LEFT(K5)&amp;MOD(RIGHT(K5),4)+1)</f>
        <v>C1</v>
      </c>
      <c r="U5" s="91" t="str">
        <f>IF(U6&lt;&gt;"","Lun","")</f>
        <v>Lun</v>
      </c>
      <c r="V5" s="91" t="str">
        <f>IF(V6&lt;&gt;"","Mar","")</f>
        <v>Mar</v>
      </c>
      <c r="W5" s="91" t="str">
        <f>IF(W6&lt;&gt;"","Mer","")</f>
        <v>Mer</v>
      </c>
      <c r="X5" s="91" t="str">
        <f>IF(X6&lt;&gt;"","Jeu","")</f>
        <v>Jeu</v>
      </c>
      <c r="Y5" s="91" t="str">
        <f>IF(Y6&lt;&gt;"","Ven","")</f>
        <v>Ven</v>
      </c>
      <c r="Z5" s="91" t="str">
        <f>IF(Z6&lt;&gt;"","Sam","")</f>
        <v>Sam</v>
      </c>
      <c r="AA5" s="91" t="str">
        <f>IF(AA6&lt;&gt;"","Dim","")</f>
        <v>Dim</v>
      </c>
      <c r="AB5" s="102" t="s">
        <v>25</v>
      </c>
      <c r="AC5" s="55" t="str">
        <f>IF(AD5="",LEFT(T5)&amp;MOD(RIGHT(T5),5),LEFT(T5)&amp;MOD(RIGHT(T5),4)+1)</f>
        <v>C2</v>
      </c>
      <c r="AD5" s="91" t="str">
        <f>IF(AD6&lt;&gt;"","Lun","")</f>
        <v>Lun</v>
      </c>
      <c r="AE5" s="91" t="str">
        <f>IF(AE6&lt;&gt;"","Mar","")</f>
        <v>Mar</v>
      </c>
      <c r="AF5" s="91" t="str">
        <f>IF(AF6&lt;&gt;"","Mer","")</f>
        <v>Mer</v>
      </c>
      <c r="AG5" s="91" t="str">
        <f>IF(AG6&lt;&gt;"","Jeu","")</f>
        <v>Jeu</v>
      </c>
      <c r="AH5" s="91" t="str">
        <f>IF(AH6&lt;&gt;"","Ven","")</f>
        <v>Ven</v>
      </c>
      <c r="AI5" s="91" t="str">
        <f>IF(AI6&lt;&gt;"","Sam","")</f>
        <v>Sam</v>
      </c>
      <c r="AJ5" s="91" t="str">
        <f>IF(AJ6&lt;&gt;"","Dim","")</f>
        <v>Dim</v>
      </c>
      <c r="AK5" s="102" t="s">
        <v>25</v>
      </c>
      <c r="AL5" s="55" t="str">
        <f>IF(AM5="",LEFT(AC5)&amp;MOD(RIGHT(AC5),5),LEFT(AC5)&amp;MOD(RIGHT(AC5),4)+1)</f>
        <v>C3</v>
      </c>
      <c r="AM5" s="91" t="str">
        <f>IF(AM6&lt;&gt;"","Lun","")</f>
        <v>Lun</v>
      </c>
      <c r="AN5" s="91" t="str">
        <f>IF(AN6&lt;&gt;"","Mar","")</f>
        <v>Mar</v>
      </c>
      <c r="AO5" s="91" t="str">
        <f>IF(AO6&lt;&gt;"","Mer","")</f>
        <v>Mer</v>
      </c>
      <c r="AP5" s="91" t="str">
        <f>IF(AP6&lt;&gt;"","Jeu","")</f>
        <v>Jeu</v>
      </c>
      <c r="AQ5" s="91" t="str">
        <f>IF(AQ6&lt;&gt;"","Ven","")</f>
        <v>Ven</v>
      </c>
      <c r="AR5" s="91" t="str">
        <f>IF(AR6&lt;&gt;"","Sam","")</f>
        <v/>
      </c>
      <c r="AS5" s="91" t="str">
        <f>IF(AS6&lt;&gt;"","Dim","")</f>
        <v/>
      </c>
      <c r="AT5" s="102" t="s">
        <v>25</v>
      </c>
      <c r="AU5" s="55" t="str">
        <f>IF(AV5="",LEFT(AL5)&amp;MOD(RIGHT(AL5),5),LEFT(AL5)&amp;MOD(RIGHT(AL5),4)+1)</f>
        <v>C3</v>
      </c>
      <c r="AV5" s="53" t="str">
        <f>IF(AV6&lt;&gt;"","Lun","")</f>
        <v/>
      </c>
      <c r="AW5" s="53" t="str">
        <f>IF(AW6&lt;&gt;"","Mar","")</f>
        <v/>
      </c>
      <c r="AX5" s="102" t="s">
        <v>25</v>
      </c>
      <c r="AY5" s="102" t="s">
        <v>28</v>
      </c>
      <c r="AZ5" s="103">
        <f>AY12+AY13+AY14</f>
        <v>10</v>
      </c>
      <c r="BA5" s="103">
        <f>AZ5</f>
        <v>10</v>
      </c>
      <c r="BB5" s="39"/>
      <c r="BC5" s="39"/>
      <c r="BD5" s="39"/>
      <c r="BE5" s="39"/>
      <c r="BF5" s="34"/>
    </row>
    <row r="6" spans="1:59" s="25" customFormat="1" ht="15" customHeight="1">
      <c r="A6" s="10"/>
      <c r="B6" s="54"/>
      <c r="C6" s="93" t="str">
        <f>IF(DAY(Jan_Dim1)=1,"",IF(AND(YEAR(Jan_Dim1+1)=Année_Calendaire,MONTH(Jan_Dim1+1)=1),Jan_Dim1+1,""))</f>
        <v/>
      </c>
      <c r="D6" s="90" t="str">
        <f>IF(DAY(Jan_Dim1)=1,"",IF(AND(YEAR(Jan_Dim1+2)=Année_Calendaire,MONTH(Jan_Dim1+2)=1),Jan_Dim1+2,""))</f>
        <v/>
      </c>
      <c r="E6" s="90">
        <f>IF(DAY(Jan_Dim1)=1,"",IF(AND(YEAR(Jan_Dim1+3)=Année_Calendaire,MONTH(Jan_Dim1+3)=1),Jan_Dim1+3,""))</f>
        <v>43831</v>
      </c>
      <c r="F6" s="90">
        <f>IF(DAY(Jan_Dim1)=1,"",IF(AND(YEAR(Jan_Dim1+4)=Année_Calendaire,MONTH(Jan_Dim1+4)=1),Jan_Dim1+4,""))</f>
        <v>43832</v>
      </c>
      <c r="G6" s="90">
        <f>IF(DAY(Jan_Dim1)=1,"",IF(AND(YEAR(Jan_Dim1+5)=Année_Calendaire,MONTH(Jan_Dim1+5)=1),Jan_Dim1+5,""))</f>
        <v>43833</v>
      </c>
      <c r="H6" s="90">
        <f>IF(DAY(Jan_Dim1)=1,"",IF(AND(YEAR(Jan_Dim1+6)=Année_Calendaire,MONTH(Jan_Dim1+6)=1),Jan_Dim1+6,""))</f>
        <v>43834</v>
      </c>
      <c r="I6" s="90">
        <f>IF(DAY(Jan_Dim1)=1,IF(AND(YEAR(Jan_Dim1)=Année_Calendaire,MONTH(Jan_Dim1)=1),Jan_Dim1,""),IF(AND(YEAR(Jan_Dim1+7)=Année_Calendaire,MONTH(Jan_Dim1+7)=1),Jan_Dim1+7,""))</f>
        <v>43835</v>
      </c>
      <c r="J6" s="102"/>
      <c r="K6" s="54"/>
      <c r="L6" s="90">
        <f>IF(DAY(Jan_Dim1)=1,IF(AND(YEAR(Jan_Dim1+1)=Année_Calendaire,MONTH(Jan_Dim1+1)=1),Jan_Dim1+1,""),IF(AND(YEAR(Jan_Dim1+8)=Année_Calendaire,MONTH(Jan_Dim1+8)=1),Jan_Dim1+8,""))</f>
        <v>43836</v>
      </c>
      <c r="M6" s="90">
        <f>IF(DAY(Jan_Dim1)=1,IF(AND(YEAR(Jan_Dim1+2)=Année_Calendaire,MONTH(Jan_Dim1+2)=1),Jan_Dim1+2,""),IF(AND(YEAR(Jan_Dim1+9)=Année_Calendaire,MONTH(Jan_Dim1+9)=1),Jan_Dim1+9,""))</f>
        <v>43837</v>
      </c>
      <c r="N6" s="90">
        <f>IF(DAY(Jan_Dim1)=1,IF(AND(YEAR(Jan_Dim1+3)=Année_Calendaire,MONTH(Jan_Dim1+3)=1),Jan_Dim1+3,""),IF(AND(YEAR(Jan_Dim1+10)=Année_Calendaire,MONTH(Jan_Dim1+10)=1),Jan_Dim1+10,""))</f>
        <v>43838</v>
      </c>
      <c r="O6" s="90">
        <f>IF(DAY(Jan_Dim1)=1,IF(AND(YEAR(Jan_Dim1+4)=Année_Calendaire,MONTH(Jan_Dim1+4)=1),Jan_Dim1+4,""),IF(AND(YEAR(Jan_Dim1+11)=Année_Calendaire,MONTH(Jan_Dim1+11)=1),Jan_Dim1+11,""))</f>
        <v>43839</v>
      </c>
      <c r="P6" s="90">
        <f>IF(DAY(Jan_Dim1)=1,IF(AND(YEAR(Jan_Dim1+5)=Année_Calendaire,MONTH(Jan_Dim1+5)=1),Jan_Dim1+5,""),IF(AND(YEAR(Jan_Dim1+12)=Année_Calendaire,MONTH(Jan_Dim1+12)=1),Jan_Dim1+12,""))</f>
        <v>43840</v>
      </c>
      <c r="Q6" s="90">
        <f>IF(DAY(Jan_Dim1)=1,IF(AND(YEAR(Jan_Dim1+6)=Année_Calendaire,MONTH(Jan_Dim1+6)=1),Jan_Dim1+6,""),IF(AND(YEAR(Jan_Dim1+13)=Année_Calendaire,MONTH(Jan_Dim1+13)=1),Jan_Dim1+13,""))</f>
        <v>43841</v>
      </c>
      <c r="R6" s="90">
        <f>IF(DAY(Jan_Dim1)=1,IF(AND(YEAR(Jan_Dim1+7)=Année_Calendaire,MONTH(Jan_Dim1+7)=1),Jan_Dim1+7,""),IF(AND(YEAR(Jan_Dim1+14)=Année_Calendaire,MONTH(Jan_Dim1+14)=1),Jan_Dim1+14,""))</f>
        <v>43842</v>
      </c>
      <c r="S6" s="102"/>
      <c r="T6" s="54"/>
      <c r="U6" s="90">
        <f>IF(DAY(Jan_Dim1)=1,IF(AND(YEAR(Jan_Dim1+8)=Année_Calendaire,MONTH(Jan_Dim1+8)=1),Jan_Dim1+8,""),IF(AND(YEAR(Jan_Dim1+15)=Année_Calendaire,MONTH(Jan_Dim1+15)=1),Jan_Dim1+15,""))</f>
        <v>43843</v>
      </c>
      <c r="V6" s="90">
        <f>IF(DAY(Jan_Dim1)=1,IF(AND(YEAR(Jan_Dim1+9)=Année_Calendaire,MONTH(Jan_Dim1+9)=1),Jan_Dim1+9,""),IF(AND(YEAR(Jan_Dim1+16)=Année_Calendaire,MONTH(Jan_Dim1+16)=1),Jan_Dim1+16,""))</f>
        <v>43844</v>
      </c>
      <c r="W6" s="90">
        <f>IF(DAY(Jan_Dim1)=1,IF(AND(YEAR(Jan_Dim1+10)=Année_Calendaire,MONTH(Jan_Dim1+10)=1),Jan_Dim1+10,""),IF(AND(YEAR(Jan_Dim1+17)=Année_Calendaire,MONTH(Jan_Dim1+17)=1),Jan_Dim1+17,""))</f>
        <v>43845</v>
      </c>
      <c r="X6" s="90">
        <f>IF(DAY(Jan_Dim1)=1,IF(AND(YEAR(Jan_Dim1+11)=Année_Calendaire,MONTH(Jan_Dim1+11)=1),Jan_Dim1+11,""),IF(AND(YEAR(Jan_Dim1+18)=Année_Calendaire,MONTH(Jan_Dim1+18)=1),Jan_Dim1+18,""))</f>
        <v>43846</v>
      </c>
      <c r="Y6" s="90">
        <f>IF(DAY(Jan_Dim1)=1,IF(AND(YEAR(Jan_Dim1+12)=Année_Calendaire,MONTH(Jan_Dim1+12)=1),Jan_Dim1+12,""),IF(AND(YEAR(Jan_Dim1+19)=Année_Calendaire,MONTH(Jan_Dim1+19)=1),Jan_Dim1+19,""))</f>
        <v>43847</v>
      </c>
      <c r="Z6" s="90">
        <f>IF(DAY(Jan_Dim1)=1,IF(AND(YEAR(Jan_Dim1+13)=Année_Calendaire,MONTH(Jan_Dim1+13)=1),Jan_Dim1+13,""),IF(AND(YEAR(Jan_Dim1+20)=Année_Calendaire,MONTH(Jan_Dim1+20)=1),Jan_Dim1+20,""))</f>
        <v>43848</v>
      </c>
      <c r="AA6" s="90">
        <f>IF(DAY(Jan_Dim1)=1,IF(AND(YEAR(Jan_Dim1+14)=Année_Calendaire,MONTH(Jan_Dim1+14)=1),Jan_Dim1+14,""),IF(AND(YEAR(Jan_Dim1+21)=Année_Calendaire,MONTH(Jan_Dim1+21)=1),Jan_Dim1+21,""))</f>
        <v>43849</v>
      </c>
      <c r="AB6" s="102"/>
      <c r="AC6" s="54"/>
      <c r="AD6" s="90">
        <f>IF(DAY(Jan_Dim1)=1,IF(AND(YEAR(Jan_Dim1+15)=Année_Calendaire,MONTH(Jan_Dim1+15)=1),Jan_Dim1+15,""),IF(AND(YEAR(Jan_Dim1+22)=Année_Calendaire,MONTH(Jan_Dim1+22)=1),Jan_Dim1+22,""))</f>
        <v>43850</v>
      </c>
      <c r="AE6" s="90">
        <f>IF(DAY(Jan_Dim1)=1,IF(AND(YEAR(Jan_Dim1+16)=Année_Calendaire,MONTH(Jan_Dim1+16)=1),Jan_Dim1+16,""),IF(AND(YEAR(Jan_Dim1+23)=Année_Calendaire,MONTH(Jan_Dim1+23)=1),Jan_Dim1+23,""))</f>
        <v>43851</v>
      </c>
      <c r="AF6" s="90">
        <f>IF(DAY(Jan_Dim1)=1,IF(AND(YEAR(Jan_Dim1+17)=Année_Calendaire,MONTH(Jan_Dim1+17)=1),Jan_Dim1+17,""),IF(AND(YEAR(Jan_Dim1+24)=Année_Calendaire,MONTH(Jan_Dim1+24)=1),Jan_Dim1+24,""))</f>
        <v>43852</v>
      </c>
      <c r="AG6" s="90">
        <f>IF(DAY(Jan_Dim1)=1,IF(AND(YEAR(Jan_Dim1+18)=Année_Calendaire,MONTH(Jan_Dim1+18)=1),Jan_Dim1+18,""),IF(AND(YEAR(Jan_Dim1+25)=Année_Calendaire,MONTH(Jan_Dim1+25)=1),Jan_Dim1+25,""))</f>
        <v>43853</v>
      </c>
      <c r="AH6" s="90">
        <f>IF(DAY(Jan_Dim1)=1,IF(AND(YEAR(Jan_Dim1+19)=Année_Calendaire,MONTH(Jan_Dim1+19)=1),Jan_Dim1+19,""),IF(AND(YEAR(Jan_Dim1+26)=Année_Calendaire,MONTH(Jan_Dim1+26)=1),Jan_Dim1+26,""))</f>
        <v>43854</v>
      </c>
      <c r="AI6" s="90">
        <f>IF(DAY(Jan_Dim1)=1,IF(AND(YEAR(Jan_Dim1+20)=Année_Calendaire,MONTH(Jan_Dim1+20)=1),Jan_Dim1+20,""),IF(AND(YEAR(Jan_Dim1+27)=Année_Calendaire,MONTH(Jan_Dim1+27)=1),Jan_Dim1+27,""))</f>
        <v>43855</v>
      </c>
      <c r="AJ6" s="90">
        <f>IF(DAY(Jan_Dim1)=1,IF(AND(YEAR(Jan_Dim1+21)=Année_Calendaire,MONTH(Jan_Dim1+21)=1),Jan_Dim1+21,""),IF(AND(YEAR(Jan_Dim1+28)=Année_Calendaire,MONTH(Jan_Dim1+28)=1),Jan_Dim1+28,""))</f>
        <v>43856</v>
      </c>
      <c r="AK6" s="102"/>
      <c r="AL6" s="54"/>
      <c r="AM6" s="90">
        <f>IF(DAY(Jan_Dim1)=1,IF(AND(YEAR(Jan_Dim1+22)=Année_Calendaire,MONTH(Jan_Dim1+22)=1),Jan_Dim1+22,""),IF(AND(YEAR(Jan_Dim1+29)=Année_Calendaire,MONTH(Jan_Dim1+29)=1),Jan_Dim1+29,""))</f>
        <v>43857</v>
      </c>
      <c r="AN6" s="90">
        <f>IF(DAY(Jan_Dim1)=1,IF(AND(YEAR(Jan_Dim1+23)=Année_Calendaire,MONTH(Jan_Dim1+23)=1),Jan_Dim1+23,""),IF(AND(YEAR(Jan_Dim1+30)=Année_Calendaire,MONTH(Jan_Dim1+30)=1),Jan_Dim1+30,""))</f>
        <v>43858</v>
      </c>
      <c r="AO6" s="90">
        <f>IF(DAY(Jan_Dim1)=1,IF(AND(YEAR(Jan_Dim1+24)=Année_Calendaire,MONTH(Jan_Dim1+24)=1),Jan_Dim1+24,""),IF(AND(YEAR(Jan_Dim1+31)=Année_Calendaire,MONTH(Jan_Dim1+31)=1),Jan_Dim1+31,""))</f>
        <v>43859</v>
      </c>
      <c r="AP6" s="90">
        <f>IF(DAY(Jan_Dim1)=1,IF(AND(YEAR(Jan_Dim1+25)=Année_Calendaire,MONTH(Jan_Dim1+25)=1),Jan_Dim1+25,""),IF(AND(YEAR(Jan_Dim1+32)=Année_Calendaire,MONTH(Jan_Dim1+32)=1),Jan_Dim1+32,""))</f>
        <v>43860</v>
      </c>
      <c r="AQ6" s="90">
        <f>IF(DAY(Jan_Dim1)=1,IF(AND(YEAR(Jan_Dim1+26)=Année_Calendaire,MONTH(Jan_Dim1+26)=1),Jan_Dim1+26,""),IF(AND(YEAR(Jan_Dim1+33)=Année_Calendaire,MONTH(Jan_Dim1+33)=1),Jan_Dim1+33,""))</f>
        <v>43861</v>
      </c>
      <c r="AR6" s="90" t="str">
        <f>IF(DAY(Jan_Dim1)=1,IF(AND(YEAR(Jan_Dim1+27)=Année_Calendaire,MONTH(Jan_Dim1+27)=1),Jan_Dim1+27,""),IF(AND(YEAR(Jan_Dim1+34)=Année_Calendaire,MONTH(Jan_Dim1+34)=1),Jan_Dim1+34,""))</f>
        <v/>
      </c>
      <c r="AS6" s="90" t="str">
        <f>IF(DAY(Jan_Dim1)=1,IF(AND(YEAR(Jan_Dim1+28)=Année_Calendaire,MONTH(Jan_Dim1+28)=1),Jan_Dim1+28,""),IF(AND(YEAR(Jan_Dim1+35)=Année_Calendaire,MONTH(Jan_Dim1+35)=1),Jan_Dim1+35,""))</f>
        <v/>
      </c>
      <c r="AT6" s="102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102"/>
      <c r="AY6" s="102"/>
      <c r="AZ6" s="103"/>
      <c r="BA6" s="103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>
        <f>IF(E6="","",IFERROR(VLOOKUP(B5,DATA!$A:$H,4,TRUE),0))</f>
        <v>0</v>
      </c>
      <c r="F7" s="49" t="str">
        <f>IF(F6="","",IFERROR(VLOOKUP(B5,DATA!$A:$H,5,TRUE),0))</f>
        <v>matin</v>
      </c>
      <c r="G7" s="49" t="str">
        <f>IF(G6="","",IFERROR(VLOOKUP(B5,DATA!$A:$H,6,TRUE),0))</f>
        <v>matin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am</v>
      </c>
      <c r="M7" s="49" t="str">
        <f>IF(M6="","",IFERROR(VLOOKUP(L5,DATA!$A:$H,3,TRUE),0))</f>
        <v>am</v>
      </c>
      <c r="N7" s="49" t="str">
        <f>IF(N6="","",IFERROR(VLOOKUP(K5,DATA!$A:$H,4,TRUE),0))</f>
        <v>am</v>
      </c>
      <c r="O7" s="49" t="str">
        <f>IF(O6="","",IFERROR(VLOOKUP(K5,DATA!$A:$H,5,TRUE),0))</f>
        <v>am</v>
      </c>
      <c r="P7" s="49" t="str">
        <f>IF(P6="","",IFERROR(VLOOKUP(K5,DATA!$A:$H,6,TRUE),0))</f>
        <v>am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matin</v>
      </c>
      <c r="V7" s="49" t="str">
        <f>IF(V6="","",IFERROR(VLOOKUP(T5,DATA!$A:$H,3,TRUE),0))</f>
        <v>matin</v>
      </c>
      <c r="W7" s="49" t="str">
        <f>IF(W6="","",IFERROR(VLOOKUP(T5,DATA!$A:$H,4,TRUE),0))</f>
        <v>matin</v>
      </c>
      <c r="X7" s="49">
        <f>IF(X6="","",IFERROR(VLOOKUP(T5,DATA!$A:$H,5,TRUE),0))</f>
        <v>0</v>
      </c>
      <c r="Y7" s="49">
        <f>IF(Y6="","",IFERROR(VLOOKUP(T5,DATA!$A:$H,6,TRUE),0))</f>
        <v>0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nuit</v>
      </c>
      <c r="AE7" s="49" t="str">
        <f>IF(AE6="","",IFERROR(VLOOKUP(AC5,DATA!$A:$H,3,TRUE),0))</f>
        <v>nuit</v>
      </c>
      <c r="AF7" s="49" t="str">
        <f>IF(AF6="","",IFERROR(VLOOKUP(AC5,DATA!$A:$H,4,TRUE),0))</f>
        <v>nuit</v>
      </c>
      <c r="AG7" s="49" t="str">
        <f>IF(AG6="","",IFERROR(VLOOKUP(AC5,DATA!$A:$H,5,TRUE),0))</f>
        <v>nuit</v>
      </c>
      <c r="AH7" s="49" t="str">
        <f>IF(AH6="","",IFERROR(VLOOKUP(AC5,DATA!$A:$H,6,TRUE),0))</f>
        <v>nuit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matin</v>
      </c>
      <c r="AN7" s="49">
        <f>IF(AN6="","",IFERROR(VLOOKUP(AL5,DATA!$A:$H,3,TRUE),0))</f>
        <v>0</v>
      </c>
      <c r="AO7" s="49">
        <f>IF(AO6="","",IFERROR(VLOOKUP(AL5,DATA!$A:$H,4,TRUE),0))</f>
        <v>0</v>
      </c>
      <c r="AP7" s="49" t="str">
        <f>IF(AP6="","",IFERROR(VLOOKUP(AL5,DATA!$A:$H,5,TRUE),0))</f>
        <v>matin</v>
      </c>
      <c r="AQ7" s="49" t="str">
        <f>IF(AQ6="","",IFERROR(VLOOKUP(AL5,DATA!$A:$H,6,TRUE),0))</f>
        <v>matin</v>
      </c>
      <c r="AR7" s="49" t="str">
        <f>IF(AR6="","",IFERROR(VLOOKUP(AL5,DATA!$A:$H,7,TRUE),0))</f>
        <v/>
      </c>
      <c r="AS7" s="49" t="str">
        <f>IF(AS6="","",IFERROR(VLOOKUP(AL5,DATA!$A:$H,8,TRUE),0))</f>
        <v/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1</v>
      </c>
      <c r="G8" s="52">
        <f t="shared" ref="G8" si="3">IF(G7="Matin",1,IF(G7="AM",1,0))</f>
        <v>1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2</v>
      </c>
      <c r="K8" s="51"/>
      <c r="L8" s="52">
        <f t="shared" ref="L8" si="6">IF(L7="Matin",1,IF(L7="AM",1,0))</f>
        <v>1</v>
      </c>
      <c r="M8" s="52">
        <f t="shared" ref="M8" si="7">IF(M7="Matin",1,IF(M7="AM",1,0))</f>
        <v>1</v>
      </c>
      <c r="N8" s="52">
        <f t="shared" ref="N8" si="8">IF(N7="Matin",1,IF(N7="AM",1,0))</f>
        <v>1</v>
      </c>
      <c r="O8" s="52">
        <f t="shared" ref="O8" si="9">IF(O7="Matin",1,IF(O7="AM",1,0))</f>
        <v>1</v>
      </c>
      <c r="P8" s="52">
        <f t="shared" ref="P8" si="10">IF(P7="Matin",1,IF(P7="AM",1,0))</f>
        <v>1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5</v>
      </c>
      <c r="T8" s="51"/>
      <c r="U8" s="52">
        <f t="shared" ref="U8" si="13">IF(U7="Matin",1,IF(U7="AM",1,0))</f>
        <v>1</v>
      </c>
      <c r="V8" s="52">
        <f t="shared" ref="V8" si="14">IF(V7="Matin",1,IF(V7="AM",1,0))</f>
        <v>1</v>
      </c>
      <c r="W8" s="52">
        <f t="shared" ref="W8" si="15">IF(W7="Matin",1,IF(W7="AM",1,0))</f>
        <v>1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3</v>
      </c>
      <c r="AC8" s="51"/>
      <c r="AD8" s="52">
        <f t="shared" ref="AD8" si="20">IF(AD7="Matin",1,IF(AD7="AM",1,0))</f>
        <v>0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0</v>
      </c>
      <c r="AH8" s="52">
        <f t="shared" ref="AH8" si="24">IF(AH7="Matin",1,IF(AH7="AM",1,0))</f>
        <v>0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0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0</v>
      </c>
      <c r="AO8" s="52">
        <f t="shared" ref="AO8" si="29">IF(AO7="Matin",1,IF(AO7="AM",1,0))</f>
        <v>0</v>
      </c>
      <c r="AP8" s="52">
        <f t="shared" ref="AP8" si="30">IF(AP7="Matin",1,IF(AP7="AM",1,0))</f>
        <v>1</v>
      </c>
      <c r="AQ8" s="52">
        <f t="shared" ref="AQ8" si="31">IF(AQ7="Matin",1,IF(AQ7="AM",1,0))</f>
        <v>1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13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1</v>
      </c>
      <c r="G9" s="49">
        <f t="shared" si="37"/>
        <v>1</v>
      </c>
      <c r="H9" s="49">
        <f t="shared" si="37"/>
        <v>0</v>
      </c>
      <c r="I9" s="49">
        <f t="shared" si="37"/>
        <v>0</v>
      </c>
      <c r="J9" s="52">
        <f t="shared" ref="J9:J19" si="38">SUM(C9:I9)</f>
        <v>2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5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0</v>
      </c>
      <c r="Y9" s="49">
        <f t="shared" ref="Y9" si="49">IF(Y10&gt;=1,1,0)</f>
        <v>0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3</v>
      </c>
      <c r="AC9" s="48"/>
      <c r="AD9" s="49">
        <f>IF(AD10&gt;=1,1,0)</f>
        <v>1</v>
      </c>
      <c r="AE9" s="49">
        <f t="shared" ref="AE9" si="53">IF(AE10&gt;=1,1,0)</f>
        <v>1</v>
      </c>
      <c r="AF9" s="49">
        <f t="shared" ref="AF9" si="54">IF(AF10&gt;=1,1,0)</f>
        <v>1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5</v>
      </c>
      <c r="AL9" s="48"/>
      <c r="AM9" s="49">
        <f>IF(AM10&gt;=1,1,0)</f>
        <v>1</v>
      </c>
      <c r="AN9" s="49">
        <f t="shared" ref="AN9" si="60">IF(AN10&gt;=1,1,0)</f>
        <v>0</v>
      </c>
      <c r="AO9" s="49">
        <f t="shared" ref="AO9" si="61">IF(AO10&gt;=1,1,0)</f>
        <v>0</v>
      </c>
      <c r="AP9" s="49">
        <f t="shared" ref="AP9" si="62">IF(AP10&gt;=1,1,0)</f>
        <v>1</v>
      </c>
      <c r="AQ9" s="49">
        <f t="shared" ref="AQ9" si="63">IF(AQ10&gt;=1,1,0)</f>
        <v>1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8</v>
      </c>
      <c r="G10" s="52">
        <f t="shared" si="69"/>
        <v>8</v>
      </c>
      <c r="H10" s="52">
        <f t="shared" si="69"/>
        <v>0</v>
      </c>
      <c r="I10" s="52">
        <f t="shared" si="69"/>
        <v>0</v>
      </c>
      <c r="J10" s="52">
        <f t="shared" si="38"/>
        <v>16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40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0</v>
      </c>
      <c r="Y10" s="52">
        <f t="shared" si="71"/>
        <v>0</v>
      </c>
      <c r="Z10" s="52">
        <f t="shared" si="71"/>
        <v>0</v>
      </c>
      <c r="AA10" s="52">
        <f t="shared" si="71"/>
        <v>0</v>
      </c>
      <c r="AB10" s="52">
        <f t="shared" si="52"/>
        <v>24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8</v>
      </c>
      <c r="AF10" s="52">
        <f t="shared" si="72"/>
        <v>8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40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0</v>
      </c>
      <c r="AO10" s="52">
        <f t="shared" si="73"/>
        <v>0</v>
      </c>
      <c r="AP10" s="52">
        <f t="shared" si="73"/>
        <v>8</v>
      </c>
      <c r="AQ10" s="52">
        <f t="shared" si="73"/>
        <v>8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3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3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0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0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3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3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5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5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0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0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5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5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3">IF(W7="nuit",W10*0.02,0)</f>
        <v>0</v>
      </c>
      <c r="X19" s="49">
        <f t="shared" si="83"/>
        <v>0</v>
      </c>
      <c r="Y19" s="49">
        <f>IF(Y7="nuit",Y10*0.02,0)</f>
        <v>0</v>
      </c>
      <c r="Z19" s="49">
        <f t="shared" si="83"/>
        <v>0</v>
      </c>
      <c r="AA19" s="49">
        <f t="shared" si="83"/>
        <v>0</v>
      </c>
      <c r="AB19" s="52">
        <f t="shared" si="52"/>
        <v>0</v>
      </c>
      <c r="AC19" s="48"/>
      <c r="AD19" s="49">
        <f>IF(AD7="nuit",AD10*0.02,0)</f>
        <v>0.16</v>
      </c>
      <c r="AE19" s="49">
        <f>IF(AE7="nuit",AE10*0.02,0)</f>
        <v>0.16</v>
      </c>
      <c r="AF19" s="49">
        <f t="shared" ref="AF19:AJ19" si="84">IF(AF7="nuit",AF10*0.02,0)</f>
        <v>0.16</v>
      </c>
      <c r="AG19" s="49">
        <f t="shared" si="84"/>
        <v>0.16</v>
      </c>
      <c r="AH19" s="49">
        <f>IF(AH7="nuit",AH10*0.02,0)</f>
        <v>0.16</v>
      </c>
      <c r="AI19" s="49">
        <f t="shared" si="84"/>
        <v>0</v>
      </c>
      <c r="AJ19" s="49">
        <f t="shared" si="84"/>
        <v>0</v>
      </c>
      <c r="AK19" s="52">
        <f t="shared" si="59"/>
        <v>0.8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">
      <c r="A22" s="16"/>
      <c r="B22" s="16"/>
      <c r="C22" s="19" t="s">
        <v>1</v>
      </c>
      <c r="D22" s="19"/>
      <c r="E22" s="19"/>
      <c r="F22" s="19"/>
      <c r="G22" s="19"/>
      <c r="H22" s="101">
        <f>Année_Calendaire</f>
        <v>2020</v>
      </c>
      <c r="I22" s="101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1">
        <f>Année_Calendaire</f>
        <v>2020</v>
      </c>
      <c r="AA22" s="101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1">
        <f>Année_Calendaire</f>
        <v>2020</v>
      </c>
      <c r="AS22" s="101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C3</v>
      </c>
      <c r="C23" s="91" t="str">
        <f>IF(C24&lt;&gt;"","Lun","")</f>
        <v/>
      </c>
      <c r="D23" s="91" t="str">
        <f>IF(D24&lt;&gt;"","Mar","")</f>
        <v/>
      </c>
      <c r="E23" s="91" t="str">
        <f>IF(E24&lt;&gt;"","Mer","")</f>
        <v/>
      </c>
      <c r="F23" s="91" t="str">
        <f>IF(F24&lt;&gt;"","Jeu","")</f>
        <v/>
      </c>
      <c r="G23" s="91" t="str">
        <f>IF(G24&lt;&gt;"","Ven","")</f>
        <v/>
      </c>
      <c r="H23" s="91" t="str">
        <f>IF(H24&lt;&gt;"","Sam","")</f>
        <v>Sam</v>
      </c>
      <c r="I23" s="91" t="str">
        <f>IF(I24&lt;&gt;"","Dim","")</f>
        <v>Dim</v>
      </c>
      <c r="J23" s="102" t="s">
        <v>25</v>
      </c>
      <c r="K23" s="55" t="str">
        <f>IF(L23="",LEFT(B23)&amp;MOD(RIGHT(B23),5),LEFT(B23)&amp;MOD(RIGHT(B23),4)+1)</f>
        <v>C4</v>
      </c>
      <c r="L23" s="91" t="str">
        <f>IF(L24&lt;&gt;"","Lun","")</f>
        <v>Lun</v>
      </c>
      <c r="M23" s="91" t="str">
        <f>IF(M24&lt;&gt;"","Mar","")</f>
        <v>Mar</v>
      </c>
      <c r="N23" s="91" t="str">
        <f>IF(N24&lt;&gt;"","Mer","")</f>
        <v>Mer</v>
      </c>
      <c r="O23" s="91" t="str">
        <f>IF(O24&lt;&gt;"","Jeu","")</f>
        <v>Jeu</v>
      </c>
      <c r="P23" s="92" t="str">
        <f>IF(P24&lt;&gt;"","Ven","")</f>
        <v>Ven</v>
      </c>
      <c r="Q23" s="91" t="str">
        <f>IF(Q24&lt;&gt;"","Sam","")</f>
        <v>Sam</v>
      </c>
      <c r="R23" s="91" t="str">
        <f>IF(R24&lt;&gt;"","Dim","")</f>
        <v>Dim</v>
      </c>
      <c r="S23" s="102" t="s">
        <v>25</v>
      </c>
      <c r="T23" s="55" t="str">
        <f>IF(U23="",LEFT(K23)&amp;MOD(RIGHT(K23),5),LEFT(K23)&amp;MOD(RIGHT(K23),4)+1)</f>
        <v>C1</v>
      </c>
      <c r="U23" s="91" t="str">
        <f>IF(U24&lt;&gt;"","Lun","")</f>
        <v>Lun</v>
      </c>
      <c r="V23" s="91" t="str">
        <f>IF(V24&lt;&gt;"","Mar","")</f>
        <v>Mar</v>
      </c>
      <c r="W23" s="91" t="str">
        <f>IF(W24&lt;&gt;"","Mer","")</f>
        <v>Mer</v>
      </c>
      <c r="X23" s="91" t="str">
        <f>IF(X24&lt;&gt;"","Jeu","")</f>
        <v>Jeu</v>
      </c>
      <c r="Y23" s="91" t="str">
        <f>IF(Y24&lt;&gt;"","Ven","")</f>
        <v>Ven</v>
      </c>
      <c r="Z23" s="91" t="str">
        <f>IF(Z24&lt;&gt;"","Sam","")</f>
        <v>Sam</v>
      </c>
      <c r="AA23" s="91" t="str">
        <f>IF(AA24&lt;&gt;"","Dim","")</f>
        <v>Dim</v>
      </c>
      <c r="AB23" s="102" t="s">
        <v>25</v>
      </c>
      <c r="AC23" s="55" t="str">
        <f>IF(AD23="",LEFT(T23)&amp;MOD(RIGHT(T23),5),LEFT(T23)&amp;MOD(RIGHT(T23),4)+1)</f>
        <v>C2</v>
      </c>
      <c r="AD23" s="91" t="str">
        <f>IF(AD24&lt;&gt;"","Lun","")</f>
        <v>Lun</v>
      </c>
      <c r="AE23" s="91" t="str">
        <f>IF(AE24&lt;&gt;"","Mar","")</f>
        <v>Mar</v>
      </c>
      <c r="AF23" s="91" t="str">
        <f>IF(AF24&lt;&gt;"","Mer","")</f>
        <v>Mer</v>
      </c>
      <c r="AG23" s="91" t="str">
        <f>IF(AG24&lt;&gt;"","Jeu","")</f>
        <v>Jeu</v>
      </c>
      <c r="AH23" s="91" t="str">
        <f>IF(AH24&lt;&gt;"","Ven","")</f>
        <v>Ven</v>
      </c>
      <c r="AI23" s="91" t="str">
        <f>IF(AI24&lt;&gt;"","Sam","")</f>
        <v>Sam</v>
      </c>
      <c r="AJ23" s="91" t="str">
        <f>IF(AJ24&lt;&gt;"","Dim","")</f>
        <v>Dim</v>
      </c>
      <c r="AK23" s="102" t="s">
        <v>25</v>
      </c>
      <c r="AL23" s="55" t="str">
        <f>IF(AM23="",LEFT(AC23)&amp;MOD(RIGHT(AC23),5),LEFT(AC23)&amp;MOD(RIGHT(AC23),4)+1)</f>
        <v>C3</v>
      </c>
      <c r="AM23" s="91" t="str">
        <f>IF(AM24&lt;&gt;"","Lun","")</f>
        <v>Lun</v>
      </c>
      <c r="AN23" s="91" t="str">
        <f>IF(AN24&lt;&gt;"","Mar","")</f>
        <v>Mar</v>
      </c>
      <c r="AO23" s="91" t="str">
        <f>IF(AO24&lt;&gt;"","Mer","")</f>
        <v>Mer</v>
      </c>
      <c r="AP23" s="91" t="str">
        <f>IF(AP24&lt;&gt;"","Jeu","")</f>
        <v>Jeu</v>
      </c>
      <c r="AQ23" s="91" t="str">
        <f>IF(AQ24&lt;&gt;"","Ven","")</f>
        <v>Ven</v>
      </c>
      <c r="AR23" s="91" t="str">
        <f>IF(AR24&lt;&gt;"","Sam","")</f>
        <v>Sam</v>
      </c>
      <c r="AS23" s="91" t="str">
        <f>IF(AS24&lt;&gt;"","Dim","")</f>
        <v/>
      </c>
      <c r="AT23" s="102" t="s">
        <v>25</v>
      </c>
      <c r="AU23" s="55" t="str">
        <f>IF(AV23="",LEFT(AL23)&amp;MOD(RIGHT(AL23),5),LEFT(AL23)&amp;MOD(RIGHT(AL23),4)+1)</f>
        <v>C3</v>
      </c>
      <c r="AV23" s="53" t="str">
        <f>IF(AV24&lt;&gt;"","Lun","")</f>
        <v/>
      </c>
      <c r="AW23" s="53" t="str">
        <f>IF(AW24&lt;&gt;"","Mar","")</f>
        <v/>
      </c>
      <c r="AX23" s="102" t="s">
        <v>25</v>
      </c>
      <c r="AY23" s="102" t="s">
        <v>28</v>
      </c>
      <c r="AZ23" s="103">
        <f>AY30+AY31+AY32</f>
        <v>10</v>
      </c>
      <c r="BA23" s="103">
        <f>AZ23+BA5</f>
        <v>20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90" t="str">
        <f>IF(DAY(Fév_Dim1)=1,"",IF(AND(YEAR(Fév_Dim1+1)=Année_Calendaire,MONTH(Fév_Dim1+1)=2),Fév_Dim1+1,""))</f>
        <v/>
      </c>
      <c r="D24" s="90" t="str">
        <f>IF(DAY(Fév_Dim1)=1,"",IF(AND(YEAR(Fév_Dim1+2)=Année_Calendaire,MONTH(Fév_Dim1+2)=2),Fév_Dim1+2,""))</f>
        <v/>
      </c>
      <c r="E24" s="90" t="str">
        <f>IF(DAY(Fév_Dim1)=1,"",IF(AND(YEAR(Fév_Dim1+3)=Année_Calendaire,MONTH(Fév_Dim1+3)=2),Fév_Dim1+3,""))</f>
        <v/>
      </c>
      <c r="F24" s="90" t="str">
        <f>IF(DAY(Fév_Dim1)=1,"",IF(AND(YEAR(Fév_Dim1+4)=Année_Calendaire,MONTH(Fév_Dim1+4)=2),Fév_Dim1+4,""))</f>
        <v/>
      </c>
      <c r="G24" s="90" t="str">
        <f>IF(DAY(Fév_Dim1)=1,"",IF(AND(YEAR(Fév_Dim1+5)=Année_Calendaire,MONTH(Fév_Dim1+5)=2),Fév_Dim1+5,""))</f>
        <v/>
      </c>
      <c r="H24" s="90">
        <f>IF(DAY(Fév_Dim1)=1,"",IF(AND(YEAR(Fév_Dim1+6)=Année_Calendaire,MONTH(Fév_Dim1+6)=2),Fév_Dim1+6,""))</f>
        <v>43862</v>
      </c>
      <c r="I24" s="90">
        <f>IF(DAY(Fév_Dim1)=1,IF(AND(YEAR(Fév_Dim1)=Année_Calendaire,MONTH(Fév_Dim1)=2),Fév_Dim1,""),IF(AND(YEAR(Fév_Dim1+7)=Année_Calendaire,MONTH(Fév_Dim1+7)=2),Fév_Dim1+7,""))</f>
        <v>43863</v>
      </c>
      <c r="J24" s="102"/>
      <c r="K24" s="54"/>
      <c r="L24" s="90">
        <f>IF(DAY(Fév_Dim1)=1,IF(AND(YEAR(Fév_Dim1+1)=Année_Calendaire,MONTH(Fév_Dim1+1)=2),Fév_Dim1+1,""),IF(AND(YEAR(Fév_Dim1+8)=Année_Calendaire,MONTH(Fév_Dim1+8)=2),Fév_Dim1+8,""))</f>
        <v>43864</v>
      </c>
      <c r="M24" s="90">
        <f>IF(DAY(Fév_Dim1)=1,IF(AND(YEAR(Fév_Dim1+2)=Année_Calendaire,MONTH(Fév_Dim1+2)=2),Fév_Dim1+2,""),IF(AND(YEAR(Fév_Dim1+9)=Année_Calendaire,MONTH(Fév_Dim1+9)=2),Fév_Dim1+9,""))</f>
        <v>43865</v>
      </c>
      <c r="N24" s="90">
        <f>IF(DAY(Fév_Dim1)=1,IF(AND(YEAR(Fév_Dim1+3)=Année_Calendaire,MONTH(Fév_Dim1+3)=2),Fév_Dim1+3,""),IF(AND(YEAR(Fév_Dim1+10)=Année_Calendaire,MONTH(Fév_Dim1+10)=2),Fév_Dim1+10,""))</f>
        <v>43866</v>
      </c>
      <c r="O24" s="90">
        <f>IF(DAY(Fév_Dim1)=1,IF(AND(YEAR(Fév_Dim1+4)=Année_Calendaire,MONTH(Fév_Dim1+4)=2),Fév_Dim1+4,""),IF(AND(YEAR(Fév_Dim1+11)=Année_Calendaire,MONTH(Fév_Dim1+11)=2),Fév_Dim1+11,""))</f>
        <v>43867</v>
      </c>
      <c r="P24" s="90">
        <f>IF(DAY(Fév_Dim1)=1,IF(AND(YEAR(Fév_Dim1+5)=Année_Calendaire,MONTH(Fév_Dim1+5)=2),Fév_Dim1+5,""),IF(AND(YEAR(Fév_Dim1+12)=Année_Calendaire,MONTH(Fév_Dim1+12)=2),Fév_Dim1+12,""))</f>
        <v>43868</v>
      </c>
      <c r="Q24" s="90">
        <f>IF(DAY(Fév_Dim1)=1,IF(AND(YEAR(Fév_Dim1+6)=Année_Calendaire,MONTH(Fév_Dim1+6)=2),Fév_Dim1+6,""),IF(AND(YEAR(Fév_Dim1+13)=Année_Calendaire,MONTH(Fév_Dim1+13)=2),Fév_Dim1+13,""))</f>
        <v>43869</v>
      </c>
      <c r="R24" s="90">
        <f>IF(DAY(Fév_Dim1)=1,IF(AND(YEAR(Fév_Dim1+7)=Année_Calendaire,MONTH(Fév_Dim1+7)=2),Fév_Dim1+7,""),IF(AND(YEAR(Fév_Dim1+14)=Année_Calendaire,MONTH(Fév_Dim1+14)=2),Fév_Dim1+14,""))</f>
        <v>43870</v>
      </c>
      <c r="S24" s="102"/>
      <c r="T24" s="54"/>
      <c r="U24" s="90">
        <f>IF(DAY(Fév_Dim1)=1,IF(AND(YEAR(Fév_Dim1+8)=Année_Calendaire,MONTH(Fév_Dim1+8)=2),Fév_Dim1+8,""),IF(AND(YEAR(Fév_Dim1+15)=Année_Calendaire,MONTH(Fév_Dim1+15)=2),Fév_Dim1+15,""))</f>
        <v>43871</v>
      </c>
      <c r="V24" s="90">
        <f>IF(DAY(Fév_Dim1)=1,IF(AND(YEAR(Fév_Dim1+9)=Année_Calendaire,MONTH(Fév_Dim1+9)=2),Fév_Dim1+9,""),IF(AND(YEAR(Fév_Dim1+16)=Année_Calendaire,MONTH(Fév_Dim1+16)=2),Fév_Dim1+16,""))</f>
        <v>43872</v>
      </c>
      <c r="W24" s="90">
        <f>IF(DAY(Fév_Dim1)=1,IF(AND(YEAR(Fév_Dim1+10)=Année_Calendaire,MONTH(Fév_Dim1+10)=2),Fév_Dim1+10,""),IF(AND(YEAR(Fév_Dim1+17)=Année_Calendaire,MONTH(Fév_Dim1+17)=2),Fév_Dim1+17,""))</f>
        <v>43873</v>
      </c>
      <c r="X24" s="90">
        <f>IF(DAY(Fév_Dim1)=1,IF(AND(YEAR(Fév_Dim1+11)=Année_Calendaire,MONTH(Fév_Dim1+11)=2),Fév_Dim1+11,""),IF(AND(YEAR(Fév_Dim1+18)=Année_Calendaire,MONTH(Fév_Dim1+18)=2),Fév_Dim1+18,""))</f>
        <v>43874</v>
      </c>
      <c r="Y24" s="90">
        <f>IF(DAY(Fév_Dim1)=1,IF(AND(YEAR(Fév_Dim1+12)=Année_Calendaire,MONTH(Fév_Dim1+12)=2),Fév_Dim1+12,""),IF(AND(YEAR(Fév_Dim1+19)=Année_Calendaire,MONTH(Fév_Dim1+19)=2),Fév_Dim1+19,""))</f>
        <v>43875</v>
      </c>
      <c r="Z24" s="90">
        <f>IF(DAY(Fév_Dim1)=1,IF(AND(YEAR(Fév_Dim1+13)=Année_Calendaire,MONTH(Fév_Dim1+13)=2),Fév_Dim1+13,""),IF(AND(YEAR(Fév_Dim1+20)=Année_Calendaire,MONTH(Fév_Dim1+20)=2),Fév_Dim1+20,""))</f>
        <v>43876</v>
      </c>
      <c r="AA24" s="90">
        <f>IF(DAY(Fév_Dim1)=1,IF(AND(YEAR(Fév_Dim1+14)=Année_Calendaire,MONTH(Fév_Dim1+14)=2),Fév_Dim1+14,""),IF(AND(YEAR(Fév_Dim1+21)=Année_Calendaire,MONTH(Fév_Dim1+21)=2),Fév_Dim1+21,""))</f>
        <v>43877</v>
      </c>
      <c r="AB24" s="102"/>
      <c r="AC24" s="54"/>
      <c r="AD24" s="90">
        <f>IF(DAY(Fév_Dim1)=1,IF(AND(YEAR(Fév_Dim1+15)=Année_Calendaire,MONTH(Fév_Dim1+15)=2),Fév_Dim1+15,""),IF(AND(YEAR(Fév_Dim1+22)=Année_Calendaire,MONTH(Fév_Dim1+22)=2),Fév_Dim1+22,""))</f>
        <v>43878</v>
      </c>
      <c r="AE24" s="90">
        <f>IF(DAY(Fév_Dim1)=1,IF(AND(YEAR(Fév_Dim1+16)=Année_Calendaire,MONTH(Fév_Dim1+16)=2),Fév_Dim1+16,""),IF(AND(YEAR(Fév_Dim1+23)=Année_Calendaire,MONTH(Fév_Dim1+23)=2),Fév_Dim1+23,""))</f>
        <v>43879</v>
      </c>
      <c r="AF24" s="90">
        <f>IF(DAY(Fév_Dim1)=1,IF(AND(YEAR(Fév_Dim1+17)=Année_Calendaire,MONTH(Fév_Dim1+17)=2),Fév_Dim1+17,""),IF(AND(YEAR(Fév_Dim1+24)=Année_Calendaire,MONTH(Fév_Dim1+24)=2),Fév_Dim1+24,""))</f>
        <v>43880</v>
      </c>
      <c r="AG24" s="90">
        <f>IF(DAY(Fév_Dim1)=1,IF(AND(YEAR(Fév_Dim1+18)=Année_Calendaire,MONTH(Fév_Dim1+18)=2),Fév_Dim1+18,""),IF(AND(YEAR(Fév_Dim1+25)=Année_Calendaire,MONTH(Fév_Dim1+25)=2),Fév_Dim1+25,""))</f>
        <v>43881</v>
      </c>
      <c r="AH24" s="90">
        <f>IF(DAY(Fév_Dim1)=1,IF(AND(YEAR(Fév_Dim1+19)=Année_Calendaire,MONTH(Fév_Dim1+19)=2),Fév_Dim1+19,""),IF(AND(YEAR(Fév_Dim1+26)=Année_Calendaire,MONTH(Fév_Dim1+26)=2),Fév_Dim1+26,""))</f>
        <v>43882</v>
      </c>
      <c r="AI24" s="90">
        <f>IF(DAY(Fév_Dim1)=1,IF(AND(YEAR(Fév_Dim1+20)=Année_Calendaire,MONTH(Fév_Dim1+20)=2),Fév_Dim1+20,""),IF(AND(YEAR(Fév_Dim1+27)=Année_Calendaire,MONTH(Fév_Dim1+27)=2),Fév_Dim1+27,""))</f>
        <v>43883</v>
      </c>
      <c r="AJ24" s="90">
        <f>IF(DAY(Fév_Dim1)=1,IF(AND(YEAR(Fév_Dim1+21)=Année_Calendaire,MONTH(Fév_Dim1+21)=2),Fév_Dim1+21,""),IF(AND(YEAR(Fév_Dim1+28)=Année_Calendaire,MONTH(Fév_Dim1+28)=2),Fév_Dim1+28,""))</f>
        <v>43884</v>
      </c>
      <c r="AK24" s="102"/>
      <c r="AL24" s="54"/>
      <c r="AM24" s="90">
        <f>IF(DAY(Fév_Dim1)=1,IF(AND(YEAR(Fév_Dim1+22)=Année_Calendaire,MONTH(Fév_Dim1+22)=2),Fév_Dim1+22,""),IF(AND(YEAR(Fév_Dim1+29)=Année_Calendaire,MONTH(Fév_Dim1+29)=2),Fév_Dim1+29,""))</f>
        <v>43885</v>
      </c>
      <c r="AN24" s="90">
        <f>IF(DAY(Fév_Dim1)=1,IF(AND(YEAR(Fév_Dim1+23)=Année_Calendaire,MONTH(Fév_Dim1+23)=2),Fév_Dim1+23,""),IF(AND(YEAR(Fév_Dim1+30)=Année_Calendaire,MONTH(Fév_Dim1+30)=2),Fév_Dim1+30,""))</f>
        <v>43886</v>
      </c>
      <c r="AO24" s="90">
        <f>IF(DAY(Fév_Dim1)=1,IF(AND(YEAR(Fév_Dim1+24)=Année_Calendaire,MONTH(Fév_Dim1+24)=2),Fév_Dim1+24,""),IF(AND(YEAR(Fév_Dim1+31)=Année_Calendaire,MONTH(Fév_Dim1+31)=2),Fév_Dim1+31,""))</f>
        <v>43887</v>
      </c>
      <c r="AP24" s="90">
        <f>IF(DAY(Fév_Dim1)=1,IF(AND(YEAR(Fév_Dim1+25)=Année_Calendaire,MONTH(Fév_Dim1+25)=2),Fév_Dim1+25,""),IF(AND(YEAR(Fév_Dim1+32)=Année_Calendaire,MONTH(Fév_Dim1+32)=2),Fév_Dim1+32,""))</f>
        <v>43888</v>
      </c>
      <c r="AQ24" s="90">
        <f>IF(DAY(Fév_Dim1)=1,IF(AND(YEAR(Fév_Dim1+26)=Année_Calendaire,MONTH(Fév_Dim1+26)=2),Fév_Dim1+26,""),IF(AND(YEAR(Fév_Dim1+33)=Année_Calendaire,MONTH(Fév_Dim1+33)=2),Fév_Dim1+33,""))</f>
        <v>43889</v>
      </c>
      <c r="AR24" s="90">
        <f>IF(DAY(Fév_Dim1)=1,IF(AND(YEAR(Fév_Dim1+27)=Année_Calendaire,MONTH(Fév_Dim1+27)=2),Fév_Dim1+27,""),IF(AND(YEAR(Fév_Dim1+34)=Année_Calendaire,MONTH(Fév_Dim1+34)=2),Fév_Dim1+34,""))</f>
        <v>43890</v>
      </c>
      <c r="AS24" s="90" t="str">
        <f>IF(DAY(Fév_Dim1)=1,IF(AND(YEAR(Fév_Dim1+28)=Année_Calendaire,MONTH(Fév_Dim1+28)=2),Fév_Dim1+28,""),IF(AND(YEAR(Fév_Dim1+35)=Année_Calendaire,MONTH(Fév_Dim1+35)=2),Fév_Dim1+35,""))</f>
        <v/>
      </c>
      <c r="AT24" s="102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102"/>
      <c r="AY24" s="102"/>
      <c r="AZ24" s="103"/>
      <c r="BA24" s="103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IF(C24="","",IFERROR(VLOOKUP(B23,DATA!$A:$H,2,TRUE),0))</f>
        <v/>
      </c>
      <c r="D25" s="49" t="str">
        <f>IF(D24="","",IFERROR(VLOOKUP(B23,DATA!$A:$H,3,TRUE),0))</f>
        <v/>
      </c>
      <c r="E25" s="49" t="str">
        <f>IF(E24="","",IFERROR(VLOOKUP(B23,DATA!$A:$H,4,TRUE),0))</f>
        <v/>
      </c>
      <c r="F25" s="49" t="str">
        <f>IF(F24="","",IFERROR(VLOOKUP(B23,DATA!$A:$H,5,TRUE),0))</f>
        <v/>
      </c>
      <c r="G25" s="49" t="str">
        <f>IF(G24="","",IFERROR(VLOOKUP(B23,DATA!$A:$H,6,TRUE),0))</f>
        <v/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am</v>
      </c>
      <c r="M25" s="49" t="str">
        <f>IF(M24="","",IFERROR(VLOOKUP(K23,DATA!$A:$H,3,TRUE),0))</f>
        <v>am</v>
      </c>
      <c r="N25" s="49" t="str">
        <f>IF(N24="","",IFERROR(VLOOKUP(K23,DATA!$A:$H,4,TRUE),0))</f>
        <v>am</v>
      </c>
      <c r="O25" s="49" t="str">
        <f>IF(O24="","",IFERROR(VLOOKUP(K23,DATA!$A:$H,5,TRUE),0))</f>
        <v>am</v>
      </c>
      <c r="P25" s="49" t="str">
        <f>IF(P24="","",IFERROR(VLOOKUP(K23,DATA!$A:$H,6,TRUE),0))</f>
        <v>am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matin</v>
      </c>
      <c r="V25" s="49" t="str">
        <f>IF(V24="","",IFERROR(VLOOKUP(T23,DATA!$A:$H,3,TRUE),0))</f>
        <v>matin</v>
      </c>
      <c r="W25" s="49" t="str">
        <f>IF(W24="","",IFERROR(VLOOKUP(T23,DATA!$A:$H,4,TRUE),0))</f>
        <v>matin</v>
      </c>
      <c r="X25" s="49">
        <f>IF(X24="","",IFERROR(VLOOKUP(T23,DATA!$A:$H,5,TRUE),0))</f>
        <v>0</v>
      </c>
      <c r="Y25" s="49">
        <f>IF(Y24="","",IFERROR(VLOOKUP(T23,DATA!$A:$H,6,TRUE),0))</f>
        <v>0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nuit</v>
      </c>
      <c r="AE25" s="49" t="str">
        <f>IF(AE24="","",IFERROR(VLOOKUP(AC23,DATA!$A:$H,3,TRUE),0))</f>
        <v>nuit</v>
      </c>
      <c r="AF25" s="49" t="str">
        <f>IF(AF24="","",IFERROR(VLOOKUP(AC23,DATA!$A:$H,4,TRUE),0))</f>
        <v>nuit</v>
      </c>
      <c r="AG25" s="49" t="str">
        <f>IF(AG24="","",IFERROR(VLOOKUP(AC23,DATA!$A:$H,5,TRUE),0))</f>
        <v>nuit</v>
      </c>
      <c r="AH25" s="49" t="str">
        <f>IF(AH24="","",IFERROR(VLOOKUP(AC23,DATA!$A:$H,6,TRUE),0))</f>
        <v>nuit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matin</v>
      </c>
      <c r="AN25" s="49">
        <f>IF(AN24="","",IFERROR(VLOOKUP(AL23,DATA!$A:$H,3,TRUE),0))</f>
        <v>0</v>
      </c>
      <c r="AO25" s="49">
        <f>IF(AO24="","",IFERROR(VLOOKUP(AL23,DATA!$A:$H,4,TRUE),0))</f>
        <v>0</v>
      </c>
      <c r="AP25" s="49" t="str">
        <f>IF(AP24="","",IFERROR(VLOOKUP(AL23,DATA!$A:$H,5,TRUE),0))</f>
        <v>matin</v>
      </c>
      <c r="AQ25" s="49" t="str">
        <f>IF(AQ24="","",IFERROR(VLOOKUP(AL23,DATA!$A:$H,6,TRUE),0))</f>
        <v>matin</v>
      </c>
      <c r="AR25" s="49">
        <f>IF(AR24="","",IFERROR(VLOOKUP(AL23,DATA!$A:$H,7,TRUE),0))</f>
        <v>0</v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0</v>
      </c>
      <c r="F26" s="52">
        <f t="shared" si="86"/>
        <v>0</v>
      </c>
      <c r="G26" s="52">
        <f t="shared" si="86"/>
        <v>0</v>
      </c>
      <c r="H26" s="52">
        <f t="shared" si="86"/>
        <v>0</v>
      </c>
      <c r="I26" s="52">
        <f t="shared" si="86"/>
        <v>0</v>
      </c>
      <c r="J26" s="52">
        <f>SUM(C26:I26)</f>
        <v>0</v>
      </c>
      <c r="K26" s="51"/>
      <c r="L26" s="52">
        <f t="shared" ref="L26:R26" si="87">IF(L25="Matin",1,IF(L25="AM",1,0))</f>
        <v>1</v>
      </c>
      <c r="M26" s="52">
        <f t="shared" si="87"/>
        <v>1</v>
      </c>
      <c r="N26" s="52">
        <f t="shared" si="87"/>
        <v>1</v>
      </c>
      <c r="O26" s="52">
        <f t="shared" si="87"/>
        <v>1</v>
      </c>
      <c r="P26" s="52">
        <f t="shared" si="87"/>
        <v>1</v>
      </c>
      <c r="Q26" s="52">
        <f t="shared" si="87"/>
        <v>0</v>
      </c>
      <c r="R26" s="52">
        <f t="shared" si="87"/>
        <v>0</v>
      </c>
      <c r="S26" s="52">
        <f>SUM(L26:R26)</f>
        <v>5</v>
      </c>
      <c r="T26" s="51"/>
      <c r="U26" s="52">
        <f t="shared" ref="U26:AA26" si="88">IF(U25="Matin",1,IF(U25="AM",1,0))</f>
        <v>1</v>
      </c>
      <c r="V26" s="52">
        <f t="shared" si="88"/>
        <v>1</v>
      </c>
      <c r="W26" s="52">
        <f t="shared" si="88"/>
        <v>1</v>
      </c>
      <c r="X26" s="52">
        <f t="shared" si="88"/>
        <v>0</v>
      </c>
      <c r="Y26" s="52">
        <f t="shared" si="88"/>
        <v>0</v>
      </c>
      <c r="Z26" s="52">
        <f t="shared" si="88"/>
        <v>0</v>
      </c>
      <c r="AA26" s="52">
        <f t="shared" si="88"/>
        <v>0</v>
      </c>
      <c r="AB26" s="52">
        <f>SUM(U26:AA26)</f>
        <v>3</v>
      </c>
      <c r="AC26" s="51"/>
      <c r="AD26" s="52">
        <f t="shared" ref="AD26:AJ26" si="89">IF(AD25="Matin",1,IF(AD25="AM",1,0))</f>
        <v>0</v>
      </c>
      <c r="AE26" s="52">
        <f t="shared" si="89"/>
        <v>0</v>
      </c>
      <c r="AF26" s="52">
        <f t="shared" si="89"/>
        <v>0</v>
      </c>
      <c r="AG26" s="52">
        <f t="shared" si="89"/>
        <v>0</v>
      </c>
      <c r="AH26" s="52">
        <f t="shared" si="89"/>
        <v>0</v>
      </c>
      <c r="AI26" s="52">
        <f t="shared" si="89"/>
        <v>0</v>
      </c>
      <c r="AJ26" s="52">
        <f t="shared" si="89"/>
        <v>0</v>
      </c>
      <c r="AK26" s="52">
        <f>SUM(AD26:AJ26)</f>
        <v>0</v>
      </c>
      <c r="AL26" s="51"/>
      <c r="AM26" s="52">
        <f t="shared" ref="AM26:AS26" si="90">IF(AM25="Matin",1,IF(AM25="AM",1,0))</f>
        <v>1</v>
      </c>
      <c r="AN26" s="52">
        <f t="shared" si="90"/>
        <v>0</v>
      </c>
      <c r="AO26" s="52">
        <f t="shared" si="90"/>
        <v>0</v>
      </c>
      <c r="AP26" s="52">
        <f t="shared" si="90"/>
        <v>1</v>
      </c>
      <c r="AQ26" s="52">
        <f t="shared" si="90"/>
        <v>1</v>
      </c>
      <c r="AR26" s="52">
        <f t="shared" si="90"/>
        <v>0</v>
      </c>
      <c r="AS26" s="52">
        <f t="shared" si="90"/>
        <v>0</v>
      </c>
      <c r="AT26" s="52">
        <f>SUM(AM26:AS26)</f>
        <v>3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3">IF(E28&gt;=1,1,0)</f>
        <v>0</v>
      </c>
      <c r="F27" s="49">
        <f t="shared" si="93"/>
        <v>0</v>
      </c>
      <c r="G27" s="49">
        <f t="shared" si="93"/>
        <v>0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0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1</v>
      </c>
      <c r="P27" s="49">
        <f t="shared" si="95"/>
        <v>1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5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0</v>
      </c>
      <c r="Y27" s="49">
        <f t="shared" si="97"/>
        <v>0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3</v>
      </c>
      <c r="AC27" s="48"/>
      <c r="AD27" s="49">
        <f>IF(AD28&gt;=1,1,0)</f>
        <v>1</v>
      </c>
      <c r="AE27" s="49">
        <f t="shared" ref="AE27:AJ27" si="99">IF(AE28&gt;=1,1,0)</f>
        <v>1</v>
      </c>
      <c r="AF27" s="49">
        <f t="shared" si="99"/>
        <v>1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5</v>
      </c>
      <c r="AL27" s="48"/>
      <c r="AM27" s="49">
        <f>IF(AM28&gt;=1,1,0)</f>
        <v>1</v>
      </c>
      <c r="AN27" s="49">
        <f t="shared" ref="AN27:AS27" si="101">IF(AN28&gt;=1,1,0)</f>
        <v>0</v>
      </c>
      <c r="AO27" s="49">
        <f t="shared" si="101"/>
        <v>0</v>
      </c>
      <c r="AP27" s="49">
        <f t="shared" si="101"/>
        <v>1</v>
      </c>
      <c r="AQ27" s="49">
        <f t="shared" si="101"/>
        <v>1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3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5">IF(D25="Matin",8,IF(D25="AM",8,IF(D25="nuit",8,0)))</f>
        <v>0</v>
      </c>
      <c r="E28" s="52">
        <f t="shared" si="105"/>
        <v>0</v>
      </c>
      <c r="F28" s="52">
        <f t="shared" si="105"/>
        <v>0</v>
      </c>
      <c r="G28" s="52">
        <f t="shared" si="105"/>
        <v>0</v>
      </c>
      <c r="H28" s="52">
        <f t="shared" si="105"/>
        <v>0</v>
      </c>
      <c r="I28" s="52">
        <f t="shared" si="105"/>
        <v>0</v>
      </c>
      <c r="J28" s="52">
        <f t="shared" si="94"/>
        <v>0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8</v>
      </c>
      <c r="P28" s="52">
        <f t="shared" si="106"/>
        <v>8</v>
      </c>
      <c r="Q28" s="52">
        <f t="shared" si="106"/>
        <v>0</v>
      </c>
      <c r="R28" s="52">
        <f t="shared" si="106"/>
        <v>0</v>
      </c>
      <c r="S28" s="52">
        <f t="shared" si="96"/>
        <v>40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0</v>
      </c>
      <c r="Y28" s="52">
        <f t="shared" si="107"/>
        <v>0</v>
      </c>
      <c r="Z28" s="52">
        <f t="shared" si="107"/>
        <v>0</v>
      </c>
      <c r="AA28" s="52">
        <f t="shared" si="107"/>
        <v>0</v>
      </c>
      <c r="AB28" s="52">
        <f t="shared" si="98"/>
        <v>24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8</v>
      </c>
      <c r="AF28" s="52">
        <f t="shared" si="108"/>
        <v>8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40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0</v>
      </c>
      <c r="AO28" s="52">
        <f t="shared" si="109"/>
        <v>0</v>
      </c>
      <c r="AP28" s="52">
        <f t="shared" si="109"/>
        <v>8</v>
      </c>
      <c r="AQ28" s="52">
        <f t="shared" si="109"/>
        <v>8</v>
      </c>
      <c r="AR28" s="52">
        <f t="shared" si="109"/>
        <v>0</v>
      </c>
      <c r="AS28" s="52">
        <f t="shared" si="109"/>
        <v>0</v>
      </c>
      <c r="AT28" s="52">
        <f t="shared" si="102"/>
        <v>24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3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3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0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0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3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3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5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5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0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0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5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5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9">IF(W25="nuit",W28*0.02,0)</f>
        <v>0</v>
      </c>
      <c r="X37" s="49">
        <f t="shared" si="119"/>
        <v>0</v>
      </c>
      <c r="Y37" s="49">
        <f>IF(Y25="nuit",Y28*0.02,0)</f>
        <v>0</v>
      </c>
      <c r="Z37" s="49">
        <f t="shared" si="119"/>
        <v>0</v>
      </c>
      <c r="AA37" s="49">
        <f t="shared" si="119"/>
        <v>0</v>
      </c>
      <c r="AB37" s="52">
        <f t="shared" si="98"/>
        <v>0</v>
      </c>
      <c r="AC37" s="48"/>
      <c r="AD37" s="49">
        <f>IF(AD25="nuit",AD28*0.02,0)</f>
        <v>0.16</v>
      </c>
      <c r="AE37" s="49">
        <f>IF(AE25="nuit",AE28*0.02,0)</f>
        <v>0.16</v>
      </c>
      <c r="AF37" s="49">
        <f t="shared" ref="AF37:AJ37" si="120">IF(AF25="nuit",AF28*0.02,0)</f>
        <v>0.16</v>
      </c>
      <c r="AG37" s="49">
        <f t="shared" si="120"/>
        <v>0.16</v>
      </c>
      <c r="AH37" s="49">
        <f>IF(AH25="nuit",AH28*0.02,0)</f>
        <v>0.16</v>
      </c>
      <c r="AI37" s="49">
        <f t="shared" si="120"/>
        <v>0</v>
      </c>
      <c r="AJ37" s="49">
        <f t="shared" si="120"/>
        <v>0</v>
      </c>
      <c r="AK37" s="52">
        <f t="shared" si="100"/>
        <v>0.8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">
      <c r="A40" s="16"/>
      <c r="B40" s="16"/>
      <c r="C40" s="19" t="s">
        <v>14</v>
      </c>
      <c r="D40" s="19"/>
      <c r="E40" s="19"/>
      <c r="F40" s="19"/>
      <c r="G40" s="19"/>
      <c r="H40" s="101">
        <f>Année_Calendaire</f>
        <v>2020</v>
      </c>
      <c r="I40" s="101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1">
        <f>Année_Calendaire</f>
        <v>2020</v>
      </c>
      <c r="AA40" s="101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1">
        <f>Année_Calendaire</f>
        <v>2020</v>
      </c>
      <c r="AS40" s="101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C3</v>
      </c>
      <c r="C41" s="91" t="str">
        <f>IF(C42&lt;&gt;"","Lun","")</f>
        <v/>
      </c>
      <c r="D41" s="91" t="str">
        <f>IF(D42&lt;&gt;"","Mar","")</f>
        <v/>
      </c>
      <c r="E41" s="91" t="str">
        <f>IF(E42&lt;&gt;"","Mer","")</f>
        <v/>
      </c>
      <c r="F41" s="91" t="str">
        <f>IF(F42&lt;&gt;"","Jeu","")</f>
        <v/>
      </c>
      <c r="G41" s="91" t="str">
        <f>IF(G42&lt;&gt;"","Ven","")</f>
        <v/>
      </c>
      <c r="H41" s="91" t="str">
        <f>IF(H42&lt;&gt;"","Sam","")</f>
        <v/>
      </c>
      <c r="I41" s="91" t="str">
        <f>IF(I42&lt;&gt;"","Dim","")</f>
        <v>Dim</v>
      </c>
      <c r="J41" s="102" t="s">
        <v>25</v>
      </c>
      <c r="K41" s="55" t="str">
        <f>IF(L41="",LEFT(B41)&amp;MOD(RIGHT(B41),5),LEFT(B41)&amp;MOD(RIGHT(B41),4)+1)</f>
        <v>C4</v>
      </c>
      <c r="L41" s="91" t="str">
        <f>IF(L42&lt;&gt;"","Lun","")</f>
        <v>Lun</v>
      </c>
      <c r="M41" s="91" t="str">
        <f>IF(M42&lt;&gt;"","Mar","")</f>
        <v>Mar</v>
      </c>
      <c r="N41" s="91" t="str">
        <f>IF(N42&lt;&gt;"","Mer","")</f>
        <v>Mer</v>
      </c>
      <c r="O41" s="91" t="str">
        <f>IF(O42&lt;&gt;"","Jeu","")</f>
        <v>Jeu</v>
      </c>
      <c r="P41" s="91" t="str">
        <f>IF(P42&lt;&gt;"","Ven","")</f>
        <v>Ven</v>
      </c>
      <c r="Q41" s="91" t="str">
        <f>IF(Q42&lt;&gt;"","Sam","")</f>
        <v>Sam</v>
      </c>
      <c r="R41" s="91" t="str">
        <f>IF(R42&lt;&gt;"","Dim","")</f>
        <v>Dim</v>
      </c>
      <c r="S41" s="102" t="s">
        <v>25</v>
      </c>
      <c r="T41" s="55" t="str">
        <f>IF(U41="",LEFT(K41)&amp;MOD(RIGHT(K41),5),LEFT(K41)&amp;MOD(RIGHT(K41),4)+1)</f>
        <v>C1</v>
      </c>
      <c r="U41" s="91" t="str">
        <f>IF(U42&lt;&gt;"","Lun","")</f>
        <v>Lun</v>
      </c>
      <c r="V41" s="91" t="str">
        <f>IF(V42&lt;&gt;"","Mar","")</f>
        <v>Mar</v>
      </c>
      <c r="W41" s="91" t="str">
        <f>IF(W42&lt;&gt;"","Mer","")</f>
        <v>Mer</v>
      </c>
      <c r="X41" s="91" t="str">
        <f>IF(X42&lt;&gt;"","Jeu","")</f>
        <v>Jeu</v>
      </c>
      <c r="Y41" s="91" t="str">
        <f>IF(Y42&lt;&gt;"","Ven","")</f>
        <v>Ven</v>
      </c>
      <c r="Z41" s="91" t="str">
        <f>IF(Z42&lt;&gt;"","Sam","")</f>
        <v>Sam</v>
      </c>
      <c r="AA41" s="91" t="str">
        <f>IF(AA42&lt;&gt;"","Dim","")</f>
        <v>Dim</v>
      </c>
      <c r="AB41" s="102" t="s">
        <v>25</v>
      </c>
      <c r="AC41" s="55" t="str">
        <f>IF(AD41="",LEFT(T41)&amp;MOD(RIGHT(T41),5),LEFT(T41)&amp;MOD(RIGHT(T41),4)+1)</f>
        <v>C2</v>
      </c>
      <c r="AD41" s="91" t="str">
        <f>IF(AD42&lt;&gt;"","Lun","")</f>
        <v>Lun</v>
      </c>
      <c r="AE41" s="91" t="str">
        <f>IF(AE42&lt;&gt;"","Mar","")</f>
        <v>Mar</v>
      </c>
      <c r="AF41" s="91" t="str">
        <f>IF(AF42&lt;&gt;"","Mer","")</f>
        <v>Mer</v>
      </c>
      <c r="AG41" s="91" t="str">
        <f>IF(AG42&lt;&gt;"","Jeu","")</f>
        <v>Jeu</v>
      </c>
      <c r="AH41" s="91" t="str">
        <f>IF(AH42&lt;&gt;"","Ven","")</f>
        <v>Ven</v>
      </c>
      <c r="AI41" s="91" t="str">
        <f>IF(AI42&lt;&gt;"","Sam","")</f>
        <v>Sam</v>
      </c>
      <c r="AJ41" s="91" t="str">
        <f>IF(AJ42&lt;&gt;"","Dim","")</f>
        <v>Dim</v>
      </c>
      <c r="AK41" s="102" t="s">
        <v>25</v>
      </c>
      <c r="AL41" s="55" t="str">
        <f>IF(AM41="",LEFT(AC41)&amp;MOD(RIGHT(AC41),5),LEFT(AC41)&amp;MOD(RIGHT(AC41),4)+1)</f>
        <v>C3</v>
      </c>
      <c r="AM41" s="91" t="str">
        <f>IF(AM42&lt;&gt;"","Lun","")</f>
        <v>Lun</v>
      </c>
      <c r="AN41" s="91" t="str">
        <f>IF(AN42&lt;&gt;"","Mar","")</f>
        <v>Mar</v>
      </c>
      <c r="AO41" s="91" t="str">
        <f>IF(AO42&lt;&gt;"","Mer","")</f>
        <v>Mer</v>
      </c>
      <c r="AP41" s="91" t="str">
        <f>IF(AP42&lt;&gt;"","Jeu","")</f>
        <v>Jeu</v>
      </c>
      <c r="AQ41" s="91" t="str">
        <f>IF(AQ42&lt;&gt;"","Ven","")</f>
        <v>Ven</v>
      </c>
      <c r="AR41" s="91" t="str">
        <f>IF(AR42&lt;&gt;"","Sam","")</f>
        <v>Sam</v>
      </c>
      <c r="AS41" s="91" t="str">
        <f>IF(AS42&lt;&gt;"","Dim","")</f>
        <v>Dim</v>
      </c>
      <c r="AT41" s="102" t="s">
        <v>25</v>
      </c>
      <c r="AU41" s="55" t="str">
        <f>IF(AV41="",LEFT(AL41)&amp;MOD(RIGHT(AL41),5),LEFT(AL41)&amp;MOD(RIGHT(AL41),4)+1)</f>
        <v>C4</v>
      </c>
      <c r="AV41" s="53" t="str">
        <f>IF(AV42&lt;&gt;"","Lun","")</f>
        <v>Lun</v>
      </c>
      <c r="AW41" s="53" t="str">
        <f>IF(AW42&lt;&gt;"","Mar","")</f>
        <v>Mar</v>
      </c>
      <c r="AX41" s="102" t="s">
        <v>25</v>
      </c>
      <c r="AY41" s="102" t="s">
        <v>28</v>
      </c>
      <c r="AZ41" s="103">
        <f>AY48+AY49+AY50</f>
        <v>10</v>
      </c>
      <c r="BA41" s="103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90" t="str">
        <f>IF(DAY(Mar_Dim1)=1,"",IF(AND(YEAR(Mar_Dim1+1)=Année_Calendaire,MONTH(Mar_Dim1+1)=3),Mar_Dim1+1,""))</f>
        <v/>
      </c>
      <c r="D42" s="90" t="str">
        <f>IF(DAY(Mar_Dim1)=1,"",IF(AND(YEAR(Mar_Dim1+2)=Année_Calendaire,MONTH(Mar_Dim1+2)=3),Mar_Dim1+2,""))</f>
        <v/>
      </c>
      <c r="E42" s="90" t="str">
        <f>IF(DAY(Mar_Dim1)=1,"",IF(AND(YEAR(Mar_Dim1+3)=Année_Calendaire,MONTH(Mar_Dim1+3)=3),Mar_Dim1+3,""))</f>
        <v/>
      </c>
      <c r="F42" s="90" t="str">
        <f>IF(DAY(Mar_Dim1)=1,"",IF(AND(YEAR(Mar_Dim1+4)=Année_Calendaire,MONTH(Mar_Dim1+4)=3),Mar_Dim1+4,""))</f>
        <v/>
      </c>
      <c r="G42" s="90" t="str">
        <f>IF(DAY(Mar_Dim1)=1,"",IF(AND(YEAR(Mar_Dim1+5)=Année_Calendaire,MONTH(Mar_Dim1+5)=3),Mar_Dim1+5,""))</f>
        <v/>
      </c>
      <c r="H42" s="90" t="str">
        <f>IF(DAY(Mar_Dim1)=1,"",IF(AND(YEAR(Mar_Dim1+6)=Année_Calendaire,MONTH(Mar_Dim1+6)=3),Mar_Dim1+6,""))</f>
        <v/>
      </c>
      <c r="I42" s="90">
        <f>IF(DAY(Mar_Dim1)=1,IF(AND(YEAR(Mar_Dim1)=Année_Calendaire,MONTH(Mar_Dim1)=3),Mar_Dim1,""),IF(AND(YEAR(Mar_Dim1+7)=Année_Calendaire,MONTH(Mar_Dim1+7)=3),Mar_Dim1+7,""))</f>
        <v>43891</v>
      </c>
      <c r="J42" s="102"/>
      <c r="K42" s="54"/>
      <c r="L42" s="90">
        <f>IF(DAY(Mar_Dim1)=1,IF(AND(YEAR(Mar_Dim1+1)=Année_Calendaire,MONTH(Mar_Dim1+1)=3),Mar_Dim1+1,""),IF(AND(YEAR(Mar_Dim1+8)=Année_Calendaire,MONTH(Mar_Dim1+8)=3),Mar_Dim1+8,""))</f>
        <v>43892</v>
      </c>
      <c r="M42" s="90">
        <f>IF(DAY(Mar_Dim1)=1,IF(AND(YEAR(Mar_Dim1+2)=Année_Calendaire,MONTH(Mar_Dim1+2)=3),Mar_Dim1+2,""),IF(AND(YEAR(Mar_Dim1+9)=Année_Calendaire,MONTH(Mar_Dim1+9)=3),Mar_Dim1+9,""))</f>
        <v>43893</v>
      </c>
      <c r="N42" s="90">
        <f>IF(DAY(Mar_Dim1)=1,IF(AND(YEAR(Mar_Dim1+3)=Année_Calendaire,MONTH(Mar_Dim1+3)=3),Mar_Dim1+3,""),IF(AND(YEAR(Mar_Dim1+10)=Année_Calendaire,MONTH(Mar_Dim1+10)=3),Mar_Dim1+10,""))</f>
        <v>43894</v>
      </c>
      <c r="O42" s="90">
        <f>IF(DAY(Mar_Dim1)=1,IF(AND(YEAR(Mar_Dim1+4)=Année_Calendaire,MONTH(Mar_Dim1+4)=3),Mar_Dim1+4,""),IF(AND(YEAR(Mar_Dim1+11)=Année_Calendaire,MONTH(Mar_Dim1+11)=3),Mar_Dim1+11,""))</f>
        <v>43895</v>
      </c>
      <c r="P42" s="90">
        <f>IF(DAY(Mar_Dim1)=1,IF(AND(YEAR(Mar_Dim1+5)=Année_Calendaire,MONTH(Mar_Dim1+5)=3),Mar_Dim1+5,""),IF(AND(YEAR(Mar_Dim1+12)=Année_Calendaire,MONTH(Mar_Dim1+12)=3),Mar_Dim1+12,""))</f>
        <v>43896</v>
      </c>
      <c r="Q42" s="90">
        <f>IF(DAY(Mar_Dim1)=1,IF(AND(YEAR(Mar_Dim1+6)=Année_Calendaire,MONTH(Mar_Dim1+6)=3),Mar_Dim1+6,""),IF(AND(YEAR(Mar_Dim1+13)=Année_Calendaire,MONTH(Mar_Dim1+13)=3),Mar_Dim1+13,""))</f>
        <v>43897</v>
      </c>
      <c r="R42" s="90">
        <f>IF(DAY(Mar_Dim1)=1,IF(AND(YEAR(Mar_Dim1+7)=Année_Calendaire,MONTH(Mar_Dim1+7)=3),Mar_Dim1+7,""),IF(AND(YEAR(Mar_Dim1+14)=Année_Calendaire,MONTH(Mar_Dim1+14)=3),Mar_Dim1+14,""))</f>
        <v>43898</v>
      </c>
      <c r="S42" s="102"/>
      <c r="T42" s="54"/>
      <c r="U42" s="90">
        <f>IF(DAY(Mar_Dim1)=1,IF(AND(YEAR(Mar_Dim1+8)=Année_Calendaire,MONTH(Mar_Dim1+8)=3),Mar_Dim1+8,""),IF(AND(YEAR(Mar_Dim1+15)=Année_Calendaire,MONTH(Mar_Dim1+15)=3),Mar_Dim1+15,""))</f>
        <v>43899</v>
      </c>
      <c r="V42" s="90">
        <f>IF(DAY(Mar_Dim1)=1,IF(AND(YEAR(Mar_Dim1+9)=Année_Calendaire,MONTH(Mar_Dim1+9)=3),Mar_Dim1+9,""),IF(AND(YEAR(Mar_Dim1+16)=Année_Calendaire,MONTH(Mar_Dim1+16)=3),Mar_Dim1+16,""))</f>
        <v>43900</v>
      </c>
      <c r="W42" s="90">
        <f>IF(DAY(Mar_Dim1)=1,IF(AND(YEAR(Mar_Dim1+10)=Année_Calendaire,MONTH(Mar_Dim1+10)=3),Mar_Dim1+10,""),IF(AND(YEAR(Mar_Dim1+17)=Année_Calendaire,MONTH(Mar_Dim1+17)=3),Mar_Dim1+17,""))</f>
        <v>43901</v>
      </c>
      <c r="X42" s="90">
        <f>IF(DAY(Mar_Dim1)=1,IF(AND(YEAR(Mar_Dim1+11)=Année_Calendaire,MONTH(Mar_Dim1+11)=3),Mar_Dim1+11,""),IF(AND(YEAR(Mar_Dim1+18)=Année_Calendaire,MONTH(Mar_Dim1+18)=3),Mar_Dim1+18,""))</f>
        <v>43902</v>
      </c>
      <c r="Y42" s="90">
        <f>IF(DAY(Mar_Dim1)=1,IF(AND(YEAR(Mar_Dim1+12)=Année_Calendaire,MONTH(Mar_Dim1+12)=3),Mar_Dim1+12,""),IF(AND(YEAR(Mar_Dim1+19)=Année_Calendaire,MONTH(Mar_Dim1+19)=3),Mar_Dim1+19,""))</f>
        <v>43903</v>
      </c>
      <c r="Z42" s="90">
        <f>IF(DAY(Mar_Dim1)=1,IF(AND(YEAR(Mar_Dim1+13)=Année_Calendaire,MONTH(Mar_Dim1+13)=3),Mar_Dim1+13,""),IF(AND(YEAR(Mar_Dim1+20)=Année_Calendaire,MONTH(Mar_Dim1+20)=3),Mar_Dim1+20,""))</f>
        <v>43904</v>
      </c>
      <c r="AA42" s="90">
        <f>IF(DAY(Mar_Dim1)=1,IF(AND(YEAR(Mar_Dim1+14)=Année_Calendaire,MONTH(Mar_Dim1+14)=3),Mar_Dim1+14,""),IF(AND(YEAR(Mar_Dim1+21)=Année_Calendaire,MONTH(Mar_Dim1+21)=3),Mar_Dim1+21,""))</f>
        <v>43905</v>
      </c>
      <c r="AB42" s="102"/>
      <c r="AC42" s="54"/>
      <c r="AD42" s="90">
        <f>IF(DAY(Mar_Dim1)=1,IF(AND(YEAR(Mar_Dim1+15)=Année_Calendaire,MONTH(Mar_Dim1+15)=3),Mar_Dim1+15,""),IF(AND(YEAR(Mar_Dim1+22)=Année_Calendaire,MONTH(Mar_Dim1+22)=3),Mar_Dim1+22,""))</f>
        <v>43906</v>
      </c>
      <c r="AE42" s="90">
        <f>IF(DAY(Mar_Dim1)=1,IF(AND(YEAR(Mar_Dim1+16)=Année_Calendaire,MONTH(Mar_Dim1+16)=3),Mar_Dim1+16,""),IF(AND(YEAR(Mar_Dim1+23)=Année_Calendaire,MONTH(Mar_Dim1+23)=3),Mar_Dim1+23,""))</f>
        <v>43907</v>
      </c>
      <c r="AF42" s="90">
        <f>IF(DAY(Mar_Dim1)=1,IF(AND(YEAR(Mar_Dim1+17)=Année_Calendaire,MONTH(Mar_Dim1+17)=3),Mar_Dim1+17,""),IF(AND(YEAR(Mar_Dim1+24)=Année_Calendaire,MONTH(Mar_Dim1+24)=3),Mar_Dim1+24,""))</f>
        <v>43908</v>
      </c>
      <c r="AG42" s="90">
        <f>IF(DAY(Mar_Dim1)=1,IF(AND(YEAR(Mar_Dim1+18)=Année_Calendaire,MONTH(Mar_Dim1+18)=3),Mar_Dim1+18,""),IF(AND(YEAR(Mar_Dim1+25)=Année_Calendaire,MONTH(Mar_Dim1+25)=3),Mar_Dim1+25,""))</f>
        <v>43909</v>
      </c>
      <c r="AH42" s="90">
        <f>IF(DAY(Mar_Dim1)=1,IF(AND(YEAR(Mar_Dim1+19)=Année_Calendaire,MONTH(Mar_Dim1+19)=3),Mar_Dim1+19,""),IF(AND(YEAR(Mar_Dim1+26)=Année_Calendaire,MONTH(Mar_Dim1+26)=3),Mar_Dim1+26,""))</f>
        <v>43910</v>
      </c>
      <c r="AI42" s="90">
        <f>IF(DAY(Mar_Dim1)=1,IF(AND(YEAR(Mar_Dim1+20)=Année_Calendaire,MONTH(Mar_Dim1+20)=3),Mar_Dim1+20,""),IF(AND(YEAR(Mar_Dim1+27)=Année_Calendaire,MONTH(Mar_Dim1+27)=3),Mar_Dim1+27,""))</f>
        <v>43911</v>
      </c>
      <c r="AJ42" s="90">
        <f>IF(DAY(Mar_Dim1)=1,IF(AND(YEAR(Mar_Dim1+21)=Année_Calendaire,MONTH(Mar_Dim1+21)=3),Mar_Dim1+21,""),IF(AND(YEAR(Mar_Dim1+28)=Année_Calendaire,MONTH(Mar_Dim1+28)=3),Mar_Dim1+28,""))</f>
        <v>43912</v>
      </c>
      <c r="AK42" s="102"/>
      <c r="AL42" s="54"/>
      <c r="AM42" s="90">
        <f>IF(DAY(Mar_Dim1)=1,IF(AND(YEAR(Mar_Dim1+22)=Année_Calendaire,MONTH(Mar_Dim1+22)=3),Mar_Dim1+22,""),IF(AND(YEAR(Mar_Dim1+29)=Année_Calendaire,MONTH(Mar_Dim1+29)=3),Mar_Dim1+29,""))</f>
        <v>43913</v>
      </c>
      <c r="AN42" s="90">
        <f>IF(DAY(Mar_Dim1)=1,IF(AND(YEAR(Mar_Dim1+23)=Année_Calendaire,MONTH(Mar_Dim1+23)=3),Mar_Dim1+23,""),IF(AND(YEAR(Mar_Dim1+30)=Année_Calendaire,MONTH(Mar_Dim1+30)=3),Mar_Dim1+30,""))</f>
        <v>43914</v>
      </c>
      <c r="AO42" s="90">
        <f>IF(DAY(Mar_Dim1)=1,IF(AND(YEAR(Mar_Dim1+24)=Année_Calendaire,MONTH(Mar_Dim1+24)=3),Mar_Dim1+24,""),IF(AND(YEAR(Mar_Dim1+31)=Année_Calendaire,MONTH(Mar_Dim1+31)=3),Mar_Dim1+31,""))</f>
        <v>43915</v>
      </c>
      <c r="AP42" s="90">
        <f>IF(DAY(Mar_Dim1)=1,IF(AND(YEAR(Mar_Dim1+25)=Année_Calendaire,MONTH(Mar_Dim1+25)=3),Mar_Dim1+25,""),IF(AND(YEAR(Mar_Dim1+32)=Année_Calendaire,MONTH(Mar_Dim1+32)=3),Mar_Dim1+32,""))</f>
        <v>43916</v>
      </c>
      <c r="AQ42" s="90">
        <f>IF(DAY(Mar_Dim1)=1,IF(AND(YEAR(Mar_Dim1+26)=Année_Calendaire,MONTH(Mar_Dim1+26)=3),Mar_Dim1+26,""),IF(AND(YEAR(Mar_Dim1+33)=Année_Calendaire,MONTH(Mar_Dim1+33)=3),Mar_Dim1+33,""))</f>
        <v>43917</v>
      </c>
      <c r="AR42" s="90">
        <f>IF(DAY(Mar_Dim1)=1,IF(AND(YEAR(Mar_Dim1+27)=Année_Calendaire,MONTH(Mar_Dim1+27)=3),Mar_Dim1+27,""),IF(AND(YEAR(Mar_Dim1+34)=Année_Calendaire,MONTH(Mar_Dim1+34)=3),Mar_Dim1+34,""))</f>
        <v>43918</v>
      </c>
      <c r="AS42" s="90">
        <f>IF(DAY(Mar_Dim1)=1,IF(AND(YEAR(Mar_Dim1+28)=Année_Calendaire,MONTH(Mar_Dim1+28)=3),Mar_Dim1+28,""),IF(AND(YEAR(Mar_Dim1+35)=Année_Calendaire,MONTH(Mar_Dim1+35)=3),Mar_Dim1+35,""))</f>
        <v>43919</v>
      </c>
      <c r="AT42" s="102"/>
      <c r="AU42" s="54"/>
      <c r="AV42" s="54">
        <f>IF(DAY(Mar_Dim1)=1,IF(AND(YEAR(Mar_Dim1+29)=Année_Calendaire,MONTH(Mar_Dim1+29)=3),Mar_Dim1+29,""),IF(AND(YEAR(Mar_Dim1+36)=Année_Calendaire,MONTH(Mar_Dim1+36)=3),Mar_Dim1+36,""))</f>
        <v>43920</v>
      </c>
      <c r="AW42" s="54">
        <f>IF(DAY(Mar_Dim1)=1,IF(AND(YEAR(Mar_Dim1+30)=Année_Calendaire,MONTH(Mar_Dim1+30)=3),Mar_Dim1+30,""),IF(AND(YEAR(Mar_Dim1+37)=Année_Calendaire,MONTH(Mar_Dim1+37)=3),Mar_Dim1+37,""))</f>
        <v>43921</v>
      </c>
      <c r="AX42" s="102"/>
      <c r="AY42" s="102"/>
      <c r="AZ42" s="103"/>
      <c r="BA42" s="103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/>
      </c>
      <c r="E43" s="49" t="str">
        <f>IF(E42="","",IFERROR(VLOOKUP(B41,DATA!$A:$H,4,TRUE),0))</f>
        <v/>
      </c>
      <c r="F43" s="49" t="str">
        <f>IF(F42="","",IFERROR(VLOOKUP(B41,DATA!$A:$H,5,TRUE),0))</f>
        <v/>
      </c>
      <c r="G43" s="49" t="str">
        <f>IF(G42="","",IFERROR(VLOOKUP(B41,DATA!$A:$H,6,TRUE),0))</f>
        <v/>
      </c>
      <c r="H43" s="49" t="str">
        <f>IF(H42="","",IFERROR(VLOOKUP(B41,DATA!$A:$H,7,TRUE),0))</f>
        <v/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am</v>
      </c>
      <c r="M43" s="49" t="str">
        <f>IF(M42="","",IFERROR(VLOOKUP(K41,DATA!$A:$H,3,TRUE),0))</f>
        <v>am</v>
      </c>
      <c r="N43" s="49" t="str">
        <f>IF(N42="","",IFERROR(VLOOKUP(K41,DATA!$A:$H,4,TRUE),0))</f>
        <v>am</v>
      </c>
      <c r="O43" s="49" t="str">
        <f>IF(O42="","",IFERROR(VLOOKUP(K41,DATA!$A:$H,5,TRUE),0))</f>
        <v>am</v>
      </c>
      <c r="P43" s="49" t="str">
        <f>IF(P42="","",IFERROR(VLOOKUP(K41,DATA!$A:$H,6,TRUE),0))</f>
        <v>am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matin</v>
      </c>
      <c r="V43" s="49" t="str">
        <f>IF(V42="","",IFERROR(VLOOKUP(T41,DATA!$A:$H,3,TRUE),0))</f>
        <v>matin</v>
      </c>
      <c r="W43" s="49" t="str">
        <f>IF(W42="","",IFERROR(VLOOKUP(T41,DATA!$A:$H,4,TRUE),0))</f>
        <v>matin</v>
      </c>
      <c r="X43" s="49">
        <f>IF(X42="","",IFERROR(VLOOKUP(T41,DATA!$A:$H,5,TRUE),0))</f>
        <v>0</v>
      </c>
      <c r="Y43" s="49">
        <f>IF(Y42="","",IFERROR(VLOOKUP(T41,DATA!$A:$H,6,TRUE),0))</f>
        <v>0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nuit</v>
      </c>
      <c r="AE43" s="49" t="str">
        <f>IF(AE42="","",IFERROR(VLOOKUP(AC41,DATA!$A:$H,3,TRUE),0))</f>
        <v>nuit</v>
      </c>
      <c r="AF43" s="49" t="str">
        <f>IF(AF42="","",IFERROR(VLOOKUP(AC41,DATA!$A:$H,4,TRUE),0))</f>
        <v>nuit</v>
      </c>
      <c r="AG43" s="49" t="str">
        <f>IF(AG42="","",IFERROR(VLOOKUP(AC41,DATA!$A:$H,5,TRUE),0))</f>
        <v>nuit</v>
      </c>
      <c r="AH43" s="49" t="str">
        <f>IF(AH42="","",IFERROR(VLOOKUP(AC41,DATA!$A:$H,6,TRUE),0))</f>
        <v>nuit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matin</v>
      </c>
      <c r="AN43" s="49">
        <f>IF(AN42="","",IFERROR(VLOOKUP(AL41,DATA!$A:$H,3,TRUE),0))</f>
        <v>0</v>
      </c>
      <c r="AO43" s="49">
        <f>IF(AO42="","",IFERROR(VLOOKUP(AL41,DATA!$A:$H,4,TRUE),0))</f>
        <v>0</v>
      </c>
      <c r="AP43" s="49" t="str">
        <f>IF(AP42="","",IFERROR(VLOOKUP(AL41,DATA!$A:$H,5,TRUE),0))</f>
        <v>matin</v>
      </c>
      <c r="AQ43" s="49" t="str">
        <f>IF(AQ42="","",IFERROR(VLOOKUP(AL41,DATA!$A:$H,6,TRUE),0))</f>
        <v>matin</v>
      </c>
      <c r="AR43" s="49">
        <f>IF(AR42="","",IFERROR(VLOOKUP(AL41,DATA!$A:$H,7,TRUE),0))</f>
        <v>0</v>
      </c>
      <c r="AS43" s="49">
        <f>IF(AS42="","",IFERROR(VLOOKUP(AL41,DATA!$A:$H,8,TRUE),0))</f>
        <v>0</v>
      </c>
      <c r="AT43" s="52"/>
      <c r="AU43" s="48"/>
      <c r="AV43" s="49" t="str">
        <f>IF(AV42="","",IFERROR(VLOOKUP(AU41,DATA!$A:$H,2,TRUE),0))</f>
        <v>am</v>
      </c>
      <c r="AW43" s="49" t="str">
        <f>IF(AW42="","",IFERROR(VLOOKUP(AU41,DATA!$A:$H,3,TRUE),0))</f>
        <v>am</v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0</v>
      </c>
      <c r="G44" s="52">
        <f t="shared" si="122"/>
        <v>0</v>
      </c>
      <c r="H44" s="52">
        <f t="shared" si="122"/>
        <v>0</v>
      </c>
      <c r="I44" s="52">
        <f t="shared" si="122"/>
        <v>0</v>
      </c>
      <c r="J44" s="52">
        <f>SUM(C44:I44)</f>
        <v>0</v>
      </c>
      <c r="K44" s="51"/>
      <c r="L44" s="52">
        <f t="shared" ref="L44:R44" si="123">IF(L43="Matin",1,IF(L43="AM",1,0))</f>
        <v>1</v>
      </c>
      <c r="M44" s="52">
        <f t="shared" si="123"/>
        <v>1</v>
      </c>
      <c r="N44" s="52">
        <f t="shared" si="123"/>
        <v>1</v>
      </c>
      <c r="O44" s="52">
        <f t="shared" si="123"/>
        <v>1</v>
      </c>
      <c r="P44" s="52">
        <f t="shared" si="123"/>
        <v>1</v>
      </c>
      <c r="Q44" s="52">
        <f t="shared" si="123"/>
        <v>0</v>
      </c>
      <c r="R44" s="52">
        <f t="shared" si="123"/>
        <v>0</v>
      </c>
      <c r="S44" s="52">
        <f>SUM(L44:R44)</f>
        <v>5</v>
      </c>
      <c r="T44" s="51"/>
      <c r="U44" s="52">
        <f t="shared" ref="U44:AA44" si="124">IF(U43="Matin",1,IF(U43="AM",1,0))</f>
        <v>1</v>
      </c>
      <c r="V44" s="52">
        <f t="shared" si="124"/>
        <v>1</v>
      </c>
      <c r="W44" s="52">
        <f t="shared" si="124"/>
        <v>1</v>
      </c>
      <c r="X44" s="52">
        <f t="shared" si="124"/>
        <v>0</v>
      </c>
      <c r="Y44" s="52">
        <f t="shared" si="124"/>
        <v>0</v>
      </c>
      <c r="Z44" s="52">
        <f t="shared" si="124"/>
        <v>0</v>
      </c>
      <c r="AA44" s="52">
        <f t="shared" si="124"/>
        <v>0</v>
      </c>
      <c r="AB44" s="52">
        <f>SUM(U44:AA44)</f>
        <v>3</v>
      </c>
      <c r="AC44" s="51"/>
      <c r="AD44" s="52">
        <f t="shared" ref="AD44:AJ44" si="125">IF(AD43="Matin",1,IF(AD43="AM",1,0))</f>
        <v>0</v>
      </c>
      <c r="AE44" s="52">
        <f t="shared" si="125"/>
        <v>0</v>
      </c>
      <c r="AF44" s="52">
        <f t="shared" si="125"/>
        <v>0</v>
      </c>
      <c r="AG44" s="52">
        <f t="shared" si="125"/>
        <v>0</v>
      </c>
      <c r="AH44" s="52">
        <f t="shared" si="125"/>
        <v>0</v>
      </c>
      <c r="AI44" s="52">
        <f t="shared" si="125"/>
        <v>0</v>
      </c>
      <c r="AJ44" s="52">
        <f t="shared" si="125"/>
        <v>0</v>
      </c>
      <c r="AK44" s="52">
        <f>SUM(AD44:AJ44)</f>
        <v>0</v>
      </c>
      <c r="AL44" s="51"/>
      <c r="AM44" s="52">
        <f t="shared" ref="AM44:AS44" si="126">IF(AM43="Matin",1,IF(AM43="AM",1,0))</f>
        <v>1</v>
      </c>
      <c r="AN44" s="52">
        <f t="shared" si="126"/>
        <v>0</v>
      </c>
      <c r="AO44" s="52">
        <f t="shared" si="126"/>
        <v>0</v>
      </c>
      <c r="AP44" s="52">
        <f t="shared" si="126"/>
        <v>1</v>
      </c>
      <c r="AQ44" s="52">
        <f t="shared" si="126"/>
        <v>1</v>
      </c>
      <c r="AR44" s="52">
        <f t="shared" si="126"/>
        <v>0</v>
      </c>
      <c r="AS44" s="52">
        <f t="shared" si="126"/>
        <v>0</v>
      </c>
      <c r="AT44" s="52">
        <f>SUM(AM44:AS44)</f>
        <v>3</v>
      </c>
      <c r="AU44" s="51"/>
      <c r="AV44" s="52">
        <f t="shared" ref="AV44:AW44" si="127">IF(AV43="Matin",1,IF(AV43="AM",1,0))</f>
        <v>1</v>
      </c>
      <c r="AW44" s="52">
        <f t="shared" si="127"/>
        <v>1</v>
      </c>
      <c r="AX44" s="52">
        <f t="shared" ref="AX44:AX51" si="128">SUM(AV44:AW44)</f>
        <v>2</v>
      </c>
      <c r="AY44" s="52">
        <f>J44+S44+AB44+AK44+AT44+AX44</f>
        <v>13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0</v>
      </c>
      <c r="F45" s="49">
        <f t="shared" si="129"/>
        <v>0</v>
      </c>
      <c r="G45" s="49">
        <f t="shared" si="129"/>
        <v>0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0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5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0</v>
      </c>
      <c r="Y45" s="49">
        <f t="shared" si="133"/>
        <v>0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3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5</v>
      </c>
      <c r="AL45" s="48"/>
      <c r="AM45" s="49">
        <f>IF(AM46&gt;=1,1,0)</f>
        <v>1</v>
      </c>
      <c r="AN45" s="49">
        <f t="shared" ref="AN45:AS45" si="137">IF(AN46&gt;=1,1,0)</f>
        <v>0</v>
      </c>
      <c r="AO45" s="49">
        <f t="shared" si="137"/>
        <v>0</v>
      </c>
      <c r="AP45" s="49">
        <f t="shared" si="137"/>
        <v>1</v>
      </c>
      <c r="AQ45" s="49">
        <f t="shared" si="137"/>
        <v>1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3</v>
      </c>
      <c r="AU45" s="48"/>
      <c r="AV45" s="49">
        <f>IF(AV46&gt;=1,1,0)</f>
        <v>1</v>
      </c>
      <c r="AW45" s="49">
        <f t="shared" ref="AW45" si="139">IF(AW46&gt;=1,1,0)</f>
        <v>1</v>
      </c>
      <c r="AX45" s="52">
        <f t="shared" si="128"/>
        <v>2</v>
      </c>
      <c r="AY45" s="49">
        <f t="shared" ref="AY45:AY54" si="140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0</v>
      </c>
      <c r="F46" s="52">
        <f t="shared" si="141"/>
        <v>0</v>
      </c>
      <c r="G46" s="52">
        <f t="shared" si="141"/>
        <v>0</v>
      </c>
      <c r="H46" s="52">
        <f t="shared" si="141"/>
        <v>0</v>
      </c>
      <c r="I46" s="52">
        <f t="shared" si="141"/>
        <v>0</v>
      </c>
      <c r="J46" s="52">
        <f t="shared" si="130"/>
        <v>0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40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0</v>
      </c>
      <c r="Y46" s="52">
        <f t="shared" si="143"/>
        <v>0</v>
      </c>
      <c r="Z46" s="52">
        <f t="shared" si="143"/>
        <v>0</v>
      </c>
      <c r="AA46" s="52">
        <f t="shared" si="143"/>
        <v>0</v>
      </c>
      <c r="AB46" s="52">
        <f t="shared" si="134"/>
        <v>24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40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0</v>
      </c>
      <c r="AO46" s="52">
        <f t="shared" si="145"/>
        <v>0</v>
      </c>
      <c r="AP46" s="52">
        <f t="shared" si="145"/>
        <v>8</v>
      </c>
      <c r="AQ46" s="52">
        <f t="shared" si="145"/>
        <v>8</v>
      </c>
      <c r="AR46" s="52">
        <f t="shared" si="145"/>
        <v>0</v>
      </c>
      <c r="AS46" s="52">
        <f t="shared" si="145"/>
        <v>0</v>
      </c>
      <c r="AT46" s="52">
        <f t="shared" si="138"/>
        <v>24</v>
      </c>
      <c r="AU46" s="51"/>
      <c r="AV46" s="52">
        <f>IF(AV43="Matin",8,IF(AV43="AM",8,IF(AV43="nuit",8,0)))</f>
        <v>8</v>
      </c>
      <c r="AW46" s="52">
        <f t="shared" ref="AW46" si="146">IF(AW43="Matin",8,IF(AW43="AM",8,IF(AW43="nuit",8,0)))</f>
        <v>8</v>
      </c>
      <c r="AX46" s="52">
        <f t="shared" si="128"/>
        <v>16</v>
      </c>
      <c r="AY46" s="52">
        <f t="shared" si="140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3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3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0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0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3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3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5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5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0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0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5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5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0.16</v>
      </c>
      <c r="AE55" s="49">
        <f>IF(AE43="nuit",AE46*0.02,0)</f>
        <v>0.16</v>
      </c>
      <c r="AF55" s="49">
        <f t="shared" ref="AF55:AJ55" si="156">IF(AF43="nuit",AF46*0.02,0)</f>
        <v>0.16</v>
      </c>
      <c r="AG55" s="49">
        <f t="shared" si="156"/>
        <v>0.16</v>
      </c>
      <c r="AH55" s="49">
        <f>IF(AH43="nuit",AH46*0.02,0)</f>
        <v>0.16</v>
      </c>
      <c r="AI55" s="49">
        <f t="shared" si="156"/>
        <v>0</v>
      </c>
      <c r="AJ55" s="49">
        <f t="shared" si="156"/>
        <v>0</v>
      </c>
      <c r="AK55" s="52">
        <f t="shared" si="136"/>
        <v>0.8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">
      <c r="A58" s="16"/>
      <c r="B58" s="16"/>
      <c r="C58" s="19" t="s">
        <v>15</v>
      </c>
      <c r="D58" s="19"/>
      <c r="E58" s="19"/>
      <c r="F58" s="19"/>
      <c r="G58" s="19"/>
      <c r="H58" s="101">
        <f>Année_Calendaire</f>
        <v>2020</v>
      </c>
      <c r="I58" s="101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1">
        <f>Année_Calendaire</f>
        <v>2020</v>
      </c>
      <c r="AA58" s="101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1">
        <f>Année_Calendaire</f>
        <v>2020</v>
      </c>
      <c r="AS58" s="101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C4</v>
      </c>
      <c r="C59" s="91" t="str">
        <f>IF(C60&lt;&gt;"","Lun","")</f>
        <v/>
      </c>
      <c r="D59" s="91" t="str">
        <f>IF(D60&lt;&gt;"","Mar","")</f>
        <v/>
      </c>
      <c r="E59" s="91" t="str">
        <f>IF(E60&lt;&gt;"","Mer","")</f>
        <v>Mer</v>
      </c>
      <c r="F59" s="91" t="str">
        <f>IF(F60&lt;&gt;"","Jeu","")</f>
        <v>Jeu</v>
      </c>
      <c r="G59" s="91" t="str">
        <f>IF(G60&lt;&gt;"","Ven","")</f>
        <v>Ven</v>
      </c>
      <c r="H59" s="91" t="str">
        <f>IF(H60&lt;&gt;"","Sam","")</f>
        <v>Sam</v>
      </c>
      <c r="I59" s="91" t="str">
        <f>IF(I60&lt;&gt;"","Dim","")</f>
        <v>Dim</v>
      </c>
      <c r="J59" s="102" t="s">
        <v>25</v>
      </c>
      <c r="K59" s="55" t="str">
        <f>IF(L59="",LEFT(B59)&amp;MOD(RIGHT(B59),5),LEFT(B59)&amp;MOD(RIGHT(B59),4)+1)</f>
        <v>C1</v>
      </c>
      <c r="L59" s="91" t="str">
        <f>IF(L60&lt;&gt;"","Lun","")</f>
        <v>Lun</v>
      </c>
      <c r="M59" s="91" t="str">
        <f>IF(M60&lt;&gt;"","Mar","")</f>
        <v>Mar</v>
      </c>
      <c r="N59" s="91" t="str">
        <f>IF(N60&lt;&gt;"","Mer","")</f>
        <v>Mer</v>
      </c>
      <c r="O59" s="91" t="str">
        <f>IF(O60&lt;&gt;"","Jeu","")</f>
        <v>Jeu</v>
      </c>
      <c r="P59" s="91" t="str">
        <f>IF(P60&lt;&gt;"","Ven","")</f>
        <v>Ven</v>
      </c>
      <c r="Q59" s="91" t="str">
        <f>IF(Q60&lt;&gt;"","Sam","")</f>
        <v>Sam</v>
      </c>
      <c r="R59" s="91" t="str">
        <f>IF(R60&lt;&gt;"","Dim","")</f>
        <v>Dim</v>
      </c>
      <c r="S59" s="102" t="s">
        <v>25</v>
      </c>
      <c r="T59" s="55" t="str">
        <f>IF(U59="",LEFT(K59)&amp;MOD(RIGHT(K59),5),LEFT(K59)&amp;MOD(RIGHT(K59),4)+1)</f>
        <v>C2</v>
      </c>
      <c r="U59" s="91" t="str">
        <f>IF(U60&lt;&gt;"","Lun","")</f>
        <v>Lun</v>
      </c>
      <c r="V59" s="91" t="str">
        <f>IF(V60&lt;&gt;"","Mar","")</f>
        <v>Mar</v>
      </c>
      <c r="W59" s="91" t="str">
        <f>IF(W60&lt;&gt;"","Mer","")</f>
        <v>Mer</v>
      </c>
      <c r="X59" s="91" t="str">
        <f>IF(X60&lt;&gt;"","Jeu","")</f>
        <v>Jeu</v>
      </c>
      <c r="Y59" s="91" t="str">
        <f>IF(Y60&lt;&gt;"","Ven","")</f>
        <v>Ven</v>
      </c>
      <c r="Z59" s="91" t="str">
        <f>IF(Z60&lt;&gt;"","Sam","")</f>
        <v>Sam</v>
      </c>
      <c r="AA59" s="91" t="str">
        <f>IF(AA60&lt;&gt;"","Dim","")</f>
        <v>Dim</v>
      </c>
      <c r="AB59" s="102" t="s">
        <v>25</v>
      </c>
      <c r="AC59" s="55" t="str">
        <f>IF(AD59="",LEFT(T59)&amp;MOD(RIGHT(T59),5),LEFT(T59)&amp;MOD(RIGHT(T59),4)+1)</f>
        <v>C3</v>
      </c>
      <c r="AD59" s="91" t="str">
        <f>IF(AD60&lt;&gt;"","Lun","")</f>
        <v>Lun</v>
      </c>
      <c r="AE59" s="91" t="str">
        <f>IF(AE60&lt;&gt;"","Mar","")</f>
        <v>Mar</v>
      </c>
      <c r="AF59" s="91" t="str">
        <f>IF(AF60&lt;&gt;"","Mer","")</f>
        <v>Mer</v>
      </c>
      <c r="AG59" s="91" t="str">
        <f>IF(AG60&lt;&gt;"","Jeu","")</f>
        <v>Jeu</v>
      </c>
      <c r="AH59" s="91" t="str">
        <f>IF(AH60&lt;&gt;"","Ven","")</f>
        <v>Ven</v>
      </c>
      <c r="AI59" s="91" t="str">
        <f>IF(AI60&lt;&gt;"","Sam","")</f>
        <v>Sam</v>
      </c>
      <c r="AJ59" s="91" t="str">
        <f>IF(AJ60&lt;&gt;"","Dim","")</f>
        <v>Dim</v>
      </c>
      <c r="AK59" s="102" t="s">
        <v>25</v>
      </c>
      <c r="AL59" s="55" t="str">
        <f>IF(AM59="",LEFT(AC59)&amp;MOD(RIGHT(AC59),5),LEFT(AC59)&amp;MOD(RIGHT(AC59),4)+1)</f>
        <v>C4</v>
      </c>
      <c r="AM59" s="91" t="str">
        <f>IF(AM60&lt;&gt;"","Lun","")</f>
        <v>Lun</v>
      </c>
      <c r="AN59" s="91" t="str">
        <f>IF(AN60&lt;&gt;"","Mar","")</f>
        <v>Mar</v>
      </c>
      <c r="AO59" s="91" t="str">
        <f>IF(AO60&lt;&gt;"","Mer","")</f>
        <v>Mer</v>
      </c>
      <c r="AP59" s="91" t="str">
        <f>IF(AP60&lt;&gt;"","Jeu","")</f>
        <v>Jeu</v>
      </c>
      <c r="AQ59" s="91" t="str">
        <f>IF(AQ60&lt;&gt;"","Ven","")</f>
        <v/>
      </c>
      <c r="AR59" s="91" t="str">
        <f>IF(AR60&lt;&gt;"","Sam","")</f>
        <v/>
      </c>
      <c r="AS59" s="91" t="str">
        <f>IF(AS60&lt;&gt;"","Dim","")</f>
        <v/>
      </c>
      <c r="AT59" s="102" t="s">
        <v>25</v>
      </c>
      <c r="AU59" s="55" t="str">
        <f>IF(AV59="",LEFT(AL59)&amp;MOD(RIGHT(AL59),5),LEFT(AL59)&amp;MOD(RIGHT(AL59),4)+1)</f>
        <v>C4</v>
      </c>
      <c r="AV59" s="53" t="str">
        <f>IF(AV60&lt;&gt;"","Lun","")</f>
        <v/>
      </c>
      <c r="AW59" s="53" t="str">
        <f>IF(AW60&lt;&gt;"","Mar","")</f>
        <v/>
      </c>
      <c r="AX59" s="102" t="s">
        <v>25</v>
      </c>
      <c r="AY59" s="102" t="s">
        <v>28</v>
      </c>
      <c r="AZ59" s="103">
        <f>AY66+AY67+AY68</f>
        <v>5</v>
      </c>
      <c r="BA59" s="103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90" t="str">
        <f>IF(DAY(Avr_Dim1)=1,"",IF(AND(YEAR(Avr_Dim1+1)=Année_Calendaire,MONTH(Avr_Dim1+1)=4),Avr_Dim1+1,""))</f>
        <v/>
      </c>
      <c r="D60" s="90" t="str">
        <f>IF(DAY(Avr_Dim1)=1,"",IF(AND(YEAR(Avr_Dim1+2)=Année_Calendaire,MONTH(Avr_Dim1+2)=4),Avr_Dim1+2,""))</f>
        <v/>
      </c>
      <c r="E60" s="90">
        <f>IF(DAY(Avr_Dim1)=1,"",IF(AND(YEAR(Avr_Dim1+3)=Année_Calendaire,MONTH(Avr_Dim1+3)=4),Avr_Dim1+3,""))</f>
        <v>43922</v>
      </c>
      <c r="F60" s="90">
        <f>IF(DAY(Avr_Dim1)=1,"",IF(AND(YEAR(Avr_Dim1+4)=Année_Calendaire,MONTH(Avr_Dim1+4)=4),Avr_Dim1+4,""))</f>
        <v>43923</v>
      </c>
      <c r="G60" s="90">
        <f>IF(DAY(Avr_Dim1)=1,"",IF(AND(YEAR(Avr_Dim1+5)=Année_Calendaire,MONTH(Avr_Dim1+5)=4),Avr_Dim1+5,""))</f>
        <v>43924</v>
      </c>
      <c r="H60" s="90">
        <f>IF(DAY(Avr_Dim1)=1,"",IF(AND(YEAR(Avr_Dim1+6)=Année_Calendaire,MONTH(Avr_Dim1+6)=4),Avr_Dim1+6,""))</f>
        <v>43925</v>
      </c>
      <c r="I60" s="90">
        <f>IF(DAY(Avr_Dim1)=1,IF(AND(YEAR(Avr_Dim1)=Année_Calendaire,MONTH(Avr_Dim1)=4),Avr_Dim1,""),IF(AND(YEAR(Avr_Dim1+7)=Année_Calendaire,MONTH(Avr_Dim1+7)=4),Avr_Dim1+7,""))</f>
        <v>43926</v>
      </c>
      <c r="J60" s="102"/>
      <c r="K60" s="54"/>
      <c r="L60" s="93">
        <f>IF(DAY(Avr_Dim1)=1,IF(AND(YEAR(Avr_Dim1+1)=Année_Calendaire,MONTH(Avr_Dim1+1)=4),Avr_Dim1+1,""),IF(AND(YEAR(Avr_Dim1+8)=Année_Calendaire,MONTH(Avr_Dim1+8)=4),Avr_Dim1+8,""))</f>
        <v>43927</v>
      </c>
      <c r="M60" s="90">
        <f>IF(DAY(Avr_Dim1)=1,IF(AND(YEAR(Avr_Dim1+2)=Année_Calendaire,MONTH(Avr_Dim1+2)=4),Avr_Dim1+2,""),IF(AND(YEAR(Avr_Dim1+9)=Année_Calendaire,MONTH(Avr_Dim1+9)=4),Avr_Dim1+9,""))</f>
        <v>43928</v>
      </c>
      <c r="N60" s="90">
        <f>IF(DAY(Avr_Dim1)=1,IF(AND(YEAR(Avr_Dim1+3)=Année_Calendaire,MONTH(Avr_Dim1+3)=4),Avr_Dim1+3,""),IF(AND(YEAR(Avr_Dim1+10)=Année_Calendaire,MONTH(Avr_Dim1+10)=4),Avr_Dim1+10,""))</f>
        <v>43929</v>
      </c>
      <c r="O60" s="90">
        <f>IF(DAY(Avr_Dim1)=1,IF(AND(YEAR(Avr_Dim1+4)=Année_Calendaire,MONTH(Avr_Dim1+4)=4),Avr_Dim1+4,""),IF(AND(YEAR(Avr_Dim1+11)=Année_Calendaire,MONTH(Avr_Dim1+11)=4),Avr_Dim1+11,""))</f>
        <v>43930</v>
      </c>
      <c r="P60" s="90">
        <f>IF(DAY(Avr_Dim1)=1,IF(AND(YEAR(Avr_Dim1+5)=Année_Calendaire,MONTH(Avr_Dim1+5)=4),Avr_Dim1+5,""),IF(AND(YEAR(Avr_Dim1+12)=Année_Calendaire,MONTH(Avr_Dim1+12)=4),Avr_Dim1+12,""))</f>
        <v>43931</v>
      </c>
      <c r="Q60" s="90">
        <f>IF(DAY(Avr_Dim1)=1,IF(AND(YEAR(Avr_Dim1+6)=Année_Calendaire,MONTH(Avr_Dim1+6)=4),Avr_Dim1+6,""),IF(AND(YEAR(Avr_Dim1+13)=Année_Calendaire,MONTH(Avr_Dim1+13)=4),Avr_Dim1+13,""))</f>
        <v>43932</v>
      </c>
      <c r="R60" s="90">
        <f>IF(DAY(Avr_Dim1)=1,IF(AND(YEAR(Avr_Dim1+7)=Année_Calendaire,MONTH(Avr_Dim1+7)=4),Avr_Dim1+7,""),IF(AND(YEAR(Avr_Dim1+14)=Année_Calendaire,MONTH(Avr_Dim1+14)=4),Avr_Dim1+14,""))</f>
        <v>43933</v>
      </c>
      <c r="S60" s="102"/>
      <c r="T60" s="54"/>
      <c r="U60" s="90">
        <f>IF(DAY(Avr_Dim1)=1,IF(AND(YEAR(Avr_Dim1+8)=Année_Calendaire,MONTH(Avr_Dim1+8)=4),Avr_Dim1+8,""),IF(AND(YEAR(Avr_Dim1+15)=Année_Calendaire,MONTH(Avr_Dim1+15)=4),Avr_Dim1+15,""))</f>
        <v>43934</v>
      </c>
      <c r="V60" s="90">
        <f>IF(DAY(Avr_Dim1)=1,IF(AND(YEAR(Avr_Dim1+9)=Année_Calendaire,MONTH(Avr_Dim1+9)=4),Avr_Dim1+9,""),IF(AND(YEAR(Avr_Dim1+16)=Année_Calendaire,MONTH(Avr_Dim1+16)=4),Avr_Dim1+16,""))</f>
        <v>43935</v>
      </c>
      <c r="W60" s="90">
        <f>IF(DAY(Avr_Dim1)=1,IF(AND(YEAR(Avr_Dim1+10)=Année_Calendaire,MONTH(Avr_Dim1+10)=4),Avr_Dim1+10,""),IF(AND(YEAR(Avr_Dim1+17)=Année_Calendaire,MONTH(Avr_Dim1+17)=4),Avr_Dim1+17,""))</f>
        <v>43936</v>
      </c>
      <c r="X60" s="90">
        <f>IF(DAY(Avr_Dim1)=1,IF(AND(YEAR(Avr_Dim1+11)=Année_Calendaire,MONTH(Avr_Dim1+11)=4),Avr_Dim1+11,""),IF(AND(YEAR(Avr_Dim1+18)=Année_Calendaire,MONTH(Avr_Dim1+18)=4),Avr_Dim1+18,""))</f>
        <v>43937</v>
      </c>
      <c r="Y60" s="90">
        <f>IF(DAY(Avr_Dim1)=1,IF(AND(YEAR(Avr_Dim1+12)=Année_Calendaire,MONTH(Avr_Dim1+12)=4),Avr_Dim1+12,""),IF(AND(YEAR(Avr_Dim1+19)=Année_Calendaire,MONTH(Avr_Dim1+19)=4),Avr_Dim1+19,""))</f>
        <v>43938</v>
      </c>
      <c r="Z60" s="90">
        <f>IF(DAY(Avr_Dim1)=1,IF(AND(YEAR(Avr_Dim1+13)=Année_Calendaire,MONTH(Avr_Dim1+13)=4),Avr_Dim1+13,""),IF(AND(YEAR(Avr_Dim1+20)=Année_Calendaire,MONTH(Avr_Dim1+20)=4),Avr_Dim1+20,""))</f>
        <v>43939</v>
      </c>
      <c r="AA60" s="90">
        <f>IF(DAY(Avr_Dim1)=1,IF(AND(YEAR(Avr_Dim1+14)=Année_Calendaire,MONTH(Avr_Dim1+14)=4),Avr_Dim1+14,""),IF(AND(YEAR(Avr_Dim1+21)=Année_Calendaire,MONTH(Avr_Dim1+21)=4),Avr_Dim1+21,""))</f>
        <v>43940</v>
      </c>
      <c r="AB60" s="102"/>
      <c r="AC60" s="54"/>
      <c r="AD60" s="90">
        <f>IF(DAY(Avr_Dim1)=1,IF(AND(YEAR(Avr_Dim1+15)=Année_Calendaire,MONTH(Avr_Dim1+15)=4),Avr_Dim1+15,""),IF(AND(YEAR(Avr_Dim1+22)=Année_Calendaire,MONTH(Avr_Dim1+22)=4),Avr_Dim1+22,""))</f>
        <v>43941</v>
      </c>
      <c r="AE60" s="90">
        <f>IF(DAY(Avr_Dim1)=1,IF(AND(YEAR(Avr_Dim1+16)=Année_Calendaire,MONTH(Avr_Dim1+16)=4),Avr_Dim1+16,""),IF(AND(YEAR(Avr_Dim1+23)=Année_Calendaire,MONTH(Avr_Dim1+23)=4),Avr_Dim1+23,""))</f>
        <v>43942</v>
      </c>
      <c r="AF60" s="90">
        <f>IF(DAY(Avr_Dim1)=1,IF(AND(YEAR(Avr_Dim1+17)=Année_Calendaire,MONTH(Avr_Dim1+17)=4),Avr_Dim1+17,""),IF(AND(YEAR(Avr_Dim1+24)=Année_Calendaire,MONTH(Avr_Dim1+24)=4),Avr_Dim1+24,""))</f>
        <v>43943</v>
      </c>
      <c r="AG60" s="90">
        <f>IF(DAY(Avr_Dim1)=1,IF(AND(YEAR(Avr_Dim1+18)=Année_Calendaire,MONTH(Avr_Dim1+18)=4),Avr_Dim1+18,""),IF(AND(YEAR(Avr_Dim1+25)=Année_Calendaire,MONTH(Avr_Dim1+25)=4),Avr_Dim1+25,""))</f>
        <v>43944</v>
      </c>
      <c r="AH60" s="90">
        <f>IF(DAY(Avr_Dim1)=1,IF(AND(YEAR(Avr_Dim1+19)=Année_Calendaire,MONTH(Avr_Dim1+19)=4),Avr_Dim1+19,""),IF(AND(YEAR(Avr_Dim1+26)=Année_Calendaire,MONTH(Avr_Dim1+26)=4),Avr_Dim1+26,""))</f>
        <v>43945</v>
      </c>
      <c r="AI60" s="90">
        <f>IF(DAY(Avr_Dim1)=1,IF(AND(YEAR(Avr_Dim1+20)=Année_Calendaire,MONTH(Avr_Dim1+20)=4),Avr_Dim1+20,""),IF(AND(YEAR(Avr_Dim1+27)=Année_Calendaire,MONTH(Avr_Dim1+27)=4),Avr_Dim1+27,""))</f>
        <v>43946</v>
      </c>
      <c r="AJ60" s="90">
        <f>IF(DAY(Avr_Dim1)=1,IF(AND(YEAR(Avr_Dim1+21)=Année_Calendaire,MONTH(Avr_Dim1+21)=4),Avr_Dim1+21,""),IF(AND(YEAR(Avr_Dim1+28)=Année_Calendaire,MONTH(Avr_Dim1+28)=4),Avr_Dim1+28,""))</f>
        <v>43947</v>
      </c>
      <c r="AK60" s="102"/>
      <c r="AL60" s="54"/>
      <c r="AM60" s="90">
        <f>IF(DAY(Avr_Dim1)=1,IF(AND(YEAR(Avr_Dim1+22)=Année_Calendaire,MONTH(Avr_Dim1+22)=4),Avr_Dim1+22,""),IF(AND(YEAR(Avr_Dim1+29)=Année_Calendaire,MONTH(Avr_Dim1+29)=4),Avr_Dim1+29,""))</f>
        <v>43948</v>
      </c>
      <c r="AN60" s="90">
        <f>IF(DAY(Avr_Dim1)=1,IF(AND(YEAR(Avr_Dim1+23)=Année_Calendaire,MONTH(Avr_Dim1+23)=4),Avr_Dim1+23,""),IF(AND(YEAR(Avr_Dim1+30)=Année_Calendaire,MONTH(Avr_Dim1+30)=4),Avr_Dim1+30,""))</f>
        <v>43949</v>
      </c>
      <c r="AO60" s="90">
        <f>IF(DAY(Avr_Dim1)=1,IF(AND(YEAR(Avr_Dim1+24)=Année_Calendaire,MONTH(Avr_Dim1+24)=4),Avr_Dim1+24,""),IF(AND(YEAR(Avr_Dim1+31)=Année_Calendaire,MONTH(Avr_Dim1+31)=4),Avr_Dim1+31,""))</f>
        <v>43950</v>
      </c>
      <c r="AP60" s="90">
        <f>IF(DAY(Avr_Dim1)=1,IF(AND(YEAR(Avr_Dim1+25)=Année_Calendaire,MONTH(Avr_Dim1+25)=4),Avr_Dim1+25,""),IF(AND(YEAR(Avr_Dim1+32)=Année_Calendaire,MONTH(Avr_Dim1+32)=4),Avr_Dim1+32,""))</f>
        <v>43951</v>
      </c>
      <c r="AQ60" s="90" t="str">
        <f>IF(DAY(Avr_Dim1)=1,IF(AND(YEAR(Avr_Dim1+26)=Année_Calendaire,MONTH(Avr_Dim1+26)=4),Avr_Dim1+26,""),IF(AND(YEAR(Avr_Dim1+33)=Année_Calendaire,MONTH(Avr_Dim1+33)=4),Avr_Dim1+33,""))</f>
        <v/>
      </c>
      <c r="AR60" s="90" t="str">
        <f>IF(DAY(Avr_Dim1)=1,IF(AND(YEAR(Avr_Dim1+27)=Année_Calendaire,MONTH(Avr_Dim1+27)=4),Avr_Dim1+27,""),IF(AND(YEAR(Avr_Dim1+34)=Année_Calendaire,MONTH(Avr_Dim1+34)=4),Avr_Dim1+34,""))</f>
        <v/>
      </c>
      <c r="AS60" s="90" t="str">
        <f>IF(DAY(Avr_Dim1)=1,IF(AND(YEAR(Avr_Dim1+28)=Année_Calendaire,MONTH(Avr_Dim1+28)=4),Avr_Dim1+28,""),IF(AND(YEAR(Avr_Dim1+35)=Année_Calendaire,MONTH(Avr_Dim1+35)=4),Avr_Dim1+35,""))</f>
        <v/>
      </c>
      <c r="AT60" s="102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102"/>
      <c r="AY60" s="102"/>
      <c r="AZ60" s="103"/>
      <c r="BA60" s="103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>am</v>
      </c>
      <c r="F61" s="49" t="str">
        <f>IF(F60="","",IFERROR(VLOOKUP(B59,DATA!$A:$H,5,TRUE),0))</f>
        <v>am</v>
      </c>
      <c r="G61" s="49" t="str">
        <f>IF(G60="","",IFERROR(VLOOKUP(B59,DATA!$A:$H,6,TRUE),0))</f>
        <v>am</v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 t="str">
        <f>IF(M60="","",IFERROR(VLOOKUP(K59,DATA!$A:$H,3,TRUE),0))</f>
        <v>matin</v>
      </c>
      <c r="N61" s="49" t="str">
        <f>IF(N60="","",IFERROR(VLOOKUP(K59,DATA!$A:$H,4,TRUE),0))</f>
        <v>matin</v>
      </c>
      <c r="O61" s="49">
        <f>IF(O60="","",IFERROR(VLOOKUP(K59,DATA!$A:$H,5,TRUE),0))</f>
        <v>0</v>
      </c>
      <c r="P61" s="49">
        <f>IF(P60="","",IFERROR(VLOOKUP(K59,DATA!$A:$H,6,TRUE),0))</f>
        <v>0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nuit</v>
      </c>
      <c r="V61" s="49" t="str">
        <f>IF(V60="","",IFERROR(VLOOKUP(T59,DATA!$A:$H,3,TRUE),0))</f>
        <v>nuit</v>
      </c>
      <c r="W61" s="49" t="str">
        <f>IF(W60="","",IFERROR(VLOOKUP(T59,DATA!$A:$H,4,TRUE),0))</f>
        <v>nuit</v>
      </c>
      <c r="X61" s="49" t="str">
        <f>IF(X60="","",IFERROR(VLOOKUP(T59,DATA!$A:$H,5,TRUE),0))</f>
        <v>nuit</v>
      </c>
      <c r="Y61" s="49" t="str">
        <f>IF(Y60="","",IFERROR(VLOOKUP(T59,DATA!$A:$H,6,TRUE),0))</f>
        <v>nuit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>
        <f>IF(AE60="","",IFERROR(VLOOKUP(AC59,DATA!$A:$H,3,TRUE),0))</f>
        <v>0</v>
      </c>
      <c r="AF61" s="49">
        <f>IF(AF60="","",IFERROR(VLOOKUP(AC59,DATA!$A:$H,4,TRUE),0))</f>
        <v>0</v>
      </c>
      <c r="AG61" s="49" t="str">
        <f>IF(AG60="","",IFERROR(VLOOKUP(AC59,DATA!$A:$H,5,TRUE),0))</f>
        <v>matin</v>
      </c>
      <c r="AH61" s="49" t="str">
        <f>IF(AH60="","",IFERROR(VLOOKUP(AC59,DATA!$A:$H,6,TRUE),0))</f>
        <v>matin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am</v>
      </c>
      <c r="AN61" s="49" t="str">
        <f>IF(AN60="","",IFERROR(VLOOKUP(AL59,DATA!$A:$H,3,TRUE),0))</f>
        <v>am</v>
      </c>
      <c r="AO61" s="49" t="str">
        <f>IF(AO60="","",IFERROR(VLOOKUP(AL59,DATA!$A:$H,4,TRUE),0))</f>
        <v>am</v>
      </c>
      <c r="AP61" s="49" t="str">
        <f>IF(AP60="","",IFERROR(VLOOKUP(AL59,DATA!$A:$H,5,TRUE),0))</f>
        <v>am</v>
      </c>
      <c r="AQ61" s="49" t="str">
        <f>IF(AQ60="","",IFERROR(VLOOKUP(AL59,DATA!$A:$H,6,TRUE),0))</f>
        <v/>
      </c>
      <c r="AR61" s="49" t="str">
        <f>IF(AR60="","",IFERROR(VLOOKUP(AL59,DATA!$A:$H,7,TRUE),0))</f>
        <v/>
      </c>
      <c r="AS61" s="49" t="str">
        <f>IF(AS60="","",IFERROR(VLOOKUP(AL59,DATA!$A:$H,8,TRUE),0))</f>
        <v/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1</v>
      </c>
      <c r="F62" s="52">
        <f t="shared" si="158"/>
        <v>1</v>
      </c>
      <c r="G62" s="52">
        <f t="shared" si="158"/>
        <v>1</v>
      </c>
      <c r="H62" s="52">
        <f t="shared" si="158"/>
        <v>0</v>
      </c>
      <c r="I62" s="52">
        <f t="shared" si="158"/>
        <v>0</v>
      </c>
      <c r="J62" s="52">
        <f>SUM(C62:I62)</f>
        <v>3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0</v>
      </c>
      <c r="P62" s="52">
        <f t="shared" si="159"/>
        <v>0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0</v>
      </c>
      <c r="V62" s="52">
        <f t="shared" si="160"/>
        <v>0</v>
      </c>
      <c r="W62" s="52">
        <f t="shared" si="160"/>
        <v>0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0</v>
      </c>
      <c r="AC62" s="51"/>
      <c r="AD62" s="52">
        <f t="shared" ref="AD62:AJ62" si="161">IF(AD61="Matin",1,IF(AD61="AM",1,0))</f>
        <v>1</v>
      </c>
      <c r="AE62" s="52">
        <f t="shared" si="161"/>
        <v>0</v>
      </c>
      <c r="AF62" s="52">
        <f t="shared" si="161"/>
        <v>0</v>
      </c>
      <c r="AG62" s="52">
        <f t="shared" si="161"/>
        <v>1</v>
      </c>
      <c r="AH62" s="52">
        <f t="shared" si="161"/>
        <v>1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1</v>
      </c>
      <c r="AN62" s="52">
        <f t="shared" si="162"/>
        <v>1</v>
      </c>
      <c r="AO62" s="52">
        <f t="shared" si="162"/>
        <v>1</v>
      </c>
      <c r="AP62" s="52">
        <f t="shared" si="162"/>
        <v>1</v>
      </c>
      <c r="AQ62" s="52">
        <f t="shared" si="162"/>
        <v>0</v>
      </c>
      <c r="AR62" s="52">
        <f t="shared" si="162"/>
        <v>0</v>
      </c>
      <c r="AS62" s="52">
        <f t="shared" si="162"/>
        <v>0</v>
      </c>
      <c r="AT62" s="52">
        <f>SUM(AM62:AS62)</f>
        <v>4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13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1</v>
      </c>
      <c r="F63" s="49">
        <f t="shared" si="165"/>
        <v>1</v>
      </c>
      <c r="G63" s="49">
        <f t="shared" si="165"/>
        <v>1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3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0</v>
      </c>
      <c r="P63" s="49">
        <f t="shared" si="167"/>
        <v>0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0</v>
      </c>
      <c r="AF63" s="49">
        <f t="shared" si="171"/>
        <v>0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0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4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18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8</v>
      </c>
      <c r="F64" s="52">
        <f t="shared" si="177"/>
        <v>8</v>
      </c>
      <c r="G64" s="52">
        <f t="shared" si="177"/>
        <v>8</v>
      </c>
      <c r="H64" s="52">
        <f t="shared" si="177"/>
        <v>0</v>
      </c>
      <c r="I64" s="52">
        <f t="shared" si="177"/>
        <v>0</v>
      </c>
      <c r="J64" s="52">
        <f t="shared" si="166"/>
        <v>24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0</v>
      </c>
      <c r="P64" s="52">
        <f t="shared" si="178"/>
        <v>0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0</v>
      </c>
      <c r="AF64" s="52">
        <f t="shared" si="180"/>
        <v>0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0</v>
      </c>
      <c r="AR64" s="52">
        <f t="shared" si="181"/>
        <v>0</v>
      </c>
      <c r="AS64" s="52">
        <f t="shared" si="181"/>
        <v>0</v>
      </c>
      <c r="AT64" s="52">
        <f t="shared" si="174"/>
        <v>32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144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0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0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3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0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0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5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0.16</v>
      </c>
      <c r="V73" s="49">
        <f>IF(V61="nuit",V64*0.02,0)</f>
        <v>0.16</v>
      </c>
      <c r="W73" s="49">
        <f t="shared" ref="W73:AA73" si="192">IF(W61="nuit",W64*0.02,0)</f>
        <v>0.16</v>
      </c>
      <c r="X73" s="49">
        <f t="shared" si="192"/>
        <v>0.16</v>
      </c>
      <c r="Y73" s="49">
        <f>IF(Y61="nuit",Y64*0.02,0)</f>
        <v>0.16</v>
      </c>
      <c r="Z73" s="49">
        <f t="shared" si="192"/>
        <v>0</v>
      </c>
      <c r="AA73" s="49">
        <f t="shared" si="192"/>
        <v>0</v>
      </c>
      <c r="AB73" s="52">
        <f t="shared" si="170"/>
        <v>0.8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">
      <c r="A76" s="16"/>
      <c r="B76" s="16"/>
      <c r="C76" s="19" t="s">
        <v>16</v>
      </c>
      <c r="D76" s="19"/>
      <c r="E76" s="19"/>
      <c r="F76" s="19"/>
      <c r="G76" s="19"/>
      <c r="H76" s="101">
        <f>Année_Calendaire</f>
        <v>2020</v>
      </c>
      <c r="I76" s="101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1">
        <f>Année_Calendaire</f>
        <v>2020</v>
      </c>
      <c r="AA76" s="101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1">
        <f>Année_Calendaire</f>
        <v>2020</v>
      </c>
      <c r="AS76" s="101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C4</v>
      </c>
      <c r="C77" s="91" t="str">
        <f>IF(C78&lt;&gt;"","Lun","")</f>
        <v/>
      </c>
      <c r="D77" s="91" t="str">
        <f>IF(D78&lt;&gt;"","Mar","")</f>
        <v/>
      </c>
      <c r="E77" s="91" t="str">
        <f>IF(E78&lt;&gt;"","Mer","")</f>
        <v/>
      </c>
      <c r="F77" s="91" t="str">
        <f>IF(F78&lt;&gt;"","Jeu","")</f>
        <v/>
      </c>
      <c r="G77" s="91" t="str">
        <f>IF(G78&lt;&gt;"","Ven","")</f>
        <v>Ven</v>
      </c>
      <c r="H77" s="91" t="str">
        <f>IF(H78&lt;&gt;"","Sam","")</f>
        <v>Sam</v>
      </c>
      <c r="I77" s="91" t="str">
        <f>IF(I78&lt;&gt;"","Dim","")</f>
        <v>Dim</v>
      </c>
      <c r="J77" s="102" t="s">
        <v>25</v>
      </c>
      <c r="K77" s="55" t="str">
        <f>IF(L77="",LEFT(B77)&amp;MOD(RIGHT(B77),5),LEFT(B77)&amp;MOD(RIGHT(B77),4)+1)</f>
        <v>C1</v>
      </c>
      <c r="L77" s="91" t="str">
        <f>IF(L78&lt;&gt;"","Lun","")</f>
        <v>Lun</v>
      </c>
      <c r="M77" s="91" t="str">
        <f>IF(M78&lt;&gt;"","Mar","")</f>
        <v>Mar</v>
      </c>
      <c r="N77" s="92" t="str">
        <f>IF(N78&lt;&gt;"","Mer","")</f>
        <v>Mer</v>
      </c>
      <c r="O77" s="91" t="str">
        <f>IF(O78&lt;&gt;"","Jeu","")</f>
        <v>Jeu</v>
      </c>
      <c r="P77" s="91" t="str">
        <f>IF(P78&lt;&gt;"","Ven","")</f>
        <v>Ven</v>
      </c>
      <c r="Q77" s="91" t="str">
        <f>IF(Q78&lt;&gt;"","Sam","")</f>
        <v>Sam</v>
      </c>
      <c r="R77" s="91" t="str">
        <f>IF(R78&lt;&gt;"","Dim","")</f>
        <v>Dim</v>
      </c>
      <c r="S77" s="102" t="s">
        <v>25</v>
      </c>
      <c r="T77" s="55" t="str">
        <f>IF(U77="",LEFT(K77)&amp;MOD(RIGHT(K77),5),LEFT(K77)&amp;MOD(RIGHT(K77),4)+1)</f>
        <v>C2</v>
      </c>
      <c r="U77" s="91" t="str">
        <f>IF(U78&lt;&gt;"","Lun","")</f>
        <v>Lun</v>
      </c>
      <c r="V77" s="91" t="str">
        <f>IF(V78&lt;&gt;"","Mar","")</f>
        <v>Mar</v>
      </c>
      <c r="W77" s="91" t="str">
        <f>IF(W78&lt;&gt;"","Mer","")</f>
        <v>Mer</v>
      </c>
      <c r="X77" s="91" t="str">
        <f>IF(X78&lt;&gt;"","Jeu","")</f>
        <v>Jeu</v>
      </c>
      <c r="Y77" s="91" t="str">
        <f>IF(Y78&lt;&gt;"","Ven","")</f>
        <v>Ven</v>
      </c>
      <c r="Z77" s="91" t="str">
        <f>IF(Z78&lt;&gt;"","Sam","")</f>
        <v>Sam</v>
      </c>
      <c r="AA77" s="91" t="str">
        <f>IF(AA78&lt;&gt;"","Dim","")</f>
        <v>Dim</v>
      </c>
      <c r="AB77" s="102" t="s">
        <v>25</v>
      </c>
      <c r="AC77" s="55" t="str">
        <f>IF(AD77="",LEFT(T77)&amp;MOD(RIGHT(T77),5),LEFT(T77)&amp;MOD(RIGHT(T77),4)+1)</f>
        <v>C3</v>
      </c>
      <c r="AD77" s="91" t="str">
        <f>IF(AD78&lt;&gt;"","Lun","")</f>
        <v>Lun</v>
      </c>
      <c r="AE77" s="91" t="str">
        <f>IF(AE78&lt;&gt;"","Mar","")</f>
        <v>Mar</v>
      </c>
      <c r="AF77" s="91" t="str">
        <f>IF(AF78&lt;&gt;"","Mer","")</f>
        <v>Mer</v>
      </c>
      <c r="AG77" s="91" t="str">
        <f>IF(AG78&lt;&gt;"","Jeu","")</f>
        <v>Jeu</v>
      </c>
      <c r="AH77" s="91" t="str">
        <f>IF(AH78&lt;&gt;"","Ven","")</f>
        <v>Ven</v>
      </c>
      <c r="AI77" s="91" t="str">
        <f>IF(AI78&lt;&gt;"","Sam","")</f>
        <v>Sam</v>
      </c>
      <c r="AJ77" s="91" t="str">
        <f>IF(AJ78&lt;&gt;"","Dim","")</f>
        <v>Dim</v>
      </c>
      <c r="AK77" s="102" t="s">
        <v>25</v>
      </c>
      <c r="AL77" s="55" t="str">
        <f>IF(AM77="",LEFT(AC77)&amp;MOD(RIGHT(AC77),5),LEFT(AC77)&amp;MOD(RIGHT(AC77),4)+1)</f>
        <v>C4</v>
      </c>
      <c r="AM77" s="91" t="str">
        <f>IF(AM78&lt;&gt;"","Lun","")</f>
        <v>Lun</v>
      </c>
      <c r="AN77" s="91" t="str">
        <f>IF(AN78&lt;&gt;"","Mar","")</f>
        <v>Mar</v>
      </c>
      <c r="AO77" s="91" t="str">
        <f>IF(AO78&lt;&gt;"","Mer","")</f>
        <v>Mer</v>
      </c>
      <c r="AP77" s="91" t="str">
        <f>IF(AP78&lt;&gt;"","Jeu","")</f>
        <v>Jeu</v>
      </c>
      <c r="AQ77" s="91" t="str">
        <f>IF(AQ78&lt;&gt;"","Ven","")</f>
        <v>Ven</v>
      </c>
      <c r="AR77" s="91" t="str">
        <f>IF(AR78&lt;&gt;"","Sam","")</f>
        <v>Sam</v>
      </c>
      <c r="AS77" s="91" t="str">
        <f>IF(AS78&lt;&gt;"","Dim","")</f>
        <v>Dim</v>
      </c>
      <c r="AT77" s="102" t="s">
        <v>25</v>
      </c>
      <c r="AU77" s="55" t="str">
        <f>IF(AV77="",LEFT(AL77)&amp;MOD(RIGHT(AL77),5),LEFT(AL77)&amp;MOD(RIGHT(AL77),4)+1)</f>
        <v>C4</v>
      </c>
      <c r="AV77" s="53" t="str">
        <f>IF(AV78&lt;&gt;"","Lun","")</f>
        <v/>
      </c>
      <c r="AW77" s="53" t="str">
        <f>IF(AW78&lt;&gt;"","Mar","")</f>
        <v/>
      </c>
      <c r="AX77" s="102" t="s">
        <v>25</v>
      </c>
      <c r="AY77" s="102" t="s">
        <v>28</v>
      </c>
      <c r="AZ77" s="103">
        <f>AY84+AY85+AY86</f>
        <v>10</v>
      </c>
      <c r="BA77" s="103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90" t="str">
        <f>IF(DAY(Mai_Dim1)=1,"",IF(AND(YEAR(Mai_Dim1+1)=Année_Calendaire,MONTH(Mai_Dim1+1)=5),Mai_Dim1+1,""))</f>
        <v/>
      </c>
      <c r="D78" s="93" t="str">
        <f>IF(DAY(Mai_Dim1)=1,"",IF(AND(YEAR(Mai_Dim1+2)=Année_Calendaire,MONTH(Mai_Dim1+2)=5),Mai_Dim1+2,""))</f>
        <v/>
      </c>
      <c r="E78" s="90" t="str">
        <f>IF(DAY(Mai_Dim1)=1,"",IF(AND(YEAR(Mai_Dim1+3)=Année_Calendaire,MONTH(Mai_Dim1+3)=5),Mai_Dim1+3,""))</f>
        <v/>
      </c>
      <c r="F78" s="90" t="str">
        <f>IF(DAY(Mai_Dim1)=1,"",IF(AND(YEAR(Mai_Dim1+4)=Année_Calendaire,MONTH(Mai_Dim1+4)=5),Mai_Dim1+4,""))</f>
        <v/>
      </c>
      <c r="G78" s="90">
        <f>IF(DAY(Mai_Dim1)=1,"",IF(AND(YEAR(Mai_Dim1+5)=Année_Calendaire,MONTH(Mai_Dim1+5)=5),Mai_Dim1+5,""))</f>
        <v>43952</v>
      </c>
      <c r="H78" s="90">
        <f>IF(DAY(Mai_Dim1)=1,"",IF(AND(YEAR(Mai_Dim1+6)=Année_Calendaire,MONTH(Mai_Dim1+6)=5),Mai_Dim1+6,""))</f>
        <v>43953</v>
      </c>
      <c r="I78" s="90">
        <f>IF(DAY(Mai_Dim1)=1,IF(AND(YEAR(Mai_Dim1)=Année_Calendaire,MONTH(Mai_Dim1)=5),Mai_Dim1,""),IF(AND(YEAR(Mai_Dim1+7)=Année_Calendaire,MONTH(Mai_Dim1+7)=5),Mai_Dim1+7,""))</f>
        <v>43954</v>
      </c>
      <c r="J78" s="102"/>
      <c r="K78" s="54"/>
      <c r="L78" s="90">
        <f>IF(DAY(Mai_Dim1)=1,IF(AND(YEAR(Mai_Dim1+1)=Année_Calendaire,MONTH(Mai_Dim1+1)=5),Mai_Dim1+1,""),IF(AND(YEAR(Mai_Dim1+8)=Année_Calendaire,MONTH(Mai_Dim1+8)=5),Mai_Dim1+8,""))</f>
        <v>43955</v>
      </c>
      <c r="M78" s="93">
        <f>IF(DAY(Mai_Dim1)=1,IF(AND(YEAR(Mai_Dim1+2)=Année_Calendaire,MONTH(Mai_Dim1+2)=5),Mai_Dim1+2,""),IF(AND(YEAR(Mai_Dim1+9)=Année_Calendaire,MONTH(Mai_Dim1+9)=5),Mai_Dim1+9,""))</f>
        <v>43956</v>
      </c>
      <c r="N78" s="90">
        <f>IF(DAY(Mai_Dim1)=1,IF(AND(YEAR(Mai_Dim1+3)=Année_Calendaire,MONTH(Mai_Dim1+3)=5),Mai_Dim1+3,""),IF(AND(YEAR(Mai_Dim1+10)=Année_Calendaire,MONTH(Mai_Dim1+10)=5),Mai_Dim1+10,""))</f>
        <v>43957</v>
      </c>
      <c r="O78" s="93">
        <f>IF(DAY(Mai_Dim1)=1,IF(AND(YEAR(Mai_Dim1+4)=Année_Calendaire,MONTH(Mai_Dim1+4)=5),Mai_Dim1+4,""),IF(AND(YEAR(Mai_Dim1+11)=Année_Calendaire,MONTH(Mai_Dim1+11)=5),Mai_Dim1+11,""))</f>
        <v>43958</v>
      </c>
      <c r="P78" s="90">
        <f>IF(DAY(Mai_Dim1)=1,IF(AND(YEAR(Mai_Dim1+5)=Année_Calendaire,MONTH(Mai_Dim1+5)=5),Mai_Dim1+5,""),IF(AND(YEAR(Mai_Dim1+12)=Année_Calendaire,MONTH(Mai_Dim1+12)=5),Mai_Dim1+12,""))</f>
        <v>43959</v>
      </c>
      <c r="Q78" s="90">
        <f>IF(DAY(Mai_Dim1)=1,IF(AND(YEAR(Mai_Dim1+6)=Année_Calendaire,MONTH(Mai_Dim1+6)=5),Mai_Dim1+6,""),IF(AND(YEAR(Mai_Dim1+13)=Année_Calendaire,MONTH(Mai_Dim1+13)=5),Mai_Dim1+13,""))</f>
        <v>43960</v>
      </c>
      <c r="R78" s="90">
        <f>IF(DAY(Mai_Dim1)=1,IF(AND(YEAR(Mai_Dim1+7)=Année_Calendaire,MONTH(Mai_Dim1+7)=5),Mai_Dim1+7,""),IF(AND(YEAR(Mai_Dim1+14)=Année_Calendaire,MONTH(Mai_Dim1+14)=5),Mai_Dim1+14,""))</f>
        <v>43961</v>
      </c>
      <c r="S78" s="102"/>
      <c r="T78" s="54"/>
      <c r="U78" s="90">
        <f>IF(DAY(Mai_Dim1)=1,IF(AND(YEAR(Mai_Dim1+8)=Année_Calendaire,MONTH(Mai_Dim1+8)=5),Mai_Dim1+8,""),IF(AND(YEAR(Mai_Dim1+15)=Année_Calendaire,MONTH(Mai_Dim1+15)=5),Mai_Dim1+15,""))</f>
        <v>43962</v>
      </c>
      <c r="V78" s="90">
        <f>IF(DAY(Mai_Dim1)=1,IF(AND(YEAR(Mai_Dim1+9)=Année_Calendaire,MONTH(Mai_Dim1+9)=5),Mai_Dim1+9,""),IF(AND(YEAR(Mai_Dim1+16)=Année_Calendaire,MONTH(Mai_Dim1+16)=5),Mai_Dim1+16,""))</f>
        <v>43963</v>
      </c>
      <c r="W78" s="90">
        <f>IF(DAY(Mai_Dim1)=1,IF(AND(YEAR(Mai_Dim1+10)=Année_Calendaire,MONTH(Mai_Dim1+10)=5),Mai_Dim1+10,""),IF(AND(YEAR(Mai_Dim1+17)=Année_Calendaire,MONTH(Mai_Dim1+17)=5),Mai_Dim1+17,""))</f>
        <v>43964</v>
      </c>
      <c r="X78" s="90">
        <f>IF(DAY(Mai_Dim1)=1,IF(AND(YEAR(Mai_Dim1+11)=Année_Calendaire,MONTH(Mai_Dim1+11)=5),Mai_Dim1+11,""),IF(AND(YEAR(Mai_Dim1+18)=Année_Calendaire,MONTH(Mai_Dim1+18)=5),Mai_Dim1+18,""))</f>
        <v>43965</v>
      </c>
      <c r="Y78" s="90">
        <f>IF(DAY(Mai_Dim1)=1,IF(AND(YEAR(Mai_Dim1+12)=Année_Calendaire,MONTH(Mai_Dim1+12)=5),Mai_Dim1+12,""),IF(AND(YEAR(Mai_Dim1+19)=Année_Calendaire,MONTH(Mai_Dim1+19)=5),Mai_Dim1+19,""))</f>
        <v>43966</v>
      </c>
      <c r="Z78" s="90">
        <f>IF(DAY(Mai_Dim1)=1,IF(AND(YEAR(Mai_Dim1+13)=Année_Calendaire,MONTH(Mai_Dim1+13)=5),Mai_Dim1+13,""),IF(AND(YEAR(Mai_Dim1+20)=Année_Calendaire,MONTH(Mai_Dim1+20)=5),Mai_Dim1+20,""))</f>
        <v>43967</v>
      </c>
      <c r="AA78" s="90">
        <f>IF(DAY(Mai_Dim1)=1,IF(AND(YEAR(Mai_Dim1+14)=Année_Calendaire,MONTH(Mai_Dim1+14)=5),Mai_Dim1+14,""),IF(AND(YEAR(Mai_Dim1+21)=Année_Calendaire,MONTH(Mai_Dim1+21)=5),Mai_Dim1+21,""))</f>
        <v>43968</v>
      </c>
      <c r="AB78" s="102"/>
      <c r="AC78" s="54"/>
      <c r="AD78" s="93">
        <f>IF(DAY(Mai_Dim1)=1,IF(AND(YEAR(Mai_Dim1+15)=Année_Calendaire,MONTH(Mai_Dim1+15)=5),Mai_Dim1+15,""),IF(AND(YEAR(Mai_Dim1+22)=Année_Calendaire,MONTH(Mai_Dim1+22)=5),Mai_Dim1+22,""))</f>
        <v>43969</v>
      </c>
      <c r="AE78" s="90">
        <f>IF(DAY(Mai_Dim1)=1,IF(AND(YEAR(Mai_Dim1+16)=Année_Calendaire,MONTH(Mai_Dim1+16)=5),Mai_Dim1+16,""),IF(AND(YEAR(Mai_Dim1+23)=Année_Calendaire,MONTH(Mai_Dim1+23)=5),Mai_Dim1+23,""))</f>
        <v>43970</v>
      </c>
      <c r="AF78" s="90">
        <f>IF(DAY(Mai_Dim1)=1,IF(AND(YEAR(Mai_Dim1+17)=Année_Calendaire,MONTH(Mai_Dim1+17)=5),Mai_Dim1+17,""),IF(AND(YEAR(Mai_Dim1+24)=Année_Calendaire,MONTH(Mai_Dim1+24)=5),Mai_Dim1+24,""))</f>
        <v>43971</v>
      </c>
      <c r="AG78" s="90">
        <f>IF(DAY(Mai_Dim1)=1,IF(AND(YEAR(Mai_Dim1+18)=Année_Calendaire,MONTH(Mai_Dim1+18)=5),Mai_Dim1+18,""),IF(AND(YEAR(Mai_Dim1+25)=Année_Calendaire,MONTH(Mai_Dim1+25)=5),Mai_Dim1+25,""))</f>
        <v>43972</v>
      </c>
      <c r="AH78" s="90">
        <f>IF(DAY(Mai_Dim1)=1,IF(AND(YEAR(Mai_Dim1+19)=Année_Calendaire,MONTH(Mai_Dim1+19)=5),Mai_Dim1+19,""),IF(AND(YEAR(Mai_Dim1+26)=Année_Calendaire,MONTH(Mai_Dim1+26)=5),Mai_Dim1+26,""))</f>
        <v>43973</v>
      </c>
      <c r="AI78" s="90">
        <f>IF(DAY(Mai_Dim1)=1,IF(AND(YEAR(Mai_Dim1+20)=Année_Calendaire,MONTH(Mai_Dim1+20)=5),Mai_Dim1+20,""),IF(AND(YEAR(Mai_Dim1+27)=Année_Calendaire,MONTH(Mai_Dim1+27)=5),Mai_Dim1+27,""))</f>
        <v>43974</v>
      </c>
      <c r="AJ78" s="90">
        <f>IF(DAY(Mai_Dim1)=1,IF(AND(YEAR(Mai_Dim1+21)=Année_Calendaire,MONTH(Mai_Dim1+21)=5),Mai_Dim1+21,""),IF(AND(YEAR(Mai_Dim1+28)=Année_Calendaire,MONTH(Mai_Dim1+28)=5),Mai_Dim1+28,""))</f>
        <v>43975</v>
      </c>
      <c r="AK78" s="102"/>
      <c r="AL78" s="54"/>
      <c r="AM78" s="90">
        <f>IF(DAY(Mai_Dim1)=1,IF(AND(YEAR(Mai_Dim1+22)=Année_Calendaire,MONTH(Mai_Dim1+22)=5),Mai_Dim1+22,""),IF(AND(YEAR(Mai_Dim1+29)=Année_Calendaire,MONTH(Mai_Dim1+29)=5),Mai_Dim1+29,""))</f>
        <v>43976</v>
      </c>
      <c r="AN78" s="90">
        <f>IF(DAY(Mai_Dim1)=1,IF(AND(YEAR(Mai_Dim1+23)=Année_Calendaire,MONTH(Mai_Dim1+23)=5),Mai_Dim1+23,""),IF(AND(YEAR(Mai_Dim1+30)=Année_Calendaire,MONTH(Mai_Dim1+30)=5),Mai_Dim1+30,""))</f>
        <v>43977</v>
      </c>
      <c r="AO78" s="90">
        <f>IF(DAY(Mai_Dim1)=1,IF(AND(YEAR(Mai_Dim1+24)=Année_Calendaire,MONTH(Mai_Dim1+24)=5),Mai_Dim1+24,""),IF(AND(YEAR(Mai_Dim1+31)=Année_Calendaire,MONTH(Mai_Dim1+31)=5),Mai_Dim1+31,""))</f>
        <v>43978</v>
      </c>
      <c r="AP78" s="90">
        <f>IF(DAY(Mai_Dim1)=1,IF(AND(YEAR(Mai_Dim1+25)=Année_Calendaire,MONTH(Mai_Dim1+25)=5),Mai_Dim1+25,""),IF(AND(YEAR(Mai_Dim1+32)=Année_Calendaire,MONTH(Mai_Dim1+32)=5),Mai_Dim1+32,""))</f>
        <v>43979</v>
      </c>
      <c r="AQ78" s="90">
        <f>IF(DAY(Mai_Dim1)=1,IF(AND(YEAR(Mai_Dim1+26)=Année_Calendaire,MONTH(Mai_Dim1+26)=5),Mai_Dim1+26,""),IF(AND(YEAR(Mai_Dim1+33)=Année_Calendaire,MONTH(Mai_Dim1+33)=5),Mai_Dim1+33,""))</f>
        <v>43980</v>
      </c>
      <c r="AR78" s="90">
        <f>IF(DAY(Mai_Dim1)=1,IF(AND(YEAR(Mai_Dim1+27)=Année_Calendaire,MONTH(Mai_Dim1+27)=5),Mai_Dim1+27,""),IF(AND(YEAR(Mai_Dim1+34)=Année_Calendaire,MONTH(Mai_Dim1+34)=5),Mai_Dim1+34,""))</f>
        <v>43981</v>
      </c>
      <c r="AS78" s="90">
        <f>IF(DAY(Mai_Dim1)=1,IF(AND(YEAR(Mai_Dim1+28)=Année_Calendaire,MONTH(Mai_Dim1+28)=5),Mai_Dim1+28,""),IF(AND(YEAR(Mai_Dim1+35)=Année_Calendaire,MONTH(Mai_Dim1+35)=5),Mai_Dim1+35,""))</f>
        <v>43982</v>
      </c>
      <c r="AT78" s="102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102"/>
      <c r="AY78" s="102"/>
      <c r="AZ78" s="103"/>
      <c r="BA78" s="103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/>
      </c>
      <c r="E79" s="49" t="str">
        <f>IF(E78="","",IFERROR(VLOOKUP(B77,DATA!$A:$H,4,TRUE),0))</f>
        <v/>
      </c>
      <c r="F79" s="49" t="str">
        <f>IF(F78="","",IFERROR(VLOOKUP(B77,DATA!$A:$H,5,TRUE),0))</f>
        <v/>
      </c>
      <c r="G79" s="49" t="str">
        <f>IF(G78="","",IFERROR(VLOOKUP(B77,DATA!$A:$H,6,TRUE),0))</f>
        <v>am</v>
      </c>
      <c r="H79" s="49">
        <f>IF(H78="","",IFERROR(VLOOKUP(B77,DATA!$A:$H,7,TRUE),0))</f>
        <v>0</v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matin</v>
      </c>
      <c r="M79" s="49" t="str">
        <f>IF(M78="","",IFERROR(VLOOKUP(K77,DATA!$A:$H,3,TRUE),0))</f>
        <v>matin</v>
      </c>
      <c r="N79" s="49" t="str">
        <f>IF(N78="","",IFERROR(VLOOKUP(K77,DATA!$A:$H,4,TRUE),0))</f>
        <v>matin</v>
      </c>
      <c r="O79" s="49">
        <f>IF(O78="","",IFERROR(VLOOKUP(K77,DATA!$A:$H,5,TRUE),0))</f>
        <v>0</v>
      </c>
      <c r="P79" s="49">
        <f>IF(P78="","",IFERROR(VLOOKUP(K77,DATA!$A:$H,6,TRUE),0))</f>
        <v>0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nuit</v>
      </c>
      <c r="V79" s="49" t="str">
        <f>IF(V78="","",IFERROR(VLOOKUP(T77,DATA!$A:$H,3,TRUE),0))</f>
        <v>nuit</v>
      </c>
      <c r="W79" s="49" t="str">
        <f>IF(W78="","",IFERROR(VLOOKUP(T77,DATA!$A:$H,4,TRUE),0))</f>
        <v>nuit</v>
      </c>
      <c r="X79" s="49" t="str">
        <f>IF(X78="","",IFERROR(VLOOKUP(T77,DATA!$A:$H,5,TRUE),0))</f>
        <v>nuit</v>
      </c>
      <c r="Y79" s="49" t="str">
        <f>IF(Y78="","",IFERROR(VLOOKUP(T77,DATA!$A:$H,6,TRUE),0))</f>
        <v>nuit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matin</v>
      </c>
      <c r="AE79" s="49">
        <f>IF(AE78="","",IFERROR(VLOOKUP(AC77,DATA!$A:$H,3,TRUE),0))</f>
        <v>0</v>
      </c>
      <c r="AF79" s="49">
        <f>IF(AF78="","",IFERROR(VLOOKUP(AC77,DATA!$A:$H,4,TRUE),0))</f>
        <v>0</v>
      </c>
      <c r="AG79" s="49" t="str">
        <f>IF(AG78="","",IFERROR(VLOOKUP(AC77,DATA!$A:$H,5,TRUE),0))</f>
        <v>matin</v>
      </c>
      <c r="AH79" s="49" t="str">
        <f>IF(AH78="","",IFERROR(VLOOKUP(AC77,DATA!$A:$H,6,TRUE),0))</f>
        <v>matin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am</v>
      </c>
      <c r="AN79" s="49" t="str">
        <f>IF(AN78="","",IFERROR(VLOOKUP(AL77,DATA!$A:$H,3,TRUE),0))</f>
        <v>am</v>
      </c>
      <c r="AO79" s="49" t="str">
        <f>IF(AO78="","",IFERROR(VLOOKUP(AL77,DATA!$A:$H,4,TRUE),0))</f>
        <v>am</v>
      </c>
      <c r="AP79" s="49" t="str">
        <f>IF(AP78="","",IFERROR(VLOOKUP(AL77,DATA!$A:$H,5,TRUE),0))</f>
        <v>am</v>
      </c>
      <c r="AQ79" s="49" t="str">
        <f>IF(AQ78="","",IFERROR(VLOOKUP(AL77,DATA!$A:$H,6,TRUE),0))</f>
        <v>am</v>
      </c>
      <c r="AR79" s="49">
        <f>IF(AR78="","",IFERROR(VLOOKUP(AL77,DATA!$A:$H,7,TRUE),0))</f>
        <v>0</v>
      </c>
      <c r="AS79" s="49">
        <f>IF(AS78="","",IFERROR(VLOOKUP(AL77,DATA!$A:$H,8,TRUE),0))</f>
        <v>0</v>
      </c>
      <c r="AT79" s="52"/>
      <c r="AU79" s="48"/>
      <c r="AV79" s="49" t="str">
        <f>IF(AV78="","",IFERROR(VLOOKUP(AU77,DATA!$A:$H,2,TRUE),0))</f>
        <v/>
      </c>
      <c r="AW79" s="49" t="str">
        <f>IF(AW78="","",IFERROR(VLOOKUP(AU77,DATA!$A:$H,3,TRUE),0))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0</v>
      </c>
      <c r="E80" s="52">
        <f t="shared" si="195"/>
        <v>0</v>
      </c>
      <c r="F80" s="52">
        <f t="shared" si="195"/>
        <v>0</v>
      </c>
      <c r="G80" s="52">
        <f t="shared" si="195"/>
        <v>1</v>
      </c>
      <c r="H80" s="52">
        <f t="shared" si="195"/>
        <v>0</v>
      </c>
      <c r="I80" s="52">
        <f t="shared" si="195"/>
        <v>0</v>
      </c>
      <c r="J80" s="52">
        <f>SUM(C80:I80)</f>
        <v>1</v>
      </c>
      <c r="K80" s="51"/>
      <c r="L80" s="52">
        <f t="shared" ref="L80:R80" si="196">IF(L79="Matin",1,IF(L79="AM",1,0))</f>
        <v>1</v>
      </c>
      <c r="M80" s="52">
        <f t="shared" si="196"/>
        <v>1</v>
      </c>
      <c r="N80" s="52">
        <f t="shared" si="196"/>
        <v>1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3</v>
      </c>
      <c r="T80" s="51"/>
      <c r="U80" s="52">
        <f t="shared" ref="U80:AA80" si="197">IF(U79="Matin",1,IF(U79="AM",1,0))</f>
        <v>0</v>
      </c>
      <c r="V80" s="52">
        <f t="shared" si="197"/>
        <v>0</v>
      </c>
      <c r="W80" s="52">
        <f t="shared" si="197"/>
        <v>0</v>
      </c>
      <c r="X80" s="52">
        <f t="shared" si="197"/>
        <v>0</v>
      </c>
      <c r="Y80" s="52">
        <f t="shared" si="197"/>
        <v>0</v>
      </c>
      <c r="Z80" s="52">
        <f t="shared" si="197"/>
        <v>0</v>
      </c>
      <c r="AA80" s="52">
        <f t="shared" si="197"/>
        <v>0</v>
      </c>
      <c r="AB80" s="52">
        <f>SUM(U80:AA80)</f>
        <v>0</v>
      </c>
      <c r="AC80" s="51"/>
      <c r="AD80" s="52">
        <f t="shared" ref="AD80:AJ80" si="198">IF(AD79="Matin",1,IF(AD79="AM",1,0))</f>
        <v>1</v>
      </c>
      <c r="AE80" s="52">
        <f t="shared" si="198"/>
        <v>0</v>
      </c>
      <c r="AF80" s="52">
        <f t="shared" si="198"/>
        <v>0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3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1</v>
      </c>
      <c r="AQ80" s="52">
        <f t="shared" si="199"/>
        <v>1</v>
      </c>
      <c r="AR80" s="52">
        <f t="shared" si="199"/>
        <v>0</v>
      </c>
      <c r="AS80" s="52">
        <f t="shared" si="199"/>
        <v>0</v>
      </c>
      <c r="AT80" s="52">
        <f>SUM(AM80:AS80)</f>
        <v>5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12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2">IF(E82&gt;=1,1,0)</f>
        <v>0</v>
      </c>
      <c r="F81" s="49">
        <f t="shared" si="202"/>
        <v>0</v>
      </c>
      <c r="G81" s="49">
        <f t="shared" si="202"/>
        <v>1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1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0</v>
      </c>
      <c r="P81" s="49">
        <f t="shared" si="204"/>
        <v>0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3</v>
      </c>
      <c r="T81" s="48"/>
      <c r="U81" s="49">
        <f>IF(U82&gt;=1,1,0)</f>
        <v>1</v>
      </c>
      <c r="V81" s="49">
        <f t="shared" ref="V81:AA81" si="206">IF(V82&gt;=1,1,0)</f>
        <v>1</v>
      </c>
      <c r="W81" s="49">
        <f t="shared" si="206"/>
        <v>1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5</v>
      </c>
      <c r="AC81" s="48"/>
      <c r="AD81" s="49">
        <f>IF(AD82&gt;=1,1,0)</f>
        <v>1</v>
      </c>
      <c r="AE81" s="49">
        <f t="shared" ref="AE81:AJ81" si="208">IF(AE82&gt;=1,1,0)</f>
        <v>0</v>
      </c>
      <c r="AF81" s="49">
        <f t="shared" si="208"/>
        <v>0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3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1</v>
      </c>
      <c r="AQ81" s="49">
        <f t="shared" si="210"/>
        <v>1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5</v>
      </c>
      <c r="AU81" s="48"/>
      <c r="AV81" s="49">
        <f>IF(AV82&gt;=1,1,0)</f>
        <v>0</v>
      </c>
      <c r="AW81" s="49">
        <f t="shared" ref="AW81" si="212">IF(AW82&gt;=1,1,0)</f>
        <v>0</v>
      </c>
      <c r="AX81" s="52">
        <f t="shared" si="201"/>
        <v>0</v>
      </c>
      <c r="AY81" s="49">
        <f t="shared" ref="AY81:AY90" si="213">J81+S81+AB81+AK81+AT81+AX81</f>
        <v>17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0</v>
      </c>
      <c r="E82" s="52">
        <f t="shared" si="214"/>
        <v>0</v>
      </c>
      <c r="F82" s="52">
        <f t="shared" si="214"/>
        <v>0</v>
      </c>
      <c r="G82" s="52">
        <f t="shared" si="214"/>
        <v>8</v>
      </c>
      <c r="H82" s="52">
        <f t="shared" si="214"/>
        <v>0</v>
      </c>
      <c r="I82" s="52">
        <f t="shared" si="214"/>
        <v>0</v>
      </c>
      <c r="J82" s="52">
        <f t="shared" si="203"/>
        <v>8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0</v>
      </c>
      <c r="P82" s="52">
        <f t="shared" si="215"/>
        <v>0</v>
      </c>
      <c r="Q82" s="52">
        <f t="shared" si="215"/>
        <v>0</v>
      </c>
      <c r="R82" s="52">
        <f t="shared" si="215"/>
        <v>0</v>
      </c>
      <c r="S82" s="52">
        <f t="shared" si="205"/>
        <v>24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8</v>
      </c>
      <c r="W82" s="52">
        <f t="shared" si="216"/>
        <v>8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40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0</v>
      </c>
      <c r="AF82" s="52">
        <f t="shared" si="217"/>
        <v>0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24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8</v>
      </c>
      <c r="AQ82" s="52">
        <f t="shared" si="218"/>
        <v>8</v>
      </c>
      <c r="AR82" s="52">
        <f t="shared" si="218"/>
        <v>0</v>
      </c>
      <c r="AS82" s="52">
        <f t="shared" si="218"/>
        <v>0</v>
      </c>
      <c r="AT82" s="52">
        <f t="shared" si="211"/>
        <v>40</v>
      </c>
      <c r="AU82" s="51"/>
      <c r="AV82" s="52">
        <f>IF(AV79="Matin",8,IF(AV79="AM",8,IF(AV79="nuit",8,0)))</f>
        <v>0</v>
      </c>
      <c r="AW82" s="52">
        <f t="shared" ref="AW82" si="219">IF(AW79="Matin",8,IF(AW79="AM",8,IF(AW79="nuit",8,0)))</f>
        <v>0</v>
      </c>
      <c r="AX82" s="52">
        <f t="shared" si="201"/>
        <v>0</v>
      </c>
      <c r="AY82" s="52">
        <f t="shared" si="213"/>
        <v>136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0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0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3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3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0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0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3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3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0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0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5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5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0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0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5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5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7">IF(N79="nuit",N82*0.02,0)</f>
        <v>0</v>
      </c>
      <c r="O91" s="49">
        <f t="shared" si="227"/>
        <v>0</v>
      </c>
      <c r="P91" s="49">
        <f>IF(P79="nuit",P82*0.02,0)</f>
        <v>0</v>
      </c>
      <c r="Q91" s="49">
        <f t="shared" si="227"/>
        <v>0</v>
      </c>
      <c r="R91" s="49">
        <f t="shared" si="227"/>
        <v>0</v>
      </c>
      <c r="S91" s="52">
        <f t="shared" si="205"/>
        <v>0</v>
      </c>
      <c r="T91" s="48"/>
      <c r="U91" s="49">
        <f>IF(U79="nuit",U82*0.02,0)</f>
        <v>0.16</v>
      </c>
      <c r="V91" s="49">
        <f>IF(V79="nuit",V82*0.02,0)</f>
        <v>0.16</v>
      </c>
      <c r="W91" s="49">
        <f t="shared" ref="W91:AA91" si="228">IF(W79="nuit",W82*0.02,0)</f>
        <v>0.16</v>
      </c>
      <c r="X91" s="49">
        <f t="shared" si="228"/>
        <v>0.16</v>
      </c>
      <c r="Y91" s="49">
        <f>IF(Y79="nuit",Y82*0.02,0)</f>
        <v>0.16</v>
      </c>
      <c r="Z91" s="49">
        <f t="shared" si="228"/>
        <v>0</v>
      </c>
      <c r="AA91" s="49">
        <f t="shared" si="228"/>
        <v>0</v>
      </c>
      <c r="AB91" s="52">
        <f t="shared" si="207"/>
        <v>0.8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">
      <c r="A94" s="16"/>
      <c r="B94" s="16"/>
      <c r="C94" s="19" t="s">
        <v>17</v>
      </c>
      <c r="D94" s="19"/>
      <c r="E94" s="19"/>
      <c r="F94" s="19"/>
      <c r="G94" s="19"/>
      <c r="H94" s="101">
        <f>Année_Calendaire</f>
        <v>2020</v>
      </c>
      <c r="I94" s="101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1">
        <f>Année_Calendaire</f>
        <v>2020</v>
      </c>
      <c r="AA94" s="101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1">
        <f>Année_Calendaire</f>
        <v>2020</v>
      </c>
      <c r="AS94" s="101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C1</v>
      </c>
      <c r="C95" s="91" t="str">
        <f>IF(C96&lt;&gt;"","Lun","")</f>
        <v>Lun</v>
      </c>
      <c r="D95" s="91" t="str">
        <f>IF(D96&lt;&gt;"","Mar","")</f>
        <v>Mar</v>
      </c>
      <c r="E95" s="91" t="str">
        <f>IF(E96&lt;&gt;"","Mer","")</f>
        <v>Mer</v>
      </c>
      <c r="F95" s="91" t="str">
        <f>IF(F96&lt;&gt;"","Jeu","")</f>
        <v>Jeu</v>
      </c>
      <c r="G95" s="91" t="str">
        <f>IF(G96&lt;&gt;"","Ven","")</f>
        <v>Ven</v>
      </c>
      <c r="H95" s="91" t="str">
        <f>IF(H96&lt;&gt;"","Sam","")</f>
        <v>Sam</v>
      </c>
      <c r="I95" s="91" t="str">
        <f>IF(I96&lt;&gt;"","Dim","")</f>
        <v>Dim</v>
      </c>
      <c r="J95" s="102" t="s">
        <v>25</v>
      </c>
      <c r="K95" s="55" t="str">
        <f>IF(L95="",LEFT(B95)&amp;MOD(RIGHT(B95),5),LEFT(B95)&amp;MOD(RIGHT(B95),4)+1)</f>
        <v>C2</v>
      </c>
      <c r="L95" s="92" t="str">
        <f>IF(L96&lt;&gt;"","Lun","")</f>
        <v>Lun</v>
      </c>
      <c r="M95" s="91" t="str">
        <f>IF(M96&lt;&gt;"","Mar","")</f>
        <v>Mar</v>
      </c>
      <c r="N95" s="91" t="str">
        <f>IF(N96&lt;&gt;"","Mer","")</f>
        <v>Mer</v>
      </c>
      <c r="O95" s="91" t="str">
        <f>IF(O96&lt;&gt;"","Jeu","")</f>
        <v>Jeu</v>
      </c>
      <c r="P95" s="91" t="str">
        <f>IF(P96&lt;&gt;"","Ven","")</f>
        <v>Ven</v>
      </c>
      <c r="Q95" s="91" t="str">
        <f>IF(Q96&lt;&gt;"","Sam","")</f>
        <v>Sam</v>
      </c>
      <c r="R95" s="91" t="str">
        <f>IF(R96&lt;&gt;"","Dim","")</f>
        <v>Dim</v>
      </c>
      <c r="S95" s="102" t="s">
        <v>25</v>
      </c>
      <c r="T95" s="55" t="str">
        <f>IF(U95="",LEFT(K95)&amp;MOD(RIGHT(K95),5),LEFT(K95)&amp;MOD(RIGHT(K95),4)+1)</f>
        <v>C3</v>
      </c>
      <c r="U95" s="91" t="str">
        <f>IF(U96&lt;&gt;"","Lun","")</f>
        <v>Lun</v>
      </c>
      <c r="V95" s="91" t="str">
        <f>IF(V96&lt;&gt;"","Mar","")</f>
        <v>Mar</v>
      </c>
      <c r="W95" s="91" t="str">
        <f>IF(W96&lt;&gt;"","Mer","")</f>
        <v>Mer</v>
      </c>
      <c r="X95" s="91" t="str">
        <f>IF(X96&lt;&gt;"","Jeu","")</f>
        <v>Jeu</v>
      </c>
      <c r="Y95" s="91" t="str">
        <f>IF(Y96&lt;&gt;"","Ven","")</f>
        <v>Ven</v>
      </c>
      <c r="Z95" s="91" t="str">
        <f>IF(Z96&lt;&gt;"","Sam","")</f>
        <v>Sam</v>
      </c>
      <c r="AA95" s="91" t="str">
        <f>IF(AA96&lt;&gt;"","Dim","")</f>
        <v>Dim</v>
      </c>
      <c r="AB95" s="102" t="s">
        <v>25</v>
      </c>
      <c r="AC95" s="55" t="str">
        <f>IF(AD95="",LEFT(T95)&amp;MOD(RIGHT(T95),5),LEFT(T95)&amp;MOD(RIGHT(T95),4)+1)</f>
        <v>C4</v>
      </c>
      <c r="AD95" s="91" t="str">
        <f>IF(AD96&lt;&gt;"","Lun","")</f>
        <v>Lun</v>
      </c>
      <c r="AE95" s="91" t="str">
        <f>IF(AE96&lt;&gt;"","Mar","")</f>
        <v>Mar</v>
      </c>
      <c r="AF95" s="91" t="str">
        <f>IF(AF96&lt;&gt;"","Mer","")</f>
        <v>Mer</v>
      </c>
      <c r="AG95" s="91" t="str">
        <f>IF(AG96&lt;&gt;"","Jeu","")</f>
        <v>Jeu</v>
      </c>
      <c r="AH95" s="91" t="str">
        <f>IF(AH96&lt;&gt;"","Ven","")</f>
        <v>Ven</v>
      </c>
      <c r="AI95" s="91" t="str">
        <f>IF(AI96&lt;&gt;"","Sam","")</f>
        <v>Sam</v>
      </c>
      <c r="AJ95" s="91" t="str">
        <f>IF(AJ96&lt;&gt;"","Dim","")</f>
        <v>Dim</v>
      </c>
      <c r="AK95" s="102" t="s">
        <v>25</v>
      </c>
      <c r="AL95" s="55" t="str">
        <f>IF(AM95="",LEFT(AC95)&amp;MOD(RIGHT(AC95),5),LEFT(AC95)&amp;MOD(RIGHT(AC95),4)+1)</f>
        <v>C1</v>
      </c>
      <c r="AM95" s="91" t="str">
        <f>IF(AM96&lt;&gt;"","Lun","")</f>
        <v>Lun</v>
      </c>
      <c r="AN95" s="91" t="str">
        <f>IF(AN96&lt;&gt;"","Mar","")</f>
        <v>Mar</v>
      </c>
      <c r="AO95" s="91" t="str">
        <f>IF(AO96&lt;&gt;"","Mer","")</f>
        <v/>
      </c>
      <c r="AP95" s="91" t="str">
        <f>IF(AP96&lt;&gt;"","Jeu","")</f>
        <v/>
      </c>
      <c r="AQ95" s="91" t="str">
        <f>IF(AQ96&lt;&gt;"","Ven","")</f>
        <v/>
      </c>
      <c r="AR95" s="91" t="str">
        <f>IF(AR96&lt;&gt;"","Sam","")</f>
        <v/>
      </c>
      <c r="AS95" s="91" t="str">
        <f>IF(AS96&lt;&gt;"","Dim","")</f>
        <v/>
      </c>
      <c r="AT95" s="102" t="s">
        <v>25</v>
      </c>
      <c r="AU95" s="55" t="str">
        <f>IF(AV95="",LEFT(AL95)&amp;MOD(RIGHT(AL95),5),LEFT(AL95)&amp;MOD(RIGHT(AL95),4)+1)</f>
        <v>C1</v>
      </c>
      <c r="AV95" s="53" t="str">
        <f>IF(AV96&lt;&gt;"","Lun","")</f>
        <v/>
      </c>
      <c r="AW95" s="53" t="str">
        <f>IF(AW96&lt;&gt;"","Mar","")</f>
        <v/>
      </c>
      <c r="AX95" s="102" t="s">
        <v>25</v>
      </c>
      <c r="AY95" s="102" t="s">
        <v>28</v>
      </c>
      <c r="AZ95" s="103">
        <f>AY102+AY103+AY104</f>
        <v>10</v>
      </c>
      <c r="BA95" s="103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90">
        <f>IF(DAY(Juin_Dim1)=1,"",IF(AND(YEAR(Juin_Dim1+1)=Année_Calendaire,MONTH(Juin_Dim1+1)=6),Juin_Dim1+1,""))</f>
        <v>43983</v>
      </c>
      <c r="D96" s="90">
        <f>IF(DAY(Juin_Dim1)=1,"",IF(AND(YEAR(Juin_Dim1+2)=Année_Calendaire,MONTH(Juin_Dim1+2)=6),Juin_Dim1+2,""))</f>
        <v>43984</v>
      </c>
      <c r="E96" s="90">
        <f>IF(DAY(Juin_Dim1)=1,"",IF(AND(YEAR(Juin_Dim1+3)=Année_Calendaire,MONTH(Juin_Dim1+3)=6),Juin_Dim1+3,""))</f>
        <v>43985</v>
      </c>
      <c r="F96" s="90">
        <f>IF(DAY(Juin_Dim1)=1,"",IF(AND(YEAR(Juin_Dim1+4)=Année_Calendaire,MONTH(Juin_Dim1+4)=6),Juin_Dim1+4,""))</f>
        <v>43986</v>
      </c>
      <c r="G96" s="90">
        <f>IF(DAY(Juin_Dim1)=1,"",IF(AND(YEAR(Juin_Dim1+5)=Année_Calendaire,MONTH(Juin_Dim1+5)=6),Juin_Dim1+5,""))</f>
        <v>43987</v>
      </c>
      <c r="H96" s="90">
        <f>IF(DAY(Juin_Dim1)=1,"",IF(AND(YEAR(Juin_Dim1+6)=Année_Calendaire,MONTH(Juin_Dim1+6)=6),Juin_Dim1+6,""))</f>
        <v>43988</v>
      </c>
      <c r="I96" s="90">
        <f>IF(DAY(Juin_Dim1)=1,IF(AND(YEAR(Juin_Dim1)=Année_Calendaire,MONTH(Juin_Dim1)=6),Juin_Dim1,""),IF(AND(YEAR(Juin_Dim1+7)=Année_Calendaire,MONTH(Juin_Dim1+7)=6),Juin_Dim1+7,""))</f>
        <v>43989</v>
      </c>
      <c r="J96" s="102"/>
      <c r="K96" s="54"/>
      <c r="L96" s="90">
        <f>IF(DAY(Juin_Dim1)=1,IF(AND(YEAR(Juin_Dim1+1)=Année_Calendaire,MONTH(Juin_Dim1+1)=6),Juin_Dim1+1,""),IF(AND(YEAR(Juin_Dim1+8)=Année_Calendaire,MONTH(Juin_Dim1+8)=6),Juin_Dim1+8,""))</f>
        <v>43990</v>
      </c>
      <c r="M96" s="90">
        <f>IF(DAY(Juin_Dim1)=1,IF(AND(YEAR(Juin_Dim1+2)=Année_Calendaire,MONTH(Juin_Dim1+2)=6),Juin_Dim1+2,""),IF(AND(YEAR(Juin_Dim1+9)=Année_Calendaire,MONTH(Juin_Dim1+9)=6),Juin_Dim1+9,""))</f>
        <v>43991</v>
      </c>
      <c r="N96" s="90">
        <f>IF(DAY(Juin_Dim1)=1,IF(AND(YEAR(Juin_Dim1+3)=Année_Calendaire,MONTH(Juin_Dim1+3)=6),Juin_Dim1+3,""),IF(AND(YEAR(Juin_Dim1+10)=Année_Calendaire,MONTH(Juin_Dim1+10)=6),Juin_Dim1+10,""))</f>
        <v>43992</v>
      </c>
      <c r="O96" s="90">
        <f>IF(DAY(Juin_Dim1)=1,IF(AND(YEAR(Juin_Dim1+4)=Année_Calendaire,MONTH(Juin_Dim1+4)=6),Juin_Dim1+4,""),IF(AND(YEAR(Juin_Dim1+11)=Année_Calendaire,MONTH(Juin_Dim1+11)=6),Juin_Dim1+11,""))</f>
        <v>43993</v>
      </c>
      <c r="P96" s="90">
        <f>IF(DAY(Juin_Dim1)=1,IF(AND(YEAR(Juin_Dim1+5)=Année_Calendaire,MONTH(Juin_Dim1+5)=6),Juin_Dim1+5,""),IF(AND(YEAR(Juin_Dim1+12)=Année_Calendaire,MONTH(Juin_Dim1+12)=6),Juin_Dim1+12,""))</f>
        <v>43994</v>
      </c>
      <c r="Q96" s="90">
        <f>IF(DAY(Juin_Dim1)=1,IF(AND(YEAR(Juin_Dim1+6)=Année_Calendaire,MONTH(Juin_Dim1+6)=6),Juin_Dim1+6,""),IF(AND(YEAR(Juin_Dim1+13)=Année_Calendaire,MONTH(Juin_Dim1+13)=6),Juin_Dim1+13,""))</f>
        <v>43995</v>
      </c>
      <c r="R96" s="90">
        <f>IF(DAY(Juin_Dim1)=1,IF(AND(YEAR(Juin_Dim1+7)=Année_Calendaire,MONTH(Juin_Dim1+7)=6),Juin_Dim1+7,""),IF(AND(YEAR(Juin_Dim1+14)=Année_Calendaire,MONTH(Juin_Dim1+14)=6),Juin_Dim1+14,""))</f>
        <v>43996</v>
      </c>
      <c r="S96" s="102"/>
      <c r="T96" s="54"/>
      <c r="U96" s="90">
        <f>IF(DAY(Juin_Dim1)=1,IF(AND(YEAR(Juin_Dim1+8)=Année_Calendaire,MONTH(Juin_Dim1+8)=6),Juin_Dim1+8,""),IF(AND(YEAR(Juin_Dim1+15)=Année_Calendaire,MONTH(Juin_Dim1+15)=6),Juin_Dim1+15,""))</f>
        <v>43997</v>
      </c>
      <c r="V96" s="90">
        <f>IF(DAY(Juin_Dim1)=1,IF(AND(YEAR(Juin_Dim1+9)=Année_Calendaire,MONTH(Juin_Dim1+9)=6),Juin_Dim1+9,""),IF(AND(YEAR(Juin_Dim1+16)=Année_Calendaire,MONTH(Juin_Dim1+16)=6),Juin_Dim1+16,""))</f>
        <v>43998</v>
      </c>
      <c r="W96" s="90">
        <f>IF(DAY(Juin_Dim1)=1,IF(AND(YEAR(Juin_Dim1+10)=Année_Calendaire,MONTH(Juin_Dim1+10)=6),Juin_Dim1+10,""),IF(AND(YEAR(Juin_Dim1+17)=Année_Calendaire,MONTH(Juin_Dim1+17)=6),Juin_Dim1+17,""))</f>
        <v>43999</v>
      </c>
      <c r="X96" s="90">
        <f>IF(DAY(Juin_Dim1)=1,IF(AND(YEAR(Juin_Dim1+11)=Année_Calendaire,MONTH(Juin_Dim1+11)=6),Juin_Dim1+11,""),IF(AND(YEAR(Juin_Dim1+18)=Année_Calendaire,MONTH(Juin_Dim1+18)=6),Juin_Dim1+18,""))</f>
        <v>44000</v>
      </c>
      <c r="Y96" s="90">
        <f>IF(DAY(Juin_Dim1)=1,IF(AND(YEAR(Juin_Dim1+12)=Année_Calendaire,MONTH(Juin_Dim1+12)=6),Juin_Dim1+12,""),IF(AND(YEAR(Juin_Dim1+19)=Année_Calendaire,MONTH(Juin_Dim1+19)=6),Juin_Dim1+19,""))</f>
        <v>44001</v>
      </c>
      <c r="Z96" s="90">
        <f>IF(DAY(Juin_Dim1)=1,IF(AND(YEAR(Juin_Dim1+13)=Année_Calendaire,MONTH(Juin_Dim1+13)=6),Juin_Dim1+13,""),IF(AND(YEAR(Juin_Dim1+20)=Année_Calendaire,MONTH(Juin_Dim1+20)=6),Juin_Dim1+20,""))</f>
        <v>44002</v>
      </c>
      <c r="AA96" s="90">
        <f>IF(DAY(Juin_Dim1)=1,IF(AND(YEAR(Juin_Dim1+14)=Année_Calendaire,MONTH(Juin_Dim1+14)=6),Juin_Dim1+14,""),IF(AND(YEAR(Juin_Dim1+21)=Année_Calendaire,MONTH(Juin_Dim1+21)=6),Juin_Dim1+21,""))</f>
        <v>44003</v>
      </c>
      <c r="AB96" s="102"/>
      <c r="AC96" s="54"/>
      <c r="AD96" s="90">
        <f>IF(DAY(Juin_Dim1)=1,IF(AND(YEAR(Juin_Dim1+15)=Année_Calendaire,MONTH(Juin_Dim1+15)=6),Juin_Dim1+15,""),IF(AND(YEAR(Juin_Dim1+22)=Année_Calendaire,MONTH(Juin_Dim1+22)=6),Juin_Dim1+22,""))</f>
        <v>44004</v>
      </c>
      <c r="AE96" s="90">
        <f>IF(DAY(Juin_Dim1)=1,IF(AND(YEAR(Juin_Dim1+16)=Année_Calendaire,MONTH(Juin_Dim1+16)=6),Juin_Dim1+16,""),IF(AND(YEAR(Juin_Dim1+23)=Année_Calendaire,MONTH(Juin_Dim1+23)=6),Juin_Dim1+23,""))</f>
        <v>44005</v>
      </c>
      <c r="AF96" s="90">
        <f>IF(DAY(Juin_Dim1)=1,IF(AND(YEAR(Juin_Dim1+17)=Année_Calendaire,MONTH(Juin_Dim1+17)=6),Juin_Dim1+17,""),IF(AND(YEAR(Juin_Dim1+24)=Année_Calendaire,MONTH(Juin_Dim1+24)=6),Juin_Dim1+24,""))</f>
        <v>44006</v>
      </c>
      <c r="AG96" s="90">
        <f>IF(DAY(Juin_Dim1)=1,IF(AND(YEAR(Juin_Dim1+18)=Année_Calendaire,MONTH(Juin_Dim1+18)=6),Juin_Dim1+18,""),IF(AND(YEAR(Juin_Dim1+25)=Année_Calendaire,MONTH(Juin_Dim1+25)=6),Juin_Dim1+25,""))</f>
        <v>44007</v>
      </c>
      <c r="AH96" s="90">
        <f>IF(DAY(Juin_Dim1)=1,IF(AND(YEAR(Juin_Dim1+19)=Année_Calendaire,MONTH(Juin_Dim1+19)=6),Juin_Dim1+19,""),IF(AND(YEAR(Juin_Dim1+26)=Année_Calendaire,MONTH(Juin_Dim1+26)=6),Juin_Dim1+26,""))</f>
        <v>44008</v>
      </c>
      <c r="AI96" s="90">
        <f>IF(DAY(Juin_Dim1)=1,IF(AND(YEAR(Juin_Dim1+20)=Année_Calendaire,MONTH(Juin_Dim1+20)=6),Juin_Dim1+20,""),IF(AND(YEAR(Juin_Dim1+27)=Année_Calendaire,MONTH(Juin_Dim1+27)=6),Juin_Dim1+27,""))</f>
        <v>44009</v>
      </c>
      <c r="AJ96" s="90">
        <f>IF(DAY(Juin_Dim1)=1,IF(AND(YEAR(Juin_Dim1+21)=Année_Calendaire,MONTH(Juin_Dim1+21)=6),Juin_Dim1+21,""),IF(AND(YEAR(Juin_Dim1+28)=Année_Calendaire,MONTH(Juin_Dim1+28)=6),Juin_Dim1+28,""))</f>
        <v>44010</v>
      </c>
      <c r="AK96" s="102"/>
      <c r="AL96" s="54"/>
      <c r="AM96" s="90">
        <f>IF(DAY(Juin_Dim1)=1,IF(AND(YEAR(Juin_Dim1+22)=Année_Calendaire,MONTH(Juin_Dim1+22)=6),Juin_Dim1+22,""),IF(AND(YEAR(Juin_Dim1+29)=Année_Calendaire,MONTH(Juin_Dim1+29)=6),Juin_Dim1+29,""))</f>
        <v>44011</v>
      </c>
      <c r="AN96" s="90">
        <f>IF(DAY(Juin_Dim1)=1,IF(AND(YEAR(Juin_Dim1+23)=Année_Calendaire,MONTH(Juin_Dim1+23)=6),Juin_Dim1+23,""),IF(AND(YEAR(Juin_Dim1+30)=Année_Calendaire,MONTH(Juin_Dim1+30)=6),Juin_Dim1+30,""))</f>
        <v>44012</v>
      </c>
      <c r="AO96" s="90" t="str">
        <f>IF(DAY(Juin_Dim1)=1,IF(AND(YEAR(Juin_Dim1+24)=Année_Calendaire,MONTH(Juin_Dim1+24)=6),Juin_Dim1+24,""),IF(AND(YEAR(Juin_Dim1+31)=Année_Calendaire,MONTH(Juin_Dim1+31)=6),Juin_Dim1+31,""))</f>
        <v/>
      </c>
      <c r="AP96" s="90" t="str">
        <f>IF(DAY(Juin_Dim1)=1,IF(AND(YEAR(Juin_Dim1+25)=Année_Calendaire,MONTH(Juin_Dim1+25)=6),Juin_Dim1+25,""),IF(AND(YEAR(Juin_Dim1+32)=Année_Calendaire,MONTH(Juin_Dim1+32)=6),Juin_Dim1+32,""))</f>
        <v/>
      </c>
      <c r="AQ96" s="90" t="str">
        <f>IF(DAY(Juin_Dim1)=1,IF(AND(YEAR(Juin_Dim1+26)=Année_Calendaire,MONTH(Juin_Dim1+26)=6),Juin_Dim1+26,""),IF(AND(YEAR(Juin_Dim1+33)=Année_Calendaire,MONTH(Juin_Dim1+33)=6),Juin_Dim1+33,""))</f>
        <v/>
      </c>
      <c r="AR96" s="90" t="str">
        <f>IF(DAY(Juin_Dim1)=1,IF(AND(YEAR(Juin_Dim1+27)=Année_Calendaire,MONTH(Juin_Dim1+27)=6),Juin_Dim1+27,""),IF(AND(YEAR(Juin_Dim1+34)=Année_Calendaire,MONTH(Juin_Dim1+34)=6),Juin_Dim1+34,""))</f>
        <v/>
      </c>
      <c r="AS96" s="90" t="str">
        <f>IF(DAY(Juin_Dim1)=1,IF(AND(YEAR(Juin_Dim1+28)=Année_Calendaire,MONTH(Juin_Dim1+28)=6),Juin_Dim1+28,""),IF(AND(YEAR(Juin_Dim1+35)=Année_Calendaire,MONTH(Juin_Dim1+35)=6),Juin_Dim1+35,""))</f>
        <v/>
      </c>
      <c r="AT96" s="102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102"/>
      <c r="AY96" s="102"/>
      <c r="AZ96" s="103"/>
      <c r="BA96" s="103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IF(C96="","",IFERROR(VLOOKUP(B95,DATA!$A:$H,2,TRUE),0))</f>
        <v>matin</v>
      </c>
      <c r="D97" s="49" t="str">
        <f>IF(D96="","",IFERROR(VLOOKUP(B95,DATA!$A:$H,3,TRUE),0))</f>
        <v>matin</v>
      </c>
      <c r="E97" s="49" t="str">
        <f>IF(E96="","",IFERROR(VLOOKUP(B95,DATA!$A:$H,4,TRUE),0))</f>
        <v>matin</v>
      </c>
      <c r="F97" s="49">
        <f>IF(F96="","",IFERROR(VLOOKUP(B95,DATA!$A:$H,5,TRUE),0))</f>
        <v>0</v>
      </c>
      <c r="G97" s="49">
        <f>IF(G96="","",IFERROR(VLOOKUP(B95,DATA!$A:$H,6,TRUE),0))</f>
        <v>0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nuit</v>
      </c>
      <c r="M97" s="49" t="str">
        <f>IF(M96="","",IFERROR(VLOOKUP(K95,DATA!$A:$H,3,TRUE),0))</f>
        <v>nuit</v>
      </c>
      <c r="N97" s="49" t="str">
        <f>IF(N96="","",IFERROR(VLOOKUP(K95,DATA!$A:$H,4,TRUE),0))</f>
        <v>nuit</v>
      </c>
      <c r="O97" s="49" t="str">
        <f>IF(O96="","",IFERROR(VLOOKUP(K95,DATA!$A:$H,5,TRUE),0))</f>
        <v>nuit</v>
      </c>
      <c r="P97" s="49" t="str">
        <f>IF(P96="","",IFERROR(VLOOKUP(K95,DATA!$A:$H,6,TRUE),0))</f>
        <v>nuit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matin</v>
      </c>
      <c r="V97" s="49">
        <f>IF(V96="","",IFERROR(VLOOKUP(T95,DATA!$A:$H,3,TRUE),0))</f>
        <v>0</v>
      </c>
      <c r="W97" s="49">
        <f>IF(W96="","",IFERROR(VLOOKUP(T95,DATA!$A:$H,4,TRUE),0))</f>
        <v>0</v>
      </c>
      <c r="X97" s="49" t="str">
        <f>IF(X96="","",IFERROR(VLOOKUP(T95,DATA!$A:$H,5,TRUE),0))</f>
        <v>matin</v>
      </c>
      <c r="Y97" s="49" t="str">
        <f>IF(Y96="","",IFERROR(VLOOKUP(T95,DATA!$A:$H,6,TRUE),0))</f>
        <v>matin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am</v>
      </c>
      <c r="AE97" s="49" t="str">
        <f>IF(AE96="","",IFERROR(VLOOKUP(AC95,DATA!$A:$H,3,TRUE),0))</f>
        <v>am</v>
      </c>
      <c r="AF97" s="49" t="str">
        <f>IF(AF96="","",IFERROR(VLOOKUP(AC95,DATA!$A:$H,4,TRUE),0))</f>
        <v>am</v>
      </c>
      <c r="AG97" s="49" t="str">
        <f>IF(AG96="","",IFERROR(VLOOKUP(AC95,DATA!$A:$H,5,TRUE),0))</f>
        <v>am</v>
      </c>
      <c r="AH97" s="49" t="str">
        <f>IF(AH96="","",IFERROR(VLOOKUP(AC95,DATA!$A:$H,6,TRUE),0))</f>
        <v>am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matin</v>
      </c>
      <c r="AN97" s="49" t="str">
        <f>IF(AN96="","",IFERROR(VLOOKUP(AL95,DATA!$A:$H,3,TRUE),0))</f>
        <v>matin</v>
      </c>
      <c r="AO97" s="49" t="str">
        <f>IF(AO96="","",IFERROR(VLOOKUP(AL95,DATA!$A:$H,4,TRUE),0))</f>
        <v/>
      </c>
      <c r="AP97" s="49" t="str">
        <f>IF(AP96="","",IFERROR(VLOOKUP(AL95,DATA!$A:$H,5,TRUE),0))</f>
        <v/>
      </c>
      <c r="AQ97" s="49" t="str">
        <f>IF(AQ96="","",IFERROR(VLOOKUP(AL95,DATA!$A:$H,6,TRUE),0))</f>
        <v/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31">IF(C97="Matin",1,IF(C97="AM",1,0))</f>
        <v>1</v>
      </c>
      <c r="D98" s="52">
        <f t="shared" si="231"/>
        <v>1</v>
      </c>
      <c r="E98" s="52">
        <f t="shared" si="231"/>
        <v>1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3</v>
      </c>
      <c r="K98" s="51"/>
      <c r="L98" s="52">
        <f t="shared" ref="L98:R98" si="232">IF(L97="Matin",1,IF(L97="AM",1,0))</f>
        <v>0</v>
      </c>
      <c r="M98" s="52">
        <f t="shared" si="232"/>
        <v>0</v>
      </c>
      <c r="N98" s="52">
        <f t="shared" si="232"/>
        <v>0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0</v>
      </c>
      <c r="T98" s="51"/>
      <c r="U98" s="52">
        <f t="shared" ref="U98:AA98" si="233">IF(U97="Matin",1,IF(U97="AM",1,0))</f>
        <v>1</v>
      </c>
      <c r="V98" s="52">
        <f t="shared" si="233"/>
        <v>0</v>
      </c>
      <c r="W98" s="52">
        <f t="shared" si="233"/>
        <v>0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3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5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0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2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13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1</v>
      </c>
      <c r="D99" s="49">
        <f>IF(D100&gt;=1,1,0)</f>
        <v>1</v>
      </c>
      <c r="E99" s="49">
        <f t="shared" ref="E99:I99" si="238">IF(E100&gt;=1,1,0)</f>
        <v>1</v>
      </c>
      <c r="F99" s="49">
        <f t="shared" si="238"/>
        <v>0</v>
      </c>
      <c r="G99" s="49">
        <f t="shared" si="238"/>
        <v>0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3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5</v>
      </c>
      <c r="T99" s="48"/>
      <c r="U99" s="49">
        <f>IF(U100&gt;=1,1,0)</f>
        <v>1</v>
      </c>
      <c r="V99" s="49">
        <f t="shared" ref="V99:AA99" si="242">IF(V100&gt;=1,1,0)</f>
        <v>0</v>
      </c>
      <c r="W99" s="49">
        <f t="shared" si="242"/>
        <v>0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3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5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0</v>
      </c>
      <c r="AP99" s="49">
        <f t="shared" si="246"/>
        <v>0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2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18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8</v>
      </c>
      <c r="D100" s="52">
        <f t="shared" ref="D100:I100" si="250">IF(D97="Matin",8,IF(D97="AM",8,IF(D97="nuit",8,0)))</f>
        <v>8</v>
      </c>
      <c r="E100" s="52">
        <f t="shared" si="250"/>
        <v>8</v>
      </c>
      <c r="F100" s="52">
        <f t="shared" si="250"/>
        <v>0</v>
      </c>
      <c r="G100" s="52">
        <f t="shared" si="250"/>
        <v>0</v>
      </c>
      <c r="H100" s="52">
        <f t="shared" si="250"/>
        <v>0</v>
      </c>
      <c r="I100" s="52">
        <f t="shared" si="250"/>
        <v>0</v>
      </c>
      <c r="J100" s="52">
        <f t="shared" si="239"/>
        <v>24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40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0</v>
      </c>
      <c r="W100" s="52">
        <f t="shared" si="252"/>
        <v>0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24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40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0</v>
      </c>
      <c r="AP100" s="52">
        <f t="shared" si="254"/>
        <v>0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16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144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0.16</v>
      </c>
      <c r="M109" s="49">
        <f>IF(M97="nuit",M100*0.02,0)</f>
        <v>0.16</v>
      </c>
      <c r="N109" s="49">
        <f t="shared" ref="N109:R109" si="264">IF(N97="nuit",N100*0.02,0)</f>
        <v>0.16</v>
      </c>
      <c r="O109" s="49">
        <f t="shared" si="264"/>
        <v>0.16</v>
      </c>
      <c r="P109" s="49">
        <f>IF(P97="nuit",P100*0.02,0)</f>
        <v>0.16</v>
      </c>
      <c r="Q109" s="49">
        <f t="shared" si="264"/>
        <v>0</v>
      </c>
      <c r="R109" s="49">
        <f t="shared" si="264"/>
        <v>0</v>
      </c>
      <c r="S109" s="52">
        <f t="shared" si="241"/>
        <v>0.8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">
      <c r="A112" s="16"/>
      <c r="B112" s="16"/>
      <c r="C112" s="19" t="s">
        <v>18</v>
      </c>
      <c r="D112" s="19"/>
      <c r="E112" s="19"/>
      <c r="F112" s="19"/>
      <c r="G112" s="19"/>
      <c r="H112" s="101">
        <f>Année_Calendaire</f>
        <v>2020</v>
      </c>
      <c r="I112" s="101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1">
        <f>Année_Calendaire</f>
        <v>2020</v>
      </c>
      <c r="AA112" s="101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1">
        <f>Année_Calendaire</f>
        <v>2020</v>
      </c>
      <c r="AS112" s="101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C1</v>
      </c>
      <c r="C113" s="91" t="str">
        <f>IF(C114&lt;&gt;"","Lun","")</f>
        <v/>
      </c>
      <c r="D113" s="91" t="str">
        <f>IF(D114&lt;&gt;"","Mar","")</f>
        <v/>
      </c>
      <c r="E113" s="91" t="str">
        <f>IF(E114&lt;&gt;"","Mer","")</f>
        <v>Mer</v>
      </c>
      <c r="F113" s="91" t="str">
        <f>IF(F114&lt;&gt;"","Jeu","")</f>
        <v>Jeu</v>
      </c>
      <c r="G113" s="91" t="str">
        <f>IF(G114&lt;&gt;"","Ven","")</f>
        <v>Ven</v>
      </c>
      <c r="H113" s="91" t="str">
        <f>IF(H114&lt;&gt;"","Sam","")</f>
        <v>Sam</v>
      </c>
      <c r="I113" s="91" t="str">
        <f>IF(I114&lt;&gt;"","Dim","")</f>
        <v>Dim</v>
      </c>
      <c r="J113" s="102" t="s">
        <v>25</v>
      </c>
      <c r="K113" s="55" t="str">
        <f>IF(L113="",LEFT(B113)&amp;MOD(RIGHT(B113),5),LEFT(B113)&amp;MOD(RIGHT(B113),4)+1)</f>
        <v>C2</v>
      </c>
      <c r="L113" s="91" t="str">
        <f>IF(L114&lt;&gt;"","Lun","")</f>
        <v>Lun</v>
      </c>
      <c r="M113" s="91" t="str">
        <f>IF(M114&lt;&gt;"","Mar","")</f>
        <v>Mar</v>
      </c>
      <c r="N113" s="91" t="str">
        <f>IF(N114&lt;&gt;"","Mer","")</f>
        <v>Mer</v>
      </c>
      <c r="O113" s="91" t="str">
        <f>IF(O114&lt;&gt;"","Jeu","")</f>
        <v>Jeu</v>
      </c>
      <c r="P113" s="91" t="str">
        <f>IF(P114&lt;&gt;"","Ven","")</f>
        <v>Ven</v>
      </c>
      <c r="Q113" s="91" t="str">
        <f>IF(Q114&lt;&gt;"","Sam","")</f>
        <v>Sam</v>
      </c>
      <c r="R113" s="91" t="str">
        <f>IF(R114&lt;&gt;"","Dim","")</f>
        <v>Dim</v>
      </c>
      <c r="S113" s="102" t="s">
        <v>25</v>
      </c>
      <c r="T113" s="55" t="str">
        <f>IF(U113="",LEFT(K113)&amp;MOD(RIGHT(K113),5),LEFT(K113)&amp;MOD(RIGHT(K113),4)+1)</f>
        <v>C3</v>
      </c>
      <c r="U113" s="91" t="str">
        <f>IF(U114&lt;&gt;"","Lun","")</f>
        <v>Lun</v>
      </c>
      <c r="V113" s="91" t="str">
        <f>IF(V114&lt;&gt;"","Mar","")</f>
        <v>Mar</v>
      </c>
      <c r="W113" s="91" t="str">
        <f>IF(W114&lt;&gt;"","Mer","")</f>
        <v>Mer</v>
      </c>
      <c r="X113" s="91" t="str">
        <f>IF(X114&lt;&gt;"","Jeu","")</f>
        <v>Jeu</v>
      </c>
      <c r="Y113" s="91" t="str">
        <f>IF(Y114&lt;&gt;"","Ven","")</f>
        <v>Ven</v>
      </c>
      <c r="Z113" s="91" t="str">
        <f>IF(Z114&lt;&gt;"","Sam","")</f>
        <v>Sam</v>
      </c>
      <c r="AA113" s="91" t="str">
        <f>IF(AA114&lt;&gt;"","Dim","")</f>
        <v>Dim</v>
      </c>
      <c r="AB113" s="102" t="s">
        <v>25</v>
      </c>
      <c r="AC113" s="55" t="str">
        <f>IF(AD113="",LEFT(T113)&amp;MOD(RIGHT(T113),5),LEFT(T113)&amp;MOD(RIGHT(T113),4)+1)</f>
        <v>C4</v>
      </c>
      <c r="AD113" s="91" t="str">
        <f>IF(AD114&lt;&gt;"","Lun","")</f>
        <v>Lun</v>
      </c>
      <c r="AE113" s="91" t="str">
        <f>IF(AE114&lt;&gt;"","Mar","")</f>
        <v>Mar</v>
      </c>
      <c r="AF113" s="91" t="str">
        <f>IF(AF114&lt;&gt;"","Mer","")</f>
        <v>Mer</v>
      </c>
      <c r="AG113" s="91" t="str">
        <f>IF(AG114&lt;&gt;"","Jeu","")</f>
        <v>Jeu</v>
      </c>
      <c r="AH113" s="91" t="str">
        <f>IF(AH114&lt;&gt;"","Ven","")</f>
        <v>Ven</v>
      </c>
      <c r="AI113" s="91" t="str">
        <f>IF(AI114&lt;&gt;"","Sam","")</f>
        <v>Sam</v>
      </c>
      <c r="AJ113" s="91" t="str">
        <f>IF(AJ114&lt;&gt;"","Dim","")</f>
        <v>Dim</v>
      </c>
      <c r="AK113" s="102" t="s">
        <v>25</v>
      </c>
      <c r="AL113" s="55" t="str">
        <f>IF(AM113="",LEFT(AC113)&amp;MOD(RIGHT(AC113),5),LEFT(AC113)&amp;MOD(RIGHT(AC113),4)+1)</f>
        <v>C1</v>
      </c>
      <c r="AM113" s="91" t="str">
        <f>IF(AM114&lt;&gt;"","Lun","")</f>
        <v>Lun</v>
      </c>
      <c r="AN113" s="91" t="str">
        <f>IF(AN114&lt;&gt;"","Mar","")</f>
        <v>Mar</v>
      </c>
      <c r="AO113" s="91" t="str">
        <f>IF(AO114&lt;&gt;"","Mer","")</f>
        <v>Mer</v>
      </c>
      <c r="AP113" s="91" t="str">
        <f>IF(AP114&lt;&gt;"","Jeu","")</f>
        <v>Jeu</v>
      </c>
      <c r="AQ113" s="91" t="str">
        <f>IF(AQ114&lt;&gt;"","Ven","")</f>
        <v>Ven</v>
      </c>
      <c r="AR113" s="91" t="str">
        <f>IF(AR114&lt;&gt;"","Sam","")</f>
        <v/>
      </c>
      <c r="AS113" s="91" t="str">
        <f>IF(AS114&lt;&gt;"","Dim","")</f>
        <v/>
      </c>
      <c r="AT113" s="102" t="s">
        <v>25</v>
      </c>
      <c r="AU113" s="55" t="str">
        <f>IF(AV113="",LEFT(AL113)&amp;MOD(RIGHT(AL113),5),LEFT(AL113)&amp;MOD(RIGHT(AL113),4)+1)</f>
        <v>C1</v>
      </c>
      <c r="AV113" s="53" t="str">
        <f>IF(AV114&lt;&gt;"","Lun","")</f>
        <v/>
      </c>
      <c r="AW113" s="53" t="str">
        <f>IF(AW114&lt;&gt;"","Mar","")</f>
        <v/>
      </c>
      <c r="AX113" s="102" t="s">
        <v>25</v>
      </c>
      <c r="AY113" s="102" t="s">
        <v>28</v>
      </c>
      <c r="AZ113" s="103">
        <f>AY120+AY121+AY122</f>
        <v>10</v>
      </c>
      <c r="BA113" s="103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90" t="str">
        <f>IF(DAY(Juil_Dim1)=1,"",IF(AND(YEAR(Juil_Dim1+1)=Année_Calendaire,MONTH(Juil_Dim1+1)=7),Juil_Dim1+1,""))</f>
        <v/>
      </c>
      <c r="D114" s="90" t="str">
        <f>IF(DAY(Juil_Dim1)=1,"",IF(AND(YEAR(Juil_Dim1+2)=Année_Calendaire,MONTH(Juil_Dim1+2)=7),Juil_Dim1+2,""))</f>
        <v/>
      </c>
      <c r="E114" s="90">
        <f>IF(DAY(Juil_Dim1)=1,"",IF(AND(YEAR(Juil_Dim1+3)=Année_Calendaire,MONTH(Juil_Dim1+3)=7),Juil_Dim1+3,""))</f>
        <v>44013</v>
      </c>
      <c r="F114" s="90">
        <f>IF(DAY(Juil_Dim1)=1,"",IF(AND(YEAR(Juil_Dim1+4)=Année_Calendaire,MONTH(Juil_Dim1+4)=7),Juil_Dim1+4,""))</f>
        <v>44014</v>
      </c>
      <c r="G114" s="90">
        <f>IF(DAY(Juil_Dim1)=1,"",IF(AND(YEAR(Juil_Dim1+5)=Année_Calendaire,MONTH(Juil_Dim1+5)=7),Juil_Dim1+5,""))</f>
        <v>44015</v>
      </c>
      <c r="H114" s="90">
        <f>IF(DAY(Juil_Dim1)=1,"",IF(AND(YEAR(Juil_Dim1+6)=Année_Calendaire,MONTH(Juil_Dim1+6)=7),Juil_Dim1+6,""))</f>
        <v>44016</v>
      </c>
      <c r="I114" s="90">
        <f>IF(DAY(Juil_Dim1)=1,IF(AND(YEAR(Juil_Dim1)=Année_Calendaire,MONTH(Juil_Dim1)=7),Juil_Dim1,""),IF(AND(YEAR(Juil_Dim1+7)=Année_Calendaire,MONTH(Juil_Dim1+7)=7),Juil_Dim1+7,""))</f>
        <v>44017</v>
      </c>
      <c r="J114" s="102"/>
      <c r="K114" s="54"/>
      <c r="L114" s="90">
        <f>IF(DAY(Juil_Dim1)=1,IF(AND(YEAR(Juil_Dim1+1)=Année_Calendaire,MONTH(Juil_Dim1+1)=7),Juil_Dim1+1,""),IF(AND(YEAR(Juil_Dim1+8)=Année_Calendaire,MONTH(Juil_Dim1+8)=7),Juil_Dim1+8,""))</f>
        <v>44018</v>
      </c>
      <c r="M114" s="90">
        <f>IF(DAY(Juil_Dim1)=1,IF(AND(YEAR(Juil_Dim1+2)=Année_Calendaire,MONTH(Juil_Dim1+2)=7),Juil_Dim1+2,""),IF(AND(YEAR(Juil_Dim1+9)=Année_Calendaire,MONTH(Juil_Dim1+9)=7),Juil_Dim1+9,""))</f>
        <v>44019</v>
      </c>
      <c r="N114" s="90">
        <f>IF(DAY(Juil_Dim1)=1,IF(AND(YEAR(Juil_Dim1+3)=Année_Calendaire,MONTH(Juil_Dim1+3)=7),Juil_Dim1+3,""),IF(AND(YEAR(Juil_Dim1+10)=Année_Calendaire,MONTH(Juil_Dim1+10)=7),Juil_Dim1+10,""))</f>
        <v>44020</v>
      </c>
      <c r="O114" s="90">
        <f>IF(DAY(Juil_Dim1)=1,IF(AND(YEAR(Juil_Dim1+4)=Année_Calendaire,MONTH(Juil_Dim1+4)=7),Juil_Dim1+4,""),IF(AND(YEAR(Juil_Dim1+11)=Année_Calendaire,MONTH(Juil_Dim1+11)=7),Juil_Dim1+11,""))</f>
        <v>44021</v>
      </c>
      <c r="P114" s="90">
        <f>IF(DAY(Juil_Dim1)=1,IF(AND(YEAR(Juil_Dim1+5)=Année_Calendaire,MONTH(Juil_Dim1+5)=7),Juil_Dim1+5,""),IF(AND(YEAR(Juil_Dim1+12)=Année_Calendaire,MONTH(Juil_Dim1+12)=7),Juil_Dim1+12,""))</f>
        <v>44022</v>
      </c>
      <c r="Q114" s="90">
        <f>IF(DAY(Juil_Dim1)=1,IF(AND(YEAR(Juil_Dim1+6)=Année_Calendaire,MONTH(Juil_Dim1+6)=7),Juil_Dim1+6,""),IF(AND(YEAR(Juil_Dim1+13)=Année_Calendaire,MONTH(Juil_Dim1+13)=7),Juil_Dim1+13,""))</f>
        <v>44023</v>
      </c>
      <c r="R114" s="90">
        <f>IF(DAY(Juil_Dim1)=1,IF(AND(YEAR(Juil_Dim1+7)=Année_Calendaire,MONTH(Juil_Dim1+7)=7),Juil_Dim1+7,""),IF(AND(YEAR(Juil_Dim1+14)=Année_Calendaire,MONTH(Juil_Dim1+14)=7),Juil_Dim1+14,""))</f>
        <v>44024</v>
      </c>
      <c r="S114" s="102"/>
      <c r="T114" s="54"/>
      <c r="U114" s="90">
        <f>IF(DAY(Juil_Dim1)=1,IF(AND(YEAR(Juil_Dim1+8)=Année_Calendaire,MONTH(Juil_Dim1+8)=7),Juil_Dim1+8,""),IF(AND(YEAR(Juil_Dim1+15)=Année_Calendaire,MONTH(Juil_Dim1+15)=7),Juil_Dim1+15,""))</f>
        <v>44025</v>
      </c>
      <c r="V114" s="90">
        <f>IF(DAY(Juil_Dim1)=1,IF(AND(YEAR(Juil_Dim1+9)=Année_Calendaire,MONTH(Juil_Dim1+9)=7),Juil_Dim1+9,""),IF(AND(YEAR(Juil_Dim1+16)=Année_Calendaire,MONTH(Juil_Dim1+16)=7),Juil_Dim1+16,""))</f>
        <v>44026</v>
      </c>
      <c r="W114" s="90">
        <f>IF(DAY(Juil_Dim1)=1,IF(AND(YEAR(Juil_Dim1+10)=Année_Calendaire,MONTH(Juil_Dim1+10)=7),Juil_Dim1+10,""),IF(AND(YEAR(Juil_Dim1+17)=Année_Calendaire,MONTH(Juil_Dim1+17)=7),Juil_Dim1+17,""))</f>
        <v>44027</v>
      </c>
      <c r="X114" s="90">
        <f>IF(DAY(Juil_Dim1)=1,IF(AND(YEAR(Juil_Dim1+11)=Année_Calendaire,MONTH(Juil_Dim1+11)=7),Juil_Dim1+11,""),IF(AND(YEAR(Juil_Dim1+18)=Année_Calendaire,MONTH(Juil_Dim1+18)=7),Juil_Dim1+18,""))</f>
        <v>44028</v>
      </c>
      <c r="Y114" s="90">
        <f>IF(DAY(Juil_Dim1)=1,IF(AND(YEAR(Juil_Dim1+12)=Année_Calendaire,MONTH(Juil_Dim1+12)=7),Juil_Dim1+12,""),IF(AND(YEAR(Juil_Dim1+19)=Année_Calendaire,MONTH(Juil_Dim1+19)=7),Juil_Dim1+19,""))</f>
        <v>44029</v>
      </c>
      <c r="Z114" s="93">
        <f>IF(DAY(Juil_Dim1)=1,IF(AND(YEAR(Juil_Dim1+13)=Année_Calendaire,MONTH(Juil_Dim1+13)=7),Juil_Dim1+13,""),IF(AND(YEAR(Juil_Dim1+20)=Année_Calendaire,MONTH(Juil_Dim1+20)=7),Juil_Dim1+20,""))</f>
        <v>44030</v>
      </c>
      <c r="AA114" s="90">
        <f>IF(DAY(Juil_Dim1)=1,IF(AND(YEAR(Juil_Dim1+14)=Année_Calendaire,MONTH(Juil_Dim1+14)=7),Juil_Dim1+14,""),IF(AND(YEAR(Juil_Dim1+21)=Année_Calendaire,MONTH(Juil_Dim1+21)=7),Juil_Dim1+21,""))</f>
        <v>44031</v>
      </c>
      <c r="AB114" s="102"/>
      <c r="AC114" s="54"/>
      <c r="AD114" s="90">
        <f>IF(DAY(Juil_Dim1)=1,IF(AND(YEAR(Juil_Dim1+15)=Année_Calendaire,MONTH(Juil_Dim1+15)=7),Juil_Dim1+15,""),IF(AND(YEAR(Juil_Dim1+22)=Année_Calendaire,MONTH(Juil_Dim1+22)=7),Juil_Dim1+22,""))</f>
        <v>44032</v>
      </c>
      <c r="AE114" s="90">
        <f>IF(DAY(Juil_Dim1)=1,IF(AND(YEAR(Juil_Dim1+16)=Année_Calendaire,MONTH(Juil_Dim1+16)=7),Juil_Dim1+16,""),IF(AND(YEAR(Juil_Dim1+23)=Année_Calendaire,MONTH(Juil_Dim1+23)=7),Juil_Dim1+23,""))</f>
        <v>44033</v>
      </c>
      <c r="AF114" s="90">
        <f>IF(DAY(Juil_Dim1)=1,IF(AND(YEAR(Juil_Dim1+17)=Année_Calendaire,MONTH(Juil_Dim1+17)=7),Juil_Dim1+17,""),IF(AND(YEAR(Juil_Dim1+24)=Année_Calendaire,MONTH(Juil_Dim1+24)=7),Juil_Dim1+24,""))</f>
        <v>44034</v>
      </c>
      <c r="AG114" s="90">
        <f>IF(DAY(Juil_Dim1)=1,IF(AND(YEAR(Juil_Dim1+18)=Année_Calendaire,MONTH(Juil_Dim1+18)=7),Juil_Dim1+18,""),IF(AND(YEAR(Juil_Dim1+25)=Année_Calendaire,MONTH(Juil_Dim1+25)=7),Juil_Dim1+25,""))</f>
        <v>44035</v>
      </c>
      <c r="AH114" s="90">
        <f>IF(DAY(Juil_Dim1)=1,IF(AND(YEAR(Juil_Dim1+19)=Année_Calendaire,MONTH(Juil_Dim1+19)=7),Juil_Dim1+19,""),IF(AND(YEAR(Juil_Dim1+26)=Année_Calendaire,MONTH(Juil_Dim1+26)=7),Juil_Dim1+26,""))</f>
        <v>44036</v>
      </c>
      <c r="AI114" s="90">
        <f>IF(DAY(Juil_Dim1)=1,IF(AND(YEAR(Juil_Dim1+20)=Année_Calendaire,MONTH(Juil_Dim1+20)=7),Juil_Dim1+20,""),IF(AND(YEAR(Juil_Dim1+27)=Année_Calendaire,MONTH(Juil_Dim1+27)=7),Juil_Dim1+27,""))</f>
        <v>44037</v>
      </c>
      <c r="AJ114" s="90">
        <f>IF(DAY(Juil_Dim1)=1,IF(AND(YEAR(Juil_Dim1+21)=Année_Calendaire,MONTH(Juil_Dim1+21)=7),Juil_Dim1+21,""),IF(AND(YEAR(Juil_Dim1+28)=Année_Calendaire,MONTH(Juil_Dim1+28)=7),Juil_Dim1+28,""))</f>
        <v>44038</v>
      </c>
      <c r="AK114" s="102"/>
      <c r="AL114" s="54"/>
      <c r="AM114" s="90">
        <f>IF(DAY(Juil_Dim1)=1,IF(AND(YEAR(Juil_Dim1+22)=Année_Calendaire,MONTH(Juil_Dim1+22)=7),Juil_Dim1+22,""),IF(AND(YEAR(Juil_Dim1+29)=Année_Calendaire,MONTH(Juil_Dim1+29)=7),Juil_Dim1+29,""))</f>
        <v>44039</v>
      </c>
      <c r="AN114" s="90">
        <f>IF(DAY(Juil_Dim1)=1,IF(AND(YEAR(Juil_Dim1+23)=Année_Calendaire,MONTH(Juil_Dim1+23)=7),Juil_Dim1+23,""),IF(AND(YEAR(Juil_Dim1+30)=Année_Calendaire,MONTH(Juil_Dim1+30)=7),Juil_Dim1+30,""))</f>
        <v>44040</v>
      </c>
      <c r="AO114" s="90">
        <f>IF(DAY(Juil_Dim1)=1,IF(AND(YEAR(Juil_Dim1+24)=Année_Calendaire,MONTH(Juil_Dim1+24)=7),Juil_Dim1+24,""),IF(AND(YEAR(Juil_Dim1+31)=Année_Calendaire,MONTH(Juil_Dim1+31)=7),Juil_Dim1+31,""))</f>
        <v>44041</v>
      </c>
      <c r="AP114" s="90">
        <f>IF(DAY(Juil_Dim1)=1,IF(AND(YEAR(Juil_Dim1+25)=Année_Calendaire,MONTH(Juil_Dim1+25)=7),Juil_Dim1+25,""),IF(AND(YEAR(Juil_Dim1+32)=Année_Calendaire,MONTH(Juil_Dim1+32)=7),Juil_Dim1+32,""))</f>
        <v>44042</v>
      </c>
      <c r="AQ114" s="90">
        <f>IF(DAY(Juil_Dim1)=1,IF(AND(YEAR(Juil_Dim1+26)=Année_Calendaire,MONTH(Juil_Dim1+26)=7),Juil_Dim1+26,""),IF(AND(YEAR(Juil_Dim1+33)=Année_Calendaire,MONTH(Juil_Dim1+33)=7),Juil_Dim1+33,""))</f>
        <v>44043</v>
      </c>
      <c r="AR114" s="90" t="str">
        <f>IF(DAY(Juil_Dim1)=1,IF(AND(YEAR(Juil_Dim1+27)=Année_Calendaire,MONTH(Juil_Dim1+27)=7),Juil_Dim1+27,""),IF(AND(YEAR(Juil_Dim1+34)=Année_Calendaire,MONTH(Juil_Dim1+34)=7),Juil_Dim1+34,""))</f>
        <v/>
      </c>
      <c r="AS114" s="90" t="str">
        <f>IF(DAY(Juil_Dim1)=1,IF(AND(YEAR(Juil_Dim1+28)=Année_Calendaire,MONTH(Juil_Dim1+28)=7),Juil_Dim1+28,""),IF(AND(YEAR(Juil_Dim1+35)=Année_Calendaire,MONTH(Juil_Dim1+35)=7),Juil_Dim1+35,""))</f>
        <v/>
      </c>
      <c r="AT114" s="102"/>
      <c r="AU114" s="54"/>
      <c r="AV114" s="54" t="str">
        <f>IF(DAY(Juil_Dim1)=1,IF(AND(YEAR(Juil_Dim1+29)=Année_Calendaire,MONTH(Juil_Dim1+29)=7),Juil_Dim1+29,""),IF(AND(YEAR(Juil_Dim1+36)=Année_Calendaire,MONTH(Juil_Dim1+36)=7),Juil_Dim1+36,""))</f>
        <v/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102"/>
      <c r="AY114" s="102"/>
      <c r="AZ114" s="103"/>
      <c r="BA114" s="103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>matin</v>
      </c>
      <c r="F115" s="49">
        <f>IF(F114="","",IFERROR(VLOOKUP(B113,DATA!$A:$H,5,TRUE),0))</f>
        <v>0</v>
      </c>
      <c r="G115" s="49">
        <f>IF(G114="","",IFERROR(VLOOKUP(B113,DATA!$A:$H,6,TRUE),0))</f>
        <v>0</v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nuit</v>
      </c>
      <c r="M115" s="49" t="str">
        <f>IF(M114="","",IFERROR(VLOOKUP(K113,DATA!$A:$H,3,TRUE),0))</f>
        <v>nuit</v>
      </c>
      <c r="N115" s="49" t="str">
        <f>IF(N114="","",IFERROR(VLOOKUP(K113,DATA!$A:$H,4,TRUE),0))</f>
        <v>nuit</v>
      </c>
      <c r="O115" s="49" t="str">
        <f>IF(O114="","",IFERROR(VLOOKUP(K113,DATA!$A:$H,5,TRUE),0))</f>
        <v>nuit</v>
      </c>
      <c r="P115" s="49" t="str">
        <f>IF(P114="","",IFERROR(VLOOKUP(K113,DATA!$A:$H,6,TRUE),0))</f>
        <v>nuit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>
        <f>IF(V114="","",IFERROR(VLOOKUP(T113,DATA!$A:$H,3,TRUE),0))</f>
        <v>0</v>
      </c>
      <c r="W115" s="49">
        <f>IF(W114="","",IFERROR(VLOOKUP(T113,DATA!$A:$H,4,TRUE),0))</f>
        <v>0</v>
      </c>
      <c r="X115" s="49" t="str">
        <f>IF(X114="","",IFERROR(VLOOKUP(T113,DATA!$A:$H,5,TRUE),0))</f>
        <v>matin</v>
      </c>
      <c r="Y115" s="49" t="str">
        <f>IF(Y114="","",IFERROR(VLOOKUP(T113,DATA!$A:$H,6,TRUE),0))</f>
        <v>matin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am</v>
      </c>
      <c r="AE115" s="49" t="str">
        <f>IF(AE114="","",IFERROR(VLOOKUP(AC113,DATA!$A:$H,3,TRUE),0))</f>
        <v>am</v>
      </c>
      <c r="AF115" s="49" t="str">
        <f>IF(AF114="","",IFERROR(VLOOKUP(AC113,DATA!$A:$H,4,TRUE),0))</f>
        <v>am</v>
      </c>
      <c r="AG115" s="49" t="str">
        <f>IF(AG114="","",IFERROR(VLOOKUP(AC113,DATA!$A:$H,5,TRUE),0))</f>
        <v>am</v>
      </c>
      <c r="AH115" s="49" t="str">
        <f>IF(AH114="","",IFERROR(VLOOKUP(AC113,DATA!$A:$H,6,TRUE),0))</f>
        <v>am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 t="str">
        <f>IF(AN114="","",IFERROR(VLOOKUP(AL113,DATA!$A:$H,3,TRUE),0))</f>
        <v>matin</v>
      </c>
      <c r="AO115" s="49" t="str">
        <f>IF(AO114="","",IFERROR(VLOOKUP(AL113,DATA!$A:$H,4,TRUE),0))</f>
        <v>matin</v>
      </c>
      <c r="AP115" s="49">
        <f>IF(AP114="","",IFERROR(VLOOKUP(AL113,DATA!$A:$H,5,TRUE),0))</f>
        <v>0</v>
      </c>
      <c r="AQ115" s="49">
        <f>IF(AQ114="","",IFERROR(VLOOKUP(AL113,DATA!$A:$H,6,TRUE),0))</f>
        <v>0</v>
      </c>
      <c r="AR115" s="49" t="str">
        <f>IF(AR114="","",IFERROR(VLOOKUP(AL113,DATA!$A:$H,7,TRUE),0))</f>
        <v/>
      </c>
      <c r="AS115" s="49" t="str">
        <f>IF(AS114="","",IFERROR(VLOOKUP(AL113,DATA!$A:$H,8,TRUE),0))</f>
        <v/>
      </c>
      <c r="AT115" s="52"/>
      <c r="AU115" s="48"/>
      <c r="AV115" s="49" t="str">
        <f>IF(AV114="","",IFERROR(VLOOKUP(AU113,DATA!$A:$H,2,TRUE),0))</f>
        <v/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1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1</v>
      </c>
      <c r="K116" s="51"/>
      <c r="L116" s="52">
        <f t="shared" ref="L116:R116" si="269">IF(L115="Matin",1,IF(L115="AM",1,0))</f>
        <v>0</v>
      </c>
      <c r="M116" s="52">
        <f t="shared" si="269"/>
        <v>0</v>
      </c>
      <c r="N116" s="52">
        <f t="shared" si="269"/>
        <v>0</v>
      </c>
      <c r="O116" s="52">
        <f t="shared" si="269"/>
        <v>0</v>
      </c>
      <c r="P116" s="52">
        <f t="shared" si="269"/>
        <v>0</v>
      </c>
      <c r="Q116" s="52">
        <f t="shared" si="269"/>
        <v>0</v>
      </c>
      <c r="R116" s="52">
        <f t="shared" si="269"/>
        <v>0</v>
      </c>
      <c r="S116" s="52">
        <f>SUM(L116:R116)</f>
        <v>0</v>
      </c>
      <c r="T116" s="51"/>
      <c r="U116" s="52">
        <f t="shared" ref="U116:AA116" si="270">IF(U115="Matin",1,IF(U115="AM",1,0))</f>
        <v>1</v>
      </c>
      <c r="V116" s="52">
        <f t="shared" si="270"/>
        <v>0</v>
      </c>
      <c r="W116" s="52">
        <f t="shared" si="270"/>
        <v>0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1</v>
      </c>
      <c r="AH116" s="52">
        <f t="shared" si="271"/>
        <v>1</v>
      </c>
      <c r="AI116" s="52">
        <f t="shared" si="271"/>
        <v>0</v>
      </c>
      <c r="AJ116" s="52">
        <f t="shared" si="271"/>
        <v>0</v>
      </c>
      <c r="AK116" s="52">
        <f>SUM(AD116:AJ116)</f>
        <v>5</v>
      </c>
      <c r="AL116" s="51"/>
      <c r="AM116" s="52">
        <f t="shared" ref="AM116:AS116" si="272">IF(AM115="Matin",1,IF(AM115="AM",1,0))</f>
        <v>1</v>
      </c>
      <c r="AN116" s="52">
        <f t="shared" si="272"/>
        <v>1</v>
      </c>
      <c r="AO116" s="52">
        <f t="shared" si="272"/>
        <v>1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1</v>
      </c>
      <c r="F117" s="49">
        <f t="shared" si="275"/>
        <v>0</v>
      </c>
      <c r="G117" s="49">
        <f t="shared" si="275"/>
        <v>0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1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0</v>
      </c>
      <c r="W117" s="49">
        <f t="shared" si="279"/>
        <v>0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0</v>
      </c>
      <c r="AQ117" s="49">
        <f t="shared" si="283"/>
        <v>0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0</v>
      </c>
      <c r="AW117" s="49">
        <f t="shared" ref="AW117" si="285">IF(AW118&gt;=1,1,0)</f>
        <v>0</v>
      </c>
      <c r="AX117" s="52">
        <f t="shared" si="274"/>
        <v>0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8</v>
      </c>
      <c r="F118" s="52">
        <f t="shared" si="287"/>
        <v>0</v>
      </c>
      <c r="G118" s="52">
        <f t="shared" si="287"/>
        <v>0</v>
      </c>
      <c r="H118" s="52">
        <f t="shared" si="287"/>
        <v>0</v>
      </c>
      <c r="I118" s="52">
        <f t="shared" si="287"/>
        <v>0</v>
      </c>
      <c r="J118" s="52">
        <f t="shared" si="276"/>
        <v>8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0</v>
      </c>
      <c r="W118" s="52">
        <f t="shared" si="289"/>
        <v>0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0</v>
      </c>
      <c r="AQ118" s="52">
        <f t="shared" si="291"/>
        <v>0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0</v>
      </c>
      <c r="AW118" s="52">
        <f t="shared" ref="AW118" si="292">IF(AW115="Matin",8,IF(AW115="AM",8,IF(AW115="nuit",8,0)))</f>
        <v>0</v>
      </c>
      <c r="AX118" s="52">
        <f t="shared" si="274"/>
        <v>0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0.16</v>
      </c>
      <c r="M127" s="49">
        <f>IF(M115="nuit",M118*0.02,0)</f>
        <v>0.16</v>
      </c>
      <c r="N127" s="49">
        <f t="shared" ref="N127:R127" si="300">IF(N115="nuit",N118*0.02,0)</f>
        <v>0.16</v>
      </c>
      <c r="O127" s="49">
        <f t="shared" si="300"/>
        <v>0.16</v>
      </c>
      <c r="P127" s="49">
        <f>IF(P115="nuit",P118*0.02,0)</f>
        <v>0.16</v>
      </c>
      <c r="Q127" s="49">
        <f t="shared" si="300"/>
        <v>0</v>
      </c>
      <c r="R127" s="49">
        <f t="shared" si="300"/>
        <v>0</v>
      </c>
      <c r="S127" s="52">
        <f t="shared" si="278"/>
        <v>0.8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">
      <c r="A130" s="16"/>
      <c r="B130" s="16"/>
      <c r="C130" s="19" t="s">
        <v>19</v>
      </c>
      <c r="D130" s="19"/>
      <c r="E130" s="19"/>
      <c r="F130" s="19"/>
      <c r="G130" s="19"/>
      <c r="H130" s="101">
        <f>Année_Calendaire</f>
        <v>2020</v>
      </c>
      <c r="I130" s="101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1">
        <f>Année_Calendaire</f>
        <v>2020</v>
      </c>
      <c r="AA130" s="101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1">
        <f>Année_Calendaire</f>
        <v>2020</v>
      </c>
      <c r="AS130" s="101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C1</v>
      </c>
      <c r="C131" s="91" t="str">
        <f>IF(C132&lt;&gt;"","Lun","")</f>
        <v/>
      </c>
      <c r="D131" s="91" t="str">
        <f>IF(D132&lt;&gt;"","Mar","")</f>
        <v/>
      </c>
      <c r="E131" s="91" t="str">
        <f>IF(E132&lt;&gt;"","Mer","")</f>
        <v/>
      </c>
      <c r="F131" s="91" t="str">
        <f>IF(F132&lt;&gt;"","Jeu","")</f>
        <v/>
      </c>
      <c r="G131" s="91" t="str">
        <f>IF(G132&lt;&gt;"","Ven","")</f>
        <v/>
      </c>
      <c r="H131" s="91" t="str">
        <f>IF(H132&lt;&gt;"","Sam","")</f>
        <v>Sam</v>
      </c>
      <c r="I131" s="91" t="str">
        <f>IF(I132&lt;&gt;"","Dim","")</f>
        <v>Dim</v>
      </c>
      <c r="J131" s="102" t="s">
        <v>25</v>
      </c>
      <c r="K131" s="55" t="str">
        <f>IF(L131="",LEFT(B131)&amp;MOD(RIGHT(B131),5),LEFT(B131)&amp;MOD(RIGHT(B131),4)+1)</f>
        <v>C2</v>
      </c>
      <c r="L131" s="91" t="str">
        <f>IF(L132&lt;&gt;"","Lun","")</f>
        <v>Lun</v>
      </c>
      <c r="M131" s="91" t="str">
        <f>IF(M132&lt;&gt;"","Mar","")</f>
        <v>Mar</v>
      </c>
      <c r="N131" s="91" t="str">
        <f>IF(N132&lt;&gt;"","Mer","")</f>
        <v>Mer</v>
      </c>
      <c r="O131" s="91" t="str">
        <f>IF(O132&lt;&gt;"","Jeu","")</f>
        <v>Jeu</v>
      </c>
      <c r="P131" s="91" t="str">
        <f>IF(P132&lt;&gt;"","Ven","")</f>
        <v>Ven</v>
      </c>
      <c r="Q131" s="91" t="str">
        <f>IF(Q132&lt;&gt;"","Sam","")</f>
        <v>Sam</v>
      </c>
      <c r="R131" s="91" t="str">
        <f>IF(R132&lt;&gt;"","Dim","")</f>
        <v>Dim</v>
      </c>
      <c r="S131" s="102" t="s">
        <v>25</v>
      </c>
      <c r="T131" s="55" t="str">
        <f>IF(U131="",LEFT(K131)&amp;MOD(RIGHT(K131),5),LEFT(K131)&amp;MOD(RIGHT(K131),4)+1)</f>
        <v>C3</v>
      </c>
      <c r="U131" s="91" t="str">
        <f>IF(U132&lt;&gt;"","Lun","")</f>
        <v>Lun</v>
      </c>
      <c r="V131" s="91" t="str">
        <f>IF(V132&lt;&gt;"","Mar","")</f>
        <v>Mar</v>
      </c>
      <c r="W131" s="91" t="str">
        <f>IF(W132&lt;&gt;"","Mer","")</f>
        <v>Mer</v>
      </c>
      <c r="X131" s="91" t="str">
        <f>IF(X132&lt;&gt;"","Jeu","")</f>
        <v>Jeu</v>
      </c>
      <c r="Y131" s="91" t="str">
        <f>IF(Y132&lt;&gt;"","Ven","")</f>
        <v>Ven</v>
      </c>
      <c r="Z131" s="91" t="str">
        <f>IF(Z132&lt;&gt;"","Sam","")</f>
        <v>Sam</v>
      </c>
      <c r="AA131" s="91" t="str">
        <f>IF(AA132&lt;&gt;"","Dim","")</f>
        <v>Dim</v>
      </c>
      <c r="AB131" s="102" t="s">
        <v>25</v>
      </c>
      <c r="AC131" s="55" t="str">
        <f>IF(AD131="",LEFT(T131)&amp;MOD(RIGHT(T131),5),LEFT(T131)&amp;MOD(RIGHT(T131),4)+1)</f>
        <v>C4</v>
      </c>
      <c r="AD131" s="91" t="str">
        <f>IF(AD132&lt;&gt;"","Lun","")</f>
        <v>Lun</v>
      </c>
      <c r="AE131" s="91" t="str">
        <f>IF(AE132&lt;&gt;"","Mar","")</f>
        <v>Mar</v>
      </c>
      <c r="AF131" s="91" t="str">
        <f>IF(AF132&lt;&gt;"","Mer","")</f>
        <v>Mer</v>
      </c>
      <c r="AG131" s="91" t="str">
        <f>IF(AG132&lt;&gt;"","Jeu","")</f>
        <v>Jeu</v>
      </c>
      <c r="AH131" s="91" t="str">
        <f>IF(AH132&lt;&gt;"","Ven","")</f>
        <v>Ven</v>
      </c>
      <c r="AI131" s="91" t="str">
        <f>IF(AI132&lt;&gt;"","Sam","")</f>
        <v>Sam</v>
      </c>
      <c r="AJ131" s="91" t="str">
        <f>IF(AJ132&lt;&gt;"","Dim","")</f>
        <v>Dim</v>
      </c>
      <c r="AK131" s="102" t="s">
        <v>25</v>
      </c>
      <c r="AL131" s="55" t="str">
        <f>IF(AM131="",LEFT(AC131)&amp;MOD(RIGHT(AC131),5),LEFT(AC131)&amp;MOD(RIGHT(AC131),4)+1)</f>
        <v>C1</v>
      </c>
      <c r="AM131" s="91" t="str">
        <f>IF(AM132&lt;&gt;"","Lun","")</f>
        <v>Lun</v>
      </c>
      <c r="AN131" s="91" t="str">
        <f>IF(AN132&lt;&gt;"","Mar","")</f>
        <v>Mar</v>
      </c>
      <c r="AO131" s="91" t="str">
        <f>IF(AO132&lt;&gt;"","Mer","")</f>
        <v>Mer</v>
      </c>
      <c r="AP131" s="91" t="str">
        <f>IF(AP132&lt;&gt;"","Jeu","")</f>
        <v>Jeu</v>
      </c>
      <c r="AQ131" s="91" t="str">
        <f>IF(AQ132&lt;&gt;"","Ven","")</f>
        <v>Ven</v>
      </c>
      <c r="AR131" s="91" t="str">
        <f>IF(AR132&lt;&gt;"","Sam","")</f>
        <v>Sam</v>
      </c>
      <c r="AS131" s="91" t="str">
        <f>IF(AS132&lt;&gt;"","Dim","")</f>
        <v>Dim</v>
      </c>
      <c r="AT131" s="102" t="s">
        <v>25</v>
      </c>
      <c r="AU131" s="55" t="str">
        <f>IF(AV131="",LEFT(AL131)&amp;MOD(RIGHT(AL131),5),LEFT(AL131)&amp;MOD(RIGHT(AL131),4)+1)</f>
        <v>C2</v>
      </c>
      <c r="AV131" s="53" t="str">
        <f>IF(AV132&lt;&gt;"","Lun","")</f>
        <v>Lun</v>
      </c>
      <c r="AW131" s="53" t="str">
        <f>IF(AW132&lt;&gt;"","Mar","")</f>
        <v/>
      </c>
      <c r="AX131" s="102" t="s">
        <v>25</v>
      </c>
      <c r="AY131" s="102" t="s">
        <v>28</v>
      </c>
      <c r="AZ131" s="103">
        <f>AY138+AY139+AY140</f>
        <v>10</v>
      </c>
      <c r="BA131" s="103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90" t="str">
        <f>IF(DAY(Aoû_Dim1)=1,"",IF(AND(YEAR(Aoû_Dim1+1)=Année_Calendaire,MONTH(Aoû_Dim1+1)=8),Aoû_Dim1+1,""))</f>
        <v/>
      </c>
      <c r="D132" s="90" t="str">
        <f>IF(DAY(Aoû_Dim1)=1,"",IF(AND(YEAR(Aoû_Dim1+2)=Année_Calendaire,MONTH(Aoû_Dim1+2)=8),Aoû_Dim1+2,""))</f>
        <v/>
      </c>
      <c r="E132" s="90" t="str">
        <f>IF(DAY(Aoû_Dim1)=1,"",IF(AND(YEAR(Aoû_Dim1+3)=Année_Calendaire,MONTH(Aoû_Dim1+3)=8),Aoû_Dim1+3,""))</f>
        <v/>
      </c>
      <c r="F132" s="90" t="str">
        <f>IF(DAY(Aoû_Dim1)=1,"",IF(AND(YEAR(Aoû_Dim1+4)=Année_Calendaire,MONTH(Aoû_Dim1+4)=8),Aoû_Dim1+4,""))</f>
        <v/>
      </c>
      <c r="G132" s="90" t="str">
        <f>IF(DAY(Aoû_Dim1)=1,"",IF(AND(YEAR(Aoû_Dim1+5)=Année_Calendaire,MONTH(Aoû_Dim1+5)=8),Aoû_Dim1+5,""))</f>
        <v/>
      </c>
      <c r="H132" s="90">
        <f>IF(DAY(Aoû_Dim1)=1,"",IF(AND(YEAR(Aoû_Dim1+6)=Année_Calendaire,MONTH(Aoû_Dim1+6)=8),Aoû_Dim1+6,""))</f>
        <v>44044</v>
      </c>
      <c r="I132" s="90">
        <f>IF(DAY(Aoû_Dim1)=1,IF(AND(YEAR(Aoû_Dim1)=Année_Calendaire,MONTH(Aoû_Dim1)=8),Aoû_Dim1,""),IF(AND(YEAR(Aoû_Dim1+7)=Année_Calendaire,MONTH(Aoû_Dim1+7)=8),Aoû_Dim1+7,""))</f>
        <v>44045</v>
      </c>
      <c r="J132" s="102"/>
      <c r="K132" s="54"/>
      <c r="L132" s="90">
        <f>IF(DAY(Aoû_Dim1)=1,IF(AND(YEAR(Aoû_Dim1+1)=Année_Calendaire,MONTH(Aoû_Dim1+1)=8),Aoû_Dim1+1,""),IF(AND(YEAR(Aoû_Dim1+8)=Année_Calendaire,MONTH(Aoû_Dim1+8)=8),Aoû_Dim1+8,""))</f>
        <v>44046</v>
      </c>
      <c r="M132" s="90">
        <f>IF(DAY(Aoû_Dim1)=1,IF(AND(YEAR(Aoû_Dim1+2)=Année_Calendaire,MONTH(Aoû_Dim1+2)=8),Aoû_Dim1+2,""),IF(AND(YEAR(Aoû_Dim1+9)=Année_Calendaire,MONTH(Aoû_Dim1+9)=8),Aoû_Dim1+9,""))</f>
        <v>44047</v>
      </c>
      <c r="N132" s="90">
        <f>IF(DAY(Aoû_Dim1)=1,IF(AND(YEAR(Aoû_Dim1+3)=Année_Calendaire,MONTH(Aoû_Dim1+3)=8),Aoû_Dim1+3,""),IF(AND(YEAR(Aoû_Dim1+10)=Année_Calendaire,MONTH(Aoû_Dim1+10)=8),Aoû_Dim1+10,""))</f>
        <v>44048</v>
      </c>
      <c r="O132" s="90">
        <f>IF(DAY(Aoû_Dim1)=1,IF(AND(YEAR(Aoû_Dim1+4)=Année_Calendaire,MONTH(Aoû_Dim1+4)=8),Aoû_Dim1+4,""),IF(AND(YEAR(Aoû_Dim1+11)=Année_Calendaire,MONTH(Aoû_Dim1+11)=8),Aoû_Dim1+11,""))</f>
        <v>44049</v>
      </c>
      <c r="P132" s="90">
        <f>IF(DAY(Aoû_Dim1)=1,IF(AND(YEAR(Aoû_Dim1+5)=Année_Calendaire,MONTH(Aoû_Dim1+5)=8),Aoû_Dim1+5,""),IF(AND(YEAR(Aoû_Dim1+12)=Année_Calendaire,MONTH(Aoû_Dim1+12)=8),Aoû_Dim1+12,""))</f>
        <v>44050</v>
      </c>
      <c r="Q132" s="90">
        <f>IF(DAY(Aoû_Dim1)=1,IF(AND(YEAR(Aoû_Dim1+6)=Année_Calendaire,MONTH(Aoû_Dim1+6)=8),Aoû_Dim1+6,""),IF(AND(YEAR(Aoû_Dim1+13)=Année_Calendaire,MONTH(Aoû_Dim1+13)=8),Aoû_Dim1+13,""))</f>
        <v>44051</v>
      </c>
      <c r="R132" s="90">
        <f>IF(DAY(Aoû_Dim1)=1,IF(AND(YEAR(Aoû_Dim1+7)=Année_Calendaire,MONTH(Aoû_Dim1+7)=8),Aoû_Dim1+7,""),IF(AND(YEAR(Aoû_Dim1+14)=Année_Calendaire,MONTH(Aoû_Dim1+14)=8),Aoû_Dim1+14,""))</f>
        <v>44052</v>
      </c>
      <c r="S132" s="102"/>
      <c r="T132" s="54"/>
      <c r="U132" s="90">
        <f>IF(DAY(Aoû_Dim1)=1,IF(AND(YEAR(Aoû_Dim1+8)=Année_Calendaire,MONTH(Aoû_Dim1+8)=8),Aoû_Dim1+8,""),IF(AND(YEAR(Aoû_Dim1+15)=Année_Calendaire,MONTH(Aoû_Dim1+15)=8),Aoû_Dim1+15,""))</f>
        <v>44053</v>
      </c>
      <c r="V132" s="90">
        <f>IF(DAY(Aoû_Dim1)=1,IF(AND(YEAR(Aoû_Dim1+9)=Année_Calendaire,MONTH(Aoû_Dim1+9)=8),Aoû_Dim1+9,""),IF(AND(YEAR(Aoû_Dim1+16)=Année_Calendaire,MONTH(Aoû_Dim1+16)=8),Aoû_Dim1+16,""))</f>
        <v>44054</v>
      </c>
      <c r="W132" s="90">
        <f>IF(DAY(Aoû_Dim1)=1,IF(AND(YEAR(Aoû_Dim1+10)=Année_Calendaire,MONTH(Aoû_Dim1+10)=8),Aoû_Dim1+10,""),IF(AND(YEAR(Aoû_Dim1+17)=Année_Calendaire,MONTH(Aoû_Dim1+17)=8),Aoû_Dim1+17,""))</f>
        <v>44055</v>
      </c>
      <c r="X132" s="90">
        <f>IF(DAY(Aoû_Dim1)=1,IF(AND(YEAR(Aoû_Dim1+11)=Année_Calendaire,MONTH(Aoû_Dim1+11)=8),Aoû_Dim1+11,""),IF(AND(YEAR(Aoû_Dim1+18)=Année_Calendaire,MONTH(Aoû_Dim1+18)=8),Aoû_Dim1+18,""))</f>
        <v>44056</v>
      </c>
      <c r="Y132" s="90">
        <f>IF(DAY(Aoû_Dim1)=1,IF(AND(YEAR(Aoû_Dim1+12)=Année_Calendaire,MONTH(Aoû_Dim1+12)=8),Aoû_Dim1+12,""),IF(AND(YEAR(Aoû_Dim1+19)=Année_Calendaire,MONTH(Aoû_Dim1+19)=8),Aoû_Dim1+19,""))</f>
        <v>44057</v>
      </c>
      <c r="Z132" s="90">
        <f>IF(DAY(Aoû_Dim1)=1,IF(AND(YEAR(Aoû_Dim1+13)=Année_Calendaire,MONTH(Aoû_Dim1+13)=8),Aoû_Dim1+13,""),IF(AND(YEAR(Aoû_Dim1+20)=Année_Calendaire,MONTH(Aoû_Dim1+20)=8),Aoû_Dim1+20,""))</f>
        <v>44058</v>
      </c>
      <c r="AA132" s="90">
        <f>IF(DAY(Aoû_Dim1)=1,IF(AND(YEAR(Aoû_Dim1+14)=Année_Calendaire,MONTH(Aoû_Dim1+14)=8),Aoû_Dim1+14,""),IF(AND(YEAR(Aoû_Dim1+21)=Année_Calendaire,MONTH(Aoû_Dim1+21)=8),Aoû_Dim1+21,""))</f>
        <v>44059</v>
      </c>
      <c r="AB132" s="102"/>
      <c r="AC132" s="54"/>
      <c r="AD132" s="90">
        <f>IF(DAY(Aoû_Dim1)=1,IF(AND(YEAR(Aoû_Dim1+15)=Année_Calendaire,MONTH(Aoû_Dim1+15)=8),Aoû_Dim1+15,""),IF(AND(YEAR(Aoû_Dim1+22)=Année_Calendaire,MONTH(Aoû_Dim1+22)=8),Aoû_Dim1+22,""))</f>
        <v>44060</v>
      </c>
      <c r="AE132" s="90">
        <f>IF(DAY(Aoû_Dim1)=1,IF(AND(YEAR(Aoû_Dim1+16)=Année_Calendaire,MONTH(Aoû_Dim1+16)=8),Aoû_Dim1+16,""),IF(AND(YEAR(Aoû_Dim1+23)=Année_Calendaire,MONTH(Aoû_Dim1+23)=8),Aoû_Dim1+23,""))</f>
        <v>44061</v>
      </c>
      <c r="AF132" s="90">
        <f>IF(DAY(Aoû_Dim1)=1,IF(AND(YEAR(Aoû_Dim1+17)=Année_Calendaire,MONTH(Aoû_Dim1+17)=8),Aoû_Dim1+17,""),IF(AND(YEAR(Aoû_Dim1+24)=Année_Calendaire,MONTH(Aoû_Dim1+24)=8),Aoû_Dim1+24,""))</f>
        <v>44062</v>
      </c>
      <c r="AG132" s="90">
        <f>IF(DAY(Aoû_Dim1)=1,IF(AND(YEAR(Aoû_Dim1+18)=Année_Calendaire,MONTH(Aoû_Dim1+18)=8),Aoû_Dim1+18,""),IF(AND(YEAR(Aoû_Dim1+25)=Année_Calendaire,MONTH(Aoû_Dim1+25)=8),Aoû_Dim1+25,""))</f>
        <v>44063</v>
      </c>
      <c r="AH132" s="90">
        <f>IF(DAY(Aoû_Dim1)=1,IF(AND(YEAR(Aoû_Dim1+19)=Année_Calendaire,MONTH(Aoû_Dim1+19)=8),Aoû_Dim1+19,""),IF(AND(YEAR(Aoû_Dim1+26)=Année_Calendaire,MONTH(Aoû_Dim1+26)=8),Aoû_Dim1+26,""))</f>
        <v>44064</v>
      </c>
      <c r="AI132" s="93">
        <f>IF(DAY(Aoû_Dim1)=1,IF(AND(YEAR(Aoû_Dim1+20)=Année_Calendaire,MONTH(Aoû_Dim1+20)=8),Aoû_Dim1+20,""),IF(AND(YEAR(Aoû_Dim1+27)=Année_Calendaire,MONTH(Aoû_Dim1+27)=8),Aoû_Dim1+27,""))</f>
        <v>44065</v>
      </c>
      <c r="AJ132" s="90">
        <f>IF(DAY(Aoû_Dim1)=1,IF(AND(YEAR(Aoû_Dim1+21)=Année_Calendaire,MONTH(Aoû_Dim1+21)=8),Aoû_Dim1+21,""),IF(AND(YEAR(Aoû_Dim1+28)=Année_Calendaire,MONTH(Aoû_Dim1+28)=8),Aoû_Dim1+28,""))</f>
        <v>44066</v>
      </c>
      <c r="AK132" s="102"/>
      <c r="AL132" s="54"/>
      <c r="AM132" s="90">
        <f>IF(DAY(Aoû_Dim1)=1,IF(AND(YEAR(Aoû_Dim1+22)=Année_Calendaire,MONTH(Aoû_Dim1+22)=8),Aoû_Dim1+22,""),IF(AND(YEAR(Aoû_Dim1+29)=Année_Calendaire,MONTH(Aoû_Dim1+29)=8),Aoû_Dim1+29,""))</f>
        <v>44067</v>
      </c>
      <c r="AN132" s="90">
        <f>IF(DAY(Aoû_Dim1)=1,IF(AND(YEAR(Aoû_Dim1+23)=Année_Calendaire,MONTH(Aoû_Dim1+23)=8),Aoû_Dim1+23,""),IF(AND(YEAR(Aoû_Dim1+30)=Année_Calendaire,MONTH(Aoû_Dim1+30)=8),Aoû_Dim1+30,""))</f>
        <v>44068</v>
      </c>
      <c r="AO132" s="90">
        <f>IF(DAY(Aoû_Dim1)=1,IF(AND(YEAR(Aoû_Dim1+24)=Année_Calendaire,MONTH(Aoû_Dim1+24)=8),Aoû_Dim1+24,""),IF(AND(YEAR(Aoû_Dim1+31)=Année_Calendaire,MONTH(Aoû_Dim1+31)=8),Aoû_Dim1+31,""))</f>
        <v>44069</v>
      </c>
      <c r="AP132" s="90">
        <f>IF(DAY(Aoû_Dim1)=1,IF(AND(YEAR(Aoû_Dim1+25)=Année_Calendaire,MONTH(Aoû_Dim1+25)=8),Aoû_Dim1+25,""),IF(AND(YEAR(Aoû_Dim1+32)=Année_Calendaire,MONTH(Aoû_Dim1+32)=8),Aoû_Dim1+32,""))</f>
        <v>44070</v>
      </c>
      <c r="AQ132" s="90">
        <f>IF(DAY(Aoû_Dim1)=1,IF(AND(YEAR(Aoû_Dim1+26)=Année_Calendaire,MONTH(Aoû_Dim1+26)=8),Aoû_Dim1+26,""),IF(AND(YEAR(Aoû_Dim1+33)=Année_Calendaire,MONTH(Aoû_Dim1+33)=8),Aoû_Dim1+33,""))</f>
        <v>44071</v>
      </c>
      <c r="AR132" s="90">
        <f>IF(DAY(Aoû_Dim1)=1,IF(AND(YEAR(Aoû_Dim1+27)=Année_Calendaire,MONTH(Aoû_Dim1+27)=8),Aoû_Dim1+27,""),IF(AND(YEAR(Aoû_Dim1+34)=Année_Calendaire,MONTH(Aoû_Dim1+34)=8),Aoû_Dim1+34,""))</f>
        <v>44072</v>
      </c>
      <c r="AS132" s="90">
        <f>IF(DAY(Aoû_Dim1)=1,IF(AND(YEAR(Aoû_Dim1+28)=Année_Calendaire,MONTH(Aoû_Dim1+28)=8),Aoû_Dim1+28,""),IF(AND(YEAR(Aoû_Dim1+35)=Année_Calendaire,MONTH(Aoû_Dim1+35)=8),Aoû_Dim1+35,""))</f>
        <v>44073</v>
      </c>
      <c r="AT132" s="102"/>
      <c r="AU132" s="54"/>
      <c r="AV132" s="54">
        <f>IF(DAY(Aoû_Dim1)=1,IF(AND(YEAR(Aoû_Dim1+29)=Année_Calendaire,MONTH(Aoû_Dim1+29)=8),Aoû_Dim1+29,""),IF(AND(YEAR(Aoû_Dim1+36)=Année_Calendaire,MONTH(Aoû_Dim1+36)=8),Aoû_Dim1+36,""))</f>
        <v>44074</v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102"/>
      <c r="AY132" s="102"/>
      <c r="AZ132" s="103"/>
      <c r="BA132" s="103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IF(C132="","",IFERROR(VLOOKUP(B131,DATA!$A:$H,2,TRUE),0))</f>
        <v/>
      </c>
      <c r="D133" s="49" t="str">
        <f>IF(D132="","",IFERROR(VLOOKUP(B131,DATA!$A:$H,3,TRUE),0))</f>
        <v/>
      </c>
      <c r="E133" s="49" t="str">
        <f>IF(E132="","",IFERROR(VLOOKUP(B131,DATA!$A:$H,4,TRUE),0))</f>
        <v/>
      </c>
      <c r="F133" s="49" t="str">
        <f>IF(F132="","",IFERROR(VLOOKUP(B131,DATA!$A:$H,5,TRUE),0))</f>
        <v/>
      </c>
      <c r="G133" s="49" t="str">
        <f>IF(G132="","",IFERROR(VLOOKUP(B131,DATA!$A:$H,6,TRUE),0))</f>
        <v/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nuit</v>
      </c>
      <c r="M133" s="49" t="str">
        <f>IF(M132="","",IFERROR(VLOOKUP(K131,DATA!$A:$H,3,TRUE),0))</f>
        <v>nuit</v>
      </c>
      <c r="N133" s="49" t="str">
        <f>IF(N132="","",IFERROR(VLOOKUP(K131,DATA!$A:$H,4,TRUE),0))</f>
        <v>nuit</v>
      </c>
      <c r="O133" s="49" t="str">
        <f>IF(O132="","",IFERROR(VLOOKUP(K131,DATA!$A:$H,5,TRUE),0))</f>
        <v>nuit</v>
      </c>
      <c r="P133" s="49" t="str">
        <f>IF(P132="","",IFERROR(VLOOKUP(K131,DATA!$A:$H,6,TRUE),0))</f>
        <v>nuit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matin</v>
      </c>
      <c r="V133" s="49">
        <f>IF(V132="","",IFERROR(VLOOKUP(T131,DATA!$A:$H,3,TRUE),0))</f>
        <v>0</v>
      </c>
      <c r="W133" s="49">
        <f>IF(W132="","",IFERROR(VLOOKUP(T131,DATA!$A:$H,4,TRUE),0))</f>
        <v>0</v>
      </c>
      <c r="X133" s="49" t="str">
        <f>IF(X132="","",IFERROR(VLOOKUP(T131,DATA!$A:$H,5,TRUE),0))</f>
        <v>matin</v>
      </c>
      <c r="Y133" s="49" t="str">
        <f>IF(Y132="","",IFERROR(VLOOKUP(T131,DATA!$A:$H,6,TRUE),0))</f>
        <v>matin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am</v>
      </c>
      <c r="AE133" s="49" t="str">
        <f>IF(AE132="","",IFERROR(VLOOKUP(AC131,DATA!$A:$H,3,TRUE),0))</f>
        <v>am</v>
      </c>
      <c r="AF133" s="49" t="str">
        <f>IF(AF132="","",IFERROR(VLOOKUP(AC131,DATA!$A:$H,4,TRUE),0))</f>
        <v>am</v>
      </c>
      <c r="AG133" s="49" t="str">
        <f>IF(AG132="","",IFERROR(VLOOKUP(AC131,DATA!$A:$H,5,TRUE),0))</f>
        <v>am</v>
      </c>
      <c r="AH133" s="49" t="str">
        <f>IF(AH132="","",IFERROR(VLOOKUP(AC131,DATA!$A:$H,6,TRUE),0))</f>
        <v>am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matin</v>
      </c>
      <c r="AN133" s="49" t="str">
        <f>IF(AN132="","",IFERROR(VLOOKUP(AL131,DATA!$A:$H,3,TRUE),0))</f>
        <v>matin</v>
      </c>
      <c r="AO133" s="49" t="str">
        <f>IF(AO132="","",IFERROR(VLOOKUP(AL131,DATA!$A:$H,4,TRUE),0))</f>
        <v>matin</v>
      </c>
      <c r="AP133" s="49">
        <f>IF(AP132="","",IFERROR(VLOOKUP(AL131,DATA!$A:$H,5,TRUE),0))</f>
        <v>0</v>
      </c>
      <c r="AQ133" s="49">
        <f>IF(AQ132="","",IFERROR(VLOOKUP(AL131,DATA!$A:$H,6,TRUE),0))</f>
        <v>0</v>
      </c>
      <c r="AR133" s="49">
        <f>IF(AR132="","",IFERROR(VLOOKUP(AL131,DATA!$A:$H,7,TRUE),0))</f>
        <v>0</v>
      </c>
      <c r="AS133" s="49">
        <f>IF(AS132="","",IFERROR(VLOOKUP(AL131,DATA!$A:$H,8,TRUE),0))</f>
        <v>0</v>
      </c>
      <c r="AT133" s="52"/>
      <c r="AU133" s="48"/>
      <c r="AV133" s="49" t="str">
        <f>IF(AV132="","",IFERROR(VLOOKUP(AU131,DATA!$A:$H,2,TRUE),0))</f>
        <v>nuit</v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4">IF(C133="Matin",1,IF(C133="AM",1,0))</f>
        <v>0</v>
      </c>
      <c r="D134" s="52">
        <f t="shared" si="304"/>
        <v>0</v>
      </c>
      <c r="E134" s="52">
        <f t="shared" si="304"/>
        <v>0</v>
      </c>
      <c r="F134" s="52">
        <f t="shared" si="304"/>
        <v>0</v>
      </c>
      <c r="G134" s="52">
        <f t="shared" si="304"/>
        <v>0</v>
      </c>
      <c r="H134" s="52">
        <f t="shared" si="304"/>
        <v>0</v>
      </c>
      <c r="I134" s="52">
        <f t="shared" si="304"/>
        <v>0</v>
      </c>
      <c r="J134" s="52">
        <f>SUM(C134:I134)</f>
        <v>0</v>
      </c>
      <c r="K134" s="51"/>
      <c r="L134" s="52">
        <f t="shared" ref="L134:R134" si="305">IF(L133="Matin",1,IF(L133="AM",1,0))</f>
        <v>0</v>
      </c>
      <c r="M134" s="52">
        <f t="shared" si="305"/>
        <v>0</v>
      </c>
      <c r="N134" s="52">
        <f t="shared" si="305"/>
        <v>0</v>
      </c>
      <c r="O134" s="52">
        <f t="shared" si="305"/>
        <v>0</v>
      </c>
      <c r="P134" s="52">
        <f t="shared" si="305"/>
        <v>0</v>
      </c>
      <c r="Q134" s="52">
        <f t="shared" si="305"/>
        <v>0</v>
      </c>
      <c r="R134" s="52">
        <f t="shared" si="305"/>
        <v>0</v>
      </c>
      <c r="S134" s="52">
        <f>SUM(L134:R134)</f>
        <v>0</v>
      </c>
      <c r="T134" s="51"/>
      <c r="U134" s="52">
        <f t="shared" ref="U134:AA134" si="306">IF(U133="Matin",1,IF(U133="AM",1,0))</f>
        <v>1</v>
      </c>
      <c r="V134" s="52">
        <f t="shared" si="306"/>
        <v>0</v>
      </c>
      <c r="W134" s="52">
        <f t="shared" si="306"/>
        <v>0</v>
      </c>
      <c r="X134" s="52">
        <f t="shared" si="306"/>
        <v>1</v>
      </c>
      <c r="Y134" s="52">
        <f t="shared" si="306"/>
        <v>1</v>
      </c>
      <c r="Z134" s="52">
        <f t="shared" si="306"/>
        <v>0</v>
      </c>
      <c r="AA134" s="52">
        <f t="shared" si="306"/>
        <v>0</v>
      </c>
      <c r="AB134" s="52">
        <f>SUM(U134:AA134)</f>
        <v>3</v>
      </c>
      <c r="AC134" s="51"/>
      <c r="AD134" s="52">
        <f t="shared" ref="AD134:AJ134" si="307">IF(AD133="Matin",1,IF(AD133="AM",1,0))</f>
        <v>1</v>
      </c>
      <c r="AE134" s="52">
        <f t="shared" si="307"/>
        <v>1</v>
      </c>
      <c r="AF134" s="52">
        <f t="shared" si="307"/>
        <v>1</v>
      </c>
      <c r="AG134" s="52">
        <f t="shared" si="307"/>
        <v>1</v>
      </c>
      <c r="AH134" s="52">
        <f t="shared" si="307"/>
        <v>1</v>
      </c>
      <c r="AI134" s="52">
        <f t="shared" si="307"/>
        <v>0</v>
      </c>
      <c r="AJ134" s="52">
        <f t="shared" si="307"/>
        <v>0</v>
      </c>
      <c r="AK134" s="52">
        <f>SUM(AD134:AJ134)</f>
        <v>5</v>
      </c>
      <c r="AL134" s="51"/>
      <c r="AM134" s="52">
        <f t="shared" ref="AM134:AS134" si="308">IF(AM133="Matin",1,IF(AM133="AM",1,0))</f>
        <v>1</v>
      </c>
      <c r="AN134" s="52">
        <f t="shared" si="308"/>
        <v>1</v>
      </c>
      <c r="AO134" s="52">
        <f t="shared" si="308"/>
        <v>1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3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11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11">IF(E136&gt;=1,1,0)</f>
        <v>0</v>
      </c>
      <c r="F135" s="49">
        <f t="shared" si="311"/>
        <v>0</v>
      </c>
      <c r="G135" s="49">
        <f t="shared" si="311"/>
        <v>0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0</v>
      </c>
      <c r="K135" s="48"/>
      <c r="L135" s="49">
        <f>IF(L136&gt;=1,1,0)</f>
        <v>1</v>
      </c>
      <c r="M135" s="49">
        <f t="shared" ref="M135:R135" si="313">IF(M136&gt;=1,1,0)</f>
        <v>1</v>
      </c>
      <c r="N135" s="49">
        <f t="shared" si="313"/>
        <v>1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5</v>
      </c>
      <c r="T135" s="48"/>
      <c r="U135" s="49">
        <f>IF(U136&gt;=1,1,0)</f>
        <v>1</v>
      </c>
      <c r="V135" s="49">
        <f t="shared" ref="V135:AA135" si="315">IF(V136&gt;=1,1,0)</f>
        <v>0</v>
      </c>
      <c r="W135" s="49">
        <f t="shared" si="315"/>
        <v>0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3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1</v>
      </c>
      <c r="AH135" s="49">
        <f t="shared" si="317"/>
        <v>1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5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0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3</v>
      </c>
      <c r="AU135" s="48"/>
      <c r="AV135" s="49">
        <f>IF(AV136&gt;=1,1,0)</f>
        <v>1</v>
      </c>
      <c r="AW135" s="49">
        <f t="shared" ref="AW135" si="321">IF(AW136&gt;=1,1,0)</f>
        <v>0</v>
      </c>
      <c r="AX135" s="52">
        <f t="shared" si="310"/>
        <v>1</v>
      </c>
      <c r="AY135" s="49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3">IF(D133="Matin",8,IF(D133="AM",8,IF(D133="nuit",8,0)))</f>
        <v>0</v>
      </c>
      <c r="E136" s="52">
        <f t="shared" si="323"/>
        <v>0</v>
      </c>
      <c r="F136" s="52">
        <f t="shared" si="323"/>
        <v>0</v>
      </c>
      <c r="G136" s="52">
        <f t="shared" si="323"/>
        <v>0</v>
      </c>
      <c r="H136" s="52">
        <f t="shared" si="323"/>
        <v>0</v>
      </c>
      <c r="I136" s="52">
        <f t="shared" si="323"/>
        <v>0</v>
      </c>
      <c r="J136" s="52">
        <f t="shared" si="312"/>
        <v>0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8</v>
      </c>
      <c r="N136" s="52">
        <f t="shared" si="324"/>
        <v>8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40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0</v>
      </c>
      <c r="W136" s="52">
        <f t="shared" si="325"/>
        <v>0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24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8</v>
      </c>
      <c r="AH136" s="52">
        <f t="shared" si="326"/>
        <v>8</v>
      </c>
      <c r="AI136" s="52">
        <f t="shared" si="326"/>
        <v>0</v>
      </c>
      <c r="AJ136" s="52">
        <f t="shared" si="326"/>
        <v>0</v>
      </c>
      <c r="AK136" s="52">
        <f t="shared" si="318"/>
        <v>40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0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24</v>
      </c>
      <c r="AU136" s="51"/>
      <c r="AV136" s="52">
        <f>IF(AV133="Matin",8,IF(AV133="AM",8,IF(AV133="nuit",8,0)))</f>
        <v>8</v>
      </c>
      <c r="AW136" s="52">
        <f t="shared" ref="AW136" si="328">IF(AW133="Matin",8,IF(AW133="AM",8,IF(AW133="nuit",8,0)))</f>
        <v>0</v>
      </c>
      <c r="AX136" s="52">
        <f t="shared" si="310"/>
        <v>8</v>
      </c>
      <c r="AY136" s="52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3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3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0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0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3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3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5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5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0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0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5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5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</v>
      </c>
      <c r="F145" s="49">
        <f t="shared" si="335"/>
        <v>0</v>
      </c>
      <c r="G145" s="49">
        <f>IF(G133="nuit",G136*0.02,0)</f>
        <v>0</v>
      </c>
      <c r="H145" s="49">
        <f t="shared" si="335"/>
        <v>0</v>
      </c>
      <c r="I145" s="49">
        <f t="shared" si="335"/>
        <v>0</v>
      </c>
      <c r="J145" s="52">
        <f t="shared" si="312"/>
        <v>0</v>
      </c>
      <c r="K145" s="48"/>
      <c r="L145" s="49">
        <f>IF(L133="nuit",L136*0.02,0)</f>
        <v>0.16</v>
      </c>
      <c r="M145" s="49">
        <f>IF(M133="nuit",M136*0.02,0)</f>
        <v>0.16</v>
      </c>
      <c r="N145" s="49">
        <f t="shared" ref="N145:R145" si="336">IF(N133="nuit",N136*0.02,0)</f>
        <v>0.16</v>
      </c>
      <c r="O145" s="49">
        <f t="shared" si="336"/>
        <v>0.16</v>
      </c>
      <c r="P145" s="49">
        <f>IF(P133="nuit",P136*0.02,0)</f>
        <v>0.16</v>
      </c>
      <c r="Q145" s="49">
        <f t="shared" si="336"/>
        <v>0</v>
      </c>
      <c r="R145" s="49">
        <f t="shared" si="336"/>
        <v>0</v>
      </c>
      <c r="S145" s="52">
        <f t="shared" si="314"/>
        <v>0.8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9">IF(AO133="nuit",AO136*0.02,0)</f>
        <v>0</v>
      </c>
      <c r="AP145" s="49">
        <f t="shared" si="339"/>
        <v>0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</v>
      </c>
      <c r="AU145" s="48"/>
      <c r="AV145" s="49">
        <f>IF(AV133="nuit",AV136*0.02,0)</f>
        <v>0.16</v>
      </c>
      <c r="AW145" s="49">
        <f>IF(AW133="nuit",AW136*0.02,0)</f>
        <v>0</v>
      </c>
      <c r="AX145" s="52">
        <f>SUM(AV145:AW145)</f>
        <v>0.16</v>
      </c>
      <c r="AY145" s="50">
        <f>J145+S145+AB145+AK145+AT145+AX145</f>
        <v>0.96000000000000008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">
      <c r="A148" s="16"/>
      <c r="B148" s="16"/>
      <c r="C148" s="19" t="s">
        <v>20</v>
      </c>
      <c r="D148" s="19"/>
      <c r="E148" s="19"/>
      <c r="F148" s="19"/>
      <c r="G148" s="19"/>
      <c r="H148" s="101">
        <f>Année_Calendaire</f>
        <v>2020</v>
      </c>
      <c r="I148" s="101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1">
        <f>Année_Calendaire</f>
        <v>2020</v>
      </c>
      <c r="AA148" s="101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1">
        <f>Année_Calendaire</f>
        <v>2020</v>
      </c>
      <c r="AS148" s="101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C2</v>
      </c>
      <c r="C149" s="91" t="str">
        <f>IF(C150&lt;&gt;"","Lun","")</f>
        <v/>
      </c>
      <c r="D149" s="91" t="str">
        <f>IF(D150&lt;&gt;"","Mar","")</f>
        <v>Mar</v>
      </c>
      <c r="E149" s="91" t="str">
        <f>IF(E150&lt;&gt;"","Mer","")</f>
        <v>Mer</v>
      </c>
      <c r="F149" s="91" t="str">
        <f>IF(F150&lt;&gt;"","Jeu","")</f>
        <v>Jeu</v>
      </c>
      <c r="G149" s="91" t="str">
        <f>IF(G150&lt;&gt;"","Ven","")</f>
        <v>Ven</v>
      </c>
      <c r="H149" s="91" t="str">
        <f>IF(H150&lt;&gt;"","Sam","")</f>
        <v>Sam</v>
      </c>
      <c r="I149" s="91" t="str">
        <f>IF(I150&lt;&gt;"","Dim","")</f>
        <v>Dim</v>
      </c>
      <c r="J149" s="102" t="s">
        <v>25</v>
      </c>
      <c r="K149" s="55" t="str">
        <f>IF(L149="",LEFT(B149)&amp;MOD(RIGHT(B149),5),LEFT(B149)&amp;MOD(RIGHT(B149),4)+1)</f>
        <v>C3</v>
      </c>
      <c r="L149" s="91" t="str">
        <f>IF(L150&lt;&gt;"","Lun","")</f>
        <v>Lun</v>
      </c>
      <c r="M149" s="91" t="str">
        <f>IF(M150&lt;&gt;"","Mar","")</f>
        <v>Mar</v>
      </c>
      <c r="N149" s="91" t="str">
        <f>IF(N150&lt;&gt;"","Mer","")</f>
        <v>Mer</v>
      </c>
      <c r="O149" s="91" t="str">
        <f>IF(O150&lt;&gt;"","Jeu","")</f>
        <v>Jeu</v>
      </c>
      <c r="P149" s="91" t="str">
        <f>IF(P150&lt;&gt;"","Ven","")</f>
        <v>Ven</v>
      </c>
      <c r="Q149" s="91" t="str">
        <f>IF(Q150&lt;&gt;"","Sam","")</f>
        <v>Sam</v>
      </c>
      <c r="R149" s="91" t="str">
        <f>IF(R150&lt;&gt;"","Dim","")</f>
        <v>Dim</v>
      </c>
      <c r="S149" s="102" t="s">
        <v>25</v>
      </c>
      <c r="T149" s="55" t="str">
        <f>IF(U149="",LEFT(K149)&amp;MOD(RIGHT(K149),5),LEFT(K149)&amp;MOD(RIGHT(K149),4)+1)</f>
        <v>C4</v>
      </c>
      <c r="U149" s="91" t="str">
        <f>IF(U150&lt;&gt;"","Lun","")</f>
        <v>Lun</v>
      </c>
      <c r="V149" s="91" t="str">
        <f>IF(V150&lt;&gt;"","Mar","")</f>
        <v>Mar</v>
      </c>
      <c r="W149" s="91" t="str">
        <f>IF(W150&lt;&gt;"","Mer","")</f>
        <v>Mer</v>
      </c>
      <c r="X149" s="91" t="str">
        <f>IF(X150&lt;&gt;"","Jeu","")</f>
        <v>Jeu</v>
      </c>
      <c r="Y149" s="91" t="str">
        <f>IF(Y150&lt;&gt;"","Ven","")</f>
        <v>Ven</v>
      </c>
      <c r="Z149" s="91" t="str">
        <f>IF(Z150&lt;&gt;"","Sam","")</f>
        <v>Sam</v>
      </c>
      <c r="AA149" s="91" t="str">
        <f>IF(AA150&lt;&gt;"","Dim","")</f>
        <v>Dim</v>
      </c>
      <c r="AB149" s="102" t="s">
        <v>25</v>
      </c>
      <c r="AC149" s="55" t="str">
        <f>IF(AD149="",LEFT(T149)&amp;MOD(RIGHT(T149),5),LEFT(T149)&amp;MOD(RIGHT(T149),4)+1)</f>
        <v>C1</v>
      </c>
      <c r="AD149" s="91" t="str">
        <f>IF(AD150&lt;&gt;"","Lun","")</f>
        <v>Lun</v>
      </c>
      <c r="AE149" s="91" t="str">
        <f>IF(AE150&lt;&gt;"","Mar","")</f>
        <v>Mar</v>
      </c>
      <c r="AF149" s="91" t="str">
        <f>IF(AF150&lt;&gt;"","Mer","")</f>
        <v>Mer</v>
      </c>
      <c r="AG149" s="91" t="str">
        <f>IF(AG150&lt;&gt;"","Jeu","")</f>
        <v>Jeu</v>
      </c>
      <c r="AH149" s="91" t="str">
        <f>IF(AH150&lt;&gt;"","Ven","")</f>
        <v>Ven</v>
      </c>
      <c r="AI149" s="91" t="str">
        <f>IF(AI150&lt;&gt;"","Sam","")</f>
        <v>Sam</v>
      </c>
      <c r="AJ149" s="91" t="str">
        <f>IF(AJ150&lt;&gt;"","Dim","")</f>
        <v>Dim</v>
      </c>
      <c r="AK149" s="102" t="s">
        <v>25</v>
      </c>
      <c r="AL149" s="55" t="str">
        <f>IF(AM149="",LEFT(AC149)&amp;MOD(RIGHT(AC149),5),LEFT(AC149)&amp;MOD(RIGHT(AC149),4)+1)</f>
        <v>C2</v>
      </c>
      <c r="AM149" s="91" t="str">
        <f>IF(AM150&lt;&gt;"","Lun","")</f>
        <v>Lun</v>
      </c>
      <c r="AN149" s="91" t="str">
        <f>IF(AN150&lt;&gt;"","Mar","")</f>
        <v>Mar</v>
      </c>
      <c r="AO149" s="91" t="str">
        <f>IF(AO150&lt;&gt;"","Mer","")</f>
        <v>Mer</v>
      </c>
      <c r="AP149" s="91" t="str">
        <f>IF(AP150&lt;&gt;"","Jeu","")</f>
        <v/>
      </c>
      <c r="AQ149" s="91" t="str">
        <f>IF(AQ150&lt;&gt;"","Ven","")</f>
        <v/>
      </c>
      <c r="AR149" s="91" t="str">
        <f>IF(AR150&lt;&gt;"","Sam","")</f>
        <v/>
      </c>
      <c r="AS149" s="91" t="str">
        <f>IF(AS150&lt;&gt;"","Dim","")</f>
        <v/>
      </c>
      <c r="AT149" s="102" t="s">
        <v>25</v>
      </c>
      <c r="AU149" s="55" t="str">
        <f>IF(AV149="",LEFT(AL149)&amp;MOD(RIGHT(AL149),5),LEFT(AL149)&amp;MOD(RIGHT(AL149),4)+1)</f>
        <v>C2</v>
      </c>
      <c r="AV149" s="53" t="str">
        <f>IF(AV150&lt;&gt;"","Lun","")</f>
        <v/>
      </c>
      <c r="AW149" s="53" t="str">
        <f>IF(AW150&lt;&gt;"","Mar","")</f>
        <v/>
      </c>
      <c r="AX149" s="102" t="s">
        <v>25</v>
      </c>
      <c r="AY149" s="102" t="s">
        <v>28</v>
      </c>
      <c r="AZ149" s="103">
        <f>AY156+AY157+AY158</f>
        <v>5</v>
      </c>
      <c r="BA149" s="103">
        <f>AZ149+BA131</f>
        <v>80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90" t="str">
        <f>IF(DAY(Sep_Dim1)=1,"",IF(AND(YEAR(Sep_Dim1+1)=Année_Calendaire,MONTH(Sep_Dim1+1)=9),Sep_Dim1+1,""))</f>
        <v/>
      </c>
      <c r="D150" s="90">
        <f>IF(DAY(Sep_Dim1)=1,"",IF(AND(YEAR(Sep_Dim1+2)=Année_Calendaire,MONTH(Sep_Dim1+2)=9),Sep_Dim1+2,""))</f>
        <v>44075</v>
      </c>
      <c r="E150" s="90">
        <f>IF(DAY(Sep_Dim1)=1,"",IF(AND(YEAR(Sep_Dim1+3)=Année_Calendaire,MONTH(Sep_Dim1+3)=9),Sep_Dim1+3,""))</f>
        <v>44076</v>
      </c>
      <c r="F150" s="90">
        <f>IF(DAY(Sep_Dim1)=1,"",IF(AND(YEAR(Sep_Dim1+4)=Année_Calendaire,MONTH(Sep_Dim1+4)=9),Sep_Dim1+4,""))</f>
        <v>44077</v>
      </c>
      <c r="G150" s="90">
        <f>IF(DAY(Sep_Dim1)=1,"",IF(AND(YEAR(Sep_Dim1+5)=Année_Calendaire,MONTH(Sep_Dim1+5)=9),Sep_Dim1+5,""))</f>
        <v>44078</v>
      </c>
      <c r="H150" s="90">
        <f>IF(DAY(Sep_Dim1)=1,"",IF(AND(YEAR(Sep_Dim1+6)=Année_Calendaire,MONTH(Sep_Dim1+6)=9),Sep_Dim1+6,""))</f>
        <v>44079</v>
      </c>
      <c r="I150" s="90">
        <f>IF(DAY(Sep_Dim1)=1,IF(AND(YEAR(Sep_Dim1)=Année_Calendaire,MONTH(Sep_Dim1)=9),Sep_Dim1,""),IF(AND(YEAR(Sep_Dim1+7)=Année_Calendaire,MONTH(Sep_Dim1+7)=9),Sep_Dim1+7,""))</f>
        <v>44080</v>
      </c>
      <c r="J150" s="102"/>
      <c r="K150" s="54"/>
      <c r="L150" s="90">
        <f>IF(DAY(Sep_Dim1)=1,IF(AND(YEAR(Sep_Dim1+1)=Année_Calendaire,MONTH(Sep_Dim1+1)=9),Sep_Dim1+1,""),IF(AND(YEAR(Sep_Dim1+8)=Année_Calendaire,MONTH(Sep_Dim1+8)=9),Sep_Dim1+8,""))</f>
        <v>44081</v>
      </c>
      <c r="M150" s="90">
        <f>IF(DAY(Sep_Dim1)=1,IF(AND(YEAR(Sep_Dim1+2)=Année_Calendaire,MONTH(Sep_Dim1+2)=9),Sep_Dim1+2,""),IF(AND(YEAR(Sep_Dim1+9)=Année_Calendaire,MONTH(Sep_Dim1+9)=9),Sep_Dim1+9,""))</f>
        <v>44082</v>
      </c>
      <c r="N150" s="90">
        <f>IF(DAY(Sep_Dim1)=1,IF(AND(YEAR(Sep_Dim1+3)=Année_Calendaire,MONTH(Sep_Dim1+3)=9),Sep_Dim1+3,""),IF(AND(YEAR(Sep_Dim1+10)=Année_Calendaire,MONTH(Sep_Dim1+10)=9),Sep_Dim1+10,""))</f>
        <v>44083</v>
      </c>
      <c r="O150" s="90">
        <f>IF(DAY(Sep_Dim1)=1,IF(AND(YEAR(Sep_Dim1+4)=Année_Calendaire,MONTH(Sep_Dim1+4)=9),Sep_Dim1+4,""),IF(AND(YEAR(Sep_Dim1+11)=Année_Calendaire,MONTH(Sep_Dim1+11)=9),Sep_Dim1+11,""))</f>
        <v>44084</v>
      </c>
      <c r="P150" s="90">
        <f>IF(DAY(Sep_Dim1)=1,IF(AND(YEAR(Sep_Dim1+5)=Année_Calendaire,MONTH(Sep_Dim1+5)=9),Sep_Dim1+5,""),IF(AND(YEAR(Sep_Dim1+12)=Année_Calendaire,MONTH(Sep_Dim1+12)=9),Sep_Dim1+12,""))</f>
        <v>44085</v>
      </c>
      <c r="Q150" s="90">
        <f>IF(DAY(Sep_Dim1)=1,IF(AND(YEAR(Sep_Dim1+6)=Année_Calendaire,MONTH(Sep_Dim1+6)=9),Sep_Dim1+6,""),IF(AND(YEAR(Sep_Dim1+13)=Année_Calendaire,MONTH(Sep_Dim1+13)=9),Sep_Dim1+13,""))</f>
        <v>44086</v>
      </c>
      <c r="R150" s="90">
        <f>IF(DAY(Sep_Dim1)=1,IF(AND(YEAR(Sep_Dim1+7)=Année_Calendaire,MONTH(Sep_Dim1+7)=9),Sep_Dim1+7,""),IF(AND(YEAR(Sep_Dim1+14)=Année_Calendaire,MONTH(Sep_Dim1+14)=9),Sep_Dim1+14,""))</f>
        <v>44087</v>
      </c>
      <c r="S150" s="102"/>
      <c r="T150" s="54"/>
      <c r="U150" s="90">
        <f>IF(DAY(Sep_Dim1)=1,IF(AND(YEAR(Sep_Dim1+8)=Année_Calendaire,MONTH(Sep_Dim1+8)=9),Sep_Dim1+8,""),IF(AND(YEAR(Sep_Dim1+15)=Année_Calendaire,MONTH(Sep_Dim1+15)=9),Sep_Dim1+15,""))</f>
        <v>44088</v>
      </c>
      <c r="V150" s="90">
        <f>IF(DAY(Sep_Dim1)=1,IF(AND(YEAR(Sep_Dim1+9)=Année_Calendaire,MONTH(Sep_Dim1+9)=9),Sep_Dim1+9,""),IF(AND(YEAR(Sep_Dim1+16)=Année_Calendaire,MONTH(Sep_Dim1+16)=9),Sep_Dim1+16,""))</f>
        <v>44089</v>
      </c>
      <c r="W150" s="90">
        <f>IF(DAY(Sep_Dim1)=1,IF(AND(YEAR(Sep_Dim1+10)=Année_Calendaire,MONTH(Sep_Dim1+10)=9),Sep_Dim1+10,""),IF(AND(YEAR(Sep_Dim1+17)=Année_Calendaire,MONTH(Sep_Dim1+17)=9),Sep_Dim1+17,""))</f>
        <v>44090</v>
      </c>
      <c r="X150" s="90">
        <f>IF(DAY(Sep_Dim1)=1,IF(AND(YEAR(Sep_Dim1+11)=Année_Calendaire,MONTH(Sep_Dim1+11)=9),Sep_Dim1+11,""),IF(AND(YEAR(Sep_Dim1+18)=Année_Calendaire,MONTH(Sep_Dim1+18)=9),Sep_Dim1+18,""))</f>
        <v>44091</v>
      </c>
      <c r="Y150" s="90">
        <f>IF(DAY(Sep_Dim1)=1,IF(AND(YEAR(Sep_Dim1+12)=Année_Calendaire,MONTH(Sep_Dim1+12)=9),Sep_Dim1+12,""),IF(AND(YEAR(Sep_Dim1+19)=Année_Calendaire,MONTH(Sep_Dim1+19)=9),Sep_Dim1+19,""))</f>
        <v>44092</v>
      </c>
      <c r="Z150" s="90">
        <f>IF(DAY(Sep_Dim1)=1,IF(AND(YEAR(Sep_Dim1+13)=Année_Calendaire,MONTH(Sep_Dim1+13)=9),Sep_Dim1+13,""),IF(AND(YEAR(Sep_Dim1+20)=Année_Calendaire,MONTH(Sep_Dim1+20)=9),Sep_Dim1+20,""))</f>
        <v>44093</v>
      </c>
      <c r="AA150" s="90">
        <f>IF(DAY(Sep_Dim1)=1,IF(AND(YEAR(Sep_Dim1+14)=Année_Calendaire,MONTH(Sep_Dim1+14)=9),Sep_Dim1+14,""),IF(AND(YEAR(Sep_Dim1+21)=Année_Calendaire,MONTH(Sep_Dim1+21)=9),Sep_Dim1+21,""))</f>
        <v>44094</v>
      </c>
      <c r="AB150" s="102"/>
      <c r="AC150" s="54"/>
      <c r="AD150" s="90">
        <f>IF(DAY(Sep_Dim1)=1,IF(AND(YEAR(Sep_Dim1+15)=Année_Calendaire,MONTH(Sep_Dim1+15)=9),Sep_Dim1+15,""),IF(AND(YEAR(Sep_Dim1+22)=Année_Calendaire,MONTH(Sep_Dim1+22)=9),Sep_Dim1+22,""))</f>
        <v>44095</v>
      </c>
      <c r="AE150" s="90">
        <f>IF(DAY(Sep_Dim1)=1,IF(AND(YEAR(Sep_Dim1+16)=Année_Calendaire,MONTH(Sep_Dim1+16)=9),Sep_Dim1+16,""),IF(AND(YEAR(Sep_Dim1+23)=Année_Calendaire,MONTH(Sep_Dim1+23)=9),Sep_Dim1+23,""))</f>
        <v>44096</v>
      </c>
      <c r="AF150" s="90">
        <f>IF(DAY(Sep_Dim1)=1,IF(AND(YEAR(Sep_Dim1+17)=Année_Calendaire,MONTH(Sep_Dim1+17)=9),Sep_Dim1+17,""),IF(AND(YEAR(Sep_Dim1+24)=Année_Calendaire,MONTH(Sep_Dim1+24)=9),Sep_Dim1+24,""))</f>
        <v>44097</v>
      </c>
      <c r="AG150" s="90">
        <f>IF(DAY(Sep_Dim1)=1,IF(AND(YEAR(Sep_Dim1+18)=Année_Calendaire,MONTH(Sep_Dim1+18)=9),Sep_Dim1+18,""),IF(AND(YEAR(Sep_Dim1+25)=Année_Calendaire,MONTH(Sep_Dim1+25)=9),Sep_Dim1+25,""))</f>
        <v>44098</v>
      </c>
      <c r="AH150" s="90">
        <f>IF(DAY(Sep_Dim1)=1,IF(AND(YEAR(Sep_Dim1+19)=Année_Calendaire,MONTH(Sep_Dim1+19)=9),Sep_Dim1+19,""),IF(AND(YEAR(Sep_Dim1+26)=Année_Calendaire,MONTH(Sep_Dim1+26)=9),Sep_Dim1+26,""))</f>
        <v>44099</v>
      </c>
      <c r="AI150" s="90">
        <f>IF(DAY(Sep_Dim1)=1,IF(AND(YEAR(Sep_Dim1+20)=Année_Calendaire,MONTH(Sep_Dim1+20)=9),Sep_Dim1+20,""),IF(AND(YEAR(Sep_Dim1+27)=Année_Calendaire,MONTH(Sep_Dim1+27)=9),Sep_Dim1+27,""))</f>
        <v>44100</v>
      </c>
      <c r="AJ150" s="90">
        <f>IF(DAY(Sep_Dim1)=1,IF(AND(YEAR(Sep_Dim1+21)=Année_Calendaire,MONTH(Sep_Dim1+21)=9),Sep_Dim1+21,""),IF(AND(YEAR(Sep_Dim1+28)=Année_Calendaire,MONTH(Sep_Dim1+28)=9),Sep_Dim1+28,""))</f>
        <v>44101</v>
      </c>
      <c r="AK150" s="102"/>
      <c r="AL150" s="54"/>
      <c r="AM150" s="90">
        <f>IF(DAY(Sep_Dim1)=1,IF(AND(YEAR(Sep_Dim1+22)=Année_Calendaire,MONTH(Sep_Dim1+22)=9),Sep_Dim1+22,""),IF(AND(YEAR(Sep_Dim1+29)=Année_Calendaire,MONTH(Sep_Dim1+29)=9),Sep_Dim1+29,""))</f>
        <v>44102</v>
      </c>
      <c r="AN150" s="90">
        <f>IF(DAY(Sep_Dim1)=1,IF(AND(YEAR(Sep_Dim1+23)=Année_Calendaire,MONTH(Sep_Dim1+23)=9),Sep_Dim1+23,""),IF(AND(YEAR(Sep_Dim1+30)=Année_Calendaire,MONTH(Sep_Dim1+30)=9),Sep_Dim1+30,""))</f>
        <v>44103</v>
      </c>
      <c r="AO150" s="90">
        <f>IF(DAY(Sep_Dim1)=1,IF(AND(YEAR(Sep_Dim1+24)=Année_Calendaire,MONTH(Sep_Dim1+24)=9),Sep_Dim1+24,""),IF(AND(YEAR(Sep_Dim1+31)=Année_Calendaire,MONTH(Sep_Dim1+31)=9),Sep_Dim1+31,""))</f>
        <v>44104</v>
      </c>
      <c r="AP150" s="90" t="str">
        <f>IF(DAY(Sep_Dim1)=1,IF(AND(YEAR(Sep_Dim1+25)=Année_Calendaire,MONTH(Sep_Dim1+25)=9),Sep_Dim1+25,""),IF(AND(YEAR(Sep_Dim1+32)=Année_Calendaire,MONTH(Sep_Dim1+32)=9),Sep_Dim1+32,""))</f>
        <v/>
      </c>
      <c r="AQ150" s="90" t="str">
        <f>IF(DAY(Sep_Dim1)=1,IF(AND(YEAR(Sep_Dim1+26)=Année_Calendaire,MONTH(Sep_Dim1+26)=9),Sep_Dim1+26,""),IF(AND(YEAR(Sep_Dim1+33)=Année_Calendaire,MONTH(Sep_Dim1+33)=9),Sep_Dim1+33,""))</f>
        <v/>
      </c>
      <c r="AR150" s="90" t="str">
        <f>IF(DAY(Sep_Dim1)=1,IF(AND(YEAR(Sep_Dim1+27)=Année_Calendaire,MONTH(Sep_Dim1+27)=9),Sep_Dim1+27,""),IF(AND(YEAR(Sep_Dim1+34)=Année_Calendaire,MONTH(Sep_Dim1+34)=9),Sep_Dim1+34,""))</f>
        <v/>
      </c>
      <c r="AS150" s="90" t="str">
        <f>IF(DAY(Sep_Dim1)=1,IF(AND(YEAR(Sep_Dim1+28)=Année_Calendaire,MONTH(Sep_Dim1+28)=9),Sep_Dim1+28,""),IF(AND(YEAR(Sep_Dim1+35)=Année_Calendaire,MONTH(Sep_Dim1+35)=9),Sep_Dim1+35,""))</f>
        <v/>
      </c>
      <c r="AT150" s="102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102"/>
      <c r="AY150" s="102"/>
      <c r="AZ150" s="103"/>
      <c r="BA150" s="103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>nuit</v>
      </c>
      <c r="E151" s="49" t="str">
        <f>IF(E150="","",IFERROR(VLOOKUP(B149,DATA!$A:$H,4,TRUE),0))</f>
        <v>nuit</v>
      </c>
      <c r="F151" s="49" t="str">
        <f>IF(F150="","",IFERROR(VLOOKUP(B149,DATA!$A:$H,5,TRUE),0))</f>
        <v>nuit</v>
      </c>
      <c r="G151" s="49" t="str">
        <f>IF(G150="","",IFERROR(VLOOKUP(B149,DATA!$A:$H,6,TRUE),0))</f>
        <v>nuit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matin</v>
      </c>
      <c r="M151" s="49">
        <f>IF(M150="","",IFERROR(VLOOKUP(K149,DATA!$A:$H,3,TRUE),0))</f>
        <v>0</v>
      </c>
      <c r="N151" s="49">
        <f>IF(N150="","",IFERROR(VLOOKUP(K149,DATA!$A:$H,4,TRUE),0))</f>
        <v>0</v>
      </c>
      <c r="O151" s="49" t="str">
        <f>IF(O150="","",IFERROR(VLOOKUP(K149,DATA!$A:$H,5,TRUE),0))</f>
        <v>matin</v>
      </c>
      <c r="P151" s="49" t="str">
        <f>IF(P150="","",IFERROR(VLOOKUP(K149,DATA!$A:$H,6,TRUE),0))</f>
        <v>matin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am</v>
      </c>
      <c r="V151" s="49" t="str">
        <f>IF(V150="","",IFERROR(VLOOKUP(T149,DATA!$A:$H,3,TRUE),0))</f>
        <v>am</v>
      </c>
      <c r="W151" s="49" t="str">
        <f>IF(W150="","",IFERROR(VLOOKUP(T149,DATA!$A:$H,4,TRUE),0))</f>
        <v>am</v>
      </c>
      <c r="X151" s="49" t="str">
        <f>IF(X150="","",IFERROR(VLOOKUP(T149,DATA!$A:$H,5,TRUE),0))</f>
        <v>am</v>
      </c>
      <c r="Y151" s="49" t="str">
        <f>IF(Y150="","",IFERROR(VLOOKUP(T149,DATA!$A:$H,6,TRUE),0))</f>
        <v>am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matin</v>
      </c>
      <c r="AE151" s="49" t="str">
        <f>IF(AE150="","",IFERROR(VLOOKUP(AC149,DATA!$A:$H,3,TRUE),0))</f>
        <v>matin</v>
      </c>
      <c r="AF151" s="49" t="str">
        <f>IF(AF150="","",IFERROR(VLOOKUP(AC149,DATA!$A:$H,4,TRUE),0))</f>
        <v>matin</v>
      </c>
      <c r="AG151" s="49">
        <f>IF(AG150="","",IFERROR(VLOOKUP(AC149,DATA!$A:$H,5,TRUE),0))</f>
        <v>0</v>
      </c>
      <c r="AH151" s="49">
        <f>IF(AH150="","",IFERROR(VLOOKUP(AC149,DATA!$A:$H,6,TRUE),0))</f>
        <v>0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nuit</v>
      </c>
      <c r="AN151" s="49" t="str">
        <f>IF(AN150="","",IFERROR(VLOOKUP(AL149,DATA!$A:$H,3,TRUE),0))</f>
        <v>nuit</v>
      </c>
      <c r="AO151" s="49" t="str">
        <f>IF(AO150="","",IFERROR(VLOOKUP(AL149,DATA!$A:$H,4,TRUE),0))</f>
        <v>nuit</v>
      </c>
      <c r="AP151" s="49" t="str">
        <f>IF(AP150="","",IFERROR(VLOOKUP(AL149,DATA!$A:$H,5,TRUE),0))</f>
        <v/>
      </c>
      <c r="AQ151" s="49" t="str">
        <f>IF(AQ150="","",IFERROR(VLOOKUP(AL149,DATA!$A:$H,6,TRUE),0))</f>
        <v/>
      </c>
      <c r="AR151" s="49" t="str">
        <f>IF(AR150="","",IFERROR(VLOOKUP(AL149,DATA!$A:$H,7,TRUE),0))</f>
        <v/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0</v>
      </c>
      <c r="H152" s="52">
        <f t="shared" si="340"/>
        <v>0</v>
      </c>
      <c r="I152" s="52">
        <f t="shared" si="340"/>
        <v>0</v>
      </c>
      <c r="J152" s="52">
        <f>SUM(C152:I152)</f>
        <v>0</v>
      </c>
      <c r="K152" s="51"/>
      <c r="L152" s="52">
        <f t="shared" ref="L152:R152" si="341">IF(L151="Matin",1,IF(L151="AM",1,0))</f>
        <v>1</v>
      </c>
      <c r="M152" s="52">
        <f t="shared" si="341"/>
        <v>0</v>
      </c>
      <c r="N152" s="52">
        <f t="shared" si="341"/>
        <v>0</v>
      </c>
      <c r="O152" s="52">
        <f t="shared" si="341"/>
        <v>1</v>
      </c>
      <c r="P152" s="52">
        <f t="shared" si="341"/>
        <v>1</v>
      </c>
      <c r="Q152" s="52">
        <f t="shared" si="341"/>
        <v>0</v>
      </c>
      <c r="R152" s="52">
        <f t="shared" si="341"/>
        <v>0</v>
      </c>
      <c r="S152" s="52">
        <f>SUM(L152:R152)</f>
        <v>3</v>
      </c>
      <c r="T152" s="51"/>
      <c r="U152" s="52">
        <f t="shared" ref="U152:AA152" si="342">IF(U151="Matin",1,IF(U151="AM",1,0))</f>
        <v>1</v>
      </c>
      <c r="V152" s="52">
        <f t="shared" si="342"/>
        <v>1</v>
      </c>
      <c r="W152" s="52">
        <f t="shared" si="342"/>
        <v>1</v>
      </c>
      <c r="X152" s="52">
        <f t="shared" si="342"/>
        <v>1</v>
      </c>
      <c r="Y152" s="52">
        <f t="shared" si="342"/>
        <v>1</v>
      </c>
      <c r="Z152" s="52">
        <f t="shared" si="342"/>
        <v>0</v>
      </c>
      <c r="AA152" s="52">
        <f t="shared" si="342"/>
        <v>0</v>
      </c>
      <c r="AB152" s="52">
        <f>SUM(U152:AA152)</f>
        <v>5</v>
      </c>
      <c r="AC152" s="51"/>
      <c r="AD152" s="52">
        <f t="shared" ref="AD152:AJ152" si="343">IF(AD151="Matin",1,IF(AD151="AM",1,0))</f>
        <v>1</v>
      </c>
      <c r="AE152" s="52">
        <f t="shared" si="343"/>
        <v>1</v>
      </c>
      <c r="AF152" s="52">
        <f t="shared" si="343"/>
        <v>1</v>
      </c>
      <c r="AG152" s="52">
        <f t="shared" si="343"/>
        <v>0</v>
      </c>
      <c r="AH152" s="52">
        <f t="shared" si="343"/>
        <v>0</v>
      </c>
      <c r="AI152" s="52">
        <f t="shared" si="343"/>
        <v>0</v>
      </c>
      <c r="AJ152" s="52">
        <f t="shared" si="343"/>
        <v>0</v>
      </c>
      <c r="AK152" s="52">
        <f>SUM(AD152:AJ152)</f>
        <v>3</v>
      </c>
      <c r="AL152" s="51"/>
      <c r="AM152" s="52">
        <f t="shared" ref="AM152:AS152" si="344">IF(AM151="Matin",1,IF(AM151="AM",1,0))</f>
        <v>0</v>
      </c>
      <c r="AN152" s="52">
        <f t="shared" si="344"/>
        <v>0</v>
      </c>
      <c r="AO152" s="52">
        <f t="shared" si="344"/>
        <v>0</v>
      </c>
      <c r="AP152" s="52">
        <f t="shared" si="344"/>
        <v>0</v>
      </c>
      <c r="AQ152" s="52">
        <f t="shared" si="344"/>
        <v>0</v>
      </c>
      <c r="AR152" s="52">
        <f t="shared" si="344"/>
        <v>0</v>
      </c>
      <c r="AS152" s="52">
        <f t="shared" si="344"/>
        <v>0</v>
      </c>
      <c r="AT152" s="52">
        <f>SUM(AM152:AS152)</f>
        <v>0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1</v>
      </c>
      <c r="E153" s="49">
        <f t="shared" ref="E153:I153" si="347">IF(E154&gt;=1,1,0)</f>
        <v>1</v>
      </c>
      <c r="F153" s="49">
        <f t="shared" si="347"/>
        <v>1</v>
      </c>
      <c r="G153" s="49">
        <f t="shared" si="347"/>
        <v>1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4</v>
      </c>
      <c r="K153" s="48"/>
      <c r="L153" s="49">
        <f>IF(L154&gt;=1,1,0)</f>
        <v>1</v>
      </c>
      <c r="M153" s="49">
        <f t="shared" ref="M153:R153" si="349">IF(M154&gt;=1,1,0)</f>
        <v>0</v>
      </c>
      <c r="N153" s="49">
        <f t="shared" si="349"/>
        <v>0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3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5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0</v>
      </c>
      <c r="AH153" s="49">
        <f t="shared" si="353"/>
        <v>0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3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0</v>
      </c>
      <c r="AQ153" s="49">
        <f t="shared" si="355"/>
        <v>0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3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8</v>
      </c>
      <c r="E154" s="52">
        <f t="shared" si="359"/>
        <v>8</v>
      </c>
      <c r="F154" s="52">
        <f t="shared" si="359"/>
        <v>8</v>
      </c>
      <c r="G154" s="52">
        <f t="shared" si="359"/>
        <v>8</v>
      </c>
      <c r="H154" s="52">
        <f t="shared" si="359"/>
        <v>0</v>
      </c>
      <c r="I154" s="52">
        <f t="shared" si="359"/>
        <v>0</v>
      </c>
      <c r="J154" s="52">
        <f t="shared" si="348"/>
        <v>32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0</v>
      </c>
      <c r="N154" s="52">
        <f t="shared" si="360"/>
        <v>0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24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40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0</v>
      </c>
      <c r="AH154" s="52">
        <f t="shared" si="362"/>
        <v>0</v>
      </c>
      <c r="AI154" s="52">
        <f t="shared" si="362"/>
        <v>0</v>
      </c>
      <c r="AJ154" s="52">
        <f t="shared" si="362"/>
        <v>0</v>
      </c>
      <c r="AK154" s="52">
        <f t="shared" si="354"/>
        <v>24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0</v>
      </c>
      <c r="AQ154" s="52">
        <f t="shared" si="363"/>
        <v>0</v>
      </c>
      <c r="AR154" s="52">
        <f t="shared" si="363"/>
        <v>0</v>
      </c>
      <c r="AS154" s="52">
        <f t="shared" si="363"/>
        <v>0</v>
      </c>
      <c r="AT154" s="52">
        <f t="shared" si="356"/>
        <v>24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0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0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3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0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0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5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0.16</v>
      </c>
      <c r="E163" s="49">
        <f t="shared" ref="E163:I163" si="371">IF(E151="nuit",E154*0.02,0)</f>
        <v>0.16</v>
      </c>
      <c r="F163" s="49">
        <f t="shared" si="371"/>
        <v>0.16</v>
      </c>
      <c r="G163" s="49">
        <f>IF(G151="nuit",G154*0.02,0)</f>
        <v>0.16</v>
      </c>
      <c r="H163" s="49">
        <f t="shared" si="371"/>
        <v>0</v>
      </c>
      <c r="I163" s="49">
        <f t="shared" si="371"/>
        <v>0</v>
      </c>
      <c r="J163" s="52">
        <f t="shared" si="348"/>
        <v>0.64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0.16</v>
      </c>
      <c r="AN163" s="49">
        <f>IF(AN151="nuit",AN154*0.02,0)</f>
        <v>0.16</v>
      </c>
      <c r="AO163" s="49">
        <f t="shared" ref="AO163:AS163" si="375">IF(AO151="nuit",AO154*0.02,0)</f>
        <v>0.16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0.48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1.1200000000000001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">
      <c r="A166" s="16"/>
      <c r="B166" s="16"/>
      <c r="C166" s="19" t="s">
        <v>21</v>
      </c>
      <c r="D166" s="19"/>
      <c r="E166" s="19"/>
      <c r="F166" s="19"/>
      <c r="G166" s="19"/>
      <c r="H166" s="101">
        <f>Année_Calendaire</f>
        <v>2020</v>
      </c>
      <c r="I166" s="101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1">
        <f>Année_Calendaire</f>
        <v>2020</v>
      </c>
      <c r="AA166" s="101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1">
        <f>Année_Calendaire</f>
        <v>2020</v>
      </c>
      <c r="AS166" s="101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C2</v>
      </c>
      <c r="C167" s="91" t="str">
        <f>IF(C168&lt;&gt;"","Lun","")</f>
        <v/>
      </c>
      <c r="D167" s="91" t="str">
        <f>IF(D168&lt;&gt;"","Mar","")</f>
        <v/>
      </c>
      <c r="E167" s="91" t="str">
        <f>IF(E168&lt;&gt;"","Mer","")</f>
        <v/>
      </c>
      <c r="F167" s="91" t="str">
        <f>IF(F168&lt;&gt;"","Jeu","")</f>
        <v>Jeu</v>
      </c>
      <c r="G167" s="92" t="str">
        <f>IF(G168&lt;&gt;"","Ven","")</f>
        <v>Ven</v>
      </c>
      <c r="H167" s="91" t="str">
        <f>IF(H168&lt;&gt;"","Sam","")</f>
        <v>Sam</v>
      </c>
      <c r="I167" s="91" t="str">
        <f>IF(I168&lt;&gt;"","Dim","")</f>
        <v>Dim</v>
      </c>
      <c r="J167" s="102" t="s">
        <v>25</v>
      </c>
      <c r="K167" s="55" t="str">
        <f>IF(L167="",LEFT(B167)&amp;MOD(RIGHT(B167),5),LEFT(B167)&amp;MOD(RIGHT(B167),4)+1)</f>
        <v>C3</v>
      </c>
      <c r="L167" s="91" t="str">
        <f>IF(L168&lt;&gt;"","Lun","")</f>
        <v>Lun</v>
      </c>
      <c r="M167" s="91" t="str">
        <f>IF(M168&lt;&gt;"","Mar","")</f>
        <v>Mar</v>
      </c>
      <c r="N167" s="91" t="str">
        <f>IF(N168&lt;&gt;"","Mer","")</f>
        <v>Mer</v>
      </c>
      <c r="O167" s="91" t="str">
        <f>IF(O168&lt;&gt;"","Jeu","")</f>
        <v>Jeu</v>
      </c>
      <c r="P167" s="91" t="str">
        <f>IF(P168&lt;&gt;"","Ven","")</f>
        <v>Ven</v>
      </c>
      <c r="Q167" s="91" t="str">
        <f>IF(Q168&lt;&gt;"","Sam","")</f>
        <v>Sam</v>
      </c>
      <c r="R167" s="91" t="str">
        <f>IF(R168&lt;&gt;"","Dim","")</f>
        <v>Dim</v>
      </c>
      <c r="S167" s="102" t="s">
        <v>25</v>
      </c>
      <c r="T167" s="55" t="str">
        <f>IF(U167="",LEFT(K167)&amp;MOD(RIGHT(K167),5),LEFT(K167)&amp;MOD(RIGHT(K167),4)+1)</f>
        <v>C4</v>
      </c>
      <c r="U167" s="91" t="str">
        <f>IF(U168&lt;&gt;"","Lun","")</f>
        <v>Lun</v>
      </c>
      <c r="V167" s="91" t="str">
        <f>IF(V168&lt;&gt;"","Mar","")</f>
        <v>Mar</v>
      </c>
      <c r="W167" s="91" t="str">
        <f>IF(W168&lt;&gt;"","Mer","")</f>
        <v>Mer</v>
      </c>
      <c r="X167" s="91" t="str">
        <f>IF(X168&lt;&gt;"","Jeu","")</f>
        <v>Jeu</v>
      </c>
      <c r="Y167" s="91" t="str">
        <f>IF(Y168&lt;&gt;"","Ven","")</f>
        <v>Ven</v>
      </c>
      <c r="Z167" s="91" t="str">
        <f>IF(Z168&lt;&gt;"","Sam","")</f>
        <v>Sam</v>
      </c>
      <c r="AA167" s="91" t="str">
        <f>IF(AA168&lt;&gt;"","Dim","")</f>
        <v>Dim</v>
      </c>
      <c r="AB167" s="102" t="s">
        <v>25</v>
      </c>
      <c r="AC167" s="55" t="str">
        <f>IF(AD167="",LEFT(T167)&amp;MOD(RIGHT(T167),5),LEFT(T167)&amp;MOD(RIGHT(T167),4)+1)</f>
        <v>C1</v>
      </c>
      <c r="AD167" s="91" t="str">
        <f>IF(AD168&lt;&gt;"","Lun","")</f>
        <v>Lun</v>
      </c>
      <c r="AE167" s="91" t="str">
        <f>IF(AE168&lt;&gt;"","Mar","")</f>
        <v>Mar</v>
      </c>
      <c r="AF167" s="91" t="str">
        <f>IF(AF168&lt;&gt;"","Mer","")</f>
        <v>Mer</v>
      </c>
      <c r="AG167" s="91" t="str">
        <f>IF(AG168&lt;&gt;"","Jeu","")</f>
        <v>Jeu</v>
      </c>
      <c r="AH167" s="91" t="str">
        <f>IF(AH168&lt;&gt;"","Ven","")</f>
        <v>Ven</v>
      </c>
      <c r="AI167" s="91" t="str">
        <f>IF(AI168&lt;&gt;"","Sam","")</f>
        <v>Sam</v>
      </c>
      <c r="AJ167" s="91" t="str">
        <f>IF(AJ168&lt;&gt;"","Dim","")</f>
        <v>Dim</v>
      </c>
      <c r="AK167" s="102" t="s">
        <v>25</v>
      </c>
      <c r="AL167" s="55" t="str">
        <f>IF(AM167="",LEFT(AC167)&amp;MOD(RIGHT(AC167),5),LEFT(AC167)&amp;MOD(RIGHT(AC167),4)+1)</f>
        <v>C2</v>
      </c>
      <c r="AM167" s="91" t="str">
        <f>IF(AM168&lt;&gt;"","Lun","")</f>
        <v>Lun</v>
      </c>
      <c r="AN167" s="91" t="str">
        <f>IF(AN168&lt;&gt;"","Mar","")</f>
        <v>Mar</v>
      </c>
      <c r="AO167" s="91" t="str">
        <f>IF(AO168&lt;&gt;"","Mer","")</f>
        <v>Mer</v>
      </c>
      <c r="AP167" s="91" t="str">
        <f>IF(AP168&lt;&gt;"","Jeu","")</f>
        <v>Jeu</v>
      </c>
      <c r="AQ167" s="91" t="str">
        <f>IF(AQ168&lt;&gt;"","Ven","")</f>
        <v>Ven</v>
      </c>
      <c r="AR167" s="91" t="str">
        <f>IF(AR168&lt;&gt;"","Sam","")</f>
        <v>Sam</v>
      </c>
      <c r="AS167" s="91" t="str">
        <f>IF(AS168&lt;&gt;"","Dim","")</f>
        <v/>
      </c>
      <c r="AT167" s="102" t="s">
        <v>25</v>
      </c>
      <c r="AU167" s="55" t="str">
        <f>IF(AV167="",LEFT(AL167)&amp;MOD(RIGHT(AL167),5),LEFT(AL167)&amp;MOD(RIGHT(AL167),4)+1)</f>
        <v>C2</v>
      </c>
      <c r="AV167" s="53" t="str">
        <f>IF(AV168&lt;&gt;"","Lun","")</f>
        <v/>
      </c>
      <c r="AW167" s="53" t="str">
        <f>IF(AW168&lt;&gt;"","Mar","")</f>
        <v/>
      </c>
      <c r="AX167" s="102" t="s">
        <v>25</v>
      </c>
      <c r="AY167" s="102" t="s">
        <v>28</v>
      </c>
      <c r="AZ167" s="103">
        <f>AY174+AY175+AY176</f>
        <v>10</v>
      </c>
      <c r="BA167" s="103">
        <f>AZ167+BA149</f>
        <v>90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90" t="str">
        <f>IF(DAY(Oct_Dim1)=1,"",IF(AND(YEAR(Oct_Dim1+1)=Année_Calendaire,MONTH(Oct_Dim1+1)=10),Oct_Dim1+1,""))</f>
        <v/>
      </c>
      <c r="D168" s="90" t="str">
        <f>IF(DAY(Oct_Dim1)=1,"",IF(AND(YEAR(Oct_Dim1+2)=Année_Calendaire,MONTH(Oct_Dim1+2)=10),Oct_Dim1+2,""))</f>
        <v/>
      </c>
      <c r="E168" s="90" t="str">
        <f>IF(DAY(Oct_Dim1)=1,"",IF(AND(YEAR(Oct_Dim1+3)=Année_Calendaire,MONTH(Oct_Dim1+3)=10),Oct_Dim1+3,""))</f>
        <v/>
      </c>
      <c r="F168" s="90">
        <f>IF(DAY(Oct_Dim1)=1,"",IF(AND(YEAR(Oct_Dim1+4)=Année_Calendaire,MONTH(Oct_Dim1+4)=10),Oct_Dim1+4,""))</f>
        <v>44105</v>
      </c>
      <c r="G168" s="90">
        <f>IF(DAY(Oct_Dim1)=1,"",IF(AND(YEAR(Oct_Dim1+5)=Année_Calendaire,MONTH(Oct_Dim1+5)=10),Oct_Dim1+5,""))</f>
        <v>44106</v>
      </c>
      <c r="H168" s="90">
        <f>IF(DAY(Oct_Dim1)=1,"",IF(AND(YEAR(Oct_Dim1+6)=Année_Calendaire,MONTH(Oct_Dim1+6)=10),Oct_Dim1+6,""))</f>
        <v>44107</v>
      </c>
      <c r="I168" s="90">
        <f>IF(DAY(Oct_Dim1)=1,IF(AND(YEAR(Oct_Dim1)=Année_Calendaire,MONTH(Oct_Dim1)=10),Oct_Dim1,""),IF(AND(YEAR(Oct_Dim1+7)=Année_Calendaire,MONTH(Oct_Dim1+7)=10),Oct_Dim1+7,""))</f>
        <v>44108</v>
      </c>
      <c r="J168" s="102"/>
      <c r="K168" s="54"/>
      <c r="L168" s="90">
        <f>IF(DAY(Oct_Dim1)=1,IF(AND(YEAR(Oct_Dim1+1)=Année_Calendaire,MONTH(Oct_Dim1+1)=10),Oct_Dim1+1,""),IF(AND(YEAR(Oct_Dim1+8)=Année_Calendaire,MONTH(Oct_Dim1+8)=10),Oct_Dim1+8,""))</f>
        <v>44109</v>
      </c>
      <c r="M168" s="90">
        <f>IF(DAY(Oct_Dim1)=1,IF(AND(YEAR(Oct_Dim1+2)=Année_Calendaire,MONTH(Oct_Dim1+2)=10),Oct_Dim1+2,""),IF(AND(YEAR(Oct_Dim1+9)=Année_Calendaire,MONTH(Oct_Dim1+9)=10),Oct_Dim1+9,""))</f>
        <v>44110</v>
      </c>
      <c r="N168" s="90">
        <f>IF(DAY(Oct_Dim1)=1,IF(AND(YEAR(Oct_Dim1+3)=Année_Calendaire,MONTH(Oct_Dim1+3)=10),Oct_Dim1+3,""),IF(AND(YEAR(Oct_Dim1+10)=Année_Calendaire,MONTH(Oct_Dim1+10)=10),Oct_Dim1+10,""))</f>
        <v>44111</v>
      </c>
      <c r="O168" s="90">
        <f>IF(DAY(Oct_Dim1)=1,IF(AND(YEAR(Oct_Dim1+4)=Année_Calendaire,MONTH(Oct_Dim1+4)=10),Oct_Dim1+4,""),IF(AND(YEAR(Oct_Dim1+11)=Année_Calendaire,MONTH(Oct_Dim1+11)=10),Oct_Dim1+11,""))</f>
        <v>44112</v>
      </c>
      <c r="P168" s="90">
        <f>IF(DAY(Oct_Dim1)=1,IF(AND(YEAR(Oct_Dim1+5)=Année_Calendaire,MONTH(Oct_Dim1+5)=10),Oct_Dim1+5,""),IF(AND(YEAR(Oct_Dim1+12)=Année_Calendaire,MONTH(Oct_Dim1+12)=10),Oct_Dim1+12,""))</f>
        <v>44113</v>
      </c>
      <c r="Q168" s="90">
        <f>IF(DAY(Oct_Dim1)=1,IF(AND(YEAR(Oct_Dim1+6)=Année_Calendaire,MONTH(Oct_Dim1+6)=10),Oct_Dim1+6,""),IF(AND(YEAR(Oct_Dim1+13)=Année_Calendaire,MONTH(Oct_Dim1+13)=10),Oct_Dim1+13,""))</f>
        <v>44114</v>
      </c>
      <c r="R168" s="90">
        <f>IF(DAY(Oct_Dim1)=1,IF(AND(YEAR(Oct_Dim1+7)=Année_Calendaire,MONTH(Oct_Dim1+7)=10),Oct_Dim1+7,""),IF(AND(YEAR(Oct_Dim1+14)=Année_Calendaire,MONTH(Oct_Dim1+14)=10),Oct_Dim1+14,""))</f>
        <v>44115</v>
      </c>
      <c r="S168" s="102"/>
      <c r="T168" s="54"/>
      <c r="U168" s="90">
        <f>IF(DAY(Oct_Dim1)=1,IF(AND(YEAR(Oct_Dim1+8)=Année_Calendaire,MONTH(Oct_Dim1+8)=10),Oct_Dim1+8,""),IF(AND(YEAR(Oct_Dim1+15)=Année_Calendaire,MONTH(Oct_Dim1+15)=10),Oct_Dim1+15,""))</f>
        <v>44116</v>
      </c>
      <c r="V168" s="90">
        <f>IF(DAY(Oct_Dim1)=1,IF(AND(YEAR(Oct_Dim1+9)=Année_Calendaire,MONTH(Oct_Dim1+9)=10),Oct_Dim1+9,""),IF(AND(YEAR(Oct_Dim1+16)=Année_Calendaire,MONTH(Oct_Dim1+16)=10),Oct_Dim1+16,""))</f>
        <v>44117</v>
      </c>
      <c r="W168" s="90">
        <f>IF(DAY(Oct_Dim1)=1,IF(AND(YEAR(Oct_Dim1+10)=Année_Calendaire,MONTH(Oct_Dim1+10)=10),Oct_Dim1+10,""),IF(AND(YEAR(Oct_Dim1+17)=Année_Calendaire,MONTH(Oct_Dim1+17)=10),Oct_Dim1+17,""))</f>
        <v>44118</v>
      </c>
      <c r="X168" s="90">
        <f>IF(DAY(Oct_Dim1)=1,IF(AND(YEAR(Oct_Dim1+11)=Année_Calendaire,MONTH(Oct_Dim1+11)=10),Oct_Dim1+11,""),IF(AND(YEAR(Oct_Dim1+18)=Année_Calendaire,MONTH(Oct_Dim1+18)=10),Oct_Dim1+18,""))</f>
        <v>44119</v>
      </c>
      <c r="Y168" s="90">
        <f>IF(DAY(Oct_Dim1)=1,IF(AND(YEAR(Oct_Dim1+12)=Année_Calendaire,MONTH(Oct_Dim1+12)=10),Oct_Dim1+12,""),IF(AND(YEAR(Oct_Dim1+19)=Année_Calendaire,MONTH(Oct_Dim1+19)=10),Oct_Dim1+19,""))</f>
        <v>44120</v>
      </c>
      <c r="Z168" s="90">
        <f>IF(DAY(Oct_Dim1)=1,IF(AND(YEAR(Oct_Dim1+13)=Année_Calendaire,MONTH(Oct_Dim1+13)=10),Oct_Dim1+13,""),IF(AND(YEAR(Oct_Dim1+20)=Année_Calendaire,MONTH(Oct_Dim1+20)=10),Oct_Dim1+20,""))</f>
        <v>44121</v>
      </c>
      <c r="AA168" s="90">
        <f>IF(DAY(Oct_Dim1)=1,IF(AND(YEAR(Oct_Dim1+14)=Année_Calendaire,MONTH(Oct_Dim1+14)=10),Oct_Dim1+14,""),IF(AND(YEAR(Oct_Dim1+21)=Année_Calendaire,MONTH(Oct_Dim1+21)=10),Oct_Dim1+21,""))</f>
        <v>44122</v>
      </c>
      <c r="AB168" s="102"/>
      <c r="AC168" s="54"/>
      <c r="AD168" s="90">
        <f>IF(DAY(Oct_Dim1)=1,IF(AND(YEAR(Oct_Dim1+15)=Année_Calendaire,MONTH(Oct_Dim1+15)=10),Oct_Dim1+15,""),IF(AND(YEAR(Oct_Dim1+22)=Année_Calendaire,MONTH(Oct_Dim1+22)=10),Oct_Dim1+22,""))</f>
        <v>44123</v>
      </c>
      <c r="AE168" s="90">
        <f>IF(DAY(Oct_Dim1)=1,IF(AND(YEAR(Oct_Dim1+16)=Année_Calendaire,MONTH(Oct_Dim1+16)=10),Oct_Dim1+16,""),IF(AND(YEAR(Oct_Dim1+23)=Année_Calendaire,MONTH(Oct_Dim1+23)=10),Oct_Dim1+23,""))</f>
        <v>44124</v>
      </c>
      <c r="AF168" s="90">
        <f>IF(DAY(Oct_Dim1)=1,IF(AND(YEAR(Oct_Dim1+17)=Année_Calendaire,MONTH(Oct_Dim1+17)=10),Oct_Dim1+17,""),IF(AND(YEAR(Oct_Dim1+24)=Année_Calendaire,MONTH(Oct_Dim1+24)=10),Oct_Dim1+24,""))</f>
        <v>44125</v>
      </c>
      <c r="AG168" s="90">
        <f>IF(DAY(Oct_Dim1)=1,IF(AND(YEAR(Oct_Dim1+18)=Année_Calendaire,MONTH(Oct_Dim1+18)=10),Oct_Dim1+18,""),IF(AND(YEAR(Oct_Dim1+25)=Année_Calendaire,MONTH(Oct_Dim1+25)=10),Oct_Dim1+25,""))</f>
        <v>44126</v>
      </c>
      <c r="AH168" s="90">
        <f>IF(DAY(Oct_Dim1)=1,IF(AND(YEAR(Oct_Dim1+19)=Année_Calendaire,MONTH(Oct_Dim1+19)=10),Oct_Dim1+19,""),IF(AND(YEAR(Oct_Dim1+26)=Année_Calendaire,MONTH(Oct_Dim1+26)=10),Oct_Dim1+26,""))</f>
        <v>44127</v>
      </c>
      <c r="AI168" s="90">
        <f>IF(DAY(Oct_Dim1)=1,IF(AND(YEAR(Oct_Dim1+20)=Année_Calendaire,MONTH(Oct_Dim1+20)=10),Oct_Dim1+20,""),IF(AND(YEAR(Oct_Dim1+27)=Année_Calendaire,MONTH(Oct_Dim1+27)=10),Oct_Dim1+27,""))</f>
        <v>44128</v>
      </c>
      <c r="AJ168" s="90">
        <f>IF(DAY(Oct_Dim1)=1,IF(AND(YEAR(Oct_Dim1+21)=Année_Calendaire,MONTH(Oct_Dim1+21)=10),Oct_Dim1+21,""),IF(AND(YEAR(Oct_Dim1+28)=Année_Calendaire,MONTH(Oct_Dim1+28)=10),Oct_Dim1+28,""))</f>
        <v>44129</v>
      </c>
      <c r="AK168" s="102"/>
      <c r="AL168" s="54"/>
      <c r="AM168" s="90">
        <f>IF(DAY(Oct_Dim1)=1,IF(AND(YEAR(Oct_Dim1+22)=Année_Calendaire,MONTH(Oct_Dim1+22)=10),Oct_Dim1+22,""),IF(AND(YEAR(Oct_Dim1+29)=Année_Calendaire,MONTH(Oct_Dim1+29)=10),Oct_Dim1+29,""))</f>
        <v>44130</v>
      </c>
      <c r="AN168" s="90">
        <f>IF(DAY(Oct_Dim1)=1,IF(AND(YEAR(Oct_Dim1+23)=Année_Calendaire,MONTH(Oct_Dim1+23)=10),Oct_Dim1+23,""),IF(AND(YEAR(Oct_Dim1+30)=Année_Calendaire,MONTH(Oct_Dim1+30)=10),Oct_Dim1+30,""))</f>
        <v>44131</v>
      </c>
      <c r="AO168" s="90">
        <f>IF(DAY(Oct_Dim1)=1,IF(AND(YEAR(Oct_Dim1+24)=Année_Calendaire,MONTH(Oct_Dim1+24)=10),Oct_Dim1+24,""),IF(AND(YEAR(Oct_Dim1+31)=Année_Calendaire,MONTH(Oct_Dim1+31)=10),Oct_Dim1+31,""))</f>
        <v>44132</v>
      </c>
      <c r="AP168" s="90">
        <f>IF(DAY(Oct_Dim1)=1,IF(AND(YEAR(Oct_Dim1+25)=Année_Calendaire,MONTH(Oct_Dim1+25)=10),Oct_Dim1+25,""),IF(AND(YEAR(Oct_Dim1+32)=Année_Calendaire,MONTH(Oct_Dim1+32)=10),Oct_Dim1+32,""))</f>
        <v>44133</v>
      </c>
      <c r="AQ168" s="90">
        <f>IF(DAY(Oct_Dim1)=1,IF(AND(YEAR(Oct_Dim1+26)=Année_Calendaire,MONTH(Oct_Dim1+26)=10),Oct_Dim1+26,""),IF(AND(YEAR(Oct_Dim1+33)=Année_Calendaire,MONTH(Oct_Dim1+33)=10),Oct_Dim1+33,""))</f>
        <v>44134</v>
      </c>
      <c r="AR168" s="90">
        <f>IF(DAY(Oct_Dim1)=1,IF(AND(YEAR(Oct_Dim1+27)=Année_Calendaire,MONTH(Oct_Dim1+27)=10),Oct_Dim1+27,""),IF(AND(YEAR(Oct_Dim1+34)=Année_Calendaire,MONTH(Oct_Dim1+34)=10),Oct_Dim1+34,""))</f>
        <v>44135</v>
      </c>
      <c r="AS168" s="90" t="str">
        <f>IF(DAY(Oct_Dim1)=1,IF(AND(YEAR(Oct_Dim1+28)=Année_Calendaire,MONTH(Oct_Dim1+28)=10),Oct_Dim1+28,""),IF(AND(YEAR(Oct_Dim1+35)=Année_Calendaire,MONTH(Oct_Dim1+35)=10),Oct_Dim1+35,""))</f>
        <v/>
      </c>
      <c r="AT168" s="102"/>
      <c r="AU168" s="54"/>
      <c r="AV168" s="54" t="str">
        <f>IF(DAY(Oct_Dim1)=1,IF(AND(YEAR(Oct_Dim1+29)=Année_Calendaire,MONTH(Oct_Dim1+29)=10),Oct_Dim1+29,""),IF(AND(YEAR(Oct_Dim1+36)=Année_Calendaire,MONTH(Oct_Dim1+36)=10),Oct_Dim1+36,""))</f>
        <v/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102"/>
      <c r="AY168" s="102"/>
      <c r="AZ168" s="103"/>
      <c r="BA168" s="103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>nuit</v>
      </c>
      <c r="G169" s="49" t="str">
        <f>IF(G168="","",IFERROR(VLOOKUP(B167,DATA!$A:$H,6,TRUE),0))</f>
        <v>nuit</v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matin</v>
      </c>
      <c r="M169" s="49">
        <f>IF(M168="","",IFERROR(VLOOKUP(K167,DATA!$A:$H,3,TRUE),0))</f>
        <v>0</v>
      </c>
      <c r="N169" s="49">
        <f>IF(N168="","",IFERROR(VLOOKUP(K167,DATA!$A:$H,4,TRUE),0))</f>
        <v>0</v>
      </c>
      <c r="O169" s="49" t="str">
        <f>IF(O168="","",IFERROR(VLOOKUP(K167,DATA!$A:$H,5,TRUE),0))</f>
        <v>matin</v>
      </c>
      <c r="P169" s="49" t="str">
        <f>IF(P168="","",IFERROR(VLOOKUP(K167,DATA!$A:$H,6,TRUE),0))</f>
        <v>matin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am</v>
      </c>
      <c r="V169" s="49" t="str">
        <f>IF(V168="","",IFERROR(VLOOKUP(T167,DATA!$A:$H,3,TRUE),0))</f>
        <v>am</v>
      </c>
      <c r="W169" s="49" t="str">
        <f>IF(W168="","",IFERROR(VLOOKUP(T167,DATA!$A:$H,4,TRUE),0))</f>
        <v>am</v>
      </c>
      <c r="X169" s="49" t="str">
        <f>IF(X168="","",IFERROR(VLOOKUP(T167,DATA!$A:$H,5,TRUE),0))</f>
        <v>am</v>
      </c>
      <c r="Y169" s="49" t="str">
        <f>IF(Y168="","",IFERROR(VLOOKUP(T167,DATA!$A:$H,6,TRUE),0))</f>
        <v>am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matin</v>
      </c>
      <c r="AE169" s="49" t="str">
        <f>IF(AE168="","",IFERROR(VLOOKUP(AC167,DATA!$A:$H,3,TRUE),0))</f>
        <v>matin</v>
      </c>
      <c r="AF169" s="49" t="str">
        <f>IF(AF168="","",IFERROR(VLOOKUP(AC167,DATA!$A:$H,4,TRUE),0))</f>
        <v>matin</v>
      </c>
      <c r="AG169" s="49">
        <f>IF(AG168="","",IFERROR(VLOOKUP(AC167,DATA!$A:$H,5,TRUE),0))</f>
        <v>0</v>
      </c>
      <c r="AH169" s="49">
        <f>IF(AH168="","",IFERROR(VLOOKUP(AC167,DATA!$A:$H,6,TRUE),0))</f>
        <v>0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nuit</v>
      </c>
      <c r="AN169" s="49" t="str">
        <f>IF(AN168="","",IFERROR(VLOOKUP(AL167,DATA!$A:$H,3,TRUE),0))</f>
        <v>nuit</v>
      </c>
      <c r="AO169" s="49" t="str">
        <f>IF(AO168="","",IFERROR(VLOOKUP(AL167,DATA!$A:$H,4,TRUE),0))</f>
        <v>nuit</v>
      </c>
      <c r="AP169" s="49" t="str">
        <f>IF(AP168="","",IFERROR(VLOOKUP(AL167,DATA!$A:$H,5,TRUE),0))</f>
        <v>nuit</v>
      </c>
      <c r="AQ169" s="49" t="str">
        <f>IF(AQ168="","",IFERROR(VLOOKUP(AL167,DATA!$A:$H,6,TRUE),0))</f>
        <v>nuit</v>
      </c>
      <c r="AR169" s="49">
        <f>IF(AR168="","",IFERROR(VLOOKUP(AL167,DATA!$A:$H,7,TRUE),0))</f>
        <v>0</v>
      </c>
      <c r="AS169" s="49" t="str">
        <f>IF(AS168="","",IFERROR(VLOOKUP(AL167,DATA!$A:$H,8,TRUE),0))</f>
        <v/>
      </c>
      <c r="AT169" s="52"/>
      <c r="AU169" s="48"/>
      <c r="AV169" s="49" t="str">
        <f>IF(AV168="","",IFERROR(VLOOKUP(AU167,DATA!$A:$H,2,TRUE),0))</f>
        <v/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1</v>
      </c>
      <c r="M170" s="52">
        <f t="shared" si="377"/>
        <v>0</v>
      </c>
      <c r="N170" s="52">
        <f t="shared" si="377"/>
        <v>0</v>
      </c>
      <c r="O170" s="52">
        <f t="shared" si="377"/>
        <v>1</v>
      </c>
      <c r="P170" s="52">
        <f t="shared" si="377"/>
        <v>1</v>
      </c>
      <c r="Q170" s="52">
        <f t="shared" si="377"/>
        <v>0</v>
      </c>
      <c r="R170" s="52">
        <f t="shared" si="377"/>
        <v>0</v>
      </c>
      <c r="S170" s="52">
        <f>SUM(L170:R170)</f>
        <v>3</v>
      </c>
      <c r="T170" s="51"/>
      <c r="U170" s="52">
        <f t="shared" ref="U170:AA170" si="378">IF(U169="Matin",1,IF(U169="AM",1,0))</f>
        <v>1</v>
      </c>
      <c r="V170" s="52">
        <f t="shared" si="378"/>
        <v>1</v>
      </c>
      <c r="W170" s="52">
        <f t="shared" si="378"/>
        <v>1</v>
      </c>
      <c r="X170" s="52">
        <f t="shared" si="378"/>
        <v>1</v>
      </c>
      <c r="Y170" s="52">
        <f t="shared" si="378"/>
        <v>1</v>
      </c>
      <c r="Z170" s="52">
        <f t="shared" si="378"/>
        <v>0</v>
      </c>
      <c r="AA170" s="52">
        <f t="shared" si="378"/>
        <v>0</v>
      </c>
      <c r="AB170" s="52">
        <f>SUM(U170:AA170)</f>
        <v>5</v>
      </c>
      <c r="AC170" s="51"/>
      <c r="AD170" s="52">
        <f t="shared" ref="AD170:AJ170" si="379">IF(AD169="Matin",1,IF(AD169="AM",1,0))</f>
        <v>1</v>
      </c>
      <c r="AE170" s="52">
        <f t="shared" si="379"/>
        <v>1</v>
      </c>
      <c r="AF170" s="52">
        <f t="shared" si="379"/>
        <v>1</v>
      </c>
      <c r="AG170" s="52">
        <f t="shared" si="379"/>
        <v>0</v>
      </c>
      <c r="AH170" s="52">
        <f t="shared" si="379"/>
        <v>0</v>
      </c>
      <c r="AI170" s="52">
        <f t="shared" si="379"/>
        <v>0</v>
      </c>
      <c r="AJ170" s="52">
        <f t="shared" si="379"/>
        <v>0</v>
      </c>
      <c r="AK170" s="52">
        <f>SUM(AD170:AJ170)</f>
        <v>3</v>
      </c>
      <c r="AL170" s="51"/>
      <c r="AM170" s="52">
        <f t="shared" ref="AM170:AS170" si="380">IF(AM169="Matin",1,IF(AM169="AM",1,0))</f>
        <v>0</v>
      </c>
      <c r="AN170" s="52">
        <f t="shared" si="380"/>
        <v>0</v>
      </c>
      <c r="AO170" s="52">
        <f t="shared" si="380"/>
        <v>0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0</v>
      </c>
      <c r="AU170" s="51"/>
      <c r="AV170" s="52">
        <f t="shared" ref="AV170:AW170" si="381">IF(AV169="Matin",1,IF(AV169="AM",1,0))</f>
        <v>0</v>
      </c>
      <c r="AW170" s="52">
        <f t="shared" si="381"/>
        <v>0</v>
      </c>
      <c r="AX170" s="52">
        <f t="shared" ref="AX170:AX177" si="382">SUM(AV170:AW170)</f>
        <v>0</v>
      </c>
      <c r="AY170" s="52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1</v>
      </c>
      <c r="G171" s="49">
        <f t="shared" si="383"/>
        <v>1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2</v>
      </c>
      <c r="K171" s="48"/>
      <c r="L171" s="49">
        <f>IF(L172&gt;=1,1,0)</f>
        <v>1</v>
      </c>
      <c r="M171" s="49">
        <f t="shared" ref="M171:R171" si="385">IF(M172&gt;=1,1,0)</f>
        <v>0</v>
      </c>
      <c r="N171" s="49">
        <f t="shared" si="385"/>
        <v>0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3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5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0</v>
      </c>
      <c r="AH171" s="49">
        <f t="shared" si="389"/>
        <v>0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3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1</v>
      </c>
      <c r="AQ171" s="49">
        <f t="shared" si="391"/>
        <v>1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5</v>
      </c>
      <c r="AU171" s="48"/>
      <c r="AV171" s="49">
        <f>IF(AV172&gt;=1,1,0)</f>
        <v>0</v>
      </c>
      <c r="AW171" s="49">
        <f t="shared" ref="AW171" si="393">IF(AW172&gt;=1,1,0)</f>
        <v>0</v>
      </c>
      <c r="AX171" s="52">
        <f t="shared" si="382"/>
        <v>0</v>
      </c>
      <c r="AY171" s="49">
        <f t="shared" ref="AY171:AY180" si="394">J171+S171+AB171+AK171+AT171+AX171</f>
        <v>18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8</v>
      </c>
      <c r="G172" s="52">
        <f t="shared" si="395"/>
        <v>8</v>
      </c>
      <c r="H172" s="52">
        <f t="shared" si="395"/>
        <v>0</v>
      </c>
      <c r="I172" s="52">
        <f t="shared" si="395"/>
        <v>0</v>
      </c>
      <c r="J172" s="52">
        <f t="shared" si="384"/>
        <v>16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0</v>
      </c>
      <c r="N172" s="52">
        <f t="shared" si="396"/>
        <v>0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24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40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0</v>
      </c>
      <c r="AH172" s="52">
        <f t="shared" si="398"/>
        <v>0</v>
      </c>
      <c r="AI172" s="52">
        <f t="shared" si="398"/>
        <v>0</v>
      </c>
      <c r="AJ172" s="52">
        <f t="shared" si="398"/>
        <v>0</v>
      </c>
      <c r="AK172" s="52">
        <f t="shared" si="390"/>
        <v>24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8</v>
      </c>
      <c r="AQ172" s="52">
        <f t="shared" si="399"/>
        <v>8</v>
      </c>
      <c r="AR172" s="52">
        <f t="shared" si="399"/>
        <v>0</v>
      </c>
      <c r="AS172" s="52">
        <f t="shared" si="399"/>
        <v>0</v>
      </c>
      <c r="AT172" s="52">
        <f t="shared" si="392"/>
        <v>40</v>
      </c>
      <c r="AU172" s="51"/>
      <c r="AV172" s="52">
        <f>IF(AV169="Matin",8,IF(AV169="AM",8,IF(AV169="nuit",8,0)))</f>
        <v>0</v>
      </c>
      <c r="AW172" s="52">
        <f t="shared" ref="AW172" si="400">IF(AW169="Matin",8,IF(AW169="AM",8,IF(AW169="nuit",8,0)))</f>
        <v>0</v>
      </c>
      <c r="AX172" s="52">
        <f t="shared" si="382"/>
        <v>0</v>
      </c>
      <c r="AY172" s="52">
        <f t="shared" si="394"/>
        <v>144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0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0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3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3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0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0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3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3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0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0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5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5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0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0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5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5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0.16</v>
      </c>
      <c r="G181" s="49">
        <f>IF(G169="nuit",G172*0.02,0)</f>
        <v>0.16</v>
      </c>
      <c r="H181" s="49">
        <f t="shared" si="408"/>
        <v>0</v>
      </c>
      <c r="I181" s="49">
        <f t="shared" si="408"/>
        <v>0</v>
      </c>
      <c r="J181" s="52">
        <f t="shared" si="384"/>
        <v>0.32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0.16</v>
      </c>
      <c r="AN181" s="49">
        <f>IF(AN169="nuit",AN172*0.02,0)</f>
        <v>0.16</v>
      </c>
      <c r="AO181" s="49">
        <f t="shared" ref="AO181:AS181" si="412">IF(AO169="nuit",AO172*0.02,0)</f>
        <v>0.16</v>
      </c>
      <c r="AP181" s="49">
        <f t="shared" si="412"/>
        <v>0.16</v>
      </c>
      <c r="AQ181" s="49">
        <f>IF(AQ169="nuit",AQ172*0.02,0)</f>
        <v>0.16</v>
      </c>
      <c r="AR181" s="49">
        <f t="shared" si="412"/>
        <v>0</v>
      </c>
      <c r="AS181" s="49">
        <f t="shared" si="412"/>
        <v>0</v>
      </c>
      <c r="AT181" s="52">
        <f t="shared" si="392"/>
        <v>0.8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1.1200000000000001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">
      <c r="A184" s="16"/>
      <c r="B184" s="16"/>
      <c r="C184" s="19" t="s">
        <v>22</v>
      </c>
      <c r="D184" s="19"/>
      <c r="E184" s="19"/>
      <c r="F184" s="19"/>
      <c r="G184" s="19"/>
      <c r="H184" s="101">
        <f>Année_Calendaire</f>
        <v>2020</v>
      </c>
      <c r="I184" s="101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1">
        <f>Année_Calendaire</f>
        <v>2020</v>
      </c>
      <c r="AA184" s="101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1">
        <f>Année_Calendaire</f>
        <v>2020</v>
      </c>
      <c r="AS184" s="101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C2</v>
      </c>
      <c r="C185" s="91" t="str">
        <f>IF(C186&lt;&gt;"","Lun","")</f>
        <v/>
      </c>
      <c r="D185" s="91" t="str">
        <f>IF(D186&lt;&gt;"","Mar","")</f>
        <v/>
      </c>
      <c r="E185" s="91" t="str">
        <f>IF(E186&lt;&gt;"","Mer","")</f>
        <v/>
      </c>
      <c r="F185" s="91" t="str">
        <f>IF(F186&lt;&gt;"","Jeu","")</f>
        <v/>
      </c>
      <c r="G185" s="91" t="str">
        <f>IF(G186&lt;&gt;"","Ven","")</f>
        <v/>
      </c>
      <c r="H185" s="91" t="str">
        <f>IF(H186&lt;&gt;"","Sam","")</f>
        <v/>
      </c>
      <c r="I185" s="91" t="str">
        <f>IF(I186&lt;&gt;"","Dim","")</f>
        <v>Dim</v>
      </c>
      <c r="J185" s="102" t="s">
        <v>25</v>
      </c>
      <c r="K185" s="55" t="str">
        <f>IF(L185="",LEFT(B185)&amp;MOD(RIGHT(B185),5),LEFT(B185)&amp;MOD(RIGHT(B185),4)+1)</f>
        <v>C3</v>
      </c>
      <c r="L185" s="91" t="str">
        <f>IF(L186&lt;&gt;"","Lun","")</f>
        <v>Lun</v>
      </c>
      <c r="M185" s="91" t="str">
        <f>IF(M186&lt;&gt;"","Mar","")</f>
        <v>Mar</v>
      </c>
      <c r="N185" s="91" t="str">
        <f>IF(N186&lt;&gt;"","Mer","")</f>
        <v>Mer</v>
      </c>
      <c r="O185" s="91" t="str">
        <f>IF(O186&lt;&gt;"","Jeu","")</f>
        <v>Jeu</v>
      </c>
      <c r="P185" s="91" t="str">
        <f>IF(P186&lt;&gt;"","Ven","")</f>
        <v>Ven</v>
      </c>
      <c r="Q185" s="91" t="str">
        <f>IF(Q186&lt;&gt;"","Sam","")</f>
        <v>Sam</v>
      </c>
      <c r="R185" s="91" t="str">
        <f>IF(R186&lt;&gt;"","Dim","")</f>
        <v>Dim</v>
      </c>
      <c r="S185" s="102" t="s">
        <v>25</v>
      </c>
      <c r="T185" s="55" t="str">
        <f>IF(U185="",LEFT(K185)&amp;MOD(RIGHT(K185),5),LEFT(K185)&amp;MOD(RIGHT(K185),4)+1)</f>
        <v>C4</v>
      </c>
      <c r="U185" s="91" t="str">
        <f>IF(U186&lt;&gt;"","Lun","")</f>
        <v>Lun</v>
      </c>
      <c r="V185" s="91" t="str">
        <f>IF(V186&lt;&gt;"","Mar","")</f>
        <v>Mar</v>
      </c>
      <c r="W185" s="91" t="str">
        <f>IF(W186&lt;&gt;"","Mer","")</f>
        <v>Mer</v>
      </c>
      <c r="X185" s="91" t="str">
        <f>IF(X186&lt;&gt;"","Jeu","")</f>
        <v>Jeu</v>
      </c>
      <c r="Y185" s="91" t="str">
        <f>IF(Y186&lt;&gt;"","Ven","")</f>
        <v>Ven</v>
      </c>
      <c r="Z185" s="91" t="str">
        <f>IF(Z186&lt;&gt;"","Sam","")</f>
        <v>Sam</v>
      </c>
      <c r="AA185" s="91" t="str">
        <f>IF(AA186&lt;&gt;"","Dim","")</f>
        <v>Dim</v>
      </c>
      <c r="AB185" s="102" t="s">
        <v>25</v>
      </c>
      <c r="AC185" s="55" t="str">
        <f>IF(AD185="",LEFT(T185)&amp;MOD(RIGHT(T185),5),LEFT(T185)&amp;MOD(RIGHT(T185),4)+1)</f>
        <v>C1</v>
      </c>
      <c r="AD185" s="91" t="str">
        <f>IF(AD186&lt;&gt;"","Lun","")</f>
        <v>Lun</v>
      </c>
      <c r="AE185" s="91" t="str">
        <f>IF(AE186&lt;&gt;"","Mar","")</f>
        <v>Mar</v>
      </c>
      <c r="AF185" s="91" t="str">
        <f>IF(AF186&lt;&gt;"","Mer","")</f>
        <v>Mer</v>
      </c>
      <c r="AG185" s="91" t="str">
        <f>IF(AG186&lt;&gt;"","Jeu","")</f>
        <v>Jeu</v>
      </c>
      <c r="AH185" s="91" t="str">
        <f>IF(AH186&lt;&gt;"","Ven","")</f>
        <v>Ven</v>
      </c>
      <c r="AI185" s="91" t="str">
        <f>IF(AI186&lt;&gt;"","Sam","")</f>
        <v>Sam</v>
      </c>
      <c r="AJ185" s="91" t="str">
        <f>IF(AJ186&lt;&gt;"","Dim","")</f>
        <v>Dim</v>
      </c>
      <c r="AK185" s="102" t="s">
        <v>25</v>
      </c>
      <c r="AL185" s="55" t="str">
        <f>IF(AM185="",LEFT(AC185)&amp;MOD(RIGHT(AC185),5),LEFT(AC185)&amp;MOD(RIGHT(AC185),4)+1)</f>
        <v>C2</v>
      </c>
      <c r="AM185" s="91" t="str">
        <f>IF(AM186&lt;&gt;"","Lun","")</f>
        <v>Lun</v>
      </c>
      <c r="AN185" s="92" t="str">
        <f>IF(AN186&lt;&gt;"","Mar","")</f>
        <v>Mar</v>
      </c>
      <c r="AO185" s="91" t="str">
        <f>IF(AO186&lt;&gt;"","Mer","")</f>
        <v>Mer</v>
      </c>
      <c r="AP185" s="91" t="str">
        <f>IF(AP186&lt;&gt;"","Jeu","")</f>
        <v>Jeu</v>
      </c>
      <c r="AQ185" s="91" t="str">
        <f>IF(AQ186&lt;&gt;"","Ven","")</f>
        <v>Ven</v>
      </c>
      <c r="AR185" s="91" t="str">
        <f>IF(AR186&lt;&gt;"","Sam","")</f>
        <v>Sam</v>
      </c>
      <c r="AS185" s="91" t="str">
        <f>IF(AS186&lt;&gt;"","Dim","")</f>
        <v>Dim</v>
      </c>
      <c r="AT185" s="102" t="s">
        <v>25</v>
      </c>
      <c r="AU185" s="55" t="str">
        <f>IF(AV185="",LEFT(AL185)&amp;MOD(RIGHT(AL185),5),LEFT(AL185)&amp;MOD(RIGHT(AL185),4)+1)</f>
        <v>C3</v>
      </c>
      <c r="AV185" s="53" t="str">
        <f>IF(AV186&lt;&gt;"","Lun","")</f>
        <v>Lun</v>
      </c>
      <c r="AW185" s="53" t="str">
        <f>IF(AW186&lt;&gt;"","Mar","")</f>
        <v/>
      </c>
      <c r="AX185" s="102" t="s">
        <v>25</v>
      </c>
      <c r="AY185" s="102" t="s">
        <v>28</v>
      </c>
      <c r="AZ185" s="103">
        <f>AY192+AY193+AY194</f>
        <v>10</v>
      </c>
      <c r="BA185" s="103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90" t="str">
        <f>IF(DAY(Nov_Dim1)=1,"",IF(AND(YEAR(Nov_Dim1+1)=Année_Calendaire,MONTH(Nov_Dim1+1)=11),Nov_Dim1+1,""))</f>
        <v/>
      </c>
      <c r="D186" s="90" t="str">
        <f>IF(DAY(Nov_Dim1)=1,"",IF(AND(YEAR(Nov_Dim1+2)=Année_Calendaire,MONTH(Nov_Dim1+2)=11),Nov_Dim1+2,""))</f>
        <v/>
      </c>
      <c r="E186" s="90" t="str">
        <f>IF(DAY(Nov_Dim1)=1,"",IF(AND(YEAR(Nov_Dim1+3)=Année_Calendaire,MONTH(Nov_Dim1+3)=11),Nov_Dim1+3,""))</f>
        <v/>
      </c>
      <c r="F186" s="93" t="str">
        <f>IF(DAY(Nov_Dim1)=1,"",IF(AND(YEAR(Nov_Dim1+4)=Année_Calendaire,MONTH(Nov_Dim1+4)=11),Nov_Dim1+4,""))</f>
        <v/>
      </c>
      <c r="G186" s="90" t="str">
        <f>IF(DAY(Nov_Dim1)=1,"",IF(AND(YEAR(Nov_Dim1+5)=Année_Calendaire,MONTH(Nov_Dim1+5)=11),Nov_Dim1+5,""))</f>
        <v/>
      </c>
      <c r="H186" s="90" t="str">
        <f>IF(DAY(Nov_Dim1)=1,"",IF(AND(YEAR(Nov_Dim1+6)=Année_Calendaire,MONTH(Nov_Dim1+6)=11),Nov_Dim1+6,""))</f>
        <v/>
      </c>
      <c r="I186" s="90">
        <f>IF(DAY(Nov_Dim1)=1,IF(AND(YEAR(Nov_Dim1)=Année_Calendaire,MONTH(Nov_Dim1)=11),Nov_Dim1,""),IF(AND(YEAR(Nov_Dim1+7)=Année_Calendaire,MONTH(Nov_Dim1+7)=11),Nov_Dim1+7,""))</f>
        <v>44136</v>
      </c>
      <c r="J186" s="102"/>
      <c r="K186" s="54"/>
      <c r="L186" s="90">
        <f>IF(DAY(Nov_Dim1)=1,IF(AND(YEAR(Nov_Dim1+1)=Année_Calendaire,MONTH(Nov_Dim1+1)=11),Nov_Dim1+1,""),IF(AND(YEAR(Nov_Dim1+8)=Année_Calendaire,MONTH(Nov_Dim1+8)=11),Nov_Dim1+8,""))</f>
        <v>44137</v>
      </c>
      <c r="M186" s="90">
        <f>IF(DAY(Nov_Dim1)=1,IF(AND(YEAR(Nov_Dim1+2)=Année_Calendaire,MONTH(Nov_Dim1+2)=11),Nov_Dim1+2,""),IF(AND(YEAR(Nov_Dim1+9)=Année_Calendaire,MONTH(Nov_Dim1+9)=11),Nov_Dim1+9,""))</f>
        <v>44138</v>
      </c>
      <c r="N186" s="90">
        <f>IF(DAY(Nov_Dim1)=1,IF(AND(YEAR(Nov_Dim1+3)=Année_Calendaire,MONTH(Nov_Dim1+3)=11),Nov_Dim1+3,""),IF(AND(YEAR(Nov_Dim1+10)=Année_Calendaire,MONTH(Nov_Dim1+10)=11),Nov_Dim1+10,""))</f>
        <v>44139</v>
      </c>
      <c r="O186" s="90">
        <f>IF(DAY(Nov_Dim1)=1,IF(AND(YEAR(Nov_Dim1+4)=Année_Calendaire,MONTH(Nov_Dim1+4)=11),Nov_Dim1+4,""),IF(AND(YEAR(Nov_Dim1+11)=Année_Calendaire,MONTH(Nov_Dim1+11)=11),Nov_Dim1+11,""))</f>
        <v>44140</v>
      </c>
      <c r="P186" s="90">
        <f>IF(DAY(Nov_Dim1)=1,IF(AND(YEAR(Nov_Dim1+5)=Année_Calendaire,MONTH(Nov_Dim1+5)=11),Nov_Dim1+5,""),IF(AND(YEAR(Nov_Dim1+12)=Année_Calendaire,MONTH(Nov_Dim1+12)=11),Nov_Dim1+12,""))</f>
        <v>44141</v>
      </c>
      <c r="Q186" s="90">
        <f>IF(DAY(Nov_Dim1)=1,IF(AND(YEAR(Nov_Dim1+6)=Année_Calendaire,MONTH(Nov_Dim1+6)=11),Nov_Dim1+6,""),IF(AND(YEAR(Nov_Dim1+13)=Année_Calendaire,MONTH(Nov_Dim1+13)=11),Nov_Dim1+13,""))</f>
        <v>44142</v>
      </c>
      <c r="R186" s="93">
        <f>IF(DAY(Nov_Dim1)=1,IF(AND(YEAR(Nov_Dim1+7)=Année_Calendaire,MONTH(Nov_Dim1+7)=11),Nov_Dim1+7,""),IF(AND(YEAR(Nov_Dim1+14)=Année_Calendaire,MONTH(Nov_Dim1+14)=11),Nov_Dim1+14,""))</f>
        <v>44143</v>
      </c>
      <c r="S186" s="102"/>
      <c r="T186" s="54"/>
      <c r="U186" s="90">
        <f>IF(DAY(Nov_Dim1)=1,IF(AND(YEAR(Nov_Dim1+8)=Année_Calendaire,MONTH(Nov_Dim1+8)=11),Nov_Dim1+8,""),IF(AND(YEAR(Nov_Dim1+15)=Année_Calendaire,MONTH(Nov_Dim1+15)=11),Nov_Dim1+15,""))</f>
        <v>44144</v>
      </c>
      <c r="V186" s="90">
        <f>IF(DAY(Nov_Dim1)=1,IF(AND(YEAR(Nov_Dim1+9)=Année_Calendaire,MONTH(Nov_Dim1+9)=11),Nov_Dim1+9,""),IF(AND(YEAR(Nov_Dim1+16)=Année_Calendaire,MONTH(Nov_Dim1+16)=11),Nov_Dim1+16,""))</f>
        <v>44145</v>
      </c>
      <c r="W186" s="90">
        <f>IF(DAY(Nov_Dim1)=1,IF(AND(YEAR(Nov_Dim1+10)=Année_Calendaire,MONTH(Nov_Dim1+10)=11),Nov_Dim1+10,""),IF(AND(YEAR(Nov_Dim1+17)=Année_Calendaire,MONTH(Nov_Dim1+17)=11),Nov_Dim1+17,""))</f>
        <v>44146</v>
      </c>
      <c r="X186" s="90">
        <f>IF(DAY(Nov_Dim1)=1,IF(AND(YEAR(Nov_Dim1+11)=Année_Calendaire,MONTH(Nov_Dim1+11)=11),Nov_Dim1+11,""),IF(AND(YEAR(Nov_Dim1+18)=Année_Calendaire,MONTH(Nov_Dim1+18)=11),Nov_Dim1+18,""))</f>
        <v>44147</v>
      </c>
      <c r="Y186" s="90">
        <f>IF(DAY(Nov_Dim1)=1,IF(AND(YEAR(Nov_Dim1+12)=Année_Calendaire,MONTH(Nov_Dim1+12)=11),Nov_Dim1+12,""),IF(AND(YEAR(Nov_Dim1+19)=Année_Calendaire,MONTH(Nov_Dim1+19)=11),Nov_Dim1+19,""))</f>
        <v>44148</v>
      </c>
      <c r="Z186" s="90">
        <f>IF(DAY(Nov_Dim1)=1,IF(AND(YEAR(Nov_Dim1+13)=Année_Calendaire,MONTH(Nov_Dim1+13)=11),Nov_Dim1+13,""),IF(AND(YEAR(Nov_Dim1+20)=Année_Calendaire,MONTH(Nov_Dim1+20)=11),Nov_Dim1+20,""))</f>
        <v>44149</v>
      </c>
      <c r="AA186" s="90">
        <f>IF(DAY(Nov_Dim1)=1,IF(AND(YEAR(Nov_Dim1+14)=Année_Calendaire,MONTH(Nov_Dim1+14)=11),Nov_Dim1+14,""),IF(AND(YEAR(Nov_Dim1+21)=Année_Calendaire,MONTH(Nov_Dim1+21)=11),Nov_Dim1+21,""))</f>
        <v>44150</v>
      </c>
      <c r="AB186" s="102"/>
      <c r="AC186" s="54"/>
      <c r="AD186" s="90">
        <f>IF(DAY(Nov_Dim1)=1,IF(AND(YEAR(Nov_Dim1+15)=Année_Calendaire,MONTH(Nov_Dim1+15)=11),Nov_Dim1+15,""),IF(AND(YEAR(Nov_Dim1+22)=Année_Calendaire,MONTH(Nov_Dim1+22)=11),Nov_Dim1+22,""))</f>
        <v>44151</v>
      </c>
      <c r="AE186" s="90">
        <f>IF(DAY(Nov_Dim1)=1,IF(AND(YEAR(Nov_Dim1+16)=Année_Calendaire,MONTH(Nov_Dim1+16)=11),Nov_Dim1+16,""),IF(AND(YEAR(Nov_Dim1+23)=Année_Calendaire,MONTH(Nov_Dim1+23)=11),Nov_Dim1+23,""))</f>
        <v>44152</v>
      </c>
      <c r="AF186" s="90">
        <f>IF(DAY(Nov_Dim1)=1,IF(AND(YEAR(Nov_Dim1+17)=Année_Calendaire,MONTH(Nov_Dim1+17)=11),Nov_Dim1+17,""),IF(AND(YEAR(Nov_Dim1+24)=Année_Calendaire,MONTH(Nov_Dim1+24)=11),Nov_Dim1+24,""))</f>
        <v>44153</v>
      </c>
      <c r="AG186" s="90">
        <f>IF(DAY(Nov_Dim1)=1,IF(AND(YEAR(Nov_Dim1+18)=Année_Calendaire,MONTH(Nov_Dim1+18)=11),Nov_Dim1+18,""),IF(AND(YEAR(Nov_Dim1+25)=Année_Calendaire,MONTH(Nov_Dim1+25)=11),Nov_Dim1+25,""))</f>
        <v>44154</v>
      </c>
      <c r="AH186" s="90">
        <f>IF(DAY(Nov_Dim1)=1,IF(AND(YEAR(Nov_Dim1+19)=Année_Calendaire,MONTH(Nov_Dim1+19)=11),Nov_Dim1+19,""),IF(AND(YEAR(Nov_Dim1+26)=Année_Calendaire,MONTH(Nov_Dim1+26)=11),Nov_Dim1+26,""))</f>
        <v>44155</v>
      </c>
      <c r="AI186" s="90">
        <f>IF(DAY(Nov_Dim1)=1,IF(AND(YEAR(Nov_Dim1+20)=Année_Calendaire,MONTH(Nov_Dim1+20)=11),Nov_Dim1+20,""),IF(AND(YEAR(Nov_Dim1+27)=Année_Calendaire,MONTH(Nov_Dim1+27)=11),Nov_Dim1+27,""))</f>
        <v>44156</v>
      </c>
      <c r="AJ186" s="90">
        <f>IF(DAY(Nov_Dim1)=1,IF(AND(YEAR(Nov_Dim1+21)=Année_Calendaire,MONTH(Nov_Dim1+21)=11),Nov_Dim1+21,""),IF(AND(YEAR(Nov_Dim1+28)=Année_Calendaire,MONTH(Nov_Dim1+28)=11),Nov_Dim1+28,""))</f>
        <v>44157</v>
      </c>
      <c r="AK186" s="102"/>
      <c r="AL186" s="54"/>
      <c r="AM186" s="90">
        <f>IF(DAY(Nov_Dim1)=1,IF(AND(YEAR(Nov_Dim1+22)=Année_Calendaire,MONTH(Nov_Dim1+22)=11),Nov_Dim1+22,""),IF(AND(YEAR(Nov_Dim1+29)=Année_Calendaire,MONTH(Nov_Dim1+29)=11),Nov_Dim1+29,""))</f>
        <v>44158</v>
      </c>
      <c r="AN186" s="90">
        <f>IF(DAY(Nov_Dim1)=1,IF(AND(YEAR(Nov_Dim1+23)=Année_Calendaire,MONTH(Nov_Dim1+23)=11),Nov_Dim1+23,""),IF(AND(YEAR(Nov_Dim1+30)=Année_Calendaire,MONTH(Nov_Dim1+30)=11),Nov_Dim1+30,""))</f>
        <v>44159</v>
      </c>
      <c r="AO186" s="90">
        <f>IF(DAY(Nov_Dim1)=1,IF(AND(YEAR(Nov_Dim1+24)=Année_Calendaire,MONTH(Nov_Dim1+24)=11),Nov_Dim1+24,""),IF(AND(YEAR(Nov_Dim1+31)=Année_Calendaire,MONTH(Nov_Dim1+31)=11),Nov_Dim1+31,""))</f>
        <v>44160</v>
      </c>
      <c r="AP186" s="90">
        <f>IF(DAY(Nov_Dim1)=1,IF(AND(YEAR(Nov_Dim1+25)=Année_Calendaire,MONTH(Nov_Dim1+25)=11),Nov_Dim1+25,""),IF(AND(YEAR(Nov_Dim1+32)=Année_Calendaire,MONTH(Nov_Dim1+32)=11),Nov_Dim1+32,""))</f>
        <v>44161</v>
      </c>
      <c r="AQ186" s="90">
        <f>IF(DAY(Nov_Dim1)=1,IF(AND(YEAR(Nov_Dim1+26)=Année_Calendaire,MONTH(Nov_Dim1+26)=11),Nov_Dim1+26,""),IF(AND(YEAR(Nov_Dim1+33)=Année_Calendaire,MONTH(Nov_Dim1+33)=11),Nov_Dim1+33,""))</f>
        <v>44162</v>
      </c>
      <c r="AR186" s="90">
        <f>IF(DAY(Nov_Dim1)=1,IF(AND(YEAR(Nov_Dim1+27)=Année_Calendaire,MONTH(Nov_Dim1+27)=11),Nov_Dim1+27,""),IF(AND(YEAR(Nov_Dim1+34)=Année_Calendaire,MONTH(Nov_Dim1+34)=11),Nov_Dim1+34,""))</f>
        <v>44163</v>
      </c>
      <c r="AS186" s="90">
        <f>IF(DAY(Nov_Dim1)=1,IF(AND(YEAR(Nov_Dim1+28)=Année_Calendaire,MONTH(Nov_Dim1+28)=11),Nov_Dim1+28,""),IF(AND(YEAR(Nov_Dim1+35)=Année_Calendaire,MONTH(Nov_Dim1+35)=11),Nov_Dim1+35,""))</f>
        <v>44164</v>
      </c>
      <c r="AT186" s="102"/>
      <c r="AU186" s="54"/>
      <c r="AV186" s="54">
        <f>IF(DAY(Nov_Dim1)=1,IF(AND(YEAR(Nov_Dim1+29)=Année_Calendaire,MONTH(Nov_Dim1+29)=11),Nov_Dim1+29,""),IF(AND(YEAR(Nov_Dim1+36)=Année_Calendaire,MONTH(Nov_Dim1+36)=11),Nov_Dim1+36,""))</f>
        <v>44165</v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102"/>
      <c r="AY186" s="102"/>
      <c r="AZ186" s="103"/>
      <c r="BA186" s="103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/>
      </c>
      <c r="E187" s="49" t="str">
        <f>IF(E186="","",IFERROR(VLOOKUP(B185,DATA!$A:$H,4,TRUE),0))</f>
        <v/>
      </c>
      <c r="F187" s="49" t="str">
        <f>IF(F186="","",IFERROR(VLOOKUP(B185,DATA!$A:$H,5,TRUE),0))</f>
        <v/>
      </c>
      <c r="G187" s="49" t="str">
        <f>IF(G186="","",IFERROR(VLOOKUP(B185,DATA!$A:$H,6,TRUE),0))</f>
        <v/>
      </c>
      <c r="H187" s="49" t="str">
        <f>IF(H186="","",IFERROR(VLOOKUP(B185,DATA!$A:$H,7,TRUE),0))</f>
        <v/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matin</v>
      </c>
      <c r="M187" s="49">
        <f>IF(M186="","",IFERROR(VLOOKUP(K185,DATA!$A:$H,3,TRUE),0))</f>
        <v>0</v>
      </c>
      <c r="N187" s="49">
        <f>IF(N186="","",IFERROR(VLOOKUP(K185,DATA!$A:$H,4,TRUE),0))</f>
        <v>0</v>
      </c>
      <c r="O187" s="49" t="str">
        <f>IF(O186="","",IFERROR(VLOOKUP(K185,DATA!$A:$H,5,TRUE),0))</f>
        <v>matin</v>
      </c>
      <c r="P187" s="49" t="str">
        <f>IF(P186="","",IFERROR(VLOOKUP(K185,DATA!$A:$H,6,TRUE),0))</f>
        <v>matin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am</v>
      </c>
      <c r="V187" s="49" t="str">
        <f>IF(V186="","",IFERROR(VLOOKUP(T185,DATA!$A:$H,3,TRUE),0))</f>
        <v>am</v>
      </c>
      <c r="W187" s="49" t="str">
        <f>IF(W186="","",IFERROR(VLOOKUP(T185,DATA!$A:$H,4,TRUE),0))</f>
        <v>am</v>
      </c>
      <c r="X187" s="49" t="str">
        <f>IF(X186="","",IFERROR(VLOOKUP(T185,DATA!$A:$H,5,TRUE),0))</f>
        <v>am</v>
      </c>
      <c r="Y187" s="49" t="str">
        <f>IF(Y186="","",IFERROR(VLOOKUP(T185,DATA!$A:$H,6,TRUE),0))</f>
        <v>am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matin</v>
      </c>
      <c r="AE187" s="49" t="str">
        <f>IF(AE186="","",IFERROR(VLOOKUP(AC185,DATA!$A:$H,3,TRUE),0))</f>
        <v>matin</v>
      </c>
      <c r="AF187" s="49" t="str">
        <f>IF(AF186="","",IFERROR(VLOOKUP(AC185,DATA!$A:$H,4,TRUE),0))</f>
        <v>matin</v>
      </c>
      <c r="AG187" s="49">
        <f>IF(AG186="","",IFERROR(VLOOKUP(AC185,DATA!$A:$H,5,TRUE),0))</f>
        <v>0</v>
      </c>
      <c r="AH187" s="49">
        <f>IF(AH186="","",IFERROR(VLOOKUP(AC185,DATA!$A:$H,6,TRUE),0))</f>
        <v>0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nuit</v>
      </c>
      <c r="AN187" s="49" t="str">
        <f>IF(AN186="","",IFERROR(VLOOKUP(AL185,DATA!$A:$H,3,TRUE),0))</f>
        <v>nuit</v>
      </c>
      <c r="AO187" s="49" t="str">
        <f>IF(AO186="","",IFERROR(VLOOKUP(AL185,DATA!$A:$H,4,TRUE),0))</f>
        <v>nuit</v>
      </c>
      <c r="AP187" s="49" t="str">
        <f>IF(AP186="","",IFERROR(VLOOKUP(AL185,DATA!$A:$H,5,TRUE),0))</f>
        <v>nuit</v>
      </c>
      <c r="AQ187" s="49" t="str">
        <f>IF(AQ186="","",IFERROR(VLOOKUP(AL185,DATA!$A:$H,6,TRUE),0))</f>
        <v>nuit</v>
      </c>
      <c r="AR187" s="49">
        <f>IF(AR186="","",IFERROR(VLOOKUP(AL185,DATA!$A:$H,7,TRUE),0))</f>
        <v>0</v>
      </c>
      <c r="AS187" s="49">
        <f>IF(AS186="","",IFERROR(VLOOKUP(AL185,DATA!$A:$H,8,TRUE),0))</f>
        <v>0</v>
      </c>
      <c r="AT187" s="52"/>
      <c r="AU187" s="48"/>
      <c r="AV187" s="49" t="str">
        <f>IF(AV186="","",IFERROR(VLOOKUP(AU185,DATA!$A:$H,2,TRUE),0))</f>
        <v>matin</v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0</v>
      </c>
      <c r="G188" s="52">
        <f t="shared" si="413"/>
        <v>0</v>
      </c>
      <c r="H188" s="52">
        <f t="shared" si="413"/>
        <v>0</v>
      </c>
      <c r="I188" s="52">
        <f t="shared" si="413"/>
        <v>0</v>
      </c>
      <c r="J188" s="52">
        <f>SUM(C188:I188)</f>
        <v>0</v>
      </c>
      <c r="K188" s="51"/>
      <c r="L188" s="52">
        <f t="shared" ref="L188:R188" si="414">IF(L187="Matin",1,IF(L187="AM",1,0))</f>
        <v>1</v>
      </c>
      <c r="M188" s="52">
        <f t="shared" si="414"/>
        <v>0</v>
      </c>
      <c r="N188" s="52">
        <f t="shared" si="414"/>
        <v>0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3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1</v>
      </c>
      <c r="Y188" s="52">
        <f t="shared" si="415"/>
        <v>1</v>
      </c>
      <c r="Z188" s="52">
        <f t="shared" si="415"/>
        <v>0</v>
      </c>
      <c r="AA188" s="52">
        <f t="shared" si="415"/>
        <v>0</v>
      </c>
      <c r="AB188" s="52">
        <f>SUM(U188:AA188)</f>
        <v>5</v>
      </c>
      <c r="AC188" s="51"/>
      <c r="AD188" s="52">
        <f t="shared" ref="AD188:AJ188" si="416">IF(AD187="Matin",1,IF(AD187="AM",1,0))</f>
        <v>1</v>
      </c>
      <c r="AE188" s="52">
        <f t="shared" si="416"/>
        <v>1</v>
      </c>
      <c r="AF188" s="52">
        <f t="shared" si="416"/>
        <v>1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3</v>
      </c>
      <c r="AL188" s="51"/>
      <c r="AM188" s="52">
        <f t="shared" ref="AM188:AS188" si="417">IF(AM187="Matin",1,IF(AM187="AM",1,0))</f>
        <v>0</v>
      </c>
      <c r="AN188" s="52">
        <f t="shared" si="417"/>
        <v>0</v>
      </c>
      <c r="AO188" s="52">
        <f t="shared" si="417"/>
        <v>0</v>
      </c>
      <c r="AP188" s="52">
        <f t="shared" si="417"/>
        <v>0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0</v>
      </c>
      <c r="AU188" s="51"/>
      <c r="AV188" s="52">
        <f t="shared" ref="AV188:AW188" si="418">IF(AV187="Matin",1,IF(AV187="AM",1,0))</f>
        <v>1</v>
      </c>
      <c r="AW188" s="52">
        <f t="shared" si="418"/>
        <v>0</v>
      </c>
      <c r="AX188" s="52">
        <f t="shared" ref="AX188:AX195" si="419">SUM(AV188:AW188)</f>
        <v>1</v>
      </c>
      <c r="AY188" s="52">
        <f>J188+S188+AB188+AK188+AT188+AX188</f>
        <v>12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0</v>
      </c>
      <c r="F189" s="49">
        <f t="shared" si="420"/>
        <v>0</v>
      </c>
      <c r="G189" s="49">
        <f t="shared" si="420"/>
        <v>0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0</v>
      </c>
      <c r="K189" s="48"/>
      <c r="L189" s="49">
        <f>IF(L190&gt;=1,1,0)</f>
        <v>1</v>
      </c>
      <c r="M189" s="49">
        <f t="shared" ref="M189:R189" si="422">IF(M190&gt;=1,1,0)</f>
        <v>0</v>
      </c>
      <c r="N189" s="49">
        <f t="shared" si="422"/>
        <v>0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3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1</v>
      </c>
      <c r="Y189" s="49">
        <f t="shared" si="424"/>
        <v>1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5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0</v>
      </c>
      <c r="AH189" s="49">
        <f t="shared" si="426"/>
        <v>0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3</v>
      </c>
      <c r="AL189" s="48"/>
      <c r="AM189" s="49">
        <f>IF(AM190&gt;=1,1,0)</f>
        <v>1</v>
      </c>
      <c r="AN189" s="49">
        <f t="shared" ref="AN189:AS189" si="428">IF(AN190&gt;=1,1,0)</f>
        <v>1</v>
      </c>
      <c r="AO189" s="49">
        <f t="shared" si="428"/>
        <v>1</v>
      </c>
      <c r="AP189" s="49">
        <f t="shared" si="428"/>
        <v>1</v>
      </c>
      <c r="AQ189" s="49">
        <f t="shared" si="428"/>
        <v>1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5</v>
      </c>
      <c r="AU189" s="48"/>
      <c r="AV189" s="49">
        <f>IF(AV190&gt;=1,1,0)</f>
        <v>1</v>
      </c>
      <c r="AW189" s="49">
        <f t="shared" ref="AW189" si="430">IF(AW190&gt;=1,1,0)</f>
        <v>0</v>
      </c>
      <c r="AX189" s="52">
        <f t="shared" si="419"/>
        <v>1</v>
      </c>
      <c r="AY189" s="49">
        <f t="shared" ref="AY189:AY198" si="431">J189+S189+AB189+AK189+AT189+AX189</f>
        <v>17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0</v>
      </c>
      <c r="F190" s="52">
        <f t="shared" si="432"/>
        <v>0</v>
      </c>
      <c r="G190" s="52">
        <f t="shared" si="432"/>
        <v>0</v>
      </c>
      <c r="H190" s="52">
        <f t="shared" si="432"/>
        <v>0</v>
      </c>
      <c r="I190" s="52">
        <f t="shared" si="432"/>
        <v>0</v>
      </c>
      <c r="J190" s="52">
        <f t="shared" si="421"/>
        <v>0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0</v>
      </c>
      <c r="N190" s="52">
        <f t="shared" si="433"/>
        <v>0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24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8</v>
      </c>
      <c r="Y190" s="52">
        <f t="shared" si="434"/>
        <v>8</v>
      </c>
      <c r="Z190" s="52">
        <f t="shared" si="434"/>
        <v>0</v>
      </c>
      <c r="AA190" s="52">
        <f t="shared" si="434"/>
        <v>0</v>
      </c>
      <c r="AB190" s="52">
        <f t="shared" si="425"/>
        <v>40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0</v>
      </c>
      <c r="AH190" s="52">
        <f t="shared" si="435"/>
        <v>0</v>
      </c>
      <c r="AI190" s="52">
        <f t="shared" si="435"/>
        <v>0</v>
      </c>
      <c r="AJ190" s="52">
        <f t="shared" si="435"/>
        <v>0</v>
      </c>
      <c r="AK190" s="52">
        <f t="shared" si="427"/>
        <v>24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8</v>
      </c>
      <c r="AO190" s="52">
        <f t="shared" si="436"/>
        <v>8</v>
      </c>
      <c r="AP190" s="52">
        <f t="shared" si="436"/>
        <v>8</v>
      </c>
      <c r="AQ190" s="52">
        <f t="shared" si="436"/>
        <v>8</v>
      </c>
      <c r="AR190" s="52">
        <f t="shared" si="436"/>
        <v>0</v>
      </c>
      <c r="AS190" s="52">
        <f t="shared" si="436"/>
        <v>0</v>
      </c>
      <c r="AT190" s="52">
        <f t="shared" si="429"/>
        <v>40</v>
      </c>
      <c r="AU190" s="51"/>
      <c r="AV190" s="52">
        <f>IF(AV187="Matin",8,IF(AV187="AM",8,IF(AV187="nuit",8,0)))</f>
        <v>8</v>
      </c>
      <c r="AW190" s="52">
        <f t="shared" ref="AW190" si="437">IF(AW187="Matin",8,IF(AW187="AM",8,IF(AW187="nuit",8,0)))</f>
        <v>0</v>
      </c>
      <c r="AX190" s="52">
        <f t="shared" si="419"/>
        <v>8</v>
      </c>
      <c r="AY190" s="52">
        <f t="shared" si="431"/>
        <v>136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0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0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3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3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0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0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3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3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0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0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5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5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0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0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5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5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7">IF(AF187="nuit",AF190*0.02,0)</f>
        <v>0</v>
      </c>
      <c r="AG199" s="49">
        <f t="shared" si="447"/>
        <v>0</v>
      </c>
      <c r="AH199" s="49">
        <f>IF(AH187="nuit",AH190*0.02,0)</f>
        <v>0</v>
      </c>
      <c r="AI199" s="49">
        <f t="shared" si="447"/>
        <v>0</v>
      </c>
      <c r="AJ199" s="49">
        <f t="shared" si="447"/>
        <v>0</v>
      </c>
      <c r="AK199" s="52">
        <f t="shared" si="427"/>
        <v>0</v>
      </c>
      <c r="AL199" s="48"/>
      <c r="AM199" s="49">
        <f>IF(AM187="nuit",AM190*0.02,0)</f>
        <v>0.16</v>
      </c>
      <c r="AN199" s="49">
        <f>IF(AN187="nuit",AN190*0.02,0)</f>
        <v>0.16</v>
      </c>
      <c r="AO199" s="49">
        <f t="shared" ref="AO199:AS199" si="448">IF(AO187="nuit",AO190*0.02,0)</f>
        <v>0.16</v>
      </c>
      <c r="AP199" s="49">
        <f t="shared" si="448"/>
        <v>0.16</v>
      </c>
      <c r="AQ199" s="49">
        <f>IF(AQ187="nuit",AQ190*0.02,0)</f>
        <v>0.16</v>
      </c>
      <c r="AR199" s="49">
        <f t="shared" si="448"/>
        <v>0</v>
      </c>
      <c r="AS199" s="49">
        <f t="shared" si="448"/>
        <v>0</v>
      </c>
      <c r="AT199" s="52">
        <f t="shared" si="429"/>
        <v>0.8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">
      <c r="A202" s="16"/>
      <c r="B202" s="16"/>
      <c r="C202" s="19" t="s">
        <v>23</v>
      </c>
      <c r="D202" s="19"/>
      <c r="E202" s="19"/>
      <c r="F202" s="19"/>
      <c r="G202" s="19"/>
      <c r="H202" s="101">
        <f>Année_Calendaire</f>
        <v>2020</v>
      </c>
      <c r="I202" s="101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1">
        <f>Année_Calendaire</f>
        <v>2020</v>
      </c>
      <c r="AA202" s="101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1">
        <f>Année_Calendaire</f>
        <v>2020</v>
      </c>
      <c r="AS202" s="101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C3</v>
      </c>
      <c r="C203" s="91" t="str">
        <f>IF(C204&lt;&gt;"","Lun","")</f>
        <v/>
      </c>
      <c r="D203" s="91" t="str">
        <f>IF(D204&lt;&gt;"","Mar","")</f>
        <v>Mar</v>
      </c>
      <c r="E203" s="91" t="str">
        <f>IF(E204&lt;&gt;"","Mer","")</f>
        <v>Mer</v>
      </c>
      <c r="F203" s="91" t="str">
        <f>IF(F204&lt;&gt;"","Jeu","")</f>
        <v>Jeu</v>
      </c>
      <c r="G203" s="91" t="str">
        <f>IF(G204&lt;&gt;"","Ven","")</f>
        <v>Ven</v>
      </c>
      <c r="H203" s="91" t="str">
        <f>IF(H204&lt;&gt;"","Sam","")</f>
        <v>Sam</v>
      </c>
      <c r="I203" s="91" t="str">
        <f>IF(I204&lt;&gt;"","Dim","")</f>
        <v>Dim</v>
      </c>
      <c r="J203" s="102" t="s">
        <v>25</v>
      </c>
      <c r="K203" s="55" t="str">
        <f>IF(L203="",LEFT(B203)&amp;MOD(RIGHT(B203),5),LEFT(B203)&amp;MOD(RIGHT(B203),4)+1)</f>
        <v>C4</v>
      </c>
      <c r="L203" s="91" t="str">
        <f>IF(L204&lt;&gt;"","Lun","")</f>
        <v>Lun</v>
      </c>
      <c r="M203" s="91" t="str">
        <f>IF(M204&lt;&gt;"","Mar","")</f>
        <v>Mar</v>
      </c>
      <c r="N203" s="91" t="str">
        <f>IF(N204&lt;&gt;"","Mer","")</f>
        <v>Mer</v>
      </c>
      <c r="O203" s="91" t="str">
        <f>IF(O204&lt;&gt;"","Jeu","")</f>
        <v>Jeu</v>
      </c>
      <c r="P203" s="91" t="str">
        <f>IF(P204&lt;&gt;"","Ven","")</f>
        <v>Ven</v>
      </c>
      <c r="Q203" s="91" t="str">
        <f>IF(Q204&lt;&gt;"","Sam","")</f>
        <v>Sam</v>
      </c>
      <c r="R203" s="91" t="str">
        <f>IF(R204&lt;&gt;"","Dim","")</f>
        <v>Dim</v>
      </c>
      <c r="S203" s="102" t="s">
        <v>25</v>
      </c>
      <c r="T203" s="55" t="str">
        <f>IF(U203="",LEFT(K203)&amp;MOD(RIGHT(K203),5),LEFT(K203)&amp;MOD(RIGHT(K203),4)+1)</f>
        <v>C1</v>
      </c>
      <c r="U203" s="91" t="str">
        <f>IF(U204&lt;&gt;"","Lun","")</f>
        <v>Lun</v>
      </c>
      <c r="V203" s="91" t="str">
        <f>IF(V204&lt;&gt;"","Mar","")</f>
        <v>Mar</v>
      </c>
      <c r="W203" s="91" t="str">
        <f>IF(W204&lt;&gt;"","Mer","")</f>
        <v>Mer</v>
      </c>
      <c r="X203" s="92" t="str">
        <f>IF(X204&lt;&gt;"","Jeu","")</f>
        <v>Jeu</v>
      </c>
      <c r="Y203" s="91" t="str">
        <f>IF(Y204&lt;&gt;"","Ven","")</f>
        <v>Ven</v>
      </c>
      <c r="Z203" s="91" t="str">
        <f>IF(Z204&lt;&gt;"","Sam","")</f>
        <v>Sam</v>
      </c>
      <c r="AA203" s="91" t="str">
        <f>IF(AA204&lt;&gt;"","Dim","")</f>
        <v>Dim</v>
      </c>
      <c r="AB203" s="102" t="s">
        <v>25</v>
      </c>
      <c r="AC203" s="55" t="str">
        <f>IF(AD203="",LEFT(T203)&amp;MOD(RIGHT(T203),5),LEFT(T203)&amp;MOD(RIGHT(T203),4)+1)</f>
        <v>C2</v>
      </c>
      <c r="AD203" s="91" t="str">
        <f>IF(AD204&lt;&gt;"","Lun","")</f>
        <v>Lun</v>
      </c>
      <c r="AE203" s="91" t="str">
        <f>IF(AE204&lt;&gt;"","Mar","")</f>
        <v>Mar</v>
      </c>
      <c r="AF203" s="91" t="str">
        <f>IF(AF204&lt;&gt;"","Mer","")</f>
        <v>Mer</v>
      </c>
      <c r="AG203" s="91" t="str">
        <f>IF(AG204&lt;&gt;"","Jeu","")</f>
        <v>Jeu</v>
      </c>
      <c r="AH203" s="91" t="str">
        <f>IF(AH204&lt;&gt;"","Ven","")</f>
        <v>Ven</v>
      </c>
      <c r="AI203" s="91" t="str">
        <f>IF(AI204&lt;&gt;"","Sam","")</f>
        <v>Sam</v>
      </c>
      <c r="AJ203" s="91" t="str">
        <f>IF(AJ204&lt;&gt;"","Dim","")</f>
        <v>Dim</v>
      </c>
      <c r="AK203" s="102" t="s">
        <v>25</v>
      </c>
      <c r="AL203" s="55" t="str">
        <f>IF(AM203="",LEFT(AC203)&amp;MOD(RIGHT(AC203),5),LEFT(AC203)&amp;MOD(RIGHT(AC203),4)+1)</f>
        <v>C3</v>
      </c>
      <c r="AM203" s="91" t="str">
        <f>IF(AM204&lt;&gt;"","Lun","")</f>
        <v>Lun</v>
      </c>
      <c r="AN203" s="91" t="str">
        <f>IF(AN204&lt;&gt;"","Mar","")</f>
        <v>Mar</v>
      </c>
      <c r="AO203" s="91" t="str">
        <f>IF(AO204&lt;&gt;"","Mer","")</f>
        <v>Mer</v>
      </c>
      <c r="AP203" s="91" t="str">
        <f>IF(AP204&lt;&gt;"","Jeu","")</f>
        <v>Jeu</v>
      </c>
      <c r="AQ203" s="91" t="str">
        <f>IF(AQ204&lt;&gt;"","Ven","")</f>
        <v/>
      </c>
      <c r="AR203" s="91" t="str">
        <f>IF(AR204&lt;&gt;"","Sam","")</f>
        <v/>
      </c>
      <c r="AS203" s="91" t="str">
        <f>IF(AS204&lt;&gt;"","Dim","")</f>
        <v/>
      </c>
      <c r="AT203" s="102" t="s">
        <v>25</v>
      </c>
      <c r="AU203" s="55" t="str">
        <f>IF(AV203="",LEFT(AL203)&amp;MOD(RIGHT(AL203),5),LEFT(AL203)&amp;MOD(RIGHT(AL203),4)+1)</f>
        <v>C3</v>
      </c>
      <c r="AV203" s="53" t="str">
        <f>IF(AV204&lt;&gt;"","Lun","")</f>
        <v/>
      </c>
      <c r="AW203" s="53" t="str">
        <f>IF(AW204&lt;&gt;"","Mar","")</f>
        <v/>
      </c>
      <c r="AX203" s="102" t="s">
        <v>25</v>
      </c>
      <c r="AY203" s="102" t="s">
        <v>28</v>
      </c>
      <c r="AZ203" s="103">
        <f>AY210+AY211+AY212</f>
        <v>10</v>
      </c>
      <c r="BA203" s="103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90" t="str">
        <f>IF(DAY(Déc_Dim1)=1,"",IF(AND(YEAR(Déc_Dim1+1)=Année_Calendaire,MONTH(Déc_Dim1+1)=12),Déc_Dim1+1,""))</f>
        <v/>
      </c>
      <c r="D204" s="90">
        <f>IF(DAY(Déc_Dim1)=1,"",IF(AND(YEAR(Déc_Dim1+2)=Année_Calendaire,MONTH(Déc_Dim1+2)=12),Déc_Dim1+2,""))</f>
        <v>44166</v>
      </c>
      <c r="E204" s="90">
        <f>IF(DAY(Déc_Dim1)=1,"",IF(AND(YEAR(Déc_Dim1+3)=Année_Calendaire,MONTH(Déc_Dim1+3)=12),Déc_Dim1+3,""))</f>
        <v>44167</v>
      </c>
      <c r="F204" s="90">
        <f>IF(DAY(Déc_Dim1)=1,"",IF(AND(YEAR(Déc_Dim1+4)=Année_Calendaire,MONTH(Déc_Dim1+4)=12),Déc_Dim1+4,""))</f>
        <v>44168</v>
      </c>
      <c r="G204" s="90">
        <f>IF(DAY(Déc_Dim1)=1,"",IF(AND(YEAR(Déc_Dim1+5)=Année_Calendaire,MONTH(Déc_Dim1+5)=12),Déc_Dim1+5,""))</f>
        <v>44169</v>
      </c>
      <c r="H204" s="90">
        <f>IF(DAY(Déc_Dim1)=1,"",IF(AND(YEAR(Déc_Dim1+6)=Année_Calendaire,MONTH(Déc_Dim1+6)=12),Déc_Dim1+6,""))</f>
        <v>44170</v>
      </c>
      <c r="I204" s="90">
        <f>IF(DAY(Déc_Dim1)=1,IF(AND(YEAR(Déc_Dim1)=Année_Calendaire,MONTH(Déc_Dim1)=12),Déc_Dim1,""),IF(AND(YEAR(Déc_Dim1+7)=Année_Calendaire,MONTH(Déc_Dim1+7)=12),Déc_Dim1+7,""))</f>
        <v>44171</v>
      </c>
      <c r="J204" s="102"/>
      <c r="K204" s="54"/>
      <c r="L204" s="90">
        <f>IF(DAY(Déc_Dim1)=1,IF(AND(YEAR(Déc_Dim1+1)=Année_Calendaire,MONTH(Déc_Dim1+1)=12),Déc_Dim1+1,""),IF(AND(YEAR(Déc_Dim1+8)=Année_Calendaire,MONTH(Déc_Dim1+8)=12),Déc_Dim1+8,""))</f>
        <v>44172</v>
      </c>
      <c r="M204" s="90">
        <f>IF(DAY(Déc_Dim1)=1,IF(AND(YEAR(Déc_Dim1+2)=Année_Calendaire,MONTH(Déc_Dim1+2)=12),Déc_Dim1+2,""),IF(AND(YEAR(Déc_Dim1+9)=Année_Calendaire,MONTH(Déc_Dim1+9)=12),Déc_Dim1+9,""))</f>
        <v>44173</v>
      </c>
      <c r="N204" s="90">
        <f>IF(DAY(Déc_Dim1)=1,IF(AND(YEAR(Déc_Dim1+3)=Année_Calendaire,MONTH(Déc_Dim1+3)=12),Déc_Dim1+3,""),IF(AND(YEAR(Déc_Dim1+10)=Année_Calendaire,MONTH(Déc_Dim1+10)=12),Déc_Dim1+10,""))</f>
        <v>44174</v>
      </c>
      <c r="O204" s="90">
        <f>IF(DAY(Déc_Dim1)=1,IF(AND(YEAR(Déc_Dim1+4)=Année_Calendaire,MONTH(Déc_Dim1+4)=12),Déc_Dim1+4,""),IF(AND(YEAR(Déc_Dim1+11)=Année_Calendaire,MONTH(Déc_Dim1+11)=12),Déc_Dim1+11,""))</f>
        <v>44175</v>
      </c>
      <c r="P204" s="90">
        <f>IF(DAY(Déc_Dim1)=1,IF(AND(YEAR(Déc_Dim1+5)=Année_Calendaire,MONTH(Déc_Dim1+5)=12),Déc_Dim1+5,""),IF(AND(YEAR(Déc_Dim1+12)=Année_Calendaire,MONTH(Déc_Dim1+12)=12),Déc_Dim1+12,""))</f>
        <v>44176</v>
      </c>
      <c r="Q204" s="90">
        <f>IF(DAY(Déc_Dim1)=1,IF(AND(YEAR(Déc_Dim1+6)=Année_Calendaire,MONTH(Déc_Dim1+6)=12),Déc_Dim1+6,""),IF(AND(YEAR(Déc_Dim1+13)=Année_Calendaire,MONTH(Déc_Dim1+13)=12),Déc_Dim1+13,""))</f>
        <v>44177</v>
      </c>
      <c r="R204" s="90">
        <f>IF(DAY(Déc_Dim1)=1,IF(AND(YEAR(Déc_Dim1+7)=Année_Calendaire,MONTH(Déc_Dim1+7)=12),Déc_Dim1+7,""),IF(AND(YEAR(Déc_Dim1+14)=Année_Calendaire,MONTH(Déc_Dim1+14)=12),Déc_Dim1+14,""))</f>
        <v>44178</v>
      </c>
      <c r="S204" s="102"/>
      <c r="T204" s="54"/>
      <c r="U204" s="90">
        <f>IF(DAY(Déc_Dim1)=1,IF(AND(YEAR(Déc_Dim1+8)=Année_Calendaire,MONTH(Déc_Dim1+8)=12),Déc_Dim1+8,""),IF(AND(YEAR(Déc_Dim1+15)=Année_Calendaire,MONTH(Déc_Dim1+15)=12),Déc_Dim1+15,""))</f>
        <v>44179</v>
      </c>
      <c r="V204" s="90">
        <f>IF(DAY(Déc_Dim1)=1,IF(AND(YEAR(Déc_Dim1+9)=Année_Calendaire,MONTH(Déc_Dim1+9)=12),Déc_Dim1+9,""),IF(AND(YEAR(Déc_Dim1+16)=Année_Calendaire,MONTH(Déc_Dim1+16)=12),Déc_Dim1+16,""))</f>
        <v>44180</v>
      </c>
      <c r="W204" s="90">
        <f>IF(DAY(Déc_Dim1)=1,IF(AND(YEAR(Déc_Dim1+10)=Année_Calendaire,MONTH(Déc_Dim1+10)=12),Déc_Dim1+10,""),IF(AND(YEAR(Déc_Dim1+17)=Année_Calendaire,MONTH(Déc_Dim1+17)=12),Déc_Dim1+17,""))</f>
        <v>44181</v>
      </c>
      <c r="X204" s="90">
        <f>IF(DAY(Déc_Dim1)=1,IF(AND(YEAR(Déc_Dim1+11)=Année_Calendaire,MONTH(Déc_Dim1+11)=12),Déc_Dim1+11,""),IF(AND(YEAR(Déc_Dim1+18)=Année_Calendaire,MONTH(Déc_Dim1+18)=12),Déc_Dim1+18,""))</f>
        <v>44182</v>
      </c>
      <c r="Y204" s="90">
        <f>IF(DAY(Déc_Dim1)=1,IF(AND(YEAR(Déc_Dim1+12)=Année_Calendaire,MONTH(Déc_Dim1+12)=12),Déc_Dim1+12,""),IF(AND(YEAR(Déc_Dim1+19)=Année_Calendaire,MONTH(Déc_Dim1+19)=12),Déc_Dim1+19,""))</f>
        <v>44183</v>
      </c>
      <c r="Z204" s="90">
        <f>IF(DAY(Déc_Dim1)=1,IF(AND(YEAR(Déc_Dim1+13)=Année_Calendaire,MONTH(Déc_Dim1+13)=12),Déc_Dim1+13,""),IF(AND(YEAR(Déc_Dim1+20)=Année_Calendaire,MONTH(Déc_Dim1+20)=12),Déc_Dim1+20,""))</f>
        <v>44184</v>
      </c>
      <c r="AA204" s="90">
        <f>IF(DAY(Déc_Dim1)=1,IF(AND(YEAR(Déc_Dim1+14)=Année_Calendaire,MONTH(Déc_Dim1+14)=12),Déc_Dim1+14,""),IF(AND(YEAR(Déc_Dim1+21)=Année_Calendaire,MONTH(Déc_Dim1+21)=12),Déc_Dim1+21,""))</f>
        <v>44185</v>
      </c>
      <c r="AB204" s="102"/>
      <c r="AC204" s="54"/>
      <c r="AD204" s="90">
        <f>IF(DAY(Déc_Dim1)=1,IF(AND(YEAR(Déc_Dim1+15)=Année_Calendaire,MONTH(Déc_Dim1+15)=12),Déc_Dim1+15,""),IF(AND(YEAR(Déc_Dim1+22)=Année_Calendaire,MONTH(Déc_Dim1+22)=12),Déc_Dim1+22,""))</f>
        <v>44186</v>
      </c>
      <c r="AE204" s="90">
        <f>IF(DAY(Déc_Dim1)=1,IF(AND(YEAR(Déc_Dim1+16)=Année_Calendaire,MONTH(Déc_Dim1+16)=12),Déc_Dim1+16,""),IF(AND(YEAR(Déc_Dim1+23)=Année_Calendaire,MONTH(Déc_Dim1+23)=12),Déc_Dim1+23,""))</f>
        <v>44187</v>
      </c>
      <c r="AF204" s="90">
        <f>IF(DAY(Déc_Dim1)=1,IF(AND(YEAR(Déc_Dim1+17)=Année_Calendaire,MONTH(Déc_Dim1+17)=12),Déc_Dim1+17,""),IF(AND(YEAR(Déc_Dim1+24)=Année_Calendaire,MONTH(Déc_Dim1+24)=12),Déc_Dim1+24,""))</f>
        <v>44188</v>
      </c>
      <c r="AG204" s="90">
        <f>IF(DAY(Déc_Dim1)=1,IF(AND(YEAR(Déc_Dim1+18)=Année_Calendaire,MONTH(Déc_Dim1+18)=12),Déc_Dim1+18,""),IF(AND(YEAR(Déc_Dim1+25)=Année_Calendaire,MONTH(Déc_Dim1+25)=12),Déc_Dim1+25,""))</f>
        <v>44189</v>
      </c>
      <c r="AH204" s="90">
        <f>IF(DAY(Déc_Dim1)=1,IF(AND(YEAR(Déc_Dim1+19)=Année_Calendaire,MONTH(Déc_Dim1+19)=12),Déc_Dim1+19,""),IF(AND(YEAR(Déc_Dim1+26)=Année_Calendaire,MONTH(Déc_Dim1+26)=12),Déc_Dim1+26,""))</f>
        <v>44190</v>
      </c>
      <c r="AI204" s="90">
        <f>IF(DAY(Déc_Dim1)=1,IF(AND(YEAR(Déc_Dim1+20)=Année_Calendaire,MONTH(Déc_Dim1+20)=12),Déc_Dim1+20,""),IF(AND(YEAR(Déc_Dim1+27)=Année_Calendaire,MONTH(Déc_Dim1+27)=12),Déc_Dim1+27,""))</f>
        <v>44191</v>
      </c>
      <c r="AJ204" s="90">
        <f>IF(DAY(Déc_Dim1)=1,IF(AND(YEAR(Déc_Dim1+21)=Année_Calendaire,MONTH(Déc_Dim1+21)=12),Déc_Dim1+21,""),IF(AND(YEAR(Déc_Dim1+28)=Année_Calendaire,MONTH(Déc_Dim1+28)=12),Déc_Dim1+28,""))</f>
        <v>44192</v>
      </c>
      <c r="AK204" s="102"/>
      <c r="AL204" s="54"/>
      <c r="AM204" s="90">
        <f>IF(DAY(Déc_Dim1)=1,IF(AND(YEAR(Déc_Dim1+22)=Année_Calendaire,MONTH(Déc_Dim1+22)=12),Déc_Dim1+22,""),IF(AND(YEAR(Déc_Dim1+29)=Année_Calendaire,MONTH(Déc_Dim1+29)=12),Déc_Dim1+29,""))</f>
        <v>44193</v>
      </c>
      <c r="AN204" s="93">
        <f>IF(DAY(Déc_Dim1)=1,IF(AND(YEAR(Déc_Dim1+23)=Année_Calendaire,MONTH(Déc_Dim1+23)=12),Déc_Dim1+23,""),IF(AND(YEAR(Déc_Dim1+30)=Année_Calendaire,MONTH(Déc_Dim1+30)=12),Déc_Dim1+30,""))</f>
        <v>44194</v>
      </c>
      <c r="AO204" s="90">
        <f>IF(DAY(Déc_Dim1)=1,IF(AND(YEAR(Déc_Dim1+24)=Année_Calendaire,MONTH(Déc_Dim1+24)=12),Déc_Dim1+24,""),IF(AND(YEAR(Déc_Dim1+31)=Année_Calendaire,MONTH(Déc_Dim1+31)=12),Déc_Dim1+31,""))</f>
        <v>44195</v>
      </c>
      <c r="AP204" s="90">
        <f>IF(DAY(Déc_Dim1)=1,IF(AND(YEAR(Déc_Dim1+25)=Année_Calendaire,MONTH(Déc_Dim1+25)=12),Déc_Dim1+25,""),IF(AND(YEAR(Déc_Dim1+32)=Année_Calendaire,MONTH(Déc_Dim1+32)=12),Déc_Dim1+32,""))</f>
        <v>44196</v>
      </c>
      <c r="AQ204" s="90" t="str">
        <f>IF(DAY(Déc_Dim1)=1,IF(AND(YEAR(Déc_Dim1+26)=Année_Calendaire,MONTH(Déc_Dim1+26)=12),Déc_Dim1+26,""),IF(AND(YEAR(Déc_Dim1+33)=Année_Calendaire,MONTH(Déc_Dim1+33)=12),Déc_Dim1+33,""))</f>
        <v/>
      </c>
      <c r="AR204" s="90" t="str">
        <f>IF(DAY(Déc_Dim1)=1,IF(AND(YEAR(Déc_Dim1+27)=Année_Calendaire,MONTH(Déc_Dim1+27)=12),Déc_Dim1+27,""),IF(AND(YEAR(Déc_Dim1+34)=Année_Calendaire,MONTH(Déc_Dim1+34)=12),Déc_Dim1+34,""))</f>
        <v/>
      </c>
      <c r="AS204" s="90" t="str">
        <f>IF(DAY(Déc_Dim1)=1,IF(AND(YEAR(Déc_Dim1+28)=Année_Calendaire,MONTH(Déc_Dim1+28)=12),Déc_Dim1+28,""),IF(AND(YEAR(Déc_Dim1+35)=Année_Calendaire,MONTH(Déc_Dim1+35)=12),Déc_Dim1+35,""))</f>
        <v/>
      </c>
      <c r="AT204" s="102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102"/>
      <c r="AY204" s="102"/>
      <c r="AZ204" s="103"/>
      <c r="BA204" s="103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IF(C204="","",IFERROR(VLOOKUP(B203,DATA!$A:$H,2,TRUE),0))</f>
        <v/>
      </c>
      <c r="D205" s="49">
        <f>IF(D204="","",IFERROR(VLOOKUP(B203,DATA!$A:$H,3,TRUE),0))</f>
        <v>0</v>
      </c>
      <c r="E205" s="49">
        <f>IF(E204="","",IFERROR(VLOOKUP(B203,DATA!$A:$H,4,TRUE),0))</f>
        <v>0</v>
      </c>
      <c r="F205" s="49" t="str">
        <f>IF(F204="","",IFERROR(VLOOKUP(B203,DATA!$A:$H,5,TRUE),0))</f>
        <v>matin</v>
      </c>
      <c r="G205" s="49" t="str">
        <f>IF(G204="","",IFERROR(VLOOKUP(B203,DATA!$A:$H,6,TRUE),0))</f>
        <v>matin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am</v>
      </c>
      <c r="M205" s="49" t="str">
        <f>IF(M204="","",IFERROR(VLOOKUP(K203,DATA!$A:$H,3,TRUE),0))</f>
        <v>am</v>
      </c>
      <c r="N205" s="49" t="str">
        <f>IF(N204="","",IFERROR(VLOOKUP(K203,DATA!$A:$H,4,TRUE),0))</f>
        <v>am</v>
      </c>
      <c r="O205" s="49" t="str">
        <f>IF(O204="","",IFERROR(VLOOKUP(K203,DATA!$A:$H,5,TRUE),0))</f>
        <v>am</v>
      </c>
      <c r="P205" s="49" t="str">
        <f>IF(P204="","",IFERROR(VLOOKUP(K203,DATA!$A:$H,6,TRUE),0))</f>
        <v>am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matin</v>
      </c>
      <c r="V205" s="49" t="str">
        <f>IF(V204="","",IFERROR(VLOOKUP(T203,DATA!$A:$H,3,TRUE),0))</f>
        <v>matin</v>
      </c>
      <c r="W205" s="49" t="str">
        <f>IF(W204="","",IFERROR(VLOOKUP(T203,DATA!$A:$H,4,TRUE),0))</f>
        <v>matin</v>
      </c>
      <c r="X205" s="49">
        <f>IF(X204="","",IFERROR(VLOOKUP(T203,DATA!$A:$H,5,TRUE),0))</f>
        <v>0</v>
      </c>
      <c r="Y205" s="49">
        <f>IF(Y204="","",IFERROR(VLOOKUP(T203,DATA!$A:$H,6,TRUE),0))</f>
        <v>0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nuit</v>
      </c>
      <c r="AE205" s="49" t="str">
        <f>IF(AE204="","",IFERROR(VLOOKUP(AC203,DATA!$A:$H,3,TRUE),0))</f>
        <v>nuit</v>
      </c>
      <c r="AF205" s="49" t="str">
        <f>IF(AF204="","",IFERROR(VLOOKUP(AC203,DATA!$A:$H,4,TRUE),0))</f>
        <v>nuit</v>
      </c>
      <c r="AG205" s="49" t="str">
        <f>IF(AG204="","",IFERROR(VLOOKUP(AC203,DATA!$A:$H,5,TRUE),0))</f>
        <v>nuit</v>
      </c>
      <c r="AH205" s="49" t="str">
        <f>IF(AH204="","",IFERROR(VLOOKUP(AC203,DATA!$A:$H,6,TRUE),0))</f>
        <v>nuit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matin</v>
      </c>
      <c r="AN205" s="49">
        <f>IF(AN204="","",IFERROR(VLOOKUP(AL203,DATA!$A:$H,3,TRUE),0))</f>
        <v>0</v>
      </c>
      <c r="AO205" s="49">
        <f>IF(AO204="","",IFERROR(VLOOKUP(AL203,DATA!$A:$H,4,TRUE),0))</f>
        <v>0</v>
      </c>
      <c r="AP205" s="49" t="str">
        <f>IF(AP204="","",IFERROR(VLOOKUP(AL203,DATA!$A:$H,5,TRUE),0))</f>
        <v>matin</v>
      </c>
      <c r="AQ205" s="49" t="str">
        <f>IF(AQ204="","",IFERROR(VLOOKUP(AL203,DATA!$A:$H,6,TRUE),0))</f>
        <v/>
      </c>
      <c r="AR205" s="49" t="str">
        <f>IF(AR204="","",IFERROR(VLOOKUP(AL203,DATA!$A:$H,7,TRUE),0))</f>
        <v/>
      </c>
      <c r="AS205" s="49" t="str">
        <f>IF(AS204="","",IFERROR(VLOOKUP(AL203,DATA!$A:$H,8,TRUE),0))</f>
        <v/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1</v>
      </c>
      <c r="G206" s="52">
        <f t="shared" si="449"/>
        <v>1</v>
      </c>
      <c r="H206" s="52">
        <f t="shared" si="449"/>
        <v>0</v>
      </c>
      <c r="I206" s="52">
        <f t="shared" si="449"/>
        <v>0</v>
      </c>
      <c r="J206" s="52">
        <f>SUM(C206:I206)</f>
        <v>2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5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3</v>
      </c>
      <c r="AC206" s="51"/>
      <c r="AD206" s="52">
        <f t="shared" ref="AD206:AJ206" si="452">IF(AD205="Matin",1,IF(AD205="AM",1,0))</f>
        <v>0</v>
      </c>
      <c r="AE206" s="52">
        <f t="shared" si="452"/>
        <v>0</v>
      </c>
      <c r="AF206" s="52">
        <f t="shared" si="452"/>
        <v>0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0</v>
      </c>
      <c r="AL206" s="51"/>
      <c r="AM206" s="52">
        <f t="shared" ref="AM206:AS206" si="453">IF(AM205="Matin",1,IF(AM205="AM",1,0))</f>
        <v>1</v>
      </c>
      <c r="AN206" s="52">
        <f t="shared" si="453"/>
        <v>0</v>
      </c>
      <c r="AO206" s="52">
        <f t="shared" si="453"/>
        <v>0</v>
      </c>
      <c r="AP206" s="52">
        <f t="shared" si="453"/>
        <v>1</v>
      </c>
      <c r="AQ206" s="52">
        <f t="shared" si="453"/>
        <v>0</v>
      </c>
      <c r="AR206" s="52">
        <f t="shared" si="453"/>
        <v>0</v>
      </c>
      <c r="AS206" s="52">
        <f t="shared" si="453"/>
        <v>0</v>
      </c>
      <c r="AT206" s="52">
        <f>SUM(AM206:AS206)</f>
        <v>2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1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2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5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0</v>
      </c>
      <c r="Y207" s="49">
        <f t="shared" si="460"/>
        <v>0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3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5</v>
      </c>
      <c r="AL207" s="48"/>
      <c r="AM207" s="49">
        <f>IF(AM208&gt;=1,1,0)</f>
        <v>1</v>
      </c>
      <c r="AN207" s="49">
        <f t="shared" ref="AN207:AS207" si="464">IF(AN208&gt;=1,1,0)</f>
        <v>0</v>
      </c>
      <c r="AO207" s="49">
        <f t="shared" si="464"/>
        <v>0</v>
      </c>
      <c r="AP207" s="49">
        <f t="shared" si="464"/>
        <v>1</v>
      </c>
      <c r="AQ207" s="49">
        <f t="shared" si="464"/>
        <v>0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2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8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16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40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0</v>
      </c>
      <c r="Y208" s="52">
        <f t="shared" si="470"/>
        <v>0</v>
      </c>
      <c r="Z208" s="52">
        <f t="shared" si="470"/>
        <v>0</v>
      </c>
      <c r="AA208" s="52">
        <f t="shared" si="470"/>
        <v>0</v>
      </c>
      <c r="AB208" s="52">
        <f t="shared" si="461"/>
        <v>24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40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0</v>
      </c>
      <c r="AO208" s="52">
        <f t="shared" si="472"/>
        <v>0</v>
      </c>
      <c r="AP208" s="52">
        <f t="shared" si="472"/>
        <v>8</v>
      </c>
      <c r="AQ208" s="52">
        <f t="shared" si="472"/>
        <v>0</v>
      </c>
      <c r="AR208" s="52">
        <f t="shared" si="472"/>
        <v>0</v>
      </c>
      <c r="AS208" s="52">
        <f t="shared" si="472"/>
        <v>0</v>
      </c>
      <c r="AT208" s="52">
        <f t="shared" si="465"/>
        <v>16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0.16</v>
      </c>
      <c r="AE217" s="49">
        <f>IF(AE205="nuit",AE208*0.02,0)</f>
        <v>0.16</v>
      </c>
      <c r="AF217" s="49">
        <f t="shared" ref="AF217:AJ217" si="483">IF(AF205="nuit",AF208*0.02,0)</f>
        <v>0.16</v>
      </c>
      <c r="AG217" s="49">
        <f t="shared" si="483"/>
        <v>0.16</v>
      </c>
      <c r="AH217" s="49">
        <f>IF(AH205="nuit",AH208*0.02,0)</f>
        <v>0.16</v>
      </c>
      <c r="AI217" s="49">
        <f t="shared" si="483"/>
        <v>0</v>
      </c>
      <c r="AJ217" s="49">
        <f t="shared" si="483"/>
        <v>0</v>
      </c>
      <c r="AK217" s="52">
        <f t="shared" si="463"/>
        <v>0.8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AV97:AW9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L7:R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E9" sqref="E9"/>
    </sheetView>
  </sheetViews>
  <sheetFormatPr baseColWidth="10" defaultRowHeight="15.75"/>
  <cols>
    <col min="1" max="1" width="17.5546875" customWidth="1"/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71" t="s">
        <v>76</v>
      </c>
      <c r="B1" s="72">
        <f>Année_Calendaire</f>
        <v>2020</v>
      </c>
      <c r="D1" s="73" t="s">
        <v>77</v>
      </c>
      <c r="E1" s="73"/>
      <c r="G1" s="74" t="s">
        <v>78</v>
      </c>
      <c r="H1" s="74"/>
      <c r="I1" s="75" t="s">
        <v>79</v>
      </c>
    </row>
    <row r="2" spans="1:9" ht="17.25" thickTop="1" thickBot="1">
      <c r="A2" s="71" t="s">
        <v>80</v>
      </c>
      <c r="B2" s="71" t="s">
        <v>81</v>
      </c>
      <c r="D2" s="76" t="s">
        <v>82</v>
      </c>
      <c r="E2" s="76" t="s">
        <v>83</v>
      </c>
      <c r="G2" s="77" t="s">
        <v>84</v>
      </c>
      <c r="H2" s="77" t="s">
        <v>85</v>
      </c>
      <c r="I2" t="s">
        <v>86</v>
      </c>
    </row>
    <row r="3" spans="1:9" ht="16.5" thickTop="1">
      <c r="A3" s="78">
        <f>DATEVALUE("1/1/"&amp;$B$1)</f>
        <v>43831</v>
      </c>
      <c r="B3" t="s">
        <v>87</v>
      </c>
      <c r="D3" s="79">
        <v>27549</v>
      </c>
      <c r="E3" t="s">
        <v>88</v>
      </c>
      <c r="G3" s="82">
        <v>42370</v>
      </c>
      <c r="H3" s="83">
        <v>42373</v>
      </c>
    </row>
    <row r="4" spans="1:9">
      <c r="A4" s="78">
        <f>DATEVALUE("1/5/"&amp;$B$1)</f>
        <v>43952</v>
      </c>
      <c r="B4" t="s">
        <v>89</v>
      </c>
      <c r="D4" s="79">
        <v>36491</v>
      </c>
      <c r="E4" t="s">
        <v>100</v>
      </c>
      <c r="G4" s="84">
        <v>42413</v>
      </c>
      <c r="H4" s="84">
        <v>42429</v>
      </c>
    </row>
    <row r="5" spans="1:9">
      <c r="A5" s="78">
        <f>DATEVALUE("8/5/"&amp;$B$1)</f>
        <v>43959</v>
      </c>
      <c r="B5" t="s">
        <v>90</v>
      </c>
      <c r="D5" s="79">
        <v>39726</v>
      </c>
      <c r="E5" t="s">
        <v>101</v>
      </c>
      <c r="G5" s="84">
        <v>42476</v>
      </c>
      <c r="H5" s="84">
        <v>42492</v>
      </c>
    </row>
    <row r="6" spans="1:9">
      <c r="A6" s="78">
        <f>DATEVALUE("14/07/"&amp;$B$1)</f>
        <v>44026</v>
      </c>
      <c r="B6" t="s">
        <v>91</v>
      </c>
      <c r="D6" s="79">
        <v>28472</v>
      </c>
      <c r="E6" t="s">
        <v>102</v>
      </c>
      <c r="G6" s="84">
        <v>42553</v>
      </c>
      <c r="H6" s="84">
        <v>42614</v>
      </c>
    </row>
    <row r="7" spans="1:9">
      <c r="A7" s="78">
        <f>DATEVALUE("25/08/"&amp;$B$1)</f>
        <v>44068</v>
      </c>
      <c r="B7" t="s">
        <v>92</v>
      </c>
      <c r="D7" s="79">
        <v>18027</v>
      </c>
      <c r="E7" t="s">
        <v>103</v>
      </c>
      <c r="G7" s="84">
        <v>42662</v>
      </c>
      <c r="H7" s="84">
        <v>42677</v>
      </c>
    </row>
    <row r="8" spans="1:9">
      <c r="A8" s="78">
        <f>DATEVALUE("1/11/"&amp;$B$1)</f>
        <v>44136</v>
      </c>
      <c r="B8" t="s">
        <v>93</v>
      </c>
      <c r="D8" s="79">
        <v>16477</v>
      </c>
      <c r="E8" t="s">
        <v>104</v>
      </c>
      <c r="G8" s="86">
        <v>42721</v>
      </c>
      <c r="H8" s="86">
        <v>42735</v>
      </c>
    </row>
    <row r="9" spans="1:9">
      <c r="A9" s="78">
        <f>DATEVALUE("11/11/"&amp;$B$1)</f>
        <v>44146</v>
      </c>
      <c r="B9" t="s">
        <v>94</v>
      </c>
      <c r="D9" s="79"/>
      <c r="G9" s="87">
        <v>42736</v>
      </c>
      <c r="H9" s="88">
        <v>42738</v>
      </c>
    </row>
    <row r="10" spans="1:9">
      <c r="A10" s="78">
        <f>DATEVALUE("25/12/"&amp;$B$1)</f>
        <v>44190</v>
      </c>
      <c r="B10" t="s">
        <v>95</v>
      </c>
      <c r="D10" s="43"/>
      <c r="G10" s="80">
        <v>42784</v>
      </c>
      <c r="H10" s="80">
        <v>42800</v>
      </c>
    </row>
    <row r="11" spans="1:9">
      <c r="A11" s="78">
        <f>FLOOR(DAY(MINUTE(B1/38)/2+56)&amp;"/5/"&amp;B1,7)-33</f>
        <v>43934</v>
      </c>
      <c r="B11" s="85" t="s">
        <v>96</v>
      </c>
      <c r="D11" s="43"/>
      <c r="G11" s="80">
        <v>42847</v>
      </c>
      <c r="H11" s="80">
        <v>42864</v>
      </c>
    </row>
    <row r="12" spans="1:9">
      <c r="A12" s="78">
        <f>A11+38</f>
        <v>43972</v>
      </c>
      <c r="B12" s="85" t="s">
        <v>97</v>
      </c>
      <c r="D12" s="43"/>
      <c r="G12" s="80">
        <v>42919</v>
      </c>
      <c r="H12" s="80">
        <v>42978</v>
      </c>
      <c r="I12" t="s">
        <v>99</v>
      </c>
    </row>
    <row r="13" spans="1:9">
      <c r="A13" s="78">
        <f>A12+11</f>
        <v>43983</v>
      </c>
      <c r="B13" s="85" t="s">
        <v>98</v>
      </c>
      <c r="D13" s="43"/>
      <c r="G13" s="80"/>
      <c r="H13" s="80"/>
    </row>
    <row r="14" spans="1:9">
      <c r="B14" s="65"/>
      <c r="D14" s="43"/>
      <c r="G14" s="81"/>
      <c r="H14" s="81"/>
    </row>
    <row r="15" spans="1:9">
      <c r="D15" s="43"/>
      <c r="G15" s="95"/>
      <c r="H15" s="96"/>
    </row>
    <row r="16" spans="1:9">
      <c r="D16" s="43"/>
      <c r="G16" s="97"/>
      <c r="H16" s="97"/>
    </row>
    <row r="17" spans="1:8">
      <c r="A17" s="94"/>
      <c r="D17" s="43"/>
      <c r="G17" s="97"/>
      <c r="H17" s="97"/>
    </row>
    <row r="18" spans="1:8">
      <c r="A18" s="94"/>
      <c r="D18" s="43"/>
      <c r="G18" s="97"/>
      <c r="H18" s="97"/>
    </row>
    <row r="19" spans="1:8">
      <c r="A19" s="94"/>
      <c r="D19" s="43"/>
    </row>
    <row r="20" spans="1:8">
      <c r="A20" s="94"/>
      <c r="D20" s="43"/>
    </row>
    <row r="21" spans="1:8">
      <c r="A21" s="94"/>
    </row>
    <row r="22" spans="1:8">
      <c r="A22" s="94"/>
    </row>
    <row r="23" spans="1:8">
      <c r="A23" s="94"/>
    </row>
    <row r="24" spans="1:8">
      <c r="A24" s="94"/>
    </row>
    <row r="25" spans="1:8">
      <c r="A25" s="94"/>
    </row>
    <row r="26" spans="1:8">
      <c r="A26" s="94"/>
    </row>
    <row r="95" spans="12:12">
      <c r="L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baseColWidth="10" defaultRowHeight="15.7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0.8</v>
      </c>
      <c r="D8" s="51">
        <f>C8-D19+D20</f>
        <v>1.6</v>
      </c>
      <c r="E8" s="51">
        <f t="shared" ref="E8:M8" si="3">D8-E19+E20</f>
        <v>2.4000000000000004</v>
      </c>
      <c r="F8" s="51">
        <f t="shared" si="3"/>
        <v>3.2</v>
      </c>
      <c r="G8" s="51">
        <f t="shared" si="3"/>
        <v>4</v>
      </c>
      <c r="H8" s="51">
        <f t="shared" si="3"/>
        <v>4.8</v>
      </c>
      <c r="I8" s="51">
        <f t="shared" si="3"/>
        <v>5.6</v>
      </c>
      <c r="J8" s="51">
        <f t="shared" si="3"/>
        <v>6.56</v>
      </c>
      <c r="K8" s="51">
        <f t="shared" si="3"/>
        <v>7.68</v>
      </c>
      <c r="L8" s="51">
        <f t="shared" si="3"/>
        <v>8.8000000000000007</v>
      </c>
      <c r="M8" s="51">
        <f t="shared" si="3"/>
        <v>9.6000000000000014</v>
      </c>
      <c r="N8" s="51">
        <f>M8-N19+N20</f>
        <v>10.400000000000002</v>
      </c>
      <c r="O8" s="51"/>
      <c r="P8" s="51">
        <f>N8</f>
        <v>10.400000000000002</v>
      </c>
      <c r="Q8" s="51"/>
    </row>
    <row r="9" spans="1:17" ht="15" customHeight="1">
      <c r="A9" s="48" t="s">
        <v>12</v>
      </c>
      <c r="B9" s="48"/>
      <c r="C9" s="48">
        <f>Travail!AY8</f>
        <v>13</v>
      </c>
      <c r="D9" s="48">
        <f>Travail!AY26</f>
        <v>11</v>
      </c>
      <c r="E9" s="48">
        <f>Travail!AY44</f>
        <v>13</v>
      </c>
      <c r="F9" s="48">
        <f>Travail!AY62</f>
        <v>13</v>
      </c>
      <c r="G9" s="48">
        <f>Travail!AY80</f>
        <v>12</v>
      </c>
      <c r="H9" s="48">
        <f>Travail!AY98</f>
        <v>13</v>
      </c>
      <c r="I9" s="48">
        <f>Travail!AY116</f>
        <v>12</v>
      </c>
      <c r="J9" s="48">
        <f>Travail!AY134</f>
        <v>11</v>
      </c>
      <c r="K9" s="48">
        <f>Travail!AY152</f>
        <v>11</v>
      </c>
      <c r="L9" s="48">
        <f>Travail!AY170</f>
        <v>11</v>
      </c>
      <c r="M9" s="48">
        <f>Travail!AY188</f>
        <v>12</v>
      </c>
      <c r="N9" s="48">
        <f>Travail!AY206</f>
        <v>12</v>
      </c>
      <c r="O9" s="48"/>
      <c r="P9" s="48">
        <f>SUM(C9:N9)</f>
        <v>144</v>
      </c>
      <c r="Q9" s="48"/>
    </row>
    <row r="10" spans="1:17" ht="15" customHeight="1">
      <c r="A10" s="51" t="s">
        <v>4</v>
      </c>
      <c r="B10" s="51"/>
      <c r="C10" s="51">
        <f>Travail!AY9</f>
        <v>18</v>
      </c>
      <c r="D10" s="51">
        <f>Travail!AY27</f>
        <v>16</v>
      </c>
      <c r="E10" s="51">
        <f>Travail!AY45</f>
        <v>18</v>
      </c>
      <c r="F10" s="51">
        <f>Travail!AY63</f>
        <v>18</v>
      </c>
      <c r="G10" s="51">
        <f>Travail!AY81</f>
        <v>17</v>
      </c>
      <c r="H10" s="51">
        <f>Travail!AY99</f>
        <v>18</v>
      </c>
      <c r="I10" s="51">
        <f>Travail!AY117</f>
        <v>17</v>
      </c>
      <c r="J10" s="51">
        <f>Travail!AY135</f>
        <v>17</v>
      </c>
      <c r="K10" s="51">
        <f>Travail!AY153</f>
        <v>18</v>
      </c>
      <c r="L10" s="51">
        <f>Travail!AY171</f>
        <v>18</v>
      </c>
      <c r="M10" s="51">
        <f>Travail!AY189</f>
        <v>17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144</v>
      </c>
      <c r="D11" s="48">
        <f>Travail!AY28</f>
        <v>128</v>
      </c>
      <c r="E11" s="48">
        <f>Travail!AY46</f>
        <v>144</v>
      </c>
      <c r="F11" s="48">
        <f>Travail!AY64</f>
        <v>144</v>
      </c>
      <c r="G11" s="48">
        <f>Travail!AY82</f>
        <v>136</v>
      </c>
      <c r="H11" s="48">
        <f>Travail!AY100</f>
        <v>144</v>
      </c>
      <c r="I11" s="48">
        <f>Travail!AY118</f>
        <v>136</v>
      </c>
      <c r="J11" s="48">
        <f>Travail!AY136</f>
        <v>136</v>
      </c>
      <c r="K11" s="48">
        <f>Travail!AY154</f>
        <v>144</v>
      </c>
      <c r="L11" s="48">
        <f>Travail!AY172</f>
        <v>144</v>
      </c>
      <c r="M11" s="48">
        <f>Travail!AY190</f>
        <v>136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6</v>
      </c>
      <c r="E12" s="51">
        <f>Travail!AY47</f>
        <v>6</v>
      </c>
      <c r="F12" s="51">
        <f>Travail!AY65</f>
        <v>3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3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66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10</v>
      </c>
      <c r="E13" s="48">
        <f>Travail!AY48</f>
        <v>10</v>
      </c>
      <c r="F13" s="48">
        <f>Travail!AY66</f>
        <v>5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5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110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0.8</v>
      </c>
      <c r="D20" s="51">
        <f>Travail!AY37</f>
        <v>0.8</v>
      </c>
      <c r="E20" s="51">
        <f>Travail!AY55</f>
        <v>0.8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0.8</v>
      </c>
      <c r="J20" s="51">
        <f>Travail!AY145</f>
        <v>0.96000000000000008</v>
      </c>
      <c r="K20" s="51">
        <f>Travail!AY163</f>
        <v>1.1200000000000001</v>
      </c>
      <c r="L20" s="51">
        <f>Travail!AY181</f>
        <v>1.1200000000000001</v>
      </c>
      <c r="M20" s="51">
        <f>Travail!AY199</f>
        <v>0.8</v>
      </c>
      <c r="N20" s="51">
        <f>Travail!AY217</f>
        <v>0.8</v>
      </c>
      <c r="O20" s="51"/>
      <c r="P20" s="51">
        <f t="shared" si="4"/>
        <v>10.400000000000002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10</v>
      </c>
      <c r="E21" s="48">
        <f>Travail!AZ41</f>
        <v>10</v>
      </c>
      <c r="F21" s="48">
        <f>Travail!AZ59</f>
        <v>5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5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20</v>
      </c>
      <c r="E22" s="51">
        <f>Travail!BA41</f>
        <v>30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80</v>
      </c>
      <c r="L22" s="51">
        <f>Travail!BA167</f>
        <v>90</v>
      </c>
      <c r="M22" s="51">
        <f>Travail!BA185</f>
        <v>100</v>
      </c>
      <c r="N22" s="51">
        <f>Travail!BA203</f>
        <v>110</v>
      </c>
      <c r="O22" s="51"/>
      <c r="P22" s="51">
        <f>N22</f>
        <v>110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.75"/>
  <cols>
    <col min="1" max="1" width="20.554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8"/>
      <c r="D3" s="98"/>
    </row>
    <row r="4" spans="1:4">
      <c r="A4" s="51" t="s">
        <v>4</v>
      </c>
      <c r="B4" s="51">
        <f>INDEX(Synthése!$C$9:$N$22,MATCH(A4,Synthése!$A$9:$A$22,0),MATCH($B$1,Janv,0))</f>
        <v>16</v>
      </c>
      <c r="C4" s="98"/>
      <c r="D4" s="98"/>
    </row>
    <row r="5" spans="1:4">
      <c r="A5" s="48" t="s">
        <v>3</v>
      </c>
      <c r="B5" s="48">
        <f>INDEX(Synthése!$C$9:$N$22,MATCH(A5,Synthése!$A$9:$A$22,0),MATCH($B$1,Janv,0))</f>
        <v>128</v>
      </c>
      <c r="C5" s="98"/>
      <c r="D5" s="98"/>
    </row>
    <row r="6" spans="1:4">
      <c r="A6" s="51" t="s">
        <v>13</v>
      </c>
      <c r="B6" s="51">
        <f>INDEX(Synthése!$C$9:$N$22,MATCH(A6,Synthése!$A$9:$A$22,0),MATCH($B$1,Janv,0))</f>
        <v>6</v>
      </c>
      <c r="C6" s="98"/>
      <c r="D6" s="98"/>
    </row>
    <row r="7" spans="1:4">
      <c r="A7" s="48" t="s">
        <v>6</v>
      </c>
      <c r="B7" s="48">
        <f>INDEX(Synthése!$C$9:$N$22,MATCH(A7,Synthése!$A$9:$A$22,0),MATCH($B$1,Janv,0))</f>
        <v>10</v>
      </c>
      <c r="C7" s="98">
        <f>B18+(B18/4)</f>
        <v>16.6875</v>
      </c>
      <c r="D7" s="98">
        <f>C7*B7</f>
        <v>166.875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8">
        <f>B18+(B18/2)</f>
        <v>20.024999999999999</v>
      </c>
      <c r="D8" s="98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8">
        <f>B18*2</f>
        <v>26.7</v>
      </c>
      <c r="D9" s="98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8"/>
      <c r="D10" s="98"/>
    </row>
    <row r="11" spans="1:4">
      <c r="A11" s="48" t="s">
        <v>9</v>
      </c>
      <c r="B11" s="48">
        <f>INDEX(Synthése!$C$9:$N$22,MATCH(A11,Synthése!$A$9:$A$22,0),MATCH($B$1,Janv,0))</f>
        <v>0</v>
      </c>
      <c r="C11" s="98"/>
      <c r="D11" s="98"/>
    </row>
    <row r="12" spans="1:4">
      <c r="A12" s="51" t="s">
        <v>11</v>
      </c>
      <c r="B12" s="51">
        <f>INDEX(Synthése!$C$9:$N$22,MATCH(A12,Synthése!$A$9:$A$22,0),MATCH($B$1,Janv,0))</f>
        <v>0</v>
      </c>
      <c r="D12" s="98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8"/>
      <c r="D13" s="98"/>
    </row>
    <row r="14" spans="1:4">
      <c r="A14" s="51" t="s">
        <v>37</v>
      </c>
      <c r="B14" s="51">
        <f>INDEX(Synthése!$C$9:$N$22,MATCH(A14,Synthése!$A$9:$A$22,0),MATCH($B$1,Janv,0))</f>
        <v>0.8</v>
      </c>
      <c r="C14" s="98"/>
      <c r="D14" s="98"/>
    </row>
    <row r="15" spans="1:4">
      <c r="A15" s="48" t="s">
        <v>38</v>
      </c>
      <c r="B15" s="48">
        <f>INDEX(Synthése!$C$9:$N$22,MATCH(A15,Synthése!$A$9:$A$22,0),MATCH($B$1,Janv,0))</f>
        <v>10</v>
      </c>
      <c r="C15" s="98"/>
      <c r="D15" s="98"/>
    </row>
    <row r="16" spans="1:4">
      <c r="A16" s="51" t="s">
        <v>39</v>
      </c>
      <c r="B16" s="51">
        <f>INDEX(Synthése!$C$9:$N$22,MATCH(A16,Synthése!$A$9:$A$22,0),MATCH($B$1,Janv,0))</f>
        <v>20</v>
      </c>
      <c r="C16" s="98"/>
      <c r="D16" s="98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9">
        <f>B22+B20+D7+D8+D9+D12</f>
        <v>1896.875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B3" sqref="B3"/>
    </sheetView>
  </sheetViews>
  <sheetFormatPr baseColWidth="10" defaultRowHeight="15.7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5" spans="1:1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ignacy</cp:lastModifiedBy>
  <dcterms:created xsi:type="dcterms:W3CDTF">2012-08-30T13:50:50Z</dcterms:created>
  <dcterms:modified xsi:type="dcterms:W3CDTF">2017-06-13T15:04:41Z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