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8800" windowHeight="12435"/>
  </bookViews>
  <sheets>
    <sheet name="CALENDRIER DES CHANTIERS " sheetId="1" r:id="rId1"/>
    <sheet name="FICHE CHANTIER" sheetId="2" r:id="rId2"/>
  </sheets>
  <definedNames>
    <definedName name="AprSun1">DATE(CalendarYear,4,1)-WEEKDAY(DATE(CalendarYear,4,1))</definedName>
    <definedName name="AugSun1">DATE(CalendarYear,8,1)-WEEKDAY(DATE(CalendarYear,8,1))</definedName>
    <definedName name="CalendarYear">'CALENDRIER DES CHANTIERS '!$AH$1</definedName>
    <definedName name="DecSun1">DATE(CalendarYear,12,1)-WEEKDAY(DATE(CalendarYear,12,1))</definedName>
    <definedName name="FebSun1">DATE(CalendarYear,2,1)-WEEKDAY(DATE(CalendarYear,2,1))</definedName>
    <definedName name="JanSun1">DATE(CalendarYear,1,1)-WEEKDAY(DATE(CalendarYear,1,1))</definedName>
    <definedName name="Job1_DayOff_Code">#REF!</definedName>
    <definedName name="Job1_Name">#REF!</definedName>
    <definedName name="Job1_Pattern">#REF!</definedName>
    <definedName name="Job1_Shift1_Code">#REF!</definedName>
    <definedName name="Job1_Shift2_Code">#REF!</definedName>
    <definedName name="Job1_Shift3_Code">#REF!</definedName>
    <definedName name="Job1_StartDate">#REF!</definedName>
    <definedName name="Job2_DayOff_Code">#REF!</definedName>
    <definedName name="Job2_Name">#REF!</definedName>
    <definedName name="Job2_Pattern">#REF!</definedName>
    <definedName name="Job2_Shift1_Code">#REF!</definedName>
    <definedName name="Job2_Shift2_Code">#REF!</definedName>
    <definedName name="Job2_Shift3_Code">#REF!</definedName>
    <definedName name="Job2_StartDate">#REF!</definedName>
    <definedName name="Job3_DayOff_Code">#REF!</definedName>
    <definedName name="Job3_Name">#REF!</definedName>
    <definedName name="Job3_Pattern">#REF!</definedName>
    <definedName name="Job3_Shift1_Code">#REF!</definedName>
    <definedName name="Job3_Shift2_Code">#REF!</definedName>
    <definedName name="Job3_Shift3_Code">#REF!</definedName>
    <definedName name="Job3_StartDate">#REF!</definedName>
    <definedName name="JulSun1">DATE(CalendarYear,7,1)-WEEKDAY(DATE(CalendarYear,7,1))</definedName>
    <definedName name="JunSun1">DATE(CalendarYear,6,1)-WEEKDAY(DATE(CalendarYear,6,1))</definedName>
    <definedName name="MarSun1">DATE(CalendarYear,3,1)-WEEKDAY(DATE(CalendarYear,3,1))</definedName>
    <definedName name="MaySun1">DATE(CalendarYear,5,1)-WEEKDAY(DATE(CalendarYear,5,1))</definedName>
    <definedName name="NovSun1">DATE(CalendarYear,11,1)-WEEKDAY(DATE(CalendarYear,11,1))</definedName>
    <definedName name="OctSun1">DATE(CalendarYear,10,1)-WEEKDAY(DATE(CalendarYear,10,1))</definedName>
    <definedName name="Range_Dates">'CALENDRIER DES CHANTIERS '!$C$5:$AM$5,'CALENDRIER DES CHANTIERS '!$C$14:$AM$14,'CALENDRIER DES CHANTIERS '!$C$23:$AM$23,'CALENDRIER DES CHANTIERS '!$C$32:$AM$32,'CALENDRIER DES CHANTIERS '!$C$41:$AM$41,'CALENDRIER DES CHANTIERS '!$C$50:$AM$50,'CALENDRIER DES CHANTIERS '!$C$59:$AM$59,'CALENDRIER DES CHANTIERS '!$C$68:$AM$68,'CALENDRIER DES CHANTIERS '!$C$75:$AM$75,'CALENDRIER DES CHANTIERS '!$C$82:$AM$82,'CALENDRIER DES CHANTIERS '!$C$89:$AM$89,'CALENDRIER DES CHANTIERS '!$C$96:$AM$96</definedName>
    <definedName name="Range_Days">'CALENDRIER DES CHANTIERS '!$C$7:$AM$11,'CALENDRIER DES CHANTIERS '!$C$16:$AM$20,'CALENDRIER DES CHANTIERS '!$C$25:$AM$29,'CALENDRIER DES CHANTIERS '!$C$34:$AM$38,'CALENDRIER DES CHANTIERS '!$C$43:$AM$47,'CALENDRIER DES CHANTIERS '!$C$52:$AM$56,'CALENDRIER DES CHANTIERS '!$C$61:$AM$65,'CALENDRIER DES CHANTIERS '!$C$70:$AM$72,'CALENDRIER DES CHANTIERS '!$C$77:$AM$79,'CALENDRIER DES CHANTIERS '!$C$84:$AM$86,'CALENDRIER DES CHANTIERS '!$C$91:$AM$93,'CALENDRIER DES CHANTIERS '!$C$98:$AM$100</definedName>
    <definedName name="Range_Weekdays">'CALENDRIER DES CHANTIERS '!$C$6:$AM$6,'CALENDRIER DES CHANTIERS '!$C$15:$AM$15,'CALENDRIER DES CHANTIERS '!$C$24:$AM$24,'CALENDRIER DES CHANTIERS '!$C$33:$AM$33,'CALENDRIER DES CHANTIERS '!$C$42:$AM$42,'CALENDRIER DES CHANTIERS '!$C$51:$AM$51,'CALENDRIER DES CHANTIERS '!$C$60:$AM$60,'CALENDRIER DES CHANTIERS '!$C$69:$AM$69,'CALENDRIER DES CHANTIERS '!$C$76:$AM$76,'CALENDRIER DES CHANTIERS '!$C$83:$AM$83,'CALENDRIER DES CHANTIERS '!$C$90:$AM$90,'CALENDRIER DES CHANTIERS '!$C$97:$AM$97</definedName>
    <definedName name="SepSun1">DATE(CalendarYear,9,1)-WEEKDAY(DATE(CalendarYear,9,1))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101" i="1" l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M12" i="1"/>
  <c r="AG12" i="1"/>
  <c r="AH12" i="1"/>
  <c r="AI12" i="1"/>
  <c r="AJ12" i="1"/>
  <c r="AK12" i="1"/>
  <c r="AL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C12" i="1"/>
  <c r="J25" i="2" l="1"/>
  <c r="J27" i="2"/>
  <c r="J29" i="2"/>
  <c r="J31" i="2"/>
  <c r="J33" i="2"/>
  <c r="J35" i="2"/>
  <c r="J37" i="2"/>
  <c r="J39" i="2"/>
  <c r="J41" i="2"/>
  <c r="J43" i="2"/>
  <c r="J23" i="2"/>
  <c r="J21" i="2"/>
  <c r="E33" i="1"/>
  <c r="F33" i="1" s="1"/>
  <c r="G33" i="1" s="1"/>
  <c r="H33" i="1" s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D33" i="1"/>
  <c r="C33" i="1"/>
  <c r="E24" i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D24" i="1"/>
  <c r="AL24" i="1"/>
  <c r="AM24" i="1"/>
  <c r="C24" i="1"/>
  <c r="J9" i="2"/>
  <c r="J11" i="2"/>
  <c r="J13" i="2"/>
  <c r="J15" i="2"/>
  <c r="J17" i="2"/>
  <c r="J19" i="2"/>
  <c r="F15" i="2"/>
  <c r="F23" i="2"/>
  <c r="F7" i="2"/>
  <c r="F9" i="2"/>
  <c r="F11" i="2"/>
  <c r="F13" i="2"/>
  <c r="F17" i="2"/>
  <c r="F19" i="2"/>
  <c r="F21" i="2"/>
  <c r="J7" i="2"/>
  <c r="J5" i="2"/>
  <c r="C15" i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F5" i="2" l="1"/>
  <c r="AM96" i="1" l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M32" i="1"/>
  <c r="AL32" i="1"/>
  <c r="AK32" i="1"/>
  <c r="AJ32" i="1"/>
  <c r="AM23" i="1"/>
  <c r="AL23" i="1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</calcChain>
</file>

<file path=xl/sharedStrings.xml><?xml version="1.0" encoding="utf-8"?>
<sst xmlns="http://schemas.openxmlformats.org/spreadsheetml/2006/main" count="364" uniqueCount="46">
  <si>
    <t>Di</t>
  </si>
  <si>
    <t>Lu</t>
  </si>
  <si>
    <t>Ma</t>
  </si>
  <si>
    <t>Me</t>
  </si>
  <si>
    <t>Je</t>
  </si>
  <si>
    <t>Ve</t>
  </si>
  <si>
    <t>Sa</t>
  </si>
  <si>
    <t>CALENDRIER DES CHANTIERS</t>
  </si>
  <si>
    <t>CHANTIER</t>
  </si>
  <si>
    <t>MONTANT TOTAL</t>
  </si>
  <si>
    <t>ACOMPTE 30%</t>
  </si>
  <si>
    <t>SITUATION 1</t>
  </si>
  <si>
    <t>SITUATION 2</t>
  </si>
  <si>
    <t>OUI</t>
  </si>
  <si>
    <t>NON</t>
  </si>
  <si>
    <t>DATE DE DEPOT</t>
  </si>
  <si>
    <t>MONTANT</t>
  </si>
  <si>
    <t>DELAI PAIEMENT</t>
  </si>
  <si>
    <t>ACOMPTE ?</t>
  </si>
  <si>
    <t>DATE PAIEMENT</t>
  </si>
  <si>
    <t>TOTAL :</t>
  </si>
  <si>
    <t>dezfzef</t>
  </si>
  <si>
    <t>dfsedfzedf</t>
  </si>
  <si>
    <t>fesfzef</t>
  </si>
  <si>
    <t>fefez</t>
  </si>
  <si>
    <t>fsefez</t>
  </si>
  <si>
    <t>fsefe</t>
  </si>
  <si>
    <t>sfsef</t>
  </si>
  <si>
    <t>sfezf</t>
  </si>
  <si>
    <t>fesfe</t>
  </si>
  <si>
    <t>sfesf</t>
  </si>
  <si>
    <t>fef</t>
  </si>
  <si>
    <t>sdfes</t>
  </si>
  <si>
    <t>fesf</t>
  </si>
  <si>
    <t>sefce</t>
  </si>
  <si>
    <t>secef</t>
  </si>
  <si>
    <t>tttt</t>
  </si>
  <si>
    <t>ttrgertgrtg</t>
  </si>
  <si>
    <t>getgt</t>
  </si>
  <si>
    <t>grrtge</t>
  </si>
  <si>
    <t>grgregfdsf</t>
  </si>
  <si>
    <t>csdcs</t>
  </si>
  <si>
    <t>dcqzd</t>
  </si>
  <si>
    <t>zdqzcfsrv</t>
  </si>
  <si>
    <t>csvrvvd</t>
  </si>
  <si>
    <t>vdrvrtgv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</si>
</sst>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 * #,##0.00_)\ &quot;€&quot;_ ;_ * \(#,##0.00\)\ &quot;€&quot;_ ;_ * &quot;-&quot;??_)\ &quot;€&quot;_ ;_ @_ "/>
    <numFmt numFmtId="165" formatCode="d"/>
    <numFmt numFmtId="166" formatCode=";;;"/>
    <numFmt numFmtId="167" formatCode="#,##0.00\ &quot;€&quot;"/>
    <numFmt numFmtId="168" formatCode="00\ &quot;Jours&quot;"/>
    <numFmt numFmtId="169" formatCode="ddd\ "/>
    <numFmt numFmtId="170" formatCode="&quot;JANVIER&quot;"/>
    <numFmt numFmtId="171" formatCode="&quot;FEVRIER&quot;"/>
    <numFmt numFmtId="172" formatCode="&quot;MARS&quot;"/>
    <numFmt numFmtId="173" formatCode="&quot;AVRIL&quot;"/>
    <numFmt numFmtId="174" formatCode="&quot;MAI&quot;"/>
    <numFmt numFmtId="175" formatCode="&quot;JUIN&quot;"/>
    <numFmt numFmtId="176" formatCode="&quot;JUILLET&quot;"/>
    <numFmt numFmtId="177" formatCode="&quot;AOUT&quot;"/>
    <numFmt numFmtId="178" formatCode="&quot;SEPTEMBRE&quot;"/>
    <numFmt numFmtId="179" formatCode="&quot;OCTOBRE&quot;"/>
    <numFmt numFmtId="180" formatCode="&quot;NOVEMBRE&quot;"/>
    <numFmt numFmtId="181" formatCode="&quot;DECEMBRE&quot;"/>
  </numFmts>
  <fonts count="18">
    <font>
      <sz val="11"/>
      <color theme="1"/>
      <name val="Franklin Gothic Book"/>
      <family val="2"/>
      <scheme val="minor"/>
    </font>
    <font>
      <sz val="11"/>
      <color theme="0" tint="-0.499984740745262"/>
      <name val="Calibri"/>
      <family val="2"/>
    </font>
    <font>
      <sz val="40"/>
      <color theme="3" tint="-0.499984740745262"/>
      <name val="Franklin Gothic Medium"/>
      <family val="2"/>
      <scheme val="major"/>
    </font>
    <font>
      <b/>
      <sz val="22"/>
      <color theme="0" tint="-0.499984740745262"/>
      <name val="Franklin Gothic Book"/>
      <family val="2"/>
      <scheme val="minor"/>
    </font>
    <font>
      <sz val="11"/>
      <color theme="0" tint="-0.499984740745262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11"/>
      <color theme="1" tint="0.14999847407452621"/>
      <name val="Franklin Gothic Book"/>
      <family val="2"/>
      <scheme val="minor"/>
    </font>
    <font>
      <b/>
      <sz val="9"/>
      <color theme="1" tint="4.9989318521683403E-2"/>
      <name val="Franklin Gothic Book"/>
      <family val="2"/>
      <scheme val="minor"/>
    </font>
    <font>
      <b/>
      <sz val="9"/>
      <color theme="3" tint="-0.249977111117893"/>
      <name val="Franklin Gothic Book"/>
      <family val="2"/>
      <scheme val="minor"/>
    </font>
    <font>
      <b/>
      <sz val="9"/>
      <color theme="0"/>
      <name val="Franklin Gothic Book"/>
      <family val="2"/>
      <scheme val="minor"/>
    </font>
    <font>
      <b/>
      <sz val="9"/>
      <color theme="1"/>
      <name val="Franklin Gothic Book"/>
      <family val="2"/>
      <scheme val="minor"/>
    </font>
    <font>
      <sz val="10"/>
      <color theme="0"/>
      <name val="Franklin Gothic Book"/>
      <family val="2"/>
      <scheme val="minor"/>
    </font>
    <font>
      <sz val="11"/>
      <color rgb="FF000000"/>
      <name val="Franklin Gothic Book"/>
      <family val="2"/>
      <scheme val="minor"/>
    </font>
    <font>
      <sz val="11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22"/>
      <color theme="1"/>
      <name val="Franklin Gothic Book"/>
      <family val="2"/>
      <scheme val="minor"/>
    </font>
    <font>
      <b/>
      <sz val="48"/>
      <color theme="1"/>
      <name val="Franklin Gothic Book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8" tint="-0.24994659260841701"/>
        <bgColor indexed="65"/>
      </patternFill>
    </fill>
    <fill>
      <patternFill patternType="solid">
        <fgColor theme="6" tint="-0.499984740745262"/>
        <bgColor indexed="65"/>
      </patternFill>
    </fill>
    <fill>
      <patternFill patternType="lightDown">
        <fgColor theme="3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8">
    <xf numFmtId="0" fontId="0" fillId="0" borderId="0"/>
    <xf numFmtId="0" fontId="6" fillId="0" borderId="0"/>
    <xf numFmtId="0" fontId="8" fillId="5" borderId="3">
      <alignment horizontal="center" vertical="center"/>
    </xf>
    <xf numFmtId="0" fontId="9" fillId="0" borderId="3" applyNumberFormat="0">
      <alignment horizontal="center" vertical="center"/>
    </xf>
    <xf numFmtId="0" fontId="10" fillId="6" borderId="3">
      <alignment horizontal="center" vertical="center"/>
    </xf>
    <xf numFmtId="0" fontId="8" fillId="2" borderId="3">
      <alignment horizontal="center" vertical="center"/>
    </xf>
    <xf numFmtId="0" fontId="10" fillId="7" borderId="3" applyNumberFormat="0">
      <alignment horizontal="center" vertical="center"/>
    </xf>
    <xf numFmtId="0" fontId="11" fillId="8" borderId="3" applyNumberFormat="0">
      <alignment horizontal="center" vertical="center"/>
    </xf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165" fontId="12" fillId="4" borderId="4" xfId="0" applyNumberFormat="1" applyFont="1" applyFill="1" applyBorder="1" applyAlignment="1">
      <alignment horizontal="center" vertical="center"/>
    </xf>
    <xf numFmtId="165" fontId="12" fillId="4" borderId="6" xfId="0" applyNumberFormat="1" applyFont="1" applyFill="1" applyBorder="1" applyAlignment="1">
      <alignment horizontal="center" vertical="center"/>
    </xf>
    <xf numFmtId="0" fontId="12" fillId="9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6" fontId="7" fillId="0" borderId="5" xfId="0" applyNumberFormat="1" applyFont="1" applyBorder="1" applyAlignment="1">
      <alignment horizontal="center" vertical="center"/>
    </xf>
    <xf numFmtId="166" fontId="7" fillId="0" borderId="2" xfId="0" applyNumberFormat="1" applyFont="1" applyBorder="1" applyAlignment="1">
      <alignment horizontal="center" vertical="center"/>
    </xf>
    <xf numFmtId="0" fontId="0" fillId="3" borderId="2" xfId="0" applyFill="1" applyBorder="1"/>
    <xf numFmtId="0" fontId="2" fillId="0" borderId="1" xfId="0" applyFont="1" applyBorder="1"/>
    <xf numFmtId="0" fontId="0" fillId="10" borderId="2" xfId="0" applyFill="1" applyBorder="1"/>
    <xf numFmtId="0" fontId="0" fillId="12" borderId="2" xfId="0" applyFill="1" applyBorder="1"/>
    <xf numFmtId="0" fontId="13" fillId="13" borderId="7" xfId="0" applyFont="1" applyFill="1" applyBorder="1"/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166" fontId="7" fillId="14" borderId="2" xfId="0" applyNumberFormat="1" applyFont="1" applyFill="1" applyBorder="1" applyAlignment="1">
      <alignment horizontal="center" vertical="center"/>
    </xf>
    <xf numFmtId="0" fontId="14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3" fillId="16" borderId="7" xfId="0" applyFont="1" applyFill="1" applyBorder="1"/>
    <xf numFmtId="0" fontId="0" fillId="17" borderId="2" xfId="0" applyFill="1" applyBorder="1"/>
    <xf numFmtId="0" fontId="14" fillId="15" borderId="12" xfId="0" applyFont="1" applyFill="1" applyBorder="1" applyAlignment="1">
      <alignment horizontal="center" vertical="center"/>
    </xf>
    <xf numFmtId="0" fontId="14" fillId="15" borderId="11" xfId="0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0" fontId="0" fillId="0" borderId="0" xfId="0" applyFill="1" applyBorder="1"/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166" fontId="7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/>
    <xf numFmtId="0" fontId="15" fillId="0" borderId="0" xfId="0" applyFont="1" applyFill="1" applyBorder="1"/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12" borderId="0" xfId="0" applyFont="1" applyFill="1" applyBorder="1"/>
    <xf numFmtId="0" fontId="14" fillId="0" borderId="0" xfId="0" applyFont="1" applyFill="1" applyBorder="1" applyAlignment="1">
      <alignment horizontal="left" vertical="center"/>
    </xf>
    <xf numFmtId="0" fontId="13" fillId="16" borderId="0" xfId="0" applyFont="1" applyFill="1" applyBorder="1"/>
    <xf numFmtId="0" fontId="14" fillId="15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14" fillId="17" borderId="0" xfId="0" applyFon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vertical="center"/>
    </xf>
    <xf numFmtId="0" fontId="13" fillId="13" borderId="0" xfId="0" applyFont="1" applyFill="1" applyBorder="1"/>
    <xf numFmtId="166" fontId="7" fillId="14" borderId="0" xfId="0" applyNumberFormat="1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0" fillId="0" borderId="0" xfId="0" applyBorder="1"/>
    <xf numFmtId="0" fontId="7" fillId="0" borderId="0" xfId="0" applyFont="1" applyFill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  <xf numFmtId="167" fontId="14" fillId="0" borderId="0" xfId="0" applyNumberFormat="1" applyFont="1" applyFill="1" applyBorder="1" applyAlignment="1">
      <alignment horizontal="center" vertical="center"/>
    </xf>
    <xf numFmtId="168" fontId="14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169" fontId="0" fillId="18" borderId="0" xfId="0" applyNumberFormat="1" applyFill="1" applyAlignment="1">
      <alignment horizontal="center" vertical="center"/>
    </xf>
    <xf numFmtId="167" fontId="14" fillId="0" borderId="0" xfId="0" applyNumberFormat="1" applyFont="1" applyFill="1" applyBorder="1"/>
    <xf numFmtId="167" fontId="0" fillId="0" borderId="0" xfId="0" applyNumberFormat="1"/>
    <xf numFmtId="166" fontId="7" fillId="0" borderId="13" xfId="0" applyNumberFormat="1" applyFont="1" applyBorder="1" applyAlignment="1">
      <alignment horizontal="center" vertical="center"/>
    </xf>
    <xf numFmtId="170" fontId="16" fillId="0" borderId="0" xfId="0" applyNumberFormat="1" applyFont="1" applyAlignment="1">
      <alignment horizontal="center" vertical="center"/>
    </xf>
    <xf numFmtId="172" fontId="16" fillId="0" borderId="0" xfId="0" applyNumberFormat="1" applyFont="1" applyAlignment="1">
      <alignment horizontal="center" vertical="center"/>
    </xf>
    <xf numFmtId="173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/>
    </xf>
    <xf numFmtId="171" fontId="16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180" fontId="16" fillId="0" borderId="0" xfId="0" applyNumberFormat="1" applyFont="1" applyAlignment="1">
      <alignment horizontal="center" vertical="center"/>
    </xf>
    <xf numFmtId="181" fontId="16" fillId="0" borderId="0" xfId="0" applyNumberFormat="1" applyFont="1" applyAlignment="1">
      <alignment horizontal="center" vertical="center"/>
    </xf>
    <xf numFmtId="174" fontId="16" fillId="0" borderId="0" xfId="0" applyNumberFormat="1" applyFont="1" applyAlignment="1">
      <alignment horizontal="center" vertical="center"/>
    </xf>
    <xf numFmtId="175" fontId="16" fillId="0" borderId="0" xfId="0" applyNumberFormat="1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7" fontId="16" fillId="0" borderId="0" xfId="0" applyNumberFormat="1" applyFont="1" applyAlignment="1">
      <alignment horizontal="center" vertical="center"/>
    </xf>
    <xf numFmtId="178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 vertical="center"/>
    </xf>
    <xf numFmtId="168" fontId="14" fillId="0" borderId="0" xfId="0" applyNumberFormat="1" applyFont="1" applyFill="1" applyBorder="1" applyAlignment="1">
      <alignment horizontal="center" vertical="center"/>
    </xf>
    <xf numFmtId="14" fontId="14" fillId="0" borderId="0" xfId="0" applyNumberFormat="1" applyFont="1" applyFill="1" applyBorder="1" applyAlignment="1">
      <alignment horizontal="center" vertical="center"/>
    </xf>
  </cellXfs>
  <cellStyles count="8">
    <cellStyle name="Congé" xfId="3"/>
    <cellStyle name="Horaire de jour" xfId="2"/>
    <cellStyle name="Horaire de jour/nuit" xfId="5"/>
    <cellStyle name="Horaire de nuit" xfId="4"/>
    <cellStyle name="Hors service" xfId="7"/>
    <cellStyle name="Jours fériés" xfId="6"/>
    <cellStyle name="Normal" xfId="0" builtinId="0"/>
    <cellStyle name="Normal 2" xfId="1"/>
  </cellStyles>
  <dxfs count="124"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C00000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ill>
        <patternFill>
          <bgColor rgb="FFC00000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ill>
        <patternFill>
          <bgColor rgb="FFC00000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ill>
        <patternFill>
          <bgColor rgb="FFC00000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C00000"/>
        </patternFill>
      </fill>
    </dxf>
    <dxf>
      <font>
        <color theme="2" tint="-0.24994659260841701"/>
      </font>
      <fill>
        <patternFill>
          <bgColor theme="2" tint="-0.24994659260841701"/>
        </patternFill>
      </fill>
    </dxf>
    <dxf>
      <fill>
        <patternFill>
          <bgColor theme="3" tint="-0.24994659260841701"/>
        </patternFill>
      </fill>
    </dxf>
  </dxfs>
  <tableStyles count="0" defaultTableStyle="TableStyleMedium2" defaultPivotStyle="PivotStyleLight16"/>
  <colors>
    <mruColors>
      <color rgb="FF0E66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Shift Work Calendar">
  <a:themeElements>
    <a:clrScheme name="Letterhead-1">
      <a:dk1>
        <a:srgbClr val="000000"/>
      </a:dk1>
      <a:lt1>
        <a:srgbClr val="FFFFFF"/>
      </a:lt1>
      <a:dk2>
        <a:srgbClr val="5E5E5E"/>
      </a:dk2>
      <a:lt2>
        <a:srgbClr val="D6D5D5"/>
      </a:lt2>
      <a:accent1>
        <a:srgbClr val="DF2D25"/>
      </a:accent1>
      <a:accent2>
        <a:srgbClr val="F9D423"/>
      </a:accent2>
      <a:accent3>
        <a:srgbClr val="62C99E"/>
      </a:accent3>
      <a:accent4>
        <a:srgbClr val="45B9EC"/>
      </a:accent4>
      <a:accent5>
        <a:srgbClr val="9B4BA6"/>
      </a:accent5>
      <a:accent6>
        <a:srgbClr val="EF2F94"/>
      </a:accent6>
      <a:hlink>
        <a:srgbClr val="0000FF"/>
      </a:hlink>
      <a:folHlink>
        <a:srgbClr val="FF00FF"/>
      </a:folHlink>
    </a:clrScheme>
    <a:fontScheme name="Franklin Gothic">
      <a:majorFont>
        <a:latin typeface="Franklin Gothic Medium" panose="020B0603020102020204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Franklin Gothic Book" panose="020B0503020102020204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  <a:extLst>
    <a:ext uri="{05A4C25C-085E-4340-85A3-A5531E510DB2}">
      <thm15:themeFamily xmlns:thm15="http://schemas.microsoft.com/office/thememl/2012/main" name=" ShiftCalendar" id="{C0C15053-41A7-A842-8BD5-207B5038EBEC}" vid="{EDF4B661-04CF-B74B-852D-F3AE147C5ED3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AM172"/>
  <sheetViews>
    <sheetView showGridLines="0" tabSelected="1" zoomScale="80" zoomScaleNormal="80" workbookViewId="0">
      <selection activeCell="AB21" sqref="AB21"/>
    </sheetView>
  </sheetViews>
  <sheetFormatPr baseColWidth="10" defaultColWidth="8.875" defaultRowHeight="18.95" customHeight="1"/>
  <cols>
    <col min="1" max="1" width="1.875" style="5" customWidth="1"/>
    <col min="2" max="2" width="45.625" style="5" customWidth="1"/>
    <col min="3" max="3" width="9.625" style="5" customWidth="1"/>
    <col min="4" max="39" width="8" style="5" customWidth="1"/>
    <col min="40" max="40" width="2.875" style="5" customWidth="1"/>
    <col min="41" max="41" width="6.375" style="5" customWidth="1"/>
    <col min="42" max="16284" width="8.875" style="5"/>
    <col min="16285" max="16384" width="4.625" style="5" customWidth="1"/>
  </cols>
  <sheetData>
    <row r="1" spans="2:39" s="1" customFormat="1" ht="65.25" customHeight="1">
      <c r="B1" s="18" t="s">
        <v>7</v>
      </c>
      <c r="C1" s="2"/>
      <c r="D1" s="2"/>
      <c r="E1" s="2"/>
      <c r="F1" s="2"/>
      <c r="G1" s="2"/>
      <c r="H1" s="2"/>
      <c r="I1" s="2"/>
      <c r="J1" s="2"/>
      <c r="K1" s="2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14"/>
      <c r="AH1"/>
      <c r="AI1"/>
      <c r="AJ1" s="73">
        <v>2022</v>
      </c>
      <c r="AK1" s="73"/>
      <c r="AL1" s="73"/>
      <c r="AM1" s="73"/>
    </row>
    <row r="2" spans="2:39" customFormat="1" ht="17.100000000000001" customHeight="1"/>
    <row r="3" spans="2:39" customFormat="1" ht="18.95" customHeight="1">
      <c r="B3" s="34"/>
      <c r="C3" s="34"/>
      <c r="D3" s="35"/>
      <c r="E3" s="34"/>
      <c r="F3" s="36"/>
      <c r="G3" s="37"/>
      <c r="H3" s="34"/>
      <c r="I3" s="34"/>
      <c r="J3" s="36"/>
      <c r="K3" s="38"/>
      <c r="L3" s="34"/>
      <c r="M3" s="34"/>
      <c r="N3" s="36"/>
      <c r="O3" s="38"/>
      <c r="P3" s="34"/>
      <c r="Q3" s="34"/>
      <c r="R3" s="34"/>
      <c r="S3" s="36"/>
      <c r="T3" s="38"/>
      <c r="U3" s="34"/>
      <c r="V3" s="34"/>
      <c r="W3" s="36"/>
      <c r="X3" s="39"/>
      <c r="Y3" s="34"/>
      <c r="Z3" s="40"/>
      <c r="AA3" s="35"/>
      <c r="AB3" s="41"/>
      <c r="AC3" s="34"/>
      <c r="AD3" s="35"/>
      <c r="AE3" s="42"/>
      <c r="AF3" s="35"/>
      <c r="AG3" s="35"/>
      <c r="AH3" s="41"/>
      <c r="AI3" s="34"/>
      <c r="AJ3" s="42"/>
      <c r="AK3" s="35"/>
      <c r="AL3" s="41"/>
      <c r="AM3" s="34"/>
    </row>
    <row r="4" spans="2:39" customFormat="1" ht="9" customHeight="1"/>
    <row r="5" spans="2:39" s="62" customFormat="1" ht="18.95" customHeight="1">
      <c r="B5" s="70">
        <v>1</v>
      </c>
      <c r="C5" s="11">
        <v>44562</v>
      </c>
      <c r="D5" s="11">
        <v>44563</v>
      </c>
      <c r="E5" s="11">
        <v>44564</v>
      </c>
      <c r="F5" s="11">
        <v>44565</v>
      </c>
      <c r="G5" s="11">
        <v>44566</v>
      </c>
      <c r="H5" s="11">
        <v>44567</v>
      </c>
      <c r="I5" s="11">
        <v>44568</v>
      </c>
      <c r="J5" s="11">
        <v>44569</v>
      </c>
      <c r="K5" s="11">
        <v>44570</v>
      </c>
      <c r="L5" s="11">
        <v>44571</v>
      </c>
      <c r="M5" s="11">
        <v>44572</v>
      </c>
      <c r="N5" s="11">
        <v>44573</v>
      </c>
      <c r="O5" s="11">
        <v>44574</v>
      </c>
      <c r="P5" s="11">
        <v>44575</v>
      </c>
      <c r="Q5" s="11">
        <v>44576</v>
      </c>
      <c r="R5" s="11">
        <v>44577</v>
      </c>
      <c r="S5" s="11">
        <v>44578</v>
      </c>
      <c r="T5" s="11">
        <v>44579</v>
      </c>
      <c r="U5" s="11">
        <v>44580</v>
      </c>
      <c r="V5" s="11">
        <v>44581</v>
      </c>
      <c r="W5" s="11">
        <v>44582</v>
      </c>
      <c r="X5" s="11">
        <v>44583</v>
      </c>
      <c r="Y5" s="11">
        <v>44584</v>
      </c>
      <c r="Z5" s="11">
        <v>44585</v>
      </c>
      <c r="AA5" s="11">
        <v>44586</v>
      </c>
      <c r="AB5" s="11">
        <v>44587</v>
      </c>
      <c r="AC5" s="11">
        <v>44588</v>
      </c>
      <c r="AD5" s="11">
        <v>44589</v>
      </c>
      <c r="AE5" s="11">
        <v>44590</v>
      </c>
      <c r="AF5" s="11">
        <v>44591</v>
      </c>
      <c r="AG5" s="11">
        <v>44592</v>
      </c>
      <c r="AH5" s="11"/>
      <c r="AI5" s="11"/>
      <c r="AJ5" s="11"/>
      <c r="AK5" s="11"/>
      <c r="AL5" s="11"/>
      <c r="AM5" s="11"/>
    </row>
    <row r="6" spans="2:39" s="9" customFormat="1" ht="18.95" customHeight="1">
      <c r="B6" s="70"/>
      <c r="C6" s="66">
        <f>DATE($AJ$1,$B$5,1)</f>
        <v>44562</v>
      </c>
      <c r="D6" s="66">
        <f>C6+1</f>
        <v>44563</v>
      </c>
      <c r="E6" s="66">
        <f t="shared" ref="E6:AG6" si="0">D6+1</f>
        <v>44564</v>
      </c>
      <c r="F6" s="66">
        <f t="shared" si="0"/>
        <v>44565</v>
      </c>
      <c r="G6" s="66">
        <f t="shared" si="0"/>
        <v>44566</v>
      </c>
      <c r="H6" s="66">
        <f t="shared" si="0"/>
        <v>44567</v>
      </c>
      <c r="I6" s="66">
        <f t="shared" si="0"/>
        <v>44568</v>
      </c>
      <c r="J6" s="66">
        <f t="shared" si="0"/>
        <v>44569</v>
      </c>
      <c r="K6" s="66">
        <f t="shared" si="0"/>
        <v>44570</v>
      </c>
      <c r="L6" s="66">
        <f t="shared" si="0"/>
        <v>44571</v>
      </c>
      <c r="M6" s="66">
        <f t="shared" si="0"/>
        <v>44572</v>
      </c>
      <c r="N6" s="66">
        <f t="shared" si="0"/>
        <v>44573</v>
      </c>
      <c r="O6" s="66">
        <f t="shared" si="0"/>
        <v>44574</v>
      </c>
      <c r="P6" s="66">
        <f t="shared" si="0"/>
        <v>44575</v>
      </c>
      <c r="Q6" s="66">
        <f t="shared" si="0"/>
        <v>44576</v>
      </c>
      <c r="R6" s="66">
        <f t="shared" si="0"/>
        <v>44577</v>
      </c>
      <c r="S6" s="66">
        <f t="shared" si="0"/>
        <v>44578</v>
      </c>
      <c r="T6" s="66">
        <f t="shared" si="0"/>
        <v>44579</v>
      </c>
      <c r="U6" s="66">
        <f t="shared" si="0"/>
        <v>44580</v>
      </c>
      <c r="V6" s="66">
        <f t="shared" si="0"/>
        <v>44581</v>
      </c>
      <c r="W6" s="66">
        <f t="shared" si="0"/>
        <v>44582</v>
      </c>
      <c r="X6" s="66">
        <f t="shared" si="0"/>
        <v>44583</v>
      </c>
      <c r="Y6" s="66">
        <f t="shared" si="0"/>
        <v>44584</v>
      </c>
      <c r="Z6" s="66">
        <f t="shared" si="0"/>
        <v>44585</v>
      </c>
      <c r="AA6" s="66">
        <f t="shared" si="0"/>
        <v>44586</v>
      </c>
      <c r="AB6" s="66">
        <f t="shared" si="0"/>
        <v>44587</v>
      </c>
      <c r="AC6" s="66">
        <f t="shared" si="0"/>
        <v>44588</v>
      </c>
      <c r="AD6" s="66">
        <f t="shared" si="0"/>
        <v>44589</v>
      </c>
      <c r="AE6" s="66">
        <f t="shared" si="0"/>
        <v>44590</v>
      </c>
      <c r="AF6" s="66">
        <f t="shared" si="0"/>
        <v>44591</v>
      </c>
      <c r="AG6" s="66">
        <f t="shared" si="0"/>
        <v>44592</v>
      </c>
      <c r="AH6" s="66"/>
      <c r="AI6" s="66"/>
      <c r="AJ6" s="66"/>
      <c r="AK6" s="66"/>
      <c r="AL6" s="66"/>
      <c r="AM6" s="66"/>
    </row>
    <row r="7" spans="2:39" ht="18.95" customHeight="1">
      <c r="B7" s="7" t="s">
        <v>21</v>
      </c>
      <c r="C7" s="15"/>
      <c r="D7" s="24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20"/>
      <c r="AA7" s="20"/>
      <c r="AB7" s="20"/>
      <c r="AC7" s="20"/>
      <c r="AD7" s="15"/>
      <c r="AE7" s="15"/>
      <c r="AF7" s="29"/>
      <c r="AG7" s="29"/>
      <c r="AH7" s="29"/>
      <c r="AI7" s="29"/>
      <c r="AJ7" s="29"/>
      <c r="AK7" s="15"/>
      <c r="AL7" s="15"/>
      <c r="AM7" s="31"/>
    </row>
    <row r="8" spans="2:39" ht="18.95" customHeight="1">
      <c r="B8" s="8" t="s">
        <v>22</v>
      </c>
      <c r="C8" s="22"/>
      <c r="D8" s="16"/>
      <c r="E8" s="23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20"/>
      <c r="AA8" s="20"/>
      <c r="AB8" s="20"/>
      <c r="AC8" s="20"/>
      <c r="AD8" s="16"/>
      <c r="AE8" s="16"/>
      <c r="AF8" s="29"/>
      <c r="AG8" s="29"/>
      <c r="AH8" s="29"/>
      <c r="AI8" s="29"/>
      <c r="AJ8" s="29"/>
      <c r="AK8" s="16"/>
      <c r="AL8" s="16"/>
      <c r="AM8" s="20"/>
    </row>
    <row r="9" spans="2:39" ht="18.95" customHeight="1">
      <c r="B9" s="8" t="s">
        <v>23</v>
      </c>
      <c r="C9" s="16"/>
      <c r="D9" s="15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20"/>
      <c r="AA9" s="20"/>
      <c r="AB9" s="16"/>
      <c r="AC9" s="16"/>
      <c r="AD9" s="16"/>
      <c r="AE9" s="16"/>
      <c r="AF9" s="29"/>
      <c r="AG9" s="29"/>
      <c r="AH9" s="29"/>
      <c r="AI9" s="29"/>
      <c r="AJ9" s="29"/>
      <c r="AK9" s="16"/>
      <c r="AL9" s="16"/>
      <c r="AM9" s="31"/>
    </row>
    <row r="10" spans="2:39" ht="18.95" customHeight="1">
      <c r="B10" s="8" t="s">
        <v>24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20"/>
      <c r="AA10" s="20"/>
      <c r="AB10" s="20"/>
      <c r="AC10" s="20"/>
      <c r="AD10" s="16"/>
      <c r="AE10" s="16"/>
      <c r="AF10" s="29"/>
      <c r="AG10" s="29"/>
      <c r="AH10" s="29"/>
      <c r="AI10" s="29"/>
      <c r="AJ10" s="29"/>
      <c r="AK10" s="16"/>
      <c r="AL10" s="16"/>
      <c r="AM10" s="20"/>
    </row>
    <row r="11" spans="2:39" ht="18.95" customHeight="1">
      <c r="B11" s="8" t="s">
        <v>25</v>
      </c>
      <c r="C11" s="16">
        <v>30000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69"/>
      <c r="AG11" s="16"/>
      <c r="AH11" s="16"/>
      <c r="AI11" s="16"/>
      <c r="AJ11" s="16"/>
      <c r="AK11" s="16"/>
      <c r="AL11" s="16"/>
      <c r="AM11" s="20"/>
    </row>
    <row r="12" spans="2:39" s="63" customFormat="1" ht="18.95" customHeight="1">
      <c r="B12" s="64" t="s">
        <v>20</v>
      </c>
      <c r="C12" s="61">
        <f>SUMIF('FICHE CHANTIER'!$J:$J,C5,'FICHE CHANTIER'!$K:$K)</f>
        <v>0</v>
      </c>
      <c r="D12" s="61">
        <f>SUMIF('FICHE CHANTIER'!$J:$J,D5,'FICHE CHANTIER'!$K:$K)</f>
        <v>0</v>
      </c>
      <c r="E12" s="61">
        <f>SUMIF('FICHE CHANTIER'!$J:$J,E5,'FICHE CHANTIER'!$K:$K)</f>
        <v>0</v>
      </c>
      <c r="F12" s="61">
        <f>SUMIF('FICHE CHANTIER'!$J:$J,F5,'FICHE CHANTIER'!$K:$K)</f>
        <v>0</v>
      </c>
      <c r="G12" s="61">
        <f>SUMIF('FICHE CHANTIER'!$J:$J,G5,'FICHE CHANTIER'!$K:$K)</f>
        <v>0</v>
      </c>
      <c r="H12" s="61">
        <f>SUMIF('FICHE CHANTIER'!$J:$J,H5,'FICHE CHANTIER'!$K:$K)</f>
        <v>0</v>
      </c>
      <c r="I12" s="61">
        <f>SUMIF('FICHE CHANTIER'!$J:$J,I5,'FICHE CHANTIER'!$K:$K)</f>
        <v>0</v>
      </c>
      <c r="J12" s="61">
        <f>SUMIF('FICHE CHANTIER'!$J:$J,J5,'FICHE CHANTIER'!$K:$K)</f>
        <v>0</v>
      </c>
      <c r="K12" s="61">
        <f>SUMIF('FICHE CHANTIER'!$J:$J,K5,'FICHE CHANTIER'!$K:$K)</f>
        <v>0</v>
      </c>
      <c r="L12" s="61">
        <f>SUMIF('FICHE CHANTIER'!$J:$J,L5,'FICHE CHANTIER'!$K:$K)</f>
        <v>0</v>
      </c>
      <c r="M12" s="61">
        <f>SUMIF('FICHE CHANTIER'!$J:$J,M5,'FICHE CHANTIER'!$K:$K)</f>
        <v>0</v>
      </c>
      <c r="N12" s="61">
        <f>SUMIF('FICHE CHANTIER'!$J:$J,N5,'FICHE CHANTIER'!$K:$K)</f>
        <v>0</v>
      </c>
      <c r="O12" s="61">
        <f>SUMIF('FICHE CHANTIER'!$J:$J,O5,'FICHE CHANTIER'!$K:$K)</f>
        <v>0</v>
      </c>
      <c r="P12" s="61">
        <f>SUMIF('FICHE CHANTIER'!$J:$J,P5,'FICHE CHANTIER'!$K:$K)</f>
        <v>0</v>
      </c>
      <c r="Q12" s="61">
        <f>SUMIF('FICHE CHANTIER'!$J:$J,Q5,'FICHE CHANTIER'!$K:$K)</f>
        <v>0</v>
      </c>
      <c r="R12" s="61">
        <f>SUMIF('FICHE CHANTIER'!$J:$J,R5,'FICHE CHANTIER'!$K:$K)</f>
        <v>0</v>
      </c>
      <c r="S12" s="61">
        <f>SUMIF('FICHE CHANTIER'!$J:$J,S5,'FICHE CHANTIER'!$K:$K)</f>
        <v>0</v>
      </c>
      <c r="T12" s="61">
        <f>SUMIF('FICHE CHANTIER'!$J:$J,T5,'FICHE CHANTIER'!$K:$K)</f>
        <v>0</v>
      </c>
      <c r="U12" s="61">
        <f>SUMIF('FICHE CHANTIER'!$J:$J,U5,'FICHE CHANTIER'!$K:$K)</f>
        <v>0</v>
      </c>
      <c r="V12" s="61">
        <f>SUMIF('FICHE CHANTIER'!$J:$J,V5,'FICHE CHANTIER'!$K:$K)</f>
        <v>0</v>
      </c>
      <c r="W12" s="61">
        <f>SUMIF('FICHE CHANTIER'!$J:$J,W5,'FICHE CHANTIER'!$K:$K)</f>
        <v>0</v>
      </c>
      <c r="X12" s="61">
        <f>SUMIF('FICHE CHANTIER'!$J:$J,X5,'FICHE CHANTIER'!$K:$K)</f>
        <v>0</v>
      </c>
      <c r="Y12" s="61">
        <f>SUMIF('FICHE CHANTIER'!$J:$J,Y5,'FICHE CHANTIER'!$K:$K)</f>
        <v>0</v>
      </c>
      <c r="Z12" s="61">
        <f>SUMIF('FICHE CHANTIER'!$J:$J,Z5,'FICHE CHANTIER'!$K:$K)</f>
        <v>0</v>
      </c>
      <c r="AA12" s="61">
        <f>SUMIF('FICHE CHANTIER'!$J:$J,AA5,'FICHE CHANTIER'!$K:$K)</f>
        <v>0</v>
      </c>
      <c r="AB12" s="61">
        <f>SUMIF('FICHE CHANTIER'!$J:$J,AB5,'FICHE CHANTIER'!$K:$K)</f>
        <v>0</v>
      </c>
      <c r="AC12" s="61">
        <f>SUMIF('FICHE CHANTIER'!$J:$J,AC5,'FICHE CHANTIER'!$K:$K)</f>
        <v>400</v>
      </c>
      <c r="AD12" s="61">
        <f>SUMIF('FICHE CHANTIER'!$J:$J,AD5,'FICHE CHANTIER'!$K:$K)</f>
        <v>0</v>
      </c>
      <c r="AE12" s="61">
        <f>SUMIF('FICHE CHANTIER'!$J:$J,AE5,'FICHE CHANTIER'!$K:$K)</f>
        <v>0</v>
      </c>
      <c r="AF12" s="61">
        <f>SUMIF('FICHE CHANTIER'!$J:$J,AF5,'FICHE CHANTIER'!$K:$K)</f>
        <v>800</v>
      </c>
      <c r="AG12" s="61">
        <f>SUMIF('FICHE CHANTIER'!$J:$J,AG5,'FICHE CHANTIER'!$K:$K)</f>
        <v>0</v>
      </c>
      <c r="AH12" s="61">
        <f>SUMIF('FICHE CHANTIER'!$J:$J,AH5,'FICHE CHANTIER'!$K:$K)</f>
        <v>0</v>
      </c>
      <c r="AI12" s="61">
        <f>SUMIF('FICHE CHANTIER'!$J:$J,AI5,'FICHE CHANTIER'!$K:$K)</f>
        <v>0</v>
      </c>
      <c r="AJ12" s="61">
        <f>SUMIF('FICHE CHANTIER'!$J:$J,AJ5,'FICHE CHANTIER'!$K:$K)</f>
        <v>0</v>
      </c>
      <c r="AK12" s="61">
        <f>SUMIF('FICHE CHANTIER'!$J:$J,AK5,'FICHE CHANTIER'!$K:$K)</f>
        <v>0</v>
      </c>
      <c r="AL12" s="61">
        <f>SUMIF('FICHE CHANTIER'!$J:$J,AL5,'FICHE CHANTIER'!$K:$K)</f>
        <v>0</v>
      </c>
      <c r="AM12" s="61">
        <f>SUMIF('FICHE CHANTIER'!$J:$J,AM5,'FICHE CHANTIER'!$K:$K)</f>
        <v>0</v>
      </c>
    </row>
    <row r="13" spans="2:39" ht="15.95" customHeight="1"/>
    <row r="14" spans="2:39" s="6" customFormat="1" ht="18.95" customHeight="1">
      <c r="B14" s="74">
        <v>2</v>
      </c>
      <c r="C14" s="11">
        <v>44593</v>
      </c>
      <c r="D14" s="11">
        <v>44594</v>
      </c>
      <c r="E14" s="11">
        <v>44595</v>
      </c>
      <c r="F14" s="11">
        <v>44596</v>
      </c>
      <c r="G14" s="11">
        <v>44597</v>
      </c>
      <c r="H14" s="11">
        <v>44598</v>
      </c>
      <c r="I14" s="11">
        <v>44599</v>
      </c>
      <c r="J14" s="11">
        <v>44600</v>
      </c>
      <c r="K14" s="11">
        <v>44601</v>
      </c>
      <c r="L14" s="11">
        <v>44602</v>
      </c>
      <c r="M14" s="11">
        <v>44603</v>
      </c>
      <c r="N14" s="11">
        <v>44604</v>
      </c>
      <c r="O14" s="11">
        <v>44605</v>
      </c>
      <c r="P14" s="11">
        <v>44606</v>
      </c>
      <c r="Q14" s="11">
        <v>44607</v>
      </c>
      <c r="R14" s="11">
        <v>44608</v>
      </c>
      <c r="S14" s="11">
        <v>44609</v>
      </c>
      <c r="T14" s="11">
        <v>44610</v>
      </c>
      <c r="U14" s="11">
        <v>44611</v>
      </c>
      <c r="V14" s="11">
        <v>44612</v>
      </c>
      <c r="W14" s="11">
        <v>44613</v>
      </c>
      <c r="X14" s="11">
        <v>44614</v>
      </c>
      <c r="Y14" s="11">
        <v>44615</v>
      </c>
      <c r="Z14" s="11">
        <v>44616</v>
      </c>
      <c r="AA14" s="11">
        <v>44617</v>
      </c>
      <c r="AB14" s="11">
        <v>44618</v>
      </c>
      <c r="AC14" s="11">
        <v>44619</v>
      </c>
      <c r="AD14" s="11">
        <v>44620</v>
      </c>
      <c r="AE14" s="11"/>
      <c r="AF14" s="11"/>
      <c r="AG14" s="11"/>
      <c r="AH14" s="11"/>
      <c r="AI14" s="11"/>
      <c r="AJ14" s="11"/>
      <c r="AK14" s="11"/>
      <c r="AL14" s="11"/>
      <c r="AM14" s="11"/>
    </row>
    <row r="15" spans="2:39" s="6" customFormat="1" ht="18.95" customHeight="1">
      <c r="B15" s="74"/>
      <c r="C15" s="66">
        <f>DATE($AJ$1,$B$14,1)</f>
        <v>44593</v>
      </c>
      <c r="D15" s="66">
        <f>C15+1</f>
        <v>44594</v>
      </c>
      <c r="E15" s="66">
        <f t="shared" ref="E15:AD15" si="1">D15+1</f>
        <v>44595</v>
      </c>
      <c r="F15" s="66">
        <f t="shared" si="1"/>
        <v>44596</v>
      </c>
      <c r="G15" s="66">
        <f t="shared" si="1"/>
        <v>44597</v>
      </c>
      <c r="H15" s="66">
        <f t="shared" si="1"/>
        <v>44598</v>
      </c>
      <c r="I15" s="66">
        <f t="shared" si="1"/>
        <v>44599</v>
      </c>
      <c r="J15" s="66">
        <f t="shared" si="1"/>
        <v>44600</v>
      </c>
      <c r="K15" s="66">
        <f t="shared" si="1"/>
        <v>44601</v>
      </c>
      <c r="L15" s="66">
        <f t="shared" si="1"/>
        <v>44602</v>
      </c>
      <c r="M15" s="66">
        <f t="shared" si="1"/>
        <v>44603</v>
      </c>
      <c r="N15" s="66">
        <f t="shared" si="1"/>
        <v>44604</v>
      </c>
      <c r="O15" s="66">
        <f t="shared" si="1"/>
        <v>44605</v>
      </c>
      <c r="P15" s="66">
        <f t="shared" si="1"/>
        <v>44606</v>
      </c>
      <c r="Q15" s="66">
        <f t="shared" si="1"/>
        <v>44607</v>
      </c>
      <c r="R15" s="66">
        <f t="shared" si="1"/>
        <v>44608</v>
      </c>
      <c r="S15" s="66">
        <f t="shared" si="1"/>
        <v>44609</v>
      </c>
      <c r="T15" s="66">
        <f t="shared" si="1"/>
        <v>44610</v>
      </c>
      <c r="U15" s="66">
        <f t="shared" si="1"/>
        <v>44611</v>
      </c>
      <c r="V15" s="66">
        <f t="shared" si="1"/>
        <v>44612</v>
      </c>
      <c r="W15" s="66">
        <f t="shared" si="1"/>
        <v>44613</v>
      </c>
      <c r="X15" s="66">
        <f t="shared" si="1"/>
        <v>44614</v>
      </c>
      <c r="Y15" s="66">
        <f t="shared" si="1"/>
        <v>44615</v>
      </c>
      <c r="Z15" s="66">
        <f t="shared" si="1"/>
        <v>44616</v>
      </c>
      <c r="AA15" s="66">
        <f t="shared" si="1"/>
        <v>44617</v>
      </c>
      <c r="AB15" s="66">
        <f t="shared" si="1"/>
        <v>44618</v>
      </c>
      <c r="AC15" s="66">
        <f t="shared" si="1"/>
        <v>44619</v>
      </c>
      <c r="AD15" s="66">
        <f t="shared" si="1"/>
        <v>44620</v>
      </c>
      <c r="AE15" s="66"/>
      <c r="AF15" s="66"/>
      <c r="AG15" s="66"/>
      <c r="AH15" s="66"/>
      <c r="AI15" s="66"/>
      <c r="AJ15" s="66"/>
      <c r="AK15" s="66"/>
      <c r="AL15" s="66"/>
      <c r="AM15" s="66"/>
    </row>
    <row r="16" spans="2:39" ht="18.95" customHeight="1">
      <c r="B16" s="7" t="s">
        <v>26</v>
      </c>
      <c r="C16" s="15"/>
      <c r="D16" s="15"/>
      <c r="E16" s="31"/>
      <c r="F16" s="30"/>
      <c r="G16" s="20"/>
      <c r="H16" s="20"/>
      <c r="I16" s="15"/>
      <c r="J16" s="15"/>
      <c r="K16" s="28"/>
      <c r="L16" s="28"/>
      <c r="M16" s="28"/>
      <c r="N16" s="28"/>
      <c r="O16" s="28"/>
      <c r="P16" s="15"/>
      <c r="Q16" s="15"/>
      <c r="R16" s="21"/>
      <c r="S16" s="21"/>
      <c r="T16" s="21"/>
      <c r="U16" s="21"/>
      <c r="V16" s="21"/>
      <c r="W16" s="15"/>
      <c r="X16" s="15"/>
      <c r="Y16" s="17"/>
      <c r="Z16" s="17"/>
      <c r="AA16" s="17"/>
      <c r="AB16" s="17"/>
      <c r="AC16" s="17"/>
      <c r="AD16" s="15"/>
      <c r="AE16" s="15"/>
      <c r="AF16" s="28"/>
      <c r="AG16" s="15"/>
      <c r="AH16" s="15"/>
      <c r="AI16" s="15"/>
      <c r="AJ16" s="15"/>
      <c r="AK16" s="15"/>
      <c r="AL16" s="15"/>
      <c r="AM16" s="15"/>
    </row>
    <row r="17" spans="2:39" ht="18.95" customHeight="1">
      <c r="B17" s="8" t="s">
        <v>27</v>
      </c>
      <c r="C17" s="15"/>
      <c r="D17" s="15"/>
      <c r="E17" s="20"/>
      <c r="F17" s="20"/>
      <c r="G17" s="20"/>
      <c r="H17" s="20"/>
      <c r="I17" s="15"/>
      <c r="J17" s="15"/>
      <c r="K17" s="20"/>
      <c r="L17" s="17"/>
      <c r="M17" s="17"/>
      <c r="N17" s="17"/>
      <c r="O17" s="17"/>
      <c r="P17" s="15"/>
      <c r="Q17" s="15"/>
      <c r="R17" s="17"/>
      <c r="S17" s="17"/>
      <c r="T17" s="17"/>
      <c r="U17" s="17"/>
      <c r="V17" s="17"/>
      <c r="W17" s="15"/>
      <c r="X17" s="15"/>
      <c r="Y17" s="19"/>
      <c r="Z17" s="19"/>
      <c r="AA17" s="19"/>
      <c r="AB17" s="17"/>
      <c r="AC17" s="17"/>
      <c r="AD17" s="15"/>
      <c r="AE17" s="15"/>
      <c r="AF17" s="17"/>
      <c r="AG17" s="15"/>
      <c r="AH17" s="15"/>
      <c r="AI17" s="15"/>
      <c r="AJ17" s="15"/>
      <c r="AK17" s="15"/>
      <c r="AL17" s="15"/>
      <c r="AM17" s="15"/>
    </row>
    <row r="18" spans="2:39" ht="18.95" customHeight="1">
      <c r="B18" s="8" t="s">
        <v>28</v>
      </c>
      <c r="C18" s="15"/>
      <c r="D18" s="15"/>
      <c r="E18" s="32"/>
      <c r="F18" s="30"/>
      <c r="G18" s="20"/>
      <c r="H18" s="20"/>
      <c r="I18" s="15"/>
      <c r="J18" s="15"/>
      <c r="K18" s="28"/>
      <c r="L18" s="28"/>
      <c r="M18" s="28"/>
      <c r="N18" s="28"/>
      <c r="O18" s="28"/>
      <c r="P18" s="15"/>
      <c r="Q18" s="15"/>
      <c r="R18" s="21"/>
      <c r="S18" s="21"/>
      <c r="T18" s="21"/>
      <c r="U18" s="21"/>
      <c r="V18" s="21"/>
      <c r="W18" s="15"/>
      <c r="X18" s="15"/>
      <c r="Y18" s="19"/>
      <c r="Z18" s="19"/>
      <c r="AA18" s="19"/>
      <c r="AB18" s="17"/>
      <c r="AC18" s="17"/>
      <c r="AD18" s="15"/>
      <c r="AE18" s="15"/>
      <c r="AF18" s="28"/>
      <c r="AG18" s="15"/>
      <c r="AH18" s="15"/>
      <c r="AI18" s="15"/>
      <c r="AJ18" s="15"/>
      <c r="AK18" s="15"/>
      <c r="AL18" s="15"/>
      <c r="AM18" s="15"/>
    </row>
    <row r="19" spans="2:39" ht="18.95" customHeight="1">
      <c r="B19" s="8" t="s">
        <v>28</v>
      </c>
      <c r="C19" s="16"/>
      <c r="D19" s="15"/>
      <c r="E19" s="20"/>
      <c r="F19" s="20"/>
      <c r="G19" s="20"/>
      <c r="H19" s="20"/>
      <c r="I19" s="16"/>
      <c r="J19" s="16"/>
      <c r="K19" s="20"/>
      <c r="L19" s="17"/>
      <c r="M19" s="17"/>
      <c r="N19" s="17"/>
      <c r="O19" s="17"/>
      <c r="P19" s="16"/>
      <c r="Q19" s="16"/>
      <c r="R19" s="17"/>
      <c r="S19" s="17"/>
      <c r="T19" s="17"/>
      <c r="U19" s="17"/>
      <c r="V19" s="17"/>
      <c r="W19" s="16"/>
      <c r="X19" s="16"/>
      <c r="Y19" s="17"/>
      <c r="Z19" s="17"/>
      <c r="AA19" s="17"/>
      <c r="AB19" s="17"/>
      <c r="AC19" s="17"/>
      <c r="AD19" s="16"/>
      <c r="AE19" s="16"/>
      <c r="AF19" s="17"/>
      <c r="AG19" s="16"/>
      <c r="AH19" s="16"/>
      <c r="AI19" s="16"/>
      <c r="AJ19" s="16"/>
      <c r="AK19" s="16"/>
      <c r="AL19" s="16"/>
      <c r="AM19" s="16"/>
    </row>
    <row r="20" spans="2:39" ht="18.95" customHeight="1">
      <c r="B20" s="8" t="s">
        <v>29</v>
      </c>
      <c r="C20" s="16"/>
      <c r="D20" s="15"/>
      <c r="E20" s="20"/>
      <c r="F20" s="20"/>
      <c r="G20" s="20"/>
      <c r="H20" s="20"/>
      <c r="I20" s="16"/>
      <c r="J20" s="16"/>
      <c r="K20" s="20"/>
      <c r="L20" s="17"/>
      <c r="M20" s="17"/>
      <c r="N20" s="17"/>
      <c r="O20" s="17"/>
      <c r="P20" s="16"/>
      <c r="Q20" s="16"/>
      <c r="R20" s="17"/>
      <c r="S20" s="17"/>
      <c r="T20" s="17"/>
      <c r="U20" s="17"/>
      <c r="V20" s="17"/>
      <c r="W20" s="16"/>
      <c r="X20" s="16"/>
      <c r="Y20" s="17"/>
      <c r="Z20" s="17"/>
      <c r="AA20" s="17"/>
      <c r="AB20" s="17"/>
      <c r="AC20" s="17"/>
      <c r="AD20" s="16"/>
      <c r="AE20" s="16"/>
      <c r="AF20" s="17"/>
      <c r="AG20" s="16"/>
      <c r="AH20" s="16"/>
      <c r="AI20" s="16"/>
      <c r="AJ20" s="16"/>
      <c r="AK20" s="16"/>
      <c r="AL20" s="16"/>
      <c r="AM20" s="16"/>
    </row>
    <row r="21" spans="2:39" s="65" customFormat="1" ht="18.95" customHeight="1">
      <c r="B21" s="64" t="s">
        <v>20</v>
      </c>
      <c r="C21" s="61">
        <f>SUMIF('FICHE CHANTIER'!$J:$J,C14,'FICHE CHANTIER'!$K:$K)</f>
        <v>0</v>
      </c>
      <c r="D21" s="61">
        <f>SUMIF('FICHE CHANTIER'!$J:$J,D14,'FICHE CHANTIER'!$K:$K)</f>
        <v>200</v>
      </c>
      <c r="E21" s="61">
        <f>SUMIF('FICHE CHANTIER'!$J:$J,E14,'FICHE CHANTIER'!$K:$K)</f>
        <v>0</v>
      </c>
      <c r="F21" s="61">
        <f>SUMIF('FICHE CHANTIER'!$J:$J,F14,'FICHE CHANTIER'!$K:$K)</f>
        <v>0</v>
      </c>
      <c r="G21" s="61">
        <f>SUMIF('FICHE CHANTIER'!$J:$J,G14,'FICHE CHANTIER'!$K:$K)</f>
        <v>0</v>
      </c>
      <c r="H21" s="61">
        <f>SUMIF('FICHE CHANTIER'!$J:$J,H14,'FICHE CHANTIER'!$K:$K)</f>
        <v>0</v>
      </c>
      <c r="I21" s="61">
        <f>SUMIF('FICHE CHANTIER'!$J:$J,I14,'FICHE CHANTIER'!$K:$K)</f>
        <v>0</v>
      </c>
      <c r="J21" s="61">
        <f>SUMIF('FICHE CHANTIER'!$J:$J,J14,'FICHE CHANTIER'!$K:$K)</f>
        <v>0</v>
      </c>
      <c r="K21" s="61">
        <f>SUMIF('FICHE CHANTIER'!$J:$J,K14,'FICHE CHANTIER'!$K:$K)</f>
        <v>0</v>
      </c>
      <c r="L21" s="61">
        <f>SUMIF('FICHE CHANTIER'!$J:$J,L14,'FICHE CHANTIER'!$K:$K)</f>
        <v>0</v>
      </c>
      <c r="M21" s="61">
        <f>SUMIF('FICHE CHANTIER'!$J:$J,M14,'FICHE CHANTIER'!$K:$K)</f>
        <v>0</v>
      </c>
      <c r="N21" s="61">
        <f>SUMIF('FICHE CHANTIER'!$J:$J,N14,'FICHE CHANTIER'!$K:$K)</f>
        <v>0</v>
      </c>
      <c r="O21" s="61">
        <f>SUMIF('FICHE CHANTIER'!$J:$J,O14,'FICHE CHANTIER'!$K:$K)</f>
        <v>0</v>
      </c>
      <c r="P21" s="61">
        <f>SUMIF('FICHE CHANTIER'!$J:$J,P14,'FICHE CHANTIER'!$K:$K)</f>
        <v>0</v>
      </c>
      <c r="Q21" s="61">
        <f>SUMIF('FICHE CHANTIER'!$J:$J,Q14,'FICHE CHANTIER'!$K:$K)</f>
        <v>0</v>
      </c>
      <c r="R21" s="61">
        <f>SUMIF('FICHE CHANTIER'!$J:$J,R14,'FICHE CHANTIER'!$K:$K)</f>
        <v>0</v>
      </c>
      <c r="S21" s="61">
        <f>SUMIF('FICHE CHANTIER'!$J:$J,S14,'FICHE CHANTIER'!$K:$K)</f>
        <v>0</v>
      </c>
      <c r="T21" s="61">
        <f>SUMIF('FICHE CHANTIER'!$J:$J,T14,'FICHE CHANTIER'!$K:$K)</f>
        <v>0</v>
      </c>
      <c r="U21" s="61">
        <f>SUMIF('FICHE CHANTIER'!$J:$J,U14,'FICHE CHANTIER'!$K:$K)</f>
        <v>0</v>
      </c>
      <c r="V21" s="61">
        <f>SUMIF('FICHE CHANTIER'!$J:$J,V14,'FICHE CHANTIER'!$K:$K)</f>
        <v>0</v>
      </c>
      <c r="W21" s="61">
        <f>SUMIF('FICHE CHANTIER'!$J:$J,W14,'FICHE CHANTIER'!$K:$K)</f>
        <v>0</v>
      </c>
      <c r="X21" s="61">
        <f>SUMIF('FICHE CHANTIER'!$J:$J,X14,'FICHE CHANTIER'!$K:$K)</f>
        <v>0</v>
      </c>
      <c r="Y21" s="61">
        <f>SUMIF('FICHE CHANTIER'!$J:$J,Y14,'FICHE CHANTIER'!$K:$K)</f>
        <v>500</v>
      </c>
      <c r="Z21" s="61">
        <f>SUMIF('FICHE CHANTIER'!$J:$J,Z14,'FICHE CHANTIER'!$K:$K)</f>
        <v>0</v>
      </c>
      <c r="AA21" s="61">
        <f>SUMIF('FICHE CHANTIER'!$J:$J,AA14,'FICHE CHANTIER'!$K:$K)</f>
        <v>0</v>
      </c>
      <c r="AB21" s="61">
        <f>SUMIF('FICHE CHANTIER'!$J:$J,AB14,'FICHE CHANTIER'!$K:$K)</f>
        <v>700</v>
      </c>
      <c r="AC21" s="61">
        <f>SUMIF('FICHE CHANTIER'!$J:$J,AC14,'FICHE CHANTIER'!$K:$K)</f>
        <v>0</v>
      </c>
      <c r="AD21" s="61">
        <f>SUMIF('FICHE CHANTIER'!$J:$J,AD14,'FICHE CHANTIER'!$K:$K)</f>
        <v>300</v>
      </c>
      <c r="AE21" s="61">
        <f>SUMIF('FICHE CHANTIER'!$J:$J,AE14,'FICHE CHANTIER'!$K:$K)</f>
        <v>0</v>
      </c>
      <c r="AF21" s="61">
        <f>SUMIF('FICHE CHANTIER'!$J:$J,AF14,'FICHE CHANTIER'!$K:$K)</f>
        <v>0</v>
      </c>
      <c r="AG21" s="61">
        <f>SUMIF('FICHE CHANTIER'!$J:$J,AG14,'FICHE CHANTIER'!$K:$K)</f>
        <v>0</v>
      </c>
      <c r="AH21" s="61">
        <f>SUMIF('FICHE CHANTIER'!$J:$J,AH14,'FICHE CHANTIER'!$K:$K)</f>
        <v>0</v>
      </c>
      <c r="AI21" s="61">
        <f>SUMIF('FICHE CHANTIER'!$J:$J,AI14,'FICHE CHANTIER'!$K:$K)</f>
        <v>0</v>
      </c>
      <c r="AJ21" s="61">
        <f>SUMIF('FICHE CHANTIER'!$J:$J,AJ14,'FICHE CHANTIER'!$K:$K)</f>
        <v>0</v>
      </c>
      <c r="AK21" s="61">
        <f>SUMIF('FICHE CHANTIER'!$J:$J,AK14,'FICHE CHANTIER'!$K:$K)</f>
        <v>0</v>
      </c>
      <c r="AL21" s="61">
        <f>SUMIF('FICHE CHANTIER'!$J:$J,AL14,'FICHE CHANTIER'!$K:$K)</f>
        <v>0</v>
      </c>
      <c r="AM21" s="61">
        <f>SUMIF('FICHE CHANTIER'!$J:$J,AM14,'FICHE CHANTIER'!$K:$K)</f>
        <v>0</v>
      </c>
    </row>
    <row r="22" spans="2:39" ht="21" customHeight="1"/>
    <row r="23" spans="2:39" s="9" customFormat="1" ht="18.95" customHeight="1">
      <c r="B23" s="71">
        <v>3</v>
      </c>
      <c r="C23" s="11">
        <v>44621</v>
      </c>
      <c r="D23" s="11">
        <v>44622</v>
      </c>
      <c r="E23" s="11">
        <v>44623</v>
      </c>
      <c r="F23" s="11">
        <v>44624</v>
      </c>
      <c r="G23" s="11">
        <v>44625</v>
      </c>
      <c r="H23" s="11">
        <v>44626</v>
      </c>
      <c r="I23" s="11">
        <v>44627</v>
      </c>
      <c r="J23" s="11">
        <v>44628</v>
      </c>
      <c r="K23" s="11">
        <v>44629</v>
      </c>
      <c r="L23" s="11">
        <v>44630</v>
      </c>
      <c r="M23" s="11">
        <v>44631</v>
      </c>
      <c r="N23" s="11">
        <v>44632</v>
      </c>
      <c r="O23" s="11">
        <v>44633</v>
      </c>
      <c r="P23" s="11">
        <v>44634</v>
      </c>
      <c r="Q23" s="11">
        <v>44635</v>
      </c>
      <c r="R23" s="11">
        <v>44636</v>
      </c>
      <c r="S23" s="11">
        <v>44637</v>
      </c>
      <c r="T23" s="11">
        <v>44638</v>
      </c>
      <c r="U23" s="11">
        <v>44639</v>
      </c>
      <c r="V23" s="11">
        <v>44640</v>
      </c>
      <c r="W23" s="11">
        <v>44641</v>
      </c>
      <c r="X23" s="11">
        <v>44642</v>
      </c>
      <c r="Y23" s="11">
        <v>44643</v>
      </c>
      <c r="Z23" s="11">
        <v>44644</v>
      </c>
      <c r="AA23" s="11">
        <v>44645</v>
      </c>
      <c r="AB23" s="11">
        <v>44646</v>
      </c>
      <c r="AC23" s="11">
        <v>44647</v>
      </c>
      <c r="AD23" s="11">
        <v>44648</v>
      </c>
      <c r="AE23" s="11">
        <v>44649</v>
      </c>
      <c r="AF23" s="11">
        <v>44650</v>
      </c>
      <c r="AG23" s="11">
        <v>44651</v>
      </c>
      <c r="AH23" s="11"/>
      <c r="AI23" s="11"/>
      <c r="AJ23" s="11"/>
      <c r="AK23" s="11"/>
      <c r="AL23" s="11" t="str">
        <f>IF(DAY(MarSun1)=1,IF(AND(YEAR(MarSun1+29)=CalendarYear,MONTH(MarSun1+29)=3),MarSun1+29,""),IF(AND(YEAR(MarSun1+36)=CalendarYear,MONTH(MarSun1+36)=3),MarSun1+36,""))</f>
        <v/>
      </c>
      <c r="AM23" s="12" t="str">
        <f>IF(DAY(MarSun1)=1,IF(AND(YEAR(MarSun1+30)=CalendarYear,MONTH(MarSun1+30)=3),MarSun1+30,""),IF(AND(YEAR(MarSun1+37)=CalendarYear,MONTH(MarSun1+37)=3),MarSun1+37,""))</f>
        <v/>
      </c>
    </row>
    <row r="24" spans="2:39" s="9" customFormat="1" ht="18.95" customHeight="1">
      <c r="B24" s="71"/>
      <c r="C24" s="66">
        <f>DATE($AJ$1,$B$23,1)</f>
        <v>44621</v>
      </c>
      <c r="D24" s="66">
        <f>C24+1</f>
        <v>44622</v>
      </c>
      <c r="E24" s="66">
        <f t="shared" ref="E24:AG24" si="2">D24+1</f>
        <v>44623</v>
      </c>
      <c r="F24" s="66">
        <f t="shared" si="2"/>
        <v>44624</v>
      </c>
      <c r="G24" s="66">
        <f t="shared" si="2"/>
        <v>44625</v>
      </c>
      <c r="H24" s="66">
        <f t="shared" si="2"/>
        <v>44626</v>
      </c>
      <c r="I24" s="66">
        <f t="shared" si="2"/>
        <v>44627</v>
      </c>
      <c r="J24" s="66">
        <f t="shared" si="2"/>
        <v>44628</v>
      </c>
      <c r="K24" s="66">
        <f t="shared" si="2"/>
        <v>44629</v>
      </c>
      <c r="L24" s="66">
        <f t="shared" si="2"/>
        <v>44630</v>
      </c>
      <c r="M24" s="66">
        <f t="shared" si="2"/>
        <v>44631</v>
      </c>
      <c r="N24" s="66">
        <f t="shared" si="2"/>
        <v>44632</v>
      </c>
      <c r="O24" s="66">
        <f t="shared" si="2"/>
        <v>44633</v>
      </c>
      <c r="P24" s="66">
        <f t="shared" si="2"/>
        <v>44634</v>
      </c>
      <c r="Q24" s="66">
        <f t="shared" si="2"/>
        <v>44635</v>
      </c>
      <c r="R24" s="66">
        <f t="shared" si="2"/>
        <v>44636</v>
      </c>
      <c r="S24" s="66">
        <f t="shared" si="2"/>
        <v>44637</v>
      </c>
      <c r="T24" s="66">
        <f t="shared" si="2"/>
        <v>44638</v>
      </c>
      <c r="U24" s="66">
        <f t="shared" si="2"/>
        <v>44639</v>
      </c>
      <c r="V24" s="66">
        <f t="shared" si="2"/>
        <v>44640</v>
      </c>
      <c r="W24" s="66">
        <f t="shared" si="2"/>
        <v>44641</v>
      </c>
      <c r="X24" s="66">
        <f t="shared" si="2"/>
        <v>44642</v>
      </c>
      <c r="Y24" s="66">
        <f t="shared" si="2"/>
        <v>44643</v>
      </c>
      <c r="Z24" s="66">
        <f t="shared" si="2"/>
        <v>44644</v>
      </c>
      <c r="AA24" s="66">
        <f t="shared" si="2"/>
        <v>44645</v>
      </c>
      <c r="AB24" s="66">
        <f t="shared" si="2"/>
        <v>44646</v>
      </c>
      <c r="AC24" s="66">
        <f t="shared" si="2"/>
        <v>44647</v>
      </c>
      <c r="AD24" s="66">
        <f t="shared" si="2"/>
        <v>44648</v>
      </c>
      <c r="AE24" s="66">
        <f t="shared" si="2"/>
        <v>44649</v>
      </c>
      <c r="AF24" s="66">
        <f t="shared" si="2"/>
        <v>44650</v>
      </c>
      <c r="AG24" s="66">
        <f t="shared" si="2"/>
        <v>44651</v>
      </c>
      <c r="AH24" s="66"/>
      <c r="AI24" s="66"/>
      <c r="AJ24" s="66"/>
      <c r="AK24" s="66"/>
      <c r="AL24" s="66">
        <f t="shared" ref="AL24:AM24" si="3">DATE($AJ$1,$B$23,1)</f>
        <v>44621</v>
      </c>
      <c r="AM24" s="66">
        <f t="shared" si="3"/>
        <v>44621</v>
      </c>
    </row>
    <row r="25" spans="2:39" ht="18.95" customHeight="1">
      <c r="B25" s="7" t="s">
        <v>30</v>
      </c>
      <c r="C25" s="15"/>
      <c r="D25" s="15"/>
      <c r="E25" s="28"/>
      <c r="F25" s="28"/>
      <c r="G25" s="28"/>
      <c r="H25" s="28"/>
      <c r="I25" s="15"/>
      <c r="J25" s="15"/>
      <c r="K25" s="21"/>
      <c r="L25" s="21"/>
      <c r="M25" s="21"/>
      <c r="N25" s="21"/>
      <c r="O25" s="21"/>
      <c r="P25" s="15"/>
      <c r="Q25" s="15"/>
      <c r="R25" s="28"/>
      <c r="S25" s="28"/>
      <c r="T25" s="28"/>
      <c r="U25" s="28"/>
      <c r="V25" s="28"/>
      <c r="W25" s="15"/>
      <c r="X25" s="15"/>
      <c r="Y25" s="21"/>
      <c r="Z25" s="21"/>
      <c r="AA25" s="21"/>
      <c r="AB25" s="28"/>
      <c r="AC25" s="28"/>
      <c r="AD25" s="15"/>
      <c r="AE25" s="15"/>
      <c r="AF25" s="28"/>
      <c r="AG25" s="28"/>
      <c r="AH25" s="28"/>
      <c r="AI25" s="28"/>
      <c r="AJ25" s="15"/>
      <c r="AK25" s="15"/>
      <c r="AL25" s="15"/>
      <c r="AM25" s="15"/>
    </row>
    <row r="26" spans="2:39" ht="18.95" customHeight="1">
      <c r="B26" s="8" t="s">
        <v>31</v>
      </c>
      <c r="C26" s="15"/>
      <c r="D26" s="15"/>
      <c r="E26" s="17"/>
      <c r="F26" s="17"/>
      <c r="G26" s="17"/>
      <c r="H26" s="17"/>
      <c r="I26" s="15"/>
      <c r="J26" s="15"/>
      <c r="K26" s="19"/>
      <c r="L26" s="19"/>
      <c r="M26" s="19"/>
      <c r="N26" s="19"/>
      <c r="O26" s="19"/>
      <c r="P26" s="15"/>
      <c r="Q26" s="15"/>
      <c r="R26" s="19"/>
      <c r="S26" s="19"/>
      <c r="T26" s="19"/>
      <c r="U26" s="19"/>
      <c r="V26" s="19"/>
      <c r="W26" s="15"/>
      <c r="X26" s="15"/>
      <c r="Y26" s="17"/>
      <c r="Z26" s="17"/>
      <c r="AA26" s="17"/>
      <c r="AB26" s="17"/>
      <c r="AC26" s="17"/>
      <c r="AD26" s="15"/>
      <c r="AE26" s="15"/>
      <c r="AF26" s="17"/>
      <c r="AG26" s="17"/>
      <c r="AH26" s="17"/>
      <c r="AI26" s="17"/>
      <c r="AJ26" s="15"/>
      <c r="AK26" s="15"/>
      <c r="AL26" s="15"/>
      <c r="AM26" s="15"/>
    </row>
    <row r="27" spans="2:39" ht="18.95" customHeight="1">
      <c r="B27" s="8" t="s">
        <v>32</v>
      </c>
      <c r="C27" s="15"/>
      <c r="D27" s="15"/>
      <c r="E27" s="28"/>
      <c r="F27" s="28"/>
      <c r="G27" s="28"/>
      <c r="H27" s="28"/>
      <c r="I27" s="15"/>
      <c r="J27" s="15"/>
      <c r="K27" s="21"/>
      <c r="L27" s="21"/>
      <c r="M27" s="21"/>
      <c r="N27" s="21"/>
      <c r="O27" s="21"/>
      <c r="P27" s="15"/>
      <c r="Q27" s="15"/>
      <c r="R27" s="28"/>
      <c r="S27" s="28"/>
      <c r="T27" s="28"/>
      <c r="U27" s="28"/>
      <c r="V27" s="28"/>
      <c r="W27" s="15"/>
      <c r="X27" s="15"/>
      <c r="Y27" s="21"/>
      <c r="Z27" s="21"/>
      <c r="AA27" s="21"/>
      <c r="AB27" s="28"/>
      <c r="AC27" s="28"/>
      <c r="AD27" s="15"/>
      <c r="AE27" s="15"/>
      <c r="AF27" s="28"/>
      <c r="AG27" s="28"/>
      <c r="AH27" s="28"/>
      <c r="AI27" s="28"/>
      <c r="AJ27" s="15"/>
      <c r="AK27" s="15"/>
      <c r="AL27" s="15"/>
      <c r="AM27" s="15"/>
    </row>
    <row r="28" spans="2:39" ht="18.95" customHeight="1">
      <c r="B28" s="8" t="s">
        <v>33</v>
      </c>
      <c r="C28" s="16"/>
      <c r="D28" s="16"/>
      <c r="E28" s="17"/>
      <c r="F28" s="17"/>
      <c r="G28" s="17"/>
      <c r="H28" s="17"/>
      <c r="I28" s="16"/>
      <c r="J28" s="16"/>
      <c r="K28" s="19"/>
      <c r="L28" s="19"/>
      <c r="M28" s="19"/>
      <c r="N28" s="19"/>
      <c r="O28" s="19"/>
      <c r="P28" s="16"/>
      <c r="Q28" s="16"/>
      <c r="R28" s="19"/>
      <c r="S28" s="19"/>
      <c r="T28" s="19"/>
      <c r="U28" s="19"/>
      <c r="V28" s="19"/>
      <c r="W28" s="16"/>
      <c r="X28" s="16"/>
      <c r="Y28" s="17"/>
      <c r="Z28" s="17"/>
      <c r="AA28" s="17"/>
      <c r="AB28" s="17"/>
      <c r="AC28" s="17"/>
      <c r="AD28" s="16"/>
      <c r="AE28" s="16"/>
      <c r="AF28" s="17"/>
      <c r="AG28" s="17"/>
      <c r="AH28" s="17"/>
      <c r="AI28" s="17"/>
      <c r="AJ28" s="16"/>
      <c r="AK28" s="16"/>
      <c r="AL28" s="16"/>
      <c r="AM28" s="16"/>
    </row>
    <row r="29" spans="2:39" ht="18.95" customHeight="1">
      <c r="B29" s="8" t="s">
        <v>34</v>
      </c>
      <c r="C29" s="16"/>
      <c r="D29" s="16"/>
      <c r="E29" s="17"/>
      <c r="F29" s="17"/>
      <c r="G29" s="17"/>
      <c r="H29" s="17"/>
      <c r="I29" s="16"/>
      <c r="J29" s="16"/>
      <c r="K29" s="19"/>
      <c r="L29" s="19"/>
      <c r="M29" s="19"/>
      <c r="N29" s="19"/>
      <c r="O29" s="19"/>
      <c r="P29" s="16"/>
      <c r="Q29" s="16"/>
      <c r="R29" s="19"/>
      <c r="S29" s="19"/>
      <c r="T29" s="19"/>
      <c r="U29" s="19"/>
      <c r="V29" s="19"/>
      <c r="W29" s="16"/>
      <c r="X29" s="16"/>
      <c r="Y29" s="17"/>
      <c r="Z29" s="17"/>
      <c r="AA29" s="17"/>
      <c r="AB29" s="17"/>
      <c r="AC29" s="17"/>
      <c r="AD29" s="16"/>
      <c r="AE29" s="16"/>
      <c r="AF29" s="17"/>
      <c r="AG29" s="17"/>
      <c r="AH29" s="17"/>
      <c r="AI29" s="17"/>
      <c r="AJ29" s="16"/>
      <c r="AK29" s="16"/>
      <c r="AL29" s="16"/>
      <c r="AM29" s="16"/>
    </row>
    <row r="30" spans="2:39" s="57" customFormat="1" ht="18.95" customHeight="1">
      <c r="B30" s="64" t="s">
        <v>20</v>
      </c>
      <c r="C30" s="61">
        <f>SUMIF('FICHE CHANTIER'!$J:$J,C23,'FICHE CHANTIER'!$K:$K)</f>
        <v>0</v>
      </c>
      <c r="D30" s="61">
        <f>SUMIF('FICHE CHANTIER'!$J:$J,D23,'FICHE CHANTIER'!$K:$K)</f>
        <v>0</v>
      </c>
      <c r="E30" s="61">
        <f>SUMIF('FICHE CHANTIER'!$J:$J,E23,'FICHE CHANTIER'!$K:$K)</f>
        <v>0</v>
      </c>
      <c r="F30" s="61">
        <f>SUMIF('FICHE CHANTIER'!$J:$J,F23,'FICHE CHANTIER'!$K:$K)</f>
        <v>0</v>
      </c>
      <c r="G30" s="61">
        <f>SUMIF('FICHE CHANTIER'!$J:$J,G23,'FICHE CHANTIER'!$K:$K)</f>
        <v>0</v>
      </c>
      <c r="H30" s="61">
        <f>SUMIF('FICHE CHANTIER'!$J:$J,H23,'FICHE CHANTIER'!$K:$K)</f>
        <v>0</v>
      </c>
      <c r="I30" s="61">
        <f>SUMIF('FICHE CHANTIER'!$J:$J,I23,'FICHE CHANTIER'!$K:$K)</f>
        <v>0</v>
      </c>
      <c r="J30" s="61">
        <f>SUMIF('FICHE CHANTIER'!$J:$J,J23,'FICHE CHANTIER'!$K:$K)</f>
        <v>0</v>
      </c>
      <c r="K30" s="61">
        <f>SUMIF('FICHE CHANTIER'!$J:$J,K23,'FICHE CHANTIER'!$K:$K)</f>
        <v>0</v>
      </c>
      <c r="L30" s="61">
        <f>SUMIF('FICHE CHANTIER'!$J:$J,L23,'FICHE CHANTIER'!$K:$K)</f>
        <v>0</v>
      </c>
      <c r="M30" s="61">
        <f>SUMIF('FICHE CHANTIER'!$J:$J,M23,'FICHE CHANTIER'!$K:$K)</f>
        <v>0</v>
      </c>
      <c r="N30" s="61">
        <f>SUMIF('FICHE CHANTIER'!$J:$J,N23,'FICHE CHANTIER'!$K:$K)</f>
        <v>0</v>
      </c>
      <c r="O30" s="61">
        <f>SUMIF('FICHE CHANTIER'!$J:$J,O23,'FICHE CHANTIER'!$K:$K)</f>
        <v>300</v>
      </c>
      <c r="P30" s="61">
        <f>SUMIF('FICHE CHANTIER'!$J:$J,P23,'FICHE CHANTIER'!$K:$K)</f>
        <v>0</v>
      </c>
      <c r="Q30" s="61">
        <f>SUMIF('FICHE CHANTIER'!$J:$J,Q23,'FICHE CHANTIER'!$K:$K)</f>
        <v>0</v>
      </c>
      <c r="R30" s="61">
        <f>SUMIF('FICHE CHANTIER'!$J:$J,R23,'FICHE CHANTIER'!$K:$K)</f>
        <v>0</v>
      </c>
      <c r="S30" s="61">
        <f>SUMIF('FICHE CHANTIER'!$J:$J,S23,'FICHE CHANTIER'!$K:$K)</f>
        <v>0</v>
      </c>
      <c r="T30" s="61">
        <f>SUMIF('FICHE CHANTIER'!$J:$J,T23,'FICHE CHANTIER'!$K:$K)</f>
        <v>0</v>
      </c>
      <c r="U30" s="61">
        <f>SUMIF('FICHE CHANTIER'!$J:$J,U23,'FICHE CHANTIER'!$K:$K)</f>
        <v>0</v>
      </c>
      <c r="V30" s="61">
        <f>SUMIF('FICHE CHANTIER'!$J:$J,V23,'FICHE CHANTIER'!$K:$K)</f>
        <v>0</v>
      </c>
      <c r="W30" s="61">
        <f>SUMIF('FICHE CHANTIER'!$J:$J,W23,'FICHE CHANTIER'!$K:$K)</f>
        <v>0</v>
      </c>
      <c r="X30" s="61">
        <f>SUMIF('FICHE CHANTIER'!$J:$J,X23,'FICHE CHANTIER'!$K:$K)</f>
        <v>0</v>
      </c>
      <c r="Y30" s="61">
        <f>SUMIF('FICHE CHANTIER'!$J:$J,Y23,'FICHE CHANTIER'!$K:$K)</f>
        <v>0</v>
      </c>
      <c r="Z30" s="61">
        <f>SUMIF('FICHE CHANTIER'!$J:$J,Z23,'FICHE CHANTIER'!$K:$K)</f>
        <v>0</v>
      </c>
      <c r="AA30" s="61">
        <f>SUMIF('FICHE CHANTIER'!$J:$J,AA23,'FICHE CHANTIER'!$K:$K)</f>
        <v>0</v>
      </c>
      <c r="AB30" s="61">
        <f>SUMIF('FICHE CHANTIER'!$J:$J,AB23,'FICHE CHANTIER'!$K:$K)</f>
        <v>0</v>
      </c>
      <c r="AC30" s="61">
        <f>SUMIF('FICHE CHANTIER'!$J:$J,AC23,'FICHE CHANTIER'!$K:$K)</f>
        <v>0</v>
      </c>
      <c r="AD30" s="61">
        <f>SUMIF('FICHE CHANTIER'!$J:$J,AD23,'FICHE CHANTIER'!$K:$K)</f>
        <v>0</v>
      </c>
      <c r="AE30" s="61">
        <f>SUMIF('FICHE CHANTIER'!$J:$J,AE23,'FICHE CHANTIER'!$K:$K)</f>
        <v>0</v>
      </c>
      <c r="AF30" s="61">
        <f>SUMIF('FICHE CHANTIER'!$J:$J,AF23,'FICHE CHANTIER'!$K:$K)</f>
        <v>0</v>
      </c>
      <c r="AG30" s="61">
        <f>SUMIF('FICHE CHANTIER'!$J:$J,AG23,'FICHE CHANTIER'!$K:$K)</f>
        <v>0</v>
      </c>
      <c r="AH30" s="61">
        <f>SUMIF('FICHE CHANTIER'!$J:$J,AH23,'FICHE CHANTIER'!$K:$K)</f>
        <v>0</v>
      </c>
      <c r="AI30" s="61">
        <f>SUMIF('FICHE CHANTIER'!$J:$J,AI23,'FICHE CHANTIER'!$K:$K)</f>
        <v>0</v>
      </c>
      <c r="AJ30" s="61">
        <f>SUMIF('FICHE CHANTIER'!$J:$J,AJ23,'FICHE CHANTIER'!$K:$K)</f>
        <v>0</v>
      </c>
      <c r="AK30" s="61">
        <f>SUMIF('FICHE CHANTIER'!$J:$J,AK23,'FICHE CHANTIER'!$K:$K)</f>
        <v>0</v>
      </c>
      <c r="AL30" s="61">
        <f>SUMIF('FICHE CHANTIER'!$J:$J,AL23,'FICHE CHANTIER'!$K:$K)</f>
        <v>0</v>
      </c>
      <c r="AM30" s="61">
        <f>SUMIF('FICHE CHANTIER'!$J:$J,AM23,'FICHE CHANTIER'!$K:$K)</f>
        <v>0</v>
      </c>
    </row>
    <row r="31" spans="2:39" ht="18" customHeight="1"/>
    <row r="32" spans="2:39" s="9" customFormat="1" ht="18.95" customHeight="1">
      <c r="B32" s="72">
        <v>4</v>
      </c>
      <c r="C32" s="11">
        <v>44652</v>
      </c>
      <c r="D32" s="11">
        <v>44653</v>
      </c>
      <c r="E32" s="11">
        <v>44654</v>
      </c>
      <c r="F32" s="11">
        <v>44655</v>
      </c>
      <c r="G32" s="11">
        <v>44656</v>
      </c>
      <c r="H32" s="11">
        <v>44657</v>
      </c>
      <c r="I32" s="11">
        <v>44658</v>
      </c>
      <c r="J32" s="11">
        <v>44659</v>
      </c>
      <c r="K32" s="11">
        <v>44660</v>
      </c>
      <c r="L32" s="11">
        <v>44661</v>
      </c>
      <c r="M32" s="11">
        <v>44662</v>
      </c>
      <c r="N32" s="11">
        <v>44663</v>
      </c>
      <c r="O32" s="11">
        <v>44664</v>
      </c>
      <c r="P32" s="11">
        <v>44665</v>
      </c>
      <c r="Q32" s="11">
        <v>44666</v>
      </c>
      <c r="R32" s="11">
        <v>44667</v>
      </c>
      <c r="S32" s="11">
        <v>44668</v>
      </c>
      <c r="T32" s="11">
        <v>44669</v>
      </c>
      <c r="U32" s="11">
        <v>44670</v>
      </c>
      <c r="V32" s="11">
        <v>44671</v>
      </c>
      <c r="W32" s="11">
        <v>44672</v>
      </c>
      <c r="X32" s="11">
        <v>44673</v>
      </c>
      <c r="Y32" s="11">
        <v>44674</v>
      </c>
      <c r="Z32" s="11">
        <v>44675</v>
      </c>
      <c r="AA32" s="11">
        <v>44676</v>
      </c>
      <c r="AB32" s="11">
        <v>44677</v>
      </c>
      <c r="AC32" s="11">
        <v>44678</v>
      </c>
      <c r="AD32" s="11">
        <v>44679</v>
      </c>
      <c r="AE32" s="11">
        <v>44680</v>
      </c>
      <c r="AF32" s="11">
        <v>44681</v>
      </c>
      <c r="AG32" s="11"/>
      <c r="AH32" s="11"/>
      <c r="AI32" s="11"/>
      <c r="AJ32" s="11" t="str">
        <f>IF(DAY(AprSun1)=1,IF(AND(YEAR(AprSun1+27)=CalendarYear,MONTH(AprSun1+27)=4),AprSun1+27,""),IF(AND(YEAR(AprSun1+34)=CalendarYear,MONTH(AprSun1+34)=4),AprSun1+34,""))</f>
        <v/>
      </c>
      <c r="AK32" s="11" t="str">
        <f>IF(DAY(AprSun1)=1,IF(AND(YEAR(AprSun1+28)=CalendarYear,MONTH(AprSun1+28)=4),AprSun1+28,""),IF(AND(YEAR(AprSun1+35)=CalendarYear,MONTH(AprSun1+35)=4),AprSun1+35,""))</f>
        <v/>
      </c>
      <c r="AL32" s="11" t="str">
        <f>IF(DAY(AprSun1)=1,IF(AND(YEAR(AprSun1+29)=CalendarYear,MONTH(AprSun1+29)=4),AprSun1+29,""),IF(AND(YEAR(AprSun1+36)=CalendarYear,MONTH(AprSun1+36)=4),AprSun1+36,""))</f>
        <v/>
      </c>
      <c r="AM32" s="12" t="str">
        <f>IF(DAY(AprSun1)=1,IF(AND(YEAR(AprSun1+30)=CalendarYear,MONTH(AprSun1+30)=4),AprSun1+30,""),IF(AND(YEAR(AprSun1+37)=CalendarYear,MONTH(AprSun1+37)=4),AprSun1+37,""))</f>
        <v/>
      </c>
    </row>
    <row r="33" spans="2:39" s="9" customFormat="1" ht="18.95" customHeight="1">
      <c r="B33" s="72"/>
      <c r="C33" s="66">
        <f>DATE($AJ$1,$B$32,1)</f>
        <v>44652</v>
      </c>
      <c r="D33" s="66">
        <f>C33+1</f>
        <v>44653</v>
      </c>
      <c r="E33" s="66">
        <f t="shared" ref="E33:AF33" si="4">D33+1</f>
        <v>44654</v>
      </c>
      <c r="F33" s="66">
        <f t="shared" si="4"/>
        <v>44655</v>
      </c>
      <c r="G33" s="66">
        <f t="shared" si="4"/>
        <v>44656</v>
      </c>
      <c r="H33" s="66">
        <f t="shared" si="4"/>
        <v>44657</v>
      </c>
      <c r="I33" s="66">
        <f t="shared" si="4"/>
        <v>44658</v>
      </c>
      <c r="J33" s="66">
        <f t="shared" si="4"/>
        <v>44659</v>
      </c>
      <c r="K33" s="66">
        <f t="shared" si="4"/>
        <v>44660</v>
      </c>
      <c r="L33" s="66">
        <f t="shared" si="4"/>
        <v>44661</v>
      </c>
      <c r="M33" s="66">
        <f t="shared" si="4"/>
        <v>44662</v>
      </c>
      <c r="N33" s="66">
        <f t="shared" si="4"/>
        <v>44663</v>
      </c>
      <c r="O33" s="66">
        <f t="shared" si="4"/>
        <v>44664</v>
      </c>
      <c r="P33" s="66">
        <f t="shared" si="4"/>
        <v>44665</v>
      </c>
      <c r="Q33" s="66">
        <f t="shared" si="4"/>
        <v>44666</v>
      </c>
      <c r="R33" s="66">
        <f t="shared" si="4"/>
        <v>44667</v>
      </c>
      <c r="S33" s="66">
        <f t="shared" si="4"/>
        <v>44668</v>
      </c>
      <c r="T33" s="66">
        <f t="shared" si="4"/>
        <v>44669</v>
      </c>
      <c r="U33" s="66">
        <f t="shared" si="4"/>
        <v>44670</v>
      </c>
      <c r="V33" s="66">
        <f t="shared" si="4"/>
        <v>44671</v>
      </c>
      <c r="W33" s="66">
        <f t="shared" si="4"/>
        <v>44672</v>
      </c>
      <c r="X33" s="66">
        <f t="shared" si="4"/>
        <v>44673</v>
      </c>
      <c r="Y33" s="66">
        <f t="shared" si="4"/>
        <v>44674</v>
      </c>
      <c r="Z33" s="66">
        <f t="shared" si="4"/>
        <v>44675</v>
      </c>
      <c r="AA33" s="66">
        <f t="shared" si="4"/>
        <v>44676</v>
      </c>
      <c r="AB33" s="66">
        <f t="shared" si="4"/>
        <v>44677</v>
      </c>
      <c r="AC33" s="66">
        <f t="shared" si="4"/>
        <v>44678</v>
      </c>
      <c r="AD33" s="66">
        <f t="shared" si="4"/>
        <v>44679</v>
      </c>
      <c r="AE33" s="66">
        <f t="shared" si="4"/>
        <v>44680</v>
      </c>
      <c r="AF33" s="66">
        <f t="shared" si="4"/>
        <v>44681</v>
      </c>
      <c r="AG33" s="66"/>
      <c r="AH33" s="10"/>
      <c r="AI33" s="10"/>
      <c r="AJ33" s="10" t="s">
        <v>5</v>
      </c>
      <c r="AK33" s="10" t="s">
        <v>6</v>
      </c>
      <c r="AL33" s="10" t="s">
        <v>0</v>
      </c>
      <c r="AM33" s="13" t="s">
        <v>1</v>
      </c>
    </row>
    <row r="34" spans="2:39" ht="18.95" customHeight="1">
      <c r="B34" s="7" t="s">
        <v>35</v>
      </c>
      <c r="C34" s="15"/>
      <c r="D34" s="15"/>
      <c r="E34" s="15"/>
      <c r="F34" s="15"/>
      <c r="G34" s="15"/>
      <c r="H34" s="28"/>
      <c r="I34" s="15"/>
      <c r="J34" s="15"/>
      <c r="K34" s="21"/>
      <c r="L34" s="21"/>
      <c r="M34" s="17"/>
      <c r="N34" s="17"/>
      <c r="O34" s="17"/>
      <c r="P34" s="15"/>
      <c r="Q34" s="15"/>
      <c r="R34" s="25"/>
      <c r="S34" s="25"/>
      <c r="T34" s="25"/>
      <c r="U34" s="25"/>
      <c r="V34" s="25"/>
      <c r="W34" s="15"/>
      <c r="X34" s="15"/>
      <c r="Y34" s="25"/>
      <c r="Z34" s="25"/>
      <c r="AA34" s="25"/>
      <c r="AB34" s="25"/>
      <c r="AC34" s="25"/>
      <c r="AD34" s="15"/>
      <c r="AE34" s="15"/>
      <c r="AF34" s="25"/>
      <c r="AG34" s="25"/>
      <c r="AH34" s="25"/>
      <c r="AI34" s="25"/>
      <c r="AJ34" s="25"/>
      <c r="AK34" s="15"/>
      <c r="AL34" s="15"/>
      <c r="AM34" s="15"/>
    </row>
    <row r="35" spans="2:39" ht="18.95" customHeight="1">
      <c r="B35" s="8"/>
      <c r="C35" s="15"/>
      <c r="D35" s="15"/>
      <c r="E35" s="15"/>
      <c r="F35" s="15"/>
      <c r="G35" s="15"/>
      <c r="H35" s="17"/>
      <c r="I35" s="15"/>
      <c r="J35" s="15"/>
      <c r="K35" s="17"/>
      <c r="L35" s="17"/>
      <c r="M35" s="17"/>
      <c r="N35" s="17"/>
      <c r="O35" s="17"/>
      <c r="P35" s="15"/>
      <c r="Q35" s="15"/>
      <c r="R35" s="25"/>
      <c r="S35" s="25"/>
      <c r="T35" s="25"/>
      <c r="U35" s="25"/>
      <c r="V35" s="25"/>
      <c r="W35" s="15"/>
      <c r="X35" s="15"/>
      <c r="Y35" s="25"/>
      <c r="Z35" s="25"/>
      <c r="AA35" s="25"/>
      <c r="AB35" s="25"/>
      <c r="AC35" s="25"/>
      <c r="AD35" s="15"/>
      <c r="AE35" s="15"/>
      <c r="AF35" s="25"/>
      <c r="AG35" s="25"/>
      <c r="AH35" s="25"/>
      <c r="AI35" s="25"/>
      <c r="AJ35" s="25"/>
      <c r="AK35" s="15"/>
      <c r="AL35" s="15"/>
      <c r="AM35" s="15"/>
    </row>
    <row r="36" spans="2:39" ht="18.95" customHeight="1">
      <c r="B36" s="8"/>
      <c r="C36" s="15"/>
      <c r="D36" s="15"/>
      <c r="E36" s="15"/>
      <c r="F36" s="15"/>
      <c r="G36" s="15"/>
      <c r="H36" s="28"/>
      <c r="I36" s="15"/>
      <c r="J36" s="15"/>
      <c r="K36" s="21"/>
      <c r="L36" s="21"/>
      <c r="M36" s="17"/>
      <c r="N36" s="17"/>
      <c r="O36" s="17"/>
      <c r="P36" s="15"/>
      <c r="Q36" s="15"/>
      <c r="R36" s="25"/>
      <c r="S36" s="25"/>
      <c r="T36" s="25"/>
      <c r="U36" s="25"/>
      <c r="V36" s="25"/>
      <c r="W36" s="15"/>
      <c r="X36" s="15"/>
      <c r="Y36" s="25"/>
      <c r="Z36" s="25"/>
      <c r="AA36" s="25"/>
      <c r="AB36" s="25"/>
      <c r="AC36" s="25"/>
      <c r="AD36" s="15"/>
      <c r="AE36" s="15"/>
      <c r="AF36" s="25"/>
      <c r="AG36" s="25"/>
      <c r="AH36" s="25"/>
      <c r="AI36" s="25"/>
      <c r="AJ36" s="25"/>
      <c r="AK36" s="15"/>
      <c r="AL36" s="15"/>
      <c r="AM36" s="15"/>
    </row>
    <row r="37" spans="2:39" ht="18.95" customHeight="1">
      <c r="B37" s="8"/>
      <c r="C37" s="15"/>
      <c r="D37" s="15"/>
      <c r="E37" s="15"/>
      <c r="F37" s="15"/>
      <c r="G37" s="15"/>
      <c r="H37" s="17"/>
      <c r="I37" s="15"/>
      <c r="J37" s="15"/>
      <c r="K37" s="17"/>
      <c r="L37" s="17"/>
      <c r="M37" s="17"/>
      <c r="N37" s="17"/>
      <c r="O37" s="17"/>
      <c r="P37" s="15"/>
      <c r="Q37" s="15"/>
      <c r="R37" s="25"/>
      <c r="S37" s="25"/>
      <c r="T37" s="25"/>
      <c r="U37" s="25"/>
      <c r="V37" s="25"/>
      <c r="W37" s="15"/>
      <c r="X37" s="15"/>
      <c r="Y37" s="25"/>
      <c r="Z37" s="25"/>
      <c r="AA37" s="25"/>
      <c r="AB37" s="25"/>
      <c r="AC37" s="25"/>
      <c r="AD37" s="15"/>
      <c r="AE37" s="15"/>
      <c r="AF37" s="25"/>
      <c r="AG37" s="25"/>
      <c r="AH37" s="25"/>
      <c r="AI37" s="25"/>
      <c r="AJ37" s="25"/>
      <c r="AK37" s="15"/>
      <c r="AL37" s="15"/>
      <c r="AM37" s="15"/>
    </row>
    <row r="38" spans="2:39" ht="18.95" customHeight="1">
      <c r="B38" s="8"/>
      <c r="C38" s="16"/>
      <c r="D38" s="16"/>
      <c r="E38" s="16"/>
      <c r="F38" s="16"/>
      <c r="G38" s="16"/>
      <c r="H38" s="17"/>
      <c r="I38" s="16"/>
      <c r="J38" s="16"/>
      <c r="K38" s="17"/>
      <c r="L38" s="17"/>
      <c r="M38" s="17"/>
      <c r="N38" s="17"/>
      <c r="O38" s="17"/>
      <c r="P38" s="16"/>
      <c r="Q38" s="16"/>
      <c r="R38" s="17"/>
      <c r="S38" s="17"/>
      <c r="T38" s="17"/>
      <c r="U38" s="17"/>
      <c r="V38" s="17"/>
      <c r="W38" s="16"/>
      <c r="X38" s="16"/>
      <c r="Y38" s="17"/>
      <c r="Z38" s="17"/>
      <c r="AA38" s="17"/>
      <c r="AB38" s="17"/>
      <c r="AC38" s="17"/>
      <c r="AD38" s="16"/>
      <c r="AE38" s="16"/>
      <c r="AF38" s="17"/>
      <c r="AG38" s="17"/>
      <c r="AH38" s="17"/>
      <c r="AI38" s="17"/>
      <c r="AJ38" s="17"/>
      <c r="AK38" s="16"/>
      <c r="AL38" s="16"/>
      <c r="AM38" s="16"/>
    </row>
    <row r="39" spans="2:39" s="57" customFormat="1" ht="18.95" customHeight="1">
      <c r="B39" s="64" t="s">
        <v>20</v>
      </c>
      <c r="C39" s="61">
        <f>SUMIF('FICHE CHANTIER'!$J:$J,C32,'FICHE CHANTIER'!$K:$K)</f>
        <v>0</v>
      </c>
      <c r="D39" s="61">
        <f>SUMIF('FICHE CHANTIER'!$J:$J,D32,'FICHE CHANTIER'!$K:$K)</f>
        <v>0</v>
      </c>
      <c r="E39" s="61">
        <f>SUMIF('FICHE CHANTIER'!$J:$J,E32,'FICHE CHANTIER'!$K:$K)</f>
        <v>0</v>
      </c>
      <c r="F39" s="61">
        <f>SUMIF('FICHE CHANTIER'!$J:$J,F32,'FICHE CHANTIER'!$K:$K)</f>
        <v>0</v>
      </c>
      <c r="G39" s="61">
        <f>SUMIF('FICHE CHANTIER'!$J:$J,G32,'FICHE CHANTIER'!$K:$K)</f>
        <v>0</v>
      </c>
      <c r="H39" s="61">
        <f>SUMIF('FICHE CHANTIER'!$J:$J,H32,'FICHE CHANTIER'!$K:$K)</f>
        <v>0</v>
      </c>
      <c r="I39" s="61">
        <f>SUMIF('FICHE CHANTIER'!$J:$J,I32,'FICHE CHANTIER'!$K:$K)</f>
        <v>0</v>
      </c>
      <c r="J39" s="61">
        <f>SUMIF('FICHE CHANTIER'!$J:$J,J32,'FICHE CHANTIER'!$K:$K)</f>
        <v>0</v>
      </c>
      <c r="K39" s="61">
        <f>SUMIF('FICHE CHANTIER'!$J:$J,K32,'FICHE CHANTIER'!$K:$K)</f>
        <v>0</v>
      </c>
      <c r="L39" s="61">
        <f>SUMIF('FICHE CHANTIER'!$J:$J,L32,'FICHE CHANTIER'!$K:$K)</f>
        <v>0</v>
      </c>
      <c r="M39" s="61">
        <f>SUMIF('FICHE CHANTIER'!$J:$J,M32,'FICHE CHANTIER'!$K:$K)</f>
        <v>0</v>
      </c>
      <c r="N39" s="61">
        <f>SUMIF('FICHE CHANTIER'!$J:$J,N32,'FICHE CHANTIER'!$K:$K)</f>
        <v>0</v>
      </c>
      <c r="O39" s="61">
        <f>SUMIF('FICHE CHANTIER'!$J:$J,O32,'FICHE CHANTIER'!$K:$K)</f>
        <v>0</v>
      </c>
      <c r="P39" s="61">
        <f>SUMIF('FICHE CHANTIER'!$J:$J,P32,'FICHE CHANTIER'!$K:$K)</f>
        <v>0</v>
      </c>
      <c r="Q39" s="61">
        <f>SUMIF('FICHE CHANTIER'!$J:$J,Q32,'FICHE CHANTIER'!$K:$K)</f>
        <v>0</v>
      </c>
      <c r="R39" s="61">
        <f>SUMIF('FICHE CHANTIER'!$J:$J,R32,'FICHE CHANTIER'!$K:$K)</f>
        <v>0</v>
      </c>
      <c r="S39" s="61">
        <f>SUMIF('FICHE CHANTIER'!$J:$J,S32,'FICHE CHANTIER'!$K:$K)</f>
        <v>0</v>
      </c>
      <c r="T39" s="61">
        <f>SUMIF('FICHE CHANTIER'!$J:$J,T32,'FICHE CHANTIER'!$K:$K)</f>
        <v>0</v>
      </c>
      <c r="U39" s="61">
        <f>SUMIF('FICHE CHANTIER'!$J:$J,U32,'FICHE CHANTIER'!$K:$K)</f>
        <v>0</v>
      </c>
      <c r="V39" s="61">
        <f>SUMIF('FICHE CHANTIER'!$J:$J,V32,'FICHE CHANTIER'!$K:$K)</f>
        <v>0</v>
      </c>
      <c r="W39" s="61">
        <f>SUMIF('FICHE CHANTIER'!$J:$J,W32,'FICHE CHANTIER'!$K:$K)</f>
        <v>0</v>
      </c>
      <c r="X39" s="61">
        <f>SUMIF('FICHE CHANTIER'!$J:$J,X32,'FICHE CHANTIER'!$K:$K)</f>
        <v>0</v>
      </c>
      <c r="Y39" s="61">
        <f>SUMIF('FICHE CHANTIER'!$J:$J,Y32,'FICHE CHANTIER'!$K:$K)</f>
        <v>0</v>
      </c>
      <c r="Z39" s="61">
        <f>SUMIF('FICHE CHANTIER'!$J:$J,Z32,'FICHE CHANTIER'!$K:$K)</f>
        <v>0</v>
      </c>
      <c r="AA39" s="61">
        <f>SUMIF('FICHE CHANTIER'!$J:$J,AA32,'FICHE CHANTIER'!$K:$K)</f>
        <v>0</v>
      </c>
      <c r="AB39" s="61">
        <f>SUMIF('FICHE CHANTIER'!$J:$J,AB32,'FICHE CHANTIER'!$K:$K)</f>
        <v>0</v>
      </c>
      <c r="AC39" s="61">
        <f>SUMIF('FICHE CHANTIER'!$J:$J,AC32,'FICHE CHANTIER'!$K:$K)</f>
        <v>0</v>
      </c>
      <c r="AD39" s="61">
        <f>SUMIF('FICHE CHANTIER'!$J:$J,AD32,'FICHE CHANTIER'!$K:$K)</f>
        <v>0</v>
      </c>
      <c r="AE39" s="61">
        <f>SUMIF('FICHE CHANTIER'!$J:$J,AE32,'FICHE CHANTIER'!$K:$K)</f>
        <v>0</v>
      </c>
      <c r="AF39" s="61">
        <f>SUMIF('FICHE CHANTIER'!$J:$J,AF32,'FICHE CHANTIER'!$K:$K)</f>
        <v>0</v>
      </c>
      <c r="AG39" s="61">
        <f>SUMIF('FICHE CHANTIER'!$J:$J,AG32,'FICHE CHANTIER'!$K:$K)</f>
        <v>0</v>
      </c>
      <c r="AH39" s="61">
        <f>SUMIF('FICHE CHANTIER'!$J:$J,AH32,'FICHE CHANTIER'!$K:$K)</f>
        <v>0</v>
      </c>
      <c r="AI39" s="61">
        <f>SUMIF('FICHE CHANTIER'!$J:$J,AI32,'FICHE CHANTIER'!$K:$K)</f>
        <v>0</v>
      </c>
      <c r="AJ39" s="61">
        <f>SUMIF('FICHE CHANTIER'!$J:$J,AJ32,'FICHE CHANTIER'!$K:$K)</f>
        <v>0</v>
      </c>
      <c r="AK39" s="61">
        <f>SUMIF('FICHE CHANTIER'!$J:$J,AK32,'FICHE CHANTIER'!$K:$K)</f>
        <v>0</v>
      </c>
      <c r="AL39" s="61">
        <f>SUMIF('FICHE CHANTIER'!$J:$J,AL32,'FICHE CHANTIER'!$K:$K)</f>
        <v>0</v>
      </c>
      <c r="AM39" s="61">
        <f>SUMIF('FICHE CHANTIER'!$J:$J,AM32,'FICHE CHANTIER'!$K:$K)</f>
        <v>0</v>
      </c>
    </row>
    <row r="40" spans="2:39" ht="20.100000000000001" customHeight="1"/>
    <row r="41" spans="2:39" s="9" customFormat="1" ht="18.95" customHeight="1">
      <c r="B41" s="78">
        <v>5</v>
      </c>
      <c r="C41" s="11">
        <v>44682</v>
      </c>
      <c r="D41" s="11" t="str">
        <f>IF(DAY(MaySun1)=1,"",IF(AND(YEAR(MaySun1+2)=CalendarYear,MONTH(MaySun1+2)=5),MaySun1+2,""))</f>
        <v/>
      </c>
      <c r="E41" s="11" t="str">
        <f>IF(DAY(MaySun1)=1,"",IF(AND(YEAR(MaySun1+3)=CalendarYear,MONTH(MaySun1+3)=5),MaySun1+3,""))</f>
        <v/>
      </c>
      <c r="F41" s="11" t="str">
        <f>IF(DAY(MaySun1)=1,"",IF(AND(YEAR(MaySun1+4)=CalendarYear,MONTH(MaySun1+4)=5),MaySun1+4,""))</f>
        <v/>
      </c>
      <c r="G41" s="11" t="str">
        <f>IF(DAY(MaySun1)=1,"",IF(AND(YEAR(MaySun1+5)=CalendarYear,MONTH(MaySun1+5)=5),MaySun1+5,""))</f>
        <v/>
      </c>
      <c r="H41" s="11" t="str">
        <f>IF(DAY(MaySun1)=1,"",IF(AND(YEAR(MaySun1+6)=CalendarYear,MONTH(MaySun1+6)=5),MaySun1+6,""))</f>
        <v/>
      </c>
      <c r="I41" s="11" t="str">
        <f>IF(DAY(MaySun1)=1,IF(AND(YEAR(MaySun1)=CalendarYear,MONTH(MaySun1)=5),MaySun1,""),IF(AND(YEAR(MaySun1+7)=CalendarYear,MONTH(MaySun1+7)=5),MaySun1+7,""))</f>
        <v/>
      </c>
      <c r="J41" s="11" t="str">
        <f>IF(DAY(MaySun1)=1,IF(AND(YEAR(MaySun1+1)=CalendarYear,MONTH(MaySun1+1)=5),MaySun1+1,""),IF(AND(YEAR(MaySun1+8)=CalendarYear,MONTH(MaySun1+8)=5),MaySun1+8,""))</f>
        <v/>
      </c>
      <c r="K41" s="11" t="str">
        <f>IF(DAY(MaySun1)=1,IF(AND(YEAR(MaySun1+2)=CalendarYear,MONTH(MaySun1+2)=5),MaySun1+2,""),IF(AND(YEAR(MaySun1+9)=CalendarYear,MONTH(MaySun1+9)=5),MaySun1+9,""))</f>
        <v/>
      </c>
      <c r="L41" s="11" t="str">
        <f>IF(DAY(MaySun1)=1,IF(AND(YEAR(MaySun1+3)=CalendarYear,MONTH(MaySun1+3)=5),MaySun1+3,""),IF(AND(YEAR(MaySun1+10)=CalendarYear,MONTH(MaySun1+10)=5),MaySun1+10,""))</f>
        <v/>
      </c>
      <c r="M41" s="11" t="str">
        <f>IF(DAY(MaySun1)=1,IF(AND(YEAR(MaySun1+4)=CalendarYear,MONTH(MaySun1+4)=5),MaySun1+4,""),IF(AND(YEAR(MaySun1+11)=CalendarYear,MONTH(MaySun1+11)=5),MaySun1+11,""))</f>
        <v/>
      </c>
      <c r="N41" s="11" t="str">
        <f>IF(DAY(MaySun1)=1,IF(AND(YEAR(MaySun1+5)=CalendarYear,MONTH(MaySun1+5)=5),MaySun1+5,""),IF(AND(YEAR(MaySun1+12)=CalendarYear,MONTH(MaySun1+12)=5),MaySun1+12,""))</f>
        <v/>
      </c>
      <c r="O41" s="11" t="str">
        <f>IF(DAY(MaySun1)=1,IF(AND(YEAR(MaySun1+6)=CalendarYear,MONTH(MaySun1+6)=5),MaySun1+6,""),IF(AND(YEAR(MaySun1+13)=CalendarYear,MONTH(MaySun1+13)=5),MaySun1+13,""))</f>
        <v/>
      </c>
      <c r="P41" s="11" t="str">
        <f>IF(DAY(MaySun1)=1,IF(AND(YEAR(MaySun1+7)=CalendarYear,MONTH(MaySun1+7)=5),MaySun1+7,""),IF(AND(YEAR(MaySun1+14)=CalendarYear,MONTH(MaySun1+14)=5),MaySun1+14,""))</f>
        <v/>
      </c>
      <c r="Q41" s="11" t="str">
        <f>IF(DAY(MaySun1)=1,IF(AND(YEAR(MaySun1+8)=CalendarYear,MONTH(MaySun1+8)=5),MaySun1+8,""),IF(AND(YEAR(MaySun1+15)=CalendarYear,MONTH(MaySun1+15)=5),MaySun1+15,""))</f>
        <v/>
      </c>
      <c r="R41" s="11" t="str">
        <f>IF(DAY(MaySun1)=1,IF(AND(YEAR(MaySun1+9)=CalendarYear,MONTH(MaySun1+9)=5),MaySun1+9,""),IF(AND(YEAR(MaySun1+16)=CalendarYear,MONTH(MaySun1+16)=5),MaySun1+16,""))</f>
        <v/>
      </c>
      <c r="S41" s="11" t="str">
        <f>IF(DAY(MaySun1)=1,IF(AND(YEAR(MaySun1+10)=CalendarYear,MONTH(MaySun1+10)=5),MaySun1+10,""),IF(AND(YEAR(MaySun1+17)=CalendarYear,MONTH(MaySun1+17)=5),MaySun1+17,""))</f>
        <v/>
      </c>
      <c r="T41" s="11" t="str">
        <f>IF(DAY(MaySun1)=1,IF(AND(YEAR(MaySun1+11)=CalendarYear,MONTH(MaySun1+11)=5),MaySun1+11,""),IF(AND(YEAR(MaySun1+18)=CalendarYear,MONTH(MaySun1+18)=5),MaySun1+18,""))</f>
        <v/>
      </c>
      <c r="U41" s="11" t="str">
        <f>IF(DAY(MaySun1)=1,IF(AND(YEAR(MaySun1+12)=CalendarYear,MONTH(MaySun1+12)=5),MaySun1+12,""),IF(AND(YEAR(MaySun1+19)=CalendarYear,MONTH(MaySun1+19)=5),MaySun1+19,""))</f>
        <v/>
      </c>
      <c r="V41" s="11" t="str">
        <f>IF(DAY(MaySun1)=1,IF(AND(YEAR(MaySun1+13)=CalendarYear,MONTH(MaySun1+13)=5),MaySun1+13,""),IF(AND(YEAR(MaySun1+20)=CalendarYear,MONTH(MaySun1+20)=5),MaySun1+20,""))</f>
        <v/>
      </c>
      <c r="W41" s="11" t="str">
        <f>IF(DAY(MaySun1)=1,IF(AND(YEAR(MaySun1+14)=CalendarYear,MONTH(MaySun1+14)=5),MaySun1+14,""),IF(AND(YEAR(MaySun1+21)=CalendarYear,MONTH(MaySun1+21)=5),MaySun1+21,""))</f>
        <v/>
      </c>
      <c r="X41" s="11" t="str">
        <f>IF(DAY(MaySun1)=1,IF(AND(YEAR(MaySun1+15)=CalendarYear,MONTH(MaySun1+15)=5),MaySun1+15,""),IF(AND(YEAR(MaySun1+22)=CalendarYear,MONTH(MaySun1+22)=5),MaySun1+22,""))</f>
        <v/>
      </c>
      <c r="Y41" s="11" t="str">
        <f>IF(DAY(MaySun1)=1,IF(AND(YEAR(MaySun1+16)=CalendarYear,MONTH(MaySun1+16)=5),MaySun1+16,""),IF(AND(YEAR(MaySun1+23)=CalendarYear,MONTH(MaySun1+23)=5),MaySun1+23,""))</f>
        <v/>
      </c>
      <c r="Z41" s="11" t="str">
        <f>IF(DAY(MaySun1)=1,IF(AND(YEAR(MaySun1+17)=CalendarYear,MONTH(MaySun1+17)=5),MaySun1+17,""),IF(AND(YEAR(MaySun1+24)=CalendarYear,MONTH(MaySun1+24)=5),MaySun1+24,""))</f>
        <v/>
      </c>
      <c r="AA41" s="11" t="str">
        <f>IF(DAY(MaySun1)=1,IF(AND(YEAR(MaySun1+18)=CalendarYear,MONTH(MaySun1+18)=5),MaySun1+18,""),IF(AND(YEAR(MaySun1+25)=CalendarYear,MONTH(MaySun1+25)=5),MaySun1+25,""))</f>
        <v/>
      </c>
      <c r="AB41" s="11" t="str">
        <f>IF(DAY(MaySun1)=1,IF(AND(YEAR(MaySun1+19)=CalendarYear,MONTH(MaySun1+19)=5),MaySun1+19,""),IF(AND(YEAR(MaySun1+26)=CalendarYear,MONTH(MaySun1+26)=5),MaySun1+26,""))</f>
        <v/>
      </c>
      <c r="AC41" s="11" t="str">
        <f>IF(DAY(MaySun1)=1,IF(AND(YEAR(MaySun1+20)=CalendarYear,MONTH(MaySun1+20)=5),MaySun1+20,""),IF(AND(YEAR(MaySun1+27)=CalendarYear,MONTH(MaySun1+27)=5),MaySun1+27,""))</f>
        <v/>
      </c>
      <c r="AD41" s="11" t="str">
        <f>IF(DAY(MaySun1)=1,IF(AND(YEAR(MaySun1+21)=CalendarYear,MONTH(MaySun1+21)=5),MaySun1+21,""),IF(AND(YEAR(MaySun1+28)=CalendarYear,MONTH(MaySun1+28)=5),MaySun1+28,""))</f>
        <v/>
      </c>
      <c r="AE41" s="11" t="str">
        <f>IF(DAY(MaySun1)=1,IF(AND(YEAR(MaySun1+22)=CalendarYear,MONTH(MaySun1+22)=5),MaySun1+22,""),IF(AND(YEAR(MaySun1+29)=CalendarYear,MONTH(MaySun1+29)=5),MaySun1+29,""))</f>
        <v/>
      </c>
      <c r="AF41" s="11" t="str">
        <f>IF(DAY(MaySun1)=1,IF(AND(YEAR(MaySun1+23)=CalendarYear,MONTH(MaySun1+23)=5),MaySun1+23,""),IF(AND(YEAR(MaySun1+30)=CalendarYear,MONTH(MaySun1+30)=5),MaySun1+30,""))</f>
        <v/>
      </c>
      <c r="AG41" s="11" t="str">
        <f>IF(DAY(MaySun1)=1,IF(AND(YEAR(MaySun1+24)=CalendarYear,MONTH(MaySun1+24)=5),MaySun1+24,""),IF(AND(YEAR(MaySun1+31)=CalendarYear,MONTH(MaySun1+31)=5),MaySun1+31,""))</f>
        <v/>
      </c>
      <c r="AH41" s="11" t="str">
        <f>IF(DAY(MaySun1)=1,IF(AND(YEAR(MaySun1+25)=CalendarYear,MONTH(MaySun1+25)=5),MaySun1+25,""),IF(AND(YEAR(MaySun1+32)=CalendarYear,MONTH(MaySun1+32)=5),MaySun1+32,""))</f>
        <v/>
      </c>
      <c r="AI41" s="11" t="str">
        <f>IF(DAY(MaySun1)=1,IF(AND(YEAR(MaySun1+26)=CalendarYear,MONTH(MaySun1+26)=5),MaySun1+26,""),IF(AND(YEAR(MaySun1+33)=CalendarYear,MONTH(MaySun1+33)=5),MaySun1+33,""))</f>
        <v/>
      </c>
      <c r="AJ41" s="11" t="str">
        <f>IF(DAY(MaySun1)=1,IF(AND(YEAR(MaySun1+27)=CalendarYear,MONTH(MaySun1+27)=5),MaySun1+27,""),IF(AND(YEAR(MaySun1+34)=CalendarYear,MONTH(MaySun1+34)=5),MaySun1+34,""))</f>
        <v/>
      </c>
      <c r="AK41" s="11" t="str">
        <f>IF(DAY(MaySun1)=1,IF(AND(YEAR(MaySun1+28)=CalendarYear,MONTH(MaySun1+28)=5),MaySun1+28,""),IF(AND(YEAR(MaySun1+35)=CalendarYear,MONTH(MaySun1+35)=5),MaySun1+35,""))</f>
        <v/>
      </c>
      <c r="AL41" s="11" t="str">
        <f>IF(DAY(MaySun1)=1,IF(AND(YEAR(MaySun1+29)=CalendarYear,MONTH(MaySun1+29)=5),MaySun1+29,""),IF(AND(YEAR(MaySun1+36)=CalendarYear,MONTH(MaySun1+36)=5),MaySun1+36,""))</f>
        <v/>
      </c>
      <c r="AM41" s="12" t="str">
        <f>IF(DAY(MaySun1)=1,IF(AND(YEAR(MaySun1+30)=CalendarYear,MONTH(MaySun1+30)=5),MaySun1+30,""),IF(AND(YEAR(MaySun1+37)=CalendarYear,MONTH(MaySun1+37)=5),MaySun1+37,""))</f>
        <v/>
      </c>
    </row>
    <row r="42" spans="2:39" s="9" customFormat="1" ht="18.95" customHeight="1">
      <c r="B42" s="78"/>
      <c r="C42" s="10" t="s">
        <v>0</v>
      </c>
      <c r="D42" s="10" t="s">
        <v>1</v>
      </c>
      <c r="E42" s="10" t="s">
        <v>2</v>
      </c>
      <c r="F42" s="10" t="s">
        <v>3</v>
      </c>
      <c r="G42" s="10" t="s">
        <v>4</v>
      </c>
      <c r="H42" s="10" t="s">
        <v>5</v>
      </c>
      <c r="I42" s="10" t="s">
        <v>6</v>
      </c>
      <c r="J42" s="10" t="s">
        <v>0</v>
      </c>
      <c r="K42" s="10" t="s">
        <v>1</v>
      </c>
      <c r="L42" s="10" t="s">
        <v>2</v>
      </c>
      <c r="M42" s="10" t="s">
        <v>3</v>
      </c>
      <c r="N42" s="10" t="s">
        <v>4</v>
      </c>
      <c r="O42" s="10" t="s">
        <v>5</v>
      </c>
      <c r="P42" s="10" t="s">
        <v>6</v>
      </c>
      <c r="Q42" s="10" t="s">
        <v>0</v>
      </c>
      <c r="R42" s="10" t="s">
        <v>1</v>
      </c>
      <c r="S42" s="10" t="s">
        <v>2</v>
      </c>
      <c r="T42" s="10" t="s">
        <v>3</v>
      </c>
      <c r="U42" s="10" t="s">
        <v>4</v>
      </c>
      <c r="V42" s="10" t="s">
        <v>5</v>
      </c>
      <c r="W42" s="10" t="s">
        <v>6</v>
      </c>
      <c r="X42" s="10" t="s">
        <v>0</v>
      </c>
      <c r="Y42" s="10" t="s">
        <v>1</v>
      </c>
      <c r="Z42" s="10" t="s">
        <v>2</v>
      </c>
      <c r="AA42" s="10" t="s">
        <v>3</v>
      </c>
      <c r="AB42" s="10" t="s">
        <v>4</v>
      </c>
      <c r="AC42" s="10" t="s">
        <v>5</v>
      </c>
      <c r="AD42" s="10" t="s">
        <v>6</v>
      </c>
      <c r="AE42" s="10" t="s">
        <v>0</v>
      </c>
      <c r="AF42" s="10" t="s">
        <v>1</v>
      </c>
      <c r="AG42" s="10" t="s">
        <v>2</v>
      </c>
      <c r="AH42" s="10" t="s">
        <v>3</v>
      </c>
      <c r="AI42" s="10" t="s">
        <v>4</v>
      </c>
      <c r="AJ42" s="10" t="s">
        <v>5</v>
      </c>
      <c r="AK42" s="10" t="s">
        <v>6</v>
      </c>
      <c r="AL42" s="10" t="s">
        <v>0</v>
      </c>
      <c r="AM42" s="13" t="s">
        <v>1</v>
      </c>
    </row>
    <row r="43" spans="2:39" ht="18.95" customHeight="1">
      <c r="B43" s="7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2:39" ht="18.95" customHeight="1">
      <c r="B44" s="8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</row>
    <row r="45" spans="2:39" ht="18.95" customHeight="1">
      <c r="B45" s="8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</row>
    <row r="46" spans="2:39" ht="18.95" customHeight="1">
      <c r="B46" s="8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</row>
    <row r="47" spans="2:39" ht="18.95" customHeight="1">
      <c r="B47" s="8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</row>
    <row r="48" spans="2:39" ht="18.95" customHeight="1">
      <c r="B48" s="64" t="s">
        <v>20</v>
      </c>
      <c r="C48" s="61">
        <f>SUMIF('FICHE CHANTIER'!$J:$J,C41,'FICHE CHANTIER'!$K:$K)</f>
        <v>0</v>
      </c>
      <c r="D48" s="61">
        <f>SUMIF('FICHE CHANTIER'!$J:$J,D41,'FICHE CHANTIER'!$K:$K)</f>
        <v>0</v>
      </c>
      <c r="E48" s="61">
        <f>SUMIF('FICHE CHANTIER'!$J:$J,E41,'FICHE CHANTIER'!$K:$K)</f>
        <v>0</v>
      </c>
      <c r="F48" s="61">
        <f>SUMIF('FICHE CHANTIER'!$J:$J,F41,'FICHE CHANTIER'!$K:$K)</f>
        <v>0</v>
      </c>
      <c r="G48" s="61">
        <f>SUMIF('FICHE CHANTIER'!$J:$J,G41,'FICHE CHANTIER'!$K:$K)</f>
        <v>0</v>
      </c>
      <c r="H48" s="61">
        <f>SUMIF('FICHE CHANTIER'!$J:$J,H41,'FICHE CHANTIER'!$K:$K)</f>
        <v>0</v>
      </c>
      <c r="I48" s="61">
        <f>SUMIF('FICHE CHANTIER'!$J:$J,I41,'FICHE CHANTIER'!$K:$K)</f>
        <v>0</v>
      </c>
      <c r="J48" s="61">
        <f>SUMIF('FICHE CHANTIER'!$J:$J,J41,'FICHE CHANTIER'!$K:$K)</f>
        <v>0</v>
      </c>
      <c r="K48" s="61">
        <f>SUMIF('FICHE CHANTIER'!$J:$J,K41,'FICHE CHANTIER'!$K:$K)</f>
        <v>0</v>
      </c>
      <c r="L48" s="61">
        <f>SUMIF('FICHE CHANTIER'!$J:$J,L41,'FICHE CHANTIER'!$K:$K)</f>
        <v>0</v>
      </c>
      <c r="M48" s="61">
        <f>SUMIF('FICHE CHANTIER'!$J:$J,M41,'FICHE CHANTIER'!$K:$K)</f>
        <v>0</v>
      </c>
      <c r="N48" s="61">
        <f>SUMIF('FICHE CHANTIER'!$J:$J,N41,'FICHE CHANTIER'!$K:$K)</f>
        <v>0</v>
      </c>
      <c r="O48" s="61">
        <f>SUMIF('FICHE CHANTIER'!$J:$J,O41,'FICHE CHANTIER'!$K:$K)</f>
        <v>0</v>
      </c>
      <c r="P48" s="61">
        <f>SUMIF('FICHE CHANTIER'!$J:$J,P41,'FICHE CHANTIER'!$K:$K)</f>
        <v>0</v>
      </c>
      <c r="Q48" s="61">
        <f>SUMIF('FICHE CHANTIER'!$J:$J,Q41,'FICHE CHANTIER'!$K:$K)</f>
        <v>0</v>
      </c>
      <c r="R48" s="61">
        <f>SUMIF('FICHE CHANTIER'!$J:$J,R41,'FICHE CHANTIER'!$K:$K)</f>
        <v>0</v>
      </c>
      <c r="S48" s="61">
        <f>SUMIF('FICHE CHANTIER'!$J:$J,S41,'FICHE CHANTIER'!$K:$K)</f>
        <v>0</v>
      </c>
      <c r="T48" s="61">
        <f>SUMIF('FICHE CHANTIER'!$J:$J,T41,'FICHE CHANTIER'!$K:$K)</f>
        <v>0</v>
      </c>
      <c r="U48" s="61">
        <f>SUMIF('FICHE CHANTIER'!$J:$J,U41,'FICHE CHANTIER'!$K:$K)</f>
        <v>0</v>
      </c>
      <c r="V48" s="61">
        <f>SUMIF('FICHE CHANTIER'!$J:$J,V41,'FICHE CHANTIER'!$K:$K)</f>
        <v>0</v>
      </c>
      <c r="W48" s="61">
        <f>SUMIF('FICHE CHANTIER'!$J:$J,W41,'FICHE CHANTIER'!$K:$K)</f>
        <v>0</v>
      </c>
      <c r="X48" s="61">
        <f>SUMIF('FICHE CHANTIER'!$J:$J,X41,'FICHE CHANTIER'!$K:$K)</f>
        <v>0</v>
      </c>
      <c r="Y48" s="61">
        <f>SUMIF('FICHE CHANTIER'!$J:$J,Y41,'FICHE CHANTIER'!$K:$K)</f>
        <v>0</v>
      </c>
      <c r="Z48" s="61">
        <f>SUMIF('FICHE CHANTIER'!$J:$J,Z41,'FICHE CHANTIER'!$K:$K)</f>
        <v>0</v>
      </c>
      <c r="AA48" s="61">
        <f>SUMIF('FICHE CHANTIER'!$J:$J,AA41,'FICHE CHANTIER'!$K:$K)</f>
        <v>0</v>
      </c>
      <c r="AB48" s="61">
        <f>SUMIF('FICHE CHANTIER'!$J:$J,AB41,'FICHE CHANTIER'!$K:$K)</f>
        <v>0</v>
      </c>
      <c r="AC48" s="61">
        <f>SUMIF('FICHE CHANTIER'!$J:$J,AC41,'FICHE CHANTIER'!$K:$K)</f>
        <v>0</v>
      </c>
      <c r="AD48" s="61">
        <f>SUMIF('FICHE CHANTIER'!$J:$J,AD41,'FICHE CHANTIER'!$K:$K)</f>
        <v>0</v>
      </c>
      <c r="AE48" s="61">
        <f>SUMIF('FICHE CHANTIER'!$J:$J,AE41,'FICHE CHANTIER'!$K:$K)</f>
        <v>0</v>
      </c>
      <c r="AF48" s="61">
        <f>SUMIF('FICHE CHANTIER'!$J:$J,AF41,'FICHE CHANTIER'!$K:$K)</f>
        <v>0</v>
      </c>
      <c r="AG48" s="61">
        <f>SUMIF('FICHE CHANTIER'!$J:$J,AG41,'FICHE CHANTIER'!$K:$K)</f>
        <v>0</v>
      </c>
      <c r="AH48" s="61">
        <f>SUMIF('FICHE CHANTIER'!$J:$J,AH41,'FICHE CHANTIER'!$K:$K)</f>
        <v>0</v>
      </c>
      <c r="AI48" s="61">
        <f>SUMIF('FICHE CHANTIER'!$J:$J,AI41,'FICHE CHANTIER'!$K:$K)</f>
        <v>0</v>
      </c>
      <c r="AJ48" s="61">
        <f>SUMIF('FICHE CHANTIER'!$J:$J,AJ41,'FICHE CHANTIER'!$K:$K)</f>
        <v>0</v>
      </c>
      <c r="AK48" s="61">
        <f>SUMIF('FICHE CHANTIER'!$J:$J,AK41,'FICHE CHANTIER'!$K:$K)</f>
        <v>0</v>
      </c>
      <c r="AL48" s="61">
        <f>SUMIF('FICHE CHANTIER'!$J:$J,AL41,'FICHE CHANTIER'!$K:$K)</f>
        <v>0</v>
      </c>
      <c r="AM48" s="61">
        <f>SUMIF('FICHE CHANTIER'!$J:$J,AM41,'FICHE CHANTIER'!$K:$K)</f>
        <v>0</v>
      </c>
    </row>
    <row r="49" spans="2:39" ht="15.95" customHeight="1"/>
    <row r="50" spans="2:39" s="9" customFormat="1" ht="18.95" customHeight="1">
      <c r="B50" s="79">
        <v>6</v>
      </c>
      <c r="C50" s="11">
        <v>44713</v>
      </c>
      <c r="D50" s="11" t="str">
        <f>IF(DAY(JunSun1)=1,"",IF(AND(YEAR(JunSun1+2)=CalendarYear,MONTH(JunSun1+2)=6),JunSun1+2,""))</f>
        <v/>
      </c>
      <c r="E50" s="11" t="str">
        <f>IF(DAY(JunSun1)=1,"",IF(AND(YEAR(JunSun1+3)=CalendarYear,MONTH(JunSun1+3)=6),JunSun1+3,""))</f>
        <v/>
      </c>
      <c r="F50" s="11" t="str">
        <f>IF(DAY(JunSun1)=1,"",IF(AND(YEAR(JunSun1+4)=CalendarYear,MONTH(JunSun1+4)=6),JunSun1+4,""))</f>
        <v/>
      </c>
      <c r="G50" s="11" t="str">
        <f>IF(DAY(JunSun1)=1,"",IF(AND(YEAR(JunSun1+5)=CalendarYear,MONTH(JunSun1+5)=6),JunSun1+5,""))</f>
        <v/>
      </c>
      <c r="H50" s="11" t="str">
        <f>IF(DAY(JunSun1)=1,"",IF(AND(YEAR(JunSun1+6)=CalendarYear,MONTH(JunSun1+6)=6),JunSun1+6,""))</f>
        <v/>
      </c>
      <c r="I50" s="11" t="str">
        <f>IF(DAY(JunSun1)=1,IF(AND(YEAR(JunSun1)=CalendarYear,MONTH(JunSun1)=6),JunSun1,""),IF(AND(YEAR(JunSun1+7)=CalendarYear,MONTH(JunSun1+7)=6),JunSun1+7,""))</f>
        <v/>
      </c>
      <c r="J50" s="11" t="str">
        <f>IF(DAY(JunSun1)=1,IF(AND(YEAR(JunSun1+1)=CalendarYear,MONTH(JunSun1+1)=6),JunSun1+1,""),IF(AND(YEAR(JunSun1+8)=CalendarYear,MONTH(JunSun1+8)=6),JunSun1+8,""))</f>
        <v/>
      </c>
      <c r="K50" s="11" t="str">
        <f>IF(DAY(JunSun1)=1,IF(AND(YEAR(JunSun1+2)=CalendarYear,MONTH(JunSun1+2)=6),JunSun1+2,""),IF(AND(YEAR(JunSun1+9)=CalendarYear,MONTH(JunSun1+9)=6),JunSun1+9,""))</f>
        <v/>
      </c>
      <c r="L50" s="11" t="str">
        <f>IF(DAY(JunSun1)=1,IF(AND(YEAR(JunSun1+3)=CalendarYear,MONTH(JunSun1+3)=6),JunSun1+3,""),IF(AND(YEAR(JunSun1+10)=CalendarYear,MONTH(JunSun1+10)=6),JunSun1+10,""))</f>
        <v/>
      </c>
      <c r="M50" s="11" t="str">
        <f>IF(DAY(JunSun1)=1,IF(AND(YEAR(JunSun1+4)=CalendarYear,MONTH(JunSun1+4)=6),JunSun1+4,""),IF(AND(YEAR(JunSun1+11)=CalendarYear,MONTH(JunSun1+11)=6),JunSun1+11,""))</f>
        <v/>
      </c>
      <c r="N50" s="11" t="str">
        <f>IF(DAY(JunSun1)=1,IF(AND(YEAR(JunSun1+5)=CalendarYear,MONTH(JunSun1+5)=6),JunSun1+5,""),IF(AND(YEAR(JunSun1+12)=CalendarYear,MONTH(JunSun1+12)=6),JunSun1+12,""))</f>
        <v/>
      </c>
      <c r="O50" s="11" t="str">
        <f>IF(DAY(JunSun1)=1,IF(AND(YEAR(JunSun1+6)=CalendarYear,MONTH(JunSun1+6)=6),JunSun1+6,""),IF(AND(YEAR(JunSun1+13)=CalendarYear,MONTH(JunSun1+13)=6),JunSun1+13,""))</f>
        <v/>
      </c>
      <c r="P50" s="11" t="str">
        <f>IF(DAY(JunSun1)=1,IF(AND(YEAR(JunSun1+7)=CalendarYear,MONTH(JunSun1+7)=6),JunSun1+7,""),IF(AND(YEAR(JunSun1+14)=CalendarYear,MONTH(JunSun1+14)=6),JunSun1+14,""))</f>
        <v/>
      </c>
      <c r="Q50" s="11" t="str">
        <f>IF(DAY(JunSun1)=1,IF(AND(YEAR(JunSun1+8)=CalendarYear,MONTH(JunSun1+8)=6),JunSun1+8,""),IF(AND(YEAR(JunSun1+15)=CalendarYear,MONTH(JunSun1+15)=6),JunSun1+15,""))</f>
        <v/>
      </c>
      <c r="R50" s="11" t="str">
        <f>IF(DAY(JunSun1)=1,IF(AND(YEAR(JunSun1+9)=CalendarYear,MONTH(JunSun1+9)=6),JunSun1+9,""),IF(AND(YEAR(JunSun1+16)=CalendarYear,MONTH(JunSun1+16)=6),JunSun1+16,""))</f>
        <v/>
      </c>
      <c r="S50" s="11" t="str">
        <f>IF(DAY(JunSun1)=1,IF(AND(YEAR(JunSun1+10)=CalendarYear,MONTH(JunSun1+10)=6),JunSun1+10,""),IF(AND(YEAR(JunSun1+17)=CalendarYear,MONTH(JunSun1+17)=6),JunSun1+17,""))</f>
        <v/>
      </c>
      <c r="T50" s="11" t="str">
        <f>IF(DAY(JunSun1)=1,IF(AND(YEAR(JunSun1+11)=CalendarYear,MONTH(JunSun1+11)=6),JunSun1+11,""),IF(AND(YEAR(JunSun1+18)=CalendarYear,MONTH(JunSun1+18)=6),JunSun1+18,""))</f>
        <v/>
      </c>
      <c r="U50" s="11" t="str">
        <f>IF(DAY(JunSun1)=1,IF(AND(YEAR(JunSun1+12)=CalendarYear,MONTH(JunSun1+12)=6),JunSun1+12,""),IF(AND(YEAR(JunSun1+19)=CalendarYear,MONTH(JunSun1+19)=6),JunSun1+19,""))</f>
        <v/>
      </c>
      <c r="V50" s="11" t="str">
        <f>IF(DAY(JunSun1)=1,IF(AND(YEAR(JunSun1+13)=CalendarYear,MONTH(JunSun1+13)=6),JunSun1+13,""),IF(AND(YEAR(JunSun1+20)=CalendarYear,MONTH(JunSun1+20)=6),JunSun1+20,""))</f>
        <v/>
      </c>
      <c r="W50" s="11" t="str">
        <f>IF(DAY(JunSun1)=1,IF(AND(YEAR(JunSun1+14)=CalendarYear,MONTH(JunSun1+14)=6),JunSun1+14,""),IF(AND(YEAR(JunSun1+21)=CalendarYear,MONTH(JunSun1+21)=6),JunSun1+21,""))</f>
        <v/>
      </c>
      <c r="X50" s="11" t="str">
        <f>IF(DAY(JunSun1)=1,IF(AND(YEAR(JunSun1+15)=CalendarYear,MONTH(JunSun1+15)=6),JunSun1+15,""),IF(AND(YEAR(JunSun1+22)=CalendarYear,MONTH(JunSun1+22)=6),JunSun1+22,""))</f>
        <v/>
      </c>
      <c r="Y50" s="11" t="str">
        <f>IF(DAY(JunSun1)=1,IF(AND(YEAR(JunSun1+16)=CalendarYear,MONTH(JunSun1+16)=6),JunSun1+16,""),IF(AND(YEAR(JunSun1+23)=CalendarYear,MONTH(JunSun1+23)=6),JunSun1+23,""))</f>
        <v/>
      </c>
      <c r="Z50" s="11" t="str">
        <f>IF(DAY(JunSun1)=1,IF(AND(YEAR(JunSun1+17)=CalendarYear,MONTH(JunSun1+17)=6),JunSun1+17,""),IF(AND(YEAR(JunSun1+24)=CalendarYear,MONTH(JunSun1+24)=6),JunSun1+24,""))</f>
        <v/>
      </c>
      <c r="AA50" s="11" t="str">
        <f>IF(DAY(JunSun1)=1,IF(AND(YEAR(JunSun1+18)=CalendarYear,MONTH(JunSun1+18)=6),JunSun1+18,""),IF(AND(YEAR(JunSun1+25)=CalendarYear,MONTH(JunSun1+25)=6),JunSun1+25,""))</f>
        <v/>
      </c>
      <c r="AB50" s="11" t="str">
        <f>IF(DAY(JunSun1)=1,IF(AND(YEAR(JunSun1+19)=CalendarYear,MONTH(JunSun1+19)=6),JunSun1+19,""),IF(AND(YEAR(JunSun1+26)=CalendarYear,MONTH(JunSun1+26)=6),JunSun1+26,""))</f>
        <v/>
      </c>
      <c r="AC50" s="11" t="str">
        <f>IF(DAY(JunSun1)=1,IF(AND(YEAR(JunSun1+20)=CalendarYear,MONTH(JunSun1+20)=6),JunSun1+20,""),IF(AND(YEAR(JunSun1+27)=CalendarYear,MONTH(JunSun1+27)=6),JunSun1+27,""))</f>
        <v/>
      </c>
      <c r="AD50" s="11" t="str">
        <f>IF(DAY(JunSun1)=1,IF(AND(YEAR(JunSun1+21)=CalendarYear,MONTH(JunSun1+21)=6),JunSun1+21,""),IF(AND(YEAR(JunSun1+28)=CalendarYear,MONTH(JunSun1+28)=6),JunSun1+28,""))</f>
        <v/>
      </c>
      <c r="AE50" s="11" t="str">
        <f>IF(DAY(JunSun1)=1,IF(AND(YEAR(JunSun1+22)=CalendarYear,MONTH(JunSun1+22)=6),JunSun1+22,""),IF(AND(YEAR(JunSun1+29)=CalendarYear,MONTH(JunSun1+29)=6),JunSun1+29,""))</f>
        <v/>
      </c>
      <c r="AF50" s="11" t="str">
        <f>IF(DAY(JunSun1)=1,IF(AND(YEAR(JunSun1+23)=CalendarYear,MONTH(JunSun1+23)=6),JunSun1+23,""),IF(AND(YEAR(JunSun1+30)=CalendarYear,MONTH(JunSun1+30)=6),JunSun1+30,""))</f>
        <v/>
      </c>
      <c r="AG50" s="11" t="str">
        <f>IF(DAY(JunSun1)=1,IF(AND(YEAR(JunSun1+24)=CalendarYear,MONTH(JunSun1+24)=6),JunSun1+24,""),IF(AND(YEAR(JunSun1+31)=CalendarYear,MONTH(JunSun1+31)=6),JunSun1+31,""))</f>
        <v/>
      </c>
      <c r="AH50" s="11" t="str">
        <f>IF(DAY(JunSun1)=1,IF(AND(YEAR(JunSun1+25)=CalendarYear,MONTH(JunSun1+25)=6),JunSun1+25,""),IF(AND(YEAR(JunSun1+32)=CalendarYear,MONTH(JunSun1+32)=6),JunSun1+32,""))</f>
        <v/>
      </c>
      <c r="AI50" s="11" t="str">
        <f>IF(DAY(JunSun1)=1,IF(AND(YEAR(JunSun1+26)=CalendarYear,MONTH(JunSun1+26)=6),JunSun1+26,""),IF(AND(YEAR(JunSun1+33)=CalendarYear,MONTH(JunSun1+33)=6),JunSun1+33,""))</f>
        <v/>
      </c>
      <c r="AJ50" s="11" t="str">
        <f>IF(DAY(JunSun1)=1,IF(AND(YEAR(JunSun1+27)=CalendarYear,MONTH(JunSun1+27)=6),JunSun1+27,""),IF(AND(YEAR(JunSun1+34)=CalendarYear,MONTH(JunSun1+34)=6),JunSun1+34,""))</f>
        <v/>
      </c>
      <c r="AK50" s="11" t="str">
        <f>IF(DAY(JunSun1)=1,IF(AND(YEAR(JunSun1+28)=CalendarYear,MONTH(JunSun1+28)=6),JunSun1+28,""),IF(AND(YEAR(JunSun1+35)=CalendarYear,MONTH(JunSun1+35)=6),JunSun1+35,""))</f>
        <v/>
      </c>
      <c r="AL50" s="11" t="str">
        <f>IF(DAY(JunSun1)=1,IF(AND(YEAR(JunSun1+29)=CalendarYear,MONTH(JunSun1+29)=6),JunSun1+29,""),IF(AND(YEAR(JunSun1+36)=CalendarYear,MONTH(JunSun1+36)=6),JunSun1+36,""))</f>
        <v/>
      </c>
      <c r="AM50" s="12" t="str">
        <f>IF(DAY(JunSun1)=1,IF(AND(YEAR(JunSun1+30)=CalendarYear,MONTH(JunSun1+30)=6),JunSun1+30,""),IF(AND(YEAR(JunSun1+37)=CalendarYear,MONTH(JunSun1+37)=6),JunSun1+37,""))</f>
        <v/>
      </c>
    </row>
    <row r="51" spans="2:39" s="9" customFormat="1" ht="18.95" customHeight="1">
      <c r="B51" s="79"/>
      <c r="C51" s="10" t="s">
        <v>0</v>
      </c>
      <c r="D51" s="10" t="s">
        <v>1</v>
      </c>
      <c r="E51" s="10" t="s">
        <v>2</v>
      </c>
      <c r="F51" s="10" t="s">
        <v>3</v>
      </c>
      <c r="G51" s="10" t="s">
        <v>4</v>
      </c>
      <c r="H51" s="10" t="s">
        <v>5</v>
      </c>
      <c r="I51" s="10" t="s">
        <v>6</v>
      </c>
      <c r="J51" s="10" t="s">
        <v>0</v>
      </c>
      <c r="K51" s="10" t="s">
        <v>1</v>
      </c>
      <c r="L51" s="10" t="s">
        <v>2</v>
      </c>
      <c r="M51" s="10" t="s">
        <v>3</v>
      </c>
      <c r="N51" s="10" t="s">
        <v>4</v>
      </c>
      <c r="O51" s="10" t="s">
        <v>5</v>
      </c>
      <c r="P51" s="10" t="s">
        <v>6</v>
      </c>
      <c r="Q51" s="10" t="s">
        <v>0</v>
      </c>
      <c r="R51" s="10" t="s">
        <v>1</v>
      </c>
      <c r="S51" s="10" t="s">
        <v>2</v>
      </c>
      <c r="T51" s="10" t="s">
        <v>3</v>
      </c>
      <c r="U51" s="10" t="s">
        <v>4</v>
      </c>
      <c r="V51" s="10" t="s">
        <v>5</v>
      </c>
      <c r="W51" s="10" t="s">
        <v>6</v>
      </c>
      <c r="X51" s="10" t="s">
        <v>0</v>
      </c>
      <c r="Y51" s="10" t="s">
        <v>1</v>
      </c>
      <c r="Z51" s="10" t="s">
        <v>2</v>
      </c>
      <c r="AA51" s="10" t="s">
        <v>3</v>
      </c>
      <c r="AB51" s="10" t="s">
        <v>4</v>
      </c>
      <c r="AC51" s="10" t="s">
        <v>5</v>
      </c>
      <c r="AD51" s="10" t="s">
        <v>6</v>
      </c>
      <c r="AE51" s="10" t="s">
        <v>0</v>
      </c>
      <c r="AF51" s="10" t="s">
        <v>1</v>
      </c>
      <c r="AG51" s="10" t="s">
        <v>2</v>
      </c>
      <c r="AH51" s="10" t="s">
        <v>3</v>
      </c>
      <c r="AI51" s="10" t="s">
        <v>4</v>
      </c>
      <c r="AJ51" s="10" t="s">
        <v>5</v>
      </c>
      <c r="AK51" s="10" t="s">
        <v>6</v>
      </c>
      <c r="AL51" s="10" t="s">
        <v>0</v>
      </c>
      <c r="AM51" s="13" t="s">
        <v>1</v>
      </c>
    </row>
    <row r="52" spans="2:39" ht="18.95" customHeight="1">
      <c r="B52" s="7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</row>
    <row r="53" spans="2:39" ht="18.95" customHeight="1">
      <c r="B53" s="8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</row>
    <row r="54" spans="2:39" ht="18.95" customHeight="1">
      <c r="B54" s="8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</row>
    <row r="55" spans="2:39" ht="18.95" customHeight="1">
      <c r="B55" s="8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</row>
    <row r="56" spans="2:39" ht="18.95" customHeight="1">
      <c r="B56" s="8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</row>
    <row r="57" spans="2:39" ht="18.95" customHeight="1">
      <c r="B57" s="64" t="s">
        <v>20</v>
      </c>
      <c r="C57" s="61">
        <f>SUMIF('FICHE CHANTIER'!$J:$J,C50,'FICHE CHANTIER'!$K:$K)</f>
        <v>0</v>
      </c>
      <c r="D57" s="61">
        <f>SUMIF('FICHE CHANTIER'!$J:$J,D50,'FICHE CHANTIER'!$K:$K)</f>
        <v>0</v>
      </c>
      <c r="E57" s="61">
        <f>SUMIF('FICHE CHANTIER'!$J:$J,E50,'FICHE CHANTIER'!$K:$K)</f>
        <v>0</v>
      </c>
      <c r="F57" s="61">
        <f>SUMIF('FICHE CHANTIER'!$J:$J,F50,'FICHE CHANTIER'!$K:$K)</f>
        <v>0</v>
      </c>
      <c r="G57" s="61">
        <f>SUMIF('FICHE CHANTIER'!$J:$J,G50,'FICHE CHANTIER'!$K:$K)</f>
        <v>0</v>
      </c>
      <c r="H57" s="61">
        <f>SUMIF('FICHE CHANTIER'!$J:$J,H50,'FICHE CHANTIER'!$K:$K)</f>
        <v>0</v>
      </c>
      <c r="I57" s="61">
        <f>SUMIF('FICHE CHANTIER'!$J:$J,I50,'FICHE CHANTIER'!$K:$K)</f>
        <v>0</v>
      </c>
      <c r="J57" s="61">
        <f>SUMIF('FICHE CHANTIER'!$J:$J,J50,'FICHE CHANTIER'!$K:$K)</f>
        <v>0</v>
      </c>
      <c r="K57" s="61">
        <f>SUMIF('FICHE CHANTIER'!$J:$J,K50,'FICHE CHANTIER'!$K:$K)</f>
        <v>0</v>
      </c>
      <c r="L57" s="61">
        <f>SUMIF('FICHE CHANTIER'!$J:$J,L50,'FICHE CHANTIER'!$K:$K)</f>
        <v>0</v>
      </c>
      <c r="M57" s="61">
        <f>SUMIF('FICHE CHANTIER'!$J:$J,M50,'FICHE CHANTIER'!$K:$K)</f>
        <v>0</v>
      </c>
      <c r="N57" s="61">
        <f>SUMIF('FICHE CHANTIER'!$J:$J,N50,'FICHE CHANTIER'!$K:$K)</f>
        <v>0</v>
      </c>
      <c r="O57" s="61">
        <f>SUMIF('FICHE CHANTIER'!$J:$J,O50,'FICHE CHANTIER'!$K:$K)</f>
        <v>0</v>
      </c>
      <c r="P57" s="61">
        <f>SUMIF('FICHE CHANTIER'!$J:$J,P50,'FICHE CHANTIER'!$K:$K)</f>
        <v>0</v>
      </c>
      <c r="Q57" s="61">
        <f>SUMIF('FICHE CHANTIER'!$J:$J,Q50,'FICHE CHANTIER'!$K:$K)</f>
        <v>0</v>
      </c>
      <c r="R57" s="61">
        <f>SUMIF('FICHE CHANTIER'!$J:$J,R50,'FICHE CHANTIER'!$K:$K)</f>
        <v>0</v>
      </c>
      <c r="S57" s="61">
        <f>SUMIF('FICHE CHANTIER'!$J:$J,S50,'FICHE CHANTIER'!$K:$K)</f>
        <v>0</v>
      </c>
      <c r="T57" s="61">
        <f>SUMIF('FICHE CHANTIER'!$J:$J,T50,'FICHE CHANTIER'!$K:$K)</f>
        <v>0</v>
      </c>
      <c r="U57" s="61">
        <f>SUMIF('FICHE CHANTIER'!$J:$J,U50,'FICHE CHANTIER'!$K:$K)</f>
        <v>0</v>
      </c>
      <c r="V57" s="61">
        <f>SUMIF('FICHE CHANTIER'!$J:$J,V50,'FICHE CHANTIER'!$K:$K)</f>
        <v>0</v>
      </c>
      <c r="W57" s="61">
        <f>SUMIF('FICHE CHANTIER'!$J:$J,W50,'FICHE CHANTIER'!$K:$K)</f>
        <v>0</v>
      </c>
      <c r="X57" s="61">
        <f>SUMIF('FICHE CHANTIER'!$J:$J,X50,'FICHE CHANTIER'!$K:$K)</f>
        <v>0</v>
      </c>
      <c r="Y57" s="61">
        <f>SUMIF('FICHE CHANTIER'!$J:$J,Y50,'FICHE CHANTIER'!$K:$K)</f>
        <v>0</v>
      </c>
      <c r="Z57" s="61">
        <f>SUMIF('FICHE CHANTIER'!$J:$J,Z50,'FICHE CHANTIER'!$K:$K)</f>
        <v>0</v>
      </c>
      <c r="AA57" s="61">
        <f>SUMIF('FICHE CHANTIER'!$J:$J,AA50,'FICHE CHANTIER'!$K:$K)</f>
        <v>0</v>
      </c>
      <c r="AB57" s="61">
        <f>SUMIF('FICHE CHANTIER'!$J:$J,AB50,'FICHE CHANTIER'!$K:$K)</f>
        <v>0</v>
      </c>
      <c r="AC57" s="61">
        <f>SUMIF('FICHE CHANTIER'!$J:$J,AC50,'FICHE CHANTIER'!$K:$K)</f>
        <v>0</v>
      </c>
      <c r="AD57" s="61">
        <f>SUMIF('FICHE CHANTIER'!$J:$J,AD50,'FICHE CHANTIER'!$K:$K)</f>
        <v>0</v>
      </c>
      <c r="AE57" s="61">
        <f>SUMIF('FICHE CHANTIER'!$J:$J,AE50,'FICHE CHANTIER'!$K:$K)</f>
        <v>0</v>
      </c>
      <c r="AF57" s="61">
        <f>SUMIF('FICHE CHANTIER'!$J:$J,AF50,'FICHE CHANTIER'!$K:$K)</f>
        <v>0</v>
      </c>
      <c r="AG57" s="61">
        <f>SUMIF('FICHE CHANTIER'!$J:$J,AG50,'FICHE CHANTIER'!$K:$K)</f>
        <v>0</v>
      </c>
      <c r="AH57" s="61">
        <f>SUMIF('FICHE CHANTIER'!$J:$J,AH50,'FICHE CHANTIER'!$K:$K)</f>
        <v>0</v>
      </c>
      <c r="AI57" s="61">
        <f>SUMIF('FICHE CHANTIER'!$J:$J,AI50,'FICHE CHANTIER'!$K:$K)</f>
        <v>0</v>
      </c>
      <c r="AJ57" s="61">
        <f>SUMIF('FICHE CHANTIER'!$J:$J,AJ50,'FICHE CHANTIER'!$K:$K)</f>
        <v>0</v>
      </c>
      <c r="AK57" s="61">
        <f>SUMIF('FICHE CHANTIER'!$J:$J,AK50,'FICHE CHANTIER'!$K:$K)</f>
        <v>0</v>
      </c>
      <c r="AL57" s="61">
        <f>SUMIF('FICHE CHANTIER'!$J:$J,AL50,'FICHE CHANTIER'!$K:$K)</f>
        <v>0</v>
      </c>
      <c r="AM57" s="61">
        <f>SUMIF('FICHE CHANTIER'!$J:$J,AM50,'FICHE CHANTIER'!$K:$K)</f>
        <v>0</v>
      </c>
    </row>
    <row r="58" spans="2:39" ht="18" customHeight="1"/>
    <row r="59" spans="2:39" s="9" customFormat="1" ht="18.95" customHeight="1">
      <c r="B59" s="80">
        <v>7</v>
      </c>
      <c r="C59" s="11">
        <v>44743</v>
      </c>
      <c r="D59" s="11" t="str">
        <f>IF(DAY(JulSun1)=1,"",IF(AND(YEAR(JulSun1+2)=CalendarYear,MONTH(JulSun1+2)=7),JulSun1+2,""))</f>
        <v/>
      </c>
      <c r="E59" s="11" t="str">
        <f>IF(DAY(JulSun1)=1,"",IF(AND(YEAR(JulSun1+3)=CalendarYear,MONTH(JulSun1+3)=7),JulSun1+3,""))</f>
        <v/>
      </c>
      <c r="F59" s="11" t="str">
        <f>IF(DAY(JulSun1)=1,"",IF(AND(YEAR(JulSun1+4)=CalendarYear,MONTH(JulSun1+4)=7),JulSun1+4,""))</f>
        <v/>
      </c>
      <c r="G59" s="11" t="str">
        <f>IF(DAY(JulSun1)=1,"",IF(AND(YEAR(JulSun1+5)=CalendarYear,MONTH(JulSun1+5)=7),JulSun1+5,""))</f>
        <v/>
      </c>
      <c r="H59" s="11" t="str">
        <f>IF(DAY(JulSun1)=1,"",IF(AND(YEAR(JulSun1+6)=CalendarYear,MONTH(JulSun1+6)=7),JulSun1+6,""))</f>
        <v/>
      </c>
      <c r="I59" s="11" t="str">
        <f>IF(DAY(JulSun1)=1,IF(AND(YEAR(JulSun1)=CalendarYear,MONTH(JulSun1)=7),JulSun1,""),IF(AND(YEAR(JulSun1+7)=CalendarYear,MONTH(JulSun1+7)=7),JulSun1+7,""))</f>
        <v/>
      </c>
      <c r="J59" s="11" t="str">
        <f>IF(DAY(JulSun1)=1,IF(AND(YEAR(JulSun1+1)=CalendarYear,MONTH(JulSun1+1)=7),JulSun1+1,""),IF(AND(YEAR(JulSun1+8)=CalendarYear,MONTH(JulSun1+8)=7),JulSun1+8,""))</f>
        <v/>
      </c>
      <c r="K59" s="11" t="str">
        <f>IF(DAY(JulSun1)=1,IF(AND(YEAR(JulSun1+2)=CalendarYear,MONTH(JulSun1+2)=7),JulSun1+2,""),IF(AND(YEAR(JulSun1+9)=CalendarYear,MONTH(JulSun1+9)=7),JulSun1+9,""))</f>
        <v/>
      </c>
      <c r="L59" s="11" t="str">
        <f>IF(DAY(JulSun1)=1,IF(AND(YEAR(JulSun1+3)=CalendarYear,MONTH(JulSun1+3)=7),JulSun1+3,""),IF(AND(YEAR(JulSun1+10)=CalendarYear,MONTH(JulSun1+10)=7),JulSun1+10,""))</f>
        <v/>
      </c>
      <c r="M59" s="11" t="str">
        <f>IF(DAY(JulSun1)=1,IF(AND(YEAR(JulSun1+4)=CalendarYear,MONTH(JulSun1+4)=7),JulSun1+4,""),IF(AND(YEAR(JulSun1+11)=CalendarYear,MONTH(JulSun1+11)=7),JulSun1+11,""))</f>
        <v/>
      </c>
      <c r="N59" s="11" t="str">
        <f>IF(DAY(JulSun1)=1,IF(AND(YEAR(JulSun1+5)=CalendarYear,MONTH(JulSun1+5)=7),JulSun1+5,""),IF(AND(YEAR(JulSun1+12)=CalendarYear,MONTH(JulSun1+12)=7),JulSun1+12,""))</f>
        <v/>
      </c>
      <c r="O59" s="11" t="str">
        <f>IF(DAY(JulSun1)=1,IF(AND(YEAR(JulSun1+6)=CalendarYear,MONTH(JulSun1+6)=7),JulSun1+6,""),IF(AND(YEAR(JulSun1+13)=CalendarYear,MONTH(JulSun1+13)=7),JulSun1+13,""))</f>
        <v/>
      </c>
      <c r="P59" s="11" t="str">
        <f>IF(DAY(JulSun1)=1,IF(AND(YEAR(JulSun1+7)=CalendarYear,MONTH(JulSun1+7)=7),JulSun1+7,""),IF(AND(YEAR(JulSun1+14)=CalendarYear,MONTH(JulSun1+14)=7),JulSun1+14,""))</f>
        <v/>
      </c>
      <c r="Q59" s="11" t="str">
        <f>IF(DAY(JulSun1)=1,IF(AND(YEAR(JulSun1+8)=CalendarYear,MONTH(JulSun1+8)=7),JulSun1+8,""),IF(AND(YEAR(JulSun1+15)=CalendarYear,MONTH(JulSun1+15)=7),JulSun1+15,""))</f>
        <v/>
      </c>
      <c r="R59" s="11" t="str">
        <f>IF(DAY(JulSun1)=1,IF(AND(YEAR(JulSun1+9)=CalendarYear,MONTH(JulSun1+9)=7),JulSun1+9,""),IF(AND(YEAR(JulSun1+16)=CalendarYear,MONTH(JulSun1+16)=7),JulSun1+16,""))</f>
        <v/>
      </c>
      <c r="S59" s="11" t="str">
        <f>IF(DAY(JulSun1)=1,IF(AND(YEAR(JulSun1+10)=CalendarYear,MONTH(JulSun1+10)=7),JulSun1+10,""),IF(AND(YEAR(JulSun1+17)=CalendarYear,MONTH(JulSun1+17)=7),JulSun1+17,""))</f>
        <v/>
      </c>
      <c r="T59" s="11" t="str">
        <f>IF(DAY(JulSun1)=1,IF(AND(YEAR(JulSun1+11)=CalendarYear,MONTH(JulSun1+11)=7),JulSun1+11,""),IF(AND(YEAR(JulSun1+18)=CalendarYear,MONTH(JulSun1+18)=7),JulSun1+18,""))</f>
        <v/>
      </c>
      <c r="U59" s="11" t="str">
        <f>IF(DAY(JulSun1)=1,IF(AND(YEAR(JulSun1+12)=CalendarYear,MONTH(JulSun1+12)=7),JulSun1+12,""),IF(AND(YEAR(JulSun1+19)=CalendarYear,MONTH(JulSun1+19)=7),JulSun1+19,""))</f>
        <v/>
      </c>
      <c r="V59" s="11" t="str">
        <f>IF(DAY(JulSun1)=1,IF(AND(YEAR(JulSun1+13)=CalendarYear,MONTH(JulSun1+13)=7),JulSun1+13,""),IF(AND(YEAR(JulSun1+20)=CalendarYear,MONTH(JulSun1+20)=7),JulSun1+20,""))</f>
        <v/>
      </c>
      <c r="W59" s="11" t="str">
        <f>IF(DAY(JulSun1)=1,IF(AND(YEAR(JulSun1+14)=CalendarYear,MONTH(JulSun1+14)=7),JulSun1+14,""),IF(AND(YEAR(JulSun1+21)=CalendarYear,MONTH(JulSun1+21)=7),JulSun1+21,""))</f>
        <v/>
      </c>
      <c r="X59" s="11" t="str">
        <f>IF(DAY(JulSun1)=1,IF(AND(YEAR(JulSun1+15)=CalendarYear,MONTH(JulSun1+15)=7),JulSun1+15,""),IF(AND(YEAR(JulSun1+22)=CalendarYear,MONTH(JulSun1+22)=7),JulSun1+22,""))</f>
        <v/>
      </c>
      <c r="Y59" s="11" t="str">
        <f>IF(DAY(JulSun1)=1,IF(AND(YEAR(JulSun1+16)=CalendarYear,MONTH(JulSun1+16)=7),JulSun1+16,""),IF(AND(YEAR(JulSun1+23)=CalendarYear,MONTH(JulSun1+23)=7),JulSun1+23,""))</f>
        <v/>
      </c>
      <c r="Z59" s="11" t="str">
        <f>IF(DAY(JulSun1)=1,IF(AND(YEAR(JulSun1+17)=CalendarYear,MONTH(JulSun1+17)=7),JulSun1+17,""),IF(AND(YEAR(JulSun1+24)=CalendarYear,MONTH(JulSun1+24)=7),JulSun1+24,""))</f>
        <v/>
      </c>
      <c r="AA59" s="11" t="str">
        <f>IF(DAY(JulSun1)=1,IF(AND(YEAR(JulSun1+18)=CalendarYear,MONTH(JulSun1+18)=7),JulSun1+18,""),IF(AND(YEAR(JulSun1+25)=CalendarYear,MONTH(JulSun1+25)=7),JulSun1+25,""))</f>
        <v/>
      </c>
      <c r="AB59" s="11" t="str">
        <f>IF(DAY(JulSun1)=1,IF(AND(YEAR(JulSun1+19)=CalendarYear,MONTH(JulSun1+19)=7),JulSun1+19,""),IF(AND(YEAR(JulSun1+26)=CalendarYear,MONTH(JulSun1+26)=7),JulSun1+26,""))</f>
        <v/>
      </c>
      <c r="AC59" s="11" t="str">
        <f>IF(DAY(JulSun1)=1,IF(AND(YEAR(JulSun1+20)=CalendarYear,MONTH(JulSun1+20)=7),JulSun1+20,""),IF(AND(YEAR(JulSun1+27)=CalendarYear,MONTH(JulSun1+27)=7),JulSun1+27,""))</f>
        <v/>
      </c>
      <c r="AD59" s="11" t="str">
        <f>IF(DAY(JulSun1)=1,IF(AND(YEAR(JulSun1+21)=CalendarYear,MONTH(JulSun1+21)=7),JulSun1+21,""),IF(AND(YEAR(JulSun1+28)=CalendarYear,MONTH(JulSun1+28)=7),JulSun1+28,""))</f>
        <v/>
      </c>
      <c r="AE59" s="11" t="str">
        <f>IF(DAY(JulSun1)=1,IF(AND(YEAR(JulSun1+22)=CalendarYear,MONTH(JulSun1+22)=7),JulSun1+22,""),IF(AND(YEAR(JulSun1+29)=CalendarYear,MONTH(JulSun1+29)=7),JulSun1+29,""))</f>
        <v/>
      </c>
      <c r="AF59" s="11" t="str">
        <f>IF(DAY(JulSun1)=1,IF(AND(YEAR(JulSun1+23)=CalendarYear,MONTH(JulSun1+23)=7),JulSun1+23,""),IF(AND(YEAR(JulSun1+30)=CalendarYear,MONTH(JulSun1+30)=7),JulSun1+30,""))</f>
        <v/>
      </c>
      <c r="AG59" s="11" t="str">
        <f>IF(DAY(JulSun1)=1,IF(AND(YEAR(JulSun1+24)=CalendarYear,MONTH(JulSun1+24)=7),JulSun1+24,""),IF(AND(YEAR(JulSun1+31)=CalendarYear,MONTH(JulSun1+31)=7),JulSun1+31,""))</f>
        <v/>
      </c>
      <c r="AH59" s="11" t="str">
        <f>IF(DAY(JulSun1)=1,IF(AND(YEAR(JulSun1+25)=CalendarYear,MONTH(JulSun1+25)=7),JulSun1+25,""),IF(AND(YEAR(JulSun1+32)=CalendarYear,MONTH(JulSun1+32)=7),JulSun1+32,""))</f>
        <v/>
      </c>
      <c r="AI59" s="11" t="str">
        <f>IF(DAY(JulSun1)=1,IF(AND(YEAR(JulSun1+26)=CalendarYear,MONTH(JulSun1+26)=7),JulSun1+26,""),IF(AND(YEAR(JulSun1+33)=CalendarYear,MONTH(JulSun1+33)=7),JulSun1+33,""))</f>
        <v/>
      </c>
      <c r="AJ59" s="11" t="str">
        <f>IF(DAY(JulSun1)=1,IF(AND(YEAR(JulSun1+27)=CalendarYear,MONTH(JulSun1+27)=7),JulSun1+27,""),IF(AND(YEAR(JulSun1+34)=CalendarYear,MONTH(JulSun1+34)=7),JulSun1+34,""))</f>
        <v/>
      </c>
      <c r="AK59" s="11" t="str">
        <f>IF(DAY(JulSun1)=1,IF(AND(YEAR(JulSun1+28)=CalendarYear,MONTH(JulSun1+28)=7),JulSun1+28,""),IF(AND(YEAR(JulSun1+35)=CalendarYear,MONTH(JulSun1+35)=7),JulSun1+35,""))</f>
        <v/>
      </c>
      <c r="AL59" s="11" t="str">
        <f>IF(DAY(JulSun1)=1,IF(AND(YEAR(JulSun1+29)=CalendarYear,MONTH(JulSun1+29)=7),JulSun1+29,""),IF(AND(YEAR(JulSun1+36)=CalendarYear,MONTH(JulSun1+36)=7),JulSun1+36,""))</f>
        <v/>
      </c>
      <c r="AM59" s="12" t="str">
        <f>IF(DAY(JulSun1)=1,IF(AND(YEAR(JulSun1+30)=CalendarYear,MONTH(JulSun1+30)=7),JulSun1+30,""),IF(AND(YEAR(JulSun1+37)=CalendarYear,MONTH(JulSun1+37)=7),JulSun1+37,""))</f>
        <v/>
      </c>
    </row>
    <row r="60" spans="2:39" s="9" customFormat="1" ht="18.95" customHeight="1">
      <c r="B60" s="80"/>
      <c r="C60" s="10" t="s">
        <v>0</v>
      </c>
      <c r="D60" s="10" t="s">
        <v>1</v>
      </c>
      <c r="E60" s="10" t="s">
        <v>2</v>
      </c>
      <c r="F60" s="10" t="s">
        <v>3</v>
      </c>
      <c r="G60" s="10" t="s">
        <v>4</v>
      </c>
      <c r="H60" s="10" t="s">
        <v>5</v>
      </c>
      <c r="I60" s="10" t="s">
        <v>6</v>
      </c>
      <c r="J60" s="10" t="s">
        <v>0</v>
      </c>
      <c r="K60" s="10" t="s">
        <v>1</v>
      </c>
      <c r="L60" s="10" t="s">
        <v>2</v>
      </c>
      <c r="M60" s="10" t="s">
        <v>3</v>
      </c>
      <c r="N60" s="10" t="s">
        <v>4</v>
      </c>
      <c r="O60" s="10" t="s">
        <v>5</v>
      </c>
      <c r="P60" s="10" t="s">
        <v>6</v>
      </c>
      <c r="Q60" s="10" t="s">
        <v>0</v>
      </c>
      <c r="R60" s="10" t="s">
        <v>1</v>
      </c>
      <c r="S60" s="10" t="s">
        <v>2</v>
      </c>
      <c r="T60" s="10" t="s">
        <v>3</v>
      </c>
      <c r="U60" s="10" t="s">
        <v>4</v>
      </c>
      <c r="V60" s="10" t="s">
        <v>5</v>
      </c>
      <c r="W60" s="10" t="s">
        <v>6</v>
      </c>
      <c r="X60" s="10" t="s">
        <v>0</v>
      </c>
      <c r="Y60" s="10" t="s">
        <v>1</v>
      </c>
      <c r="Z60" s="10" t="s">
        <v>2</v>
      </c>
      <c r="AA60" s="10" t="s">
        <v>3</v>
      </c>
      <c r="AB60" s="10" t="s">
        <v>4</v>
      </c>
      <c r="AC60" s="10" t="s">
        <v>5</v>
      </c>
      <c r="AD60" s="10" t="s">
        <v>6</v>
      </c>
      <c r="AE60" s="10" t="s">
        <v>0</v>
      </c>
      <c r="AF60" s="10" t="s">
        <v>1</v>
      </c>
      <c r="AG60" s="10" t="s">
        <v>2</v>
      </c>
      <c r="AH60" s="10" t="s">
        <v>3</v>
      </c>
      <c r="AI60" s="10" t="s">
        <v>4</v>
      </c>
      <c r="AJ60" s="10" t="s">
        <v>5</v>
      </c>
      <c r="AK60" s="10" t="s">
        <v>6</v>
      </c>
      <c r="AL60" s="10" t="s">
        <v>0</v>
      </c>
      <c r="AM60" s="13" t="s">
        <v>1</v>
      </c>
    </row>
    <row r="61" spans="2:39" ht="18.95" customHeight="1">
      <c r="B61" s="7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</row>
    <row r="62" spans="2:39" ht="18.95" customHeight="1">
      <c r="B62" s="8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</row>
    <row r="63" spans="2:39" ht="18.95" customHeight="1">
      <c r="B63" s="8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</row>
    <row r="64" spans="2:39" ht="18.95" customHeight="1">
      <c r="B64" s="8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</row>
    <row r="65" spans="2:39" ht="18.95" customHeight="1">
      <c r="B65" s="8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</row>
    <row r="66" spans="2:39" ht="18.95" customHeight="1">
      <c r="B66" s="64" t="s">
        <v>20</v>
      </c>
      <c r="C66" s="61">
        <f>SUMIF('FICHE CHANTIER'!$J:$J,C59,'FICHE CHANTIER'!$K:$K)</f>
        <v>0</v>
      </c>
      <c r="D66" s="61">
        <f>SUMIF('FICHE CHANTIER'!$J:$J,D59,'FICHE CHANTIER'!$K:$K)</f>
        <v>0</v>
      </c>
      <c r="E66" s="61">
        <f>SUMIF('FICHE CHANTIER'!$J:$J,E59,'FICHE CHANTIER'!$K:$K)</f>
        <v>0</v>
      </c>
      <c r="F66" s="61">
        <f>SUMIF('FICHE CHANTIER'!$J:$J,F59,'FICHE CHANTIER'!$K:$K)</f>
        <v>0</v>
      </c>
      <c r="G66" s="61">
        <f>SUMIF('FICHE CHANTIER'!$J:$J,G59,'FICHE CHANTIER'!$K:$K)</f>
        <v>0</v>
      </c>
      <c r="H66" s="61">
        <f>SUMIF('FICHE CHANTIER'!$J:$J,H59,'FICHE CHANTIER'!$K:$K)</f>
        <v>0</v>
      </c>
      <c r="I66" s="61">
        <f>SUMIF('FICHE CHANTIER'!$J:$J,I59,'FICHE CHANTIER'!$K:$K)</f>
        <v>0</v>
      </c>
      <c r="J66" s="61">
        <f>SUMIF('FICHE CHANTIER'!$J:$J,J59,'FICHE CHANTIER'!$K:$K)</f>
        <v>0</v>
      </c>
      <c r="K66" s="61">
        <f>SUMIF('FICHE CHANTIER'!$J:$J,K59,'FICHE CHANTIER'!$K:$K)</f>
        <v>0</v>
      </c>
      <c r="L66" s="61">
        <f>SUMIF('FICHE CHANTIER'!$J:$J,L59,'FICHE CHANTIER'!$K:$K)</f>
        <v>0</v>
      </c>
      <c r="M66" s="61">
        <f>SUMIF('FICHE CHANTIER'!$J:$J,M59,'FICHE CHANTIER'!$K:$K)</f>
        <v>0</v>
      </c>
      <c r="N66" s="61">
        <f>SUMIF('FICHE CHANTIER'!$J:$J,N59,'FICHE CHANTIER'!$K:$K)</f>
        <v>0</v>
      </c>
      <c r="O66" s="61">
        <f>SUMIF('FICHE CHANTIER'!$J:$J,O59,'FICHE CHANTIER'!$K:$K)</f>
        <v>0</v>
      </c>
      <c r="P66" s="61">
        <f>SUMIF('FICHE CHANTIER'!$J:$J,P59,'FICHE CHANTIER'!$K:$K)</f>
        <v>0</v>
      </c>
      <c r="Q66" s="61">
        <f>SUMIF('FICHE CHANTIER'!$J:$J,Q59,'FICHE CHANTIER'!$K:$K)</f>
        <v>0</v>
      </c>
      <c r="R66" s="61">
        <f>SUMIF('FICHE CHANTIER'!$J:$J,R59,'FICHE CHANTIER'!$K:$K)</f>
        <v>0</v>
      </c>
      <c r="S66" s="61">
        <f>SUMIF('FICHE CHANTIER'!$J:$J,S59,'FICHE CHANTIER'!$K:$K)</f>
        <v>0</v>
      </c>
      <c r="T66" s="61">
        <f>SUMIF('FICHE CHANTIER'!$J:$J,T59,'FICHE CHANTIER'!$K:$K)</f>
        <v>0</v>
      </c>
      <c r="U66" s="61">
        <f>SUMIF('FICHE CHANTIER'!$J:$J,U59,'FICHE CHANTIER'!$K:$K)</f>
        <v>0</v>
      </c>
      <c r="V66" s="61">
        <f>SUMIF('FICHE CHANTIER'!$J:$J,V59,'FICHE CHANTIER'!$K:$K)</f>
        <v>0</v>
      </c>
      <c r="W66" s="61">
        <f>SUMIF('FICHE CHANTIER'!$J:$J,W59,'FICHE CHANTIER'!$K:$K)</f>
        <v>0</v>
      </c>
      <c r="X66" s="61">
        <f>SUMIF('FICHE CHANTIER'!$J:$J,X59,'FICHE CHANTIER'!$K:$K)</f>
        <v>0</v>
      </c>
      <c r="Y66" s="61">
        <f>SUMIF('FICHE CHANTIER'!$J:$J,Y59,'FICHE CHANTIER'!$K:$K)</f>
        <v>0</v>
      </c>
      <c r="Z66" s="61">
        <f>SUMIF('FICHE CHANTIER'!$J:$J,Z59,'FICHE CHANTIER'!$K:$K)</f>
        <v>0</v>
      </c>
      <c r="AA66" s="61">
        <f>SUMIF('FICHE CHANTIER'!$J:$J,AA59,'FICHE CHANTIER'!$K:$K)</f>
        <v>0</v>
      </c>
      <c r="AB66" s="61">
        <f>SUMIF('FICHE CHANTIER'!$J:$J,AB59,'FICHE CHANTIER'!$K:$K)</f>
        <v>0</v>
      </c>
      <c r="AC66" s="61">
        <f>SUMIF('FICHE CHANTIER'!$J:$J,AC59,'FICHE CHANTIER'!$K:$K)</f>
        <v>0</v>
      </c>
      <c r="AD66" s="61">
        <f>SUMIF('FICHE CHANTIER'!$J:$J,AD59,'FICHE CHANTIER'!$K:$K)</f>
        <v>0</v>
      </c>
      <c r="AE66" s="61">
        <f>SUMIF('FICHE CHANTIER'!$J:$J,AE59,'FICHE CHANTIER'!$K:$K)</f>
        <v>0</v>
      </c>
      <c r="AF66" s="61">
        <f>SUMIF('FICHE CHANTIER'!$J:$J,AF59,'FICHE CHANTIER'!$K:$K)</f>
        <v>0</v>
      </c>
      <c r="AG66" s="61">
        <f>SUMIF('FICHE CHANTIER'!$J:$J,AG59,'FICHE CHANTIER'!$K:$K)</f>
        <v>0</v>
      </c>
      <c r="AH66" s="61">
        <f>SUMIF('FICHE CHANTIER'!$J:$J,AH59,'FICHE CHANTIER'!$K:$K)</f>
        <v>0</v>
      </c>
      <c r="AI66" s="61">
        <f>SUMIF('FICHE CHANTIER'!$J:$J,AI59,'FICHE CHANTIER'!$K:$K)</f>
        <v>0</v>
      </c>
      <c r="AJ66" s="61">
        <f>SUMIF('FICHE CHANTIER'!$J:$J,AJ59,'FICHE CHANTIER'!$K:$K)</f>
        <v>0</v>
      </c>
      <c r="AK66" s="61">
        <f>SUMIF('FICHE CHANTIER'!$J:$J,AK59,'FICHE CHANTIER'!$K:$K)</f>
        <v>0</v>
      </c>
      <c r="AL66" s="61">
        <f>SUMIF('FICHE CHANTIER'!$J:$J,AL59,'FICHE CHANTIER'!$K:$K)</f>
        <v>0</v>
      </c>
      <c r="AM66" s="61">
        <f>SUMIF('FICHE CHANTIER'!$J:$J,AM59,'FICHE CHANTIER'!$K:$K)</f>
        <v>0</v>
      </c>
    </row>
    <row r="67" spans="2:39" ht="15.95" customHeight="1"/>
    <row r="68" spans="2:39" s="9" customFormat="1" ht="18.95" customHeight="1">
      <c r="B68" s="81">
        <v>8</v>
      </c>
      <c r="C68" s="11">
        <v>44774</v>
      </c>
      <c r="D68" s="11" t="str">
        <f>IF(DAY(AugSun1)=1,"",IF(AND(YEAR(AugSun1+2)=CalendarYear,MONTH(AugSun1+2)=8),AugSun1+2,""))</f>
        <v/>
      </c>
      <c r="E68" s="11" t="str">
        <f>IF(DAY(AugSun1)=1,"",IF(AND(YEAR(AugSun1+3)=CalendarYear,MONTH(AugSun1+3)=8),AugSun1+3,""))</f>
        <v/>
      </c>
      <c r="F68" s="11" t="str">
        <f>IF(DAY(AugSun1)=1,"",IF(AND(YEAR(AugSun1+4)=CalendarYear,MONTH(AugSun1+4)=8),AugSun1+4,""))</f>
        <v/>
      </c>
      <c r="G68" s="11" t="str">
        <f>IF(DAY(AugSun1)=1,"",IF(AND(YEAR(AugSun1+5)=CalendarYear,MONTH(AugSun1+5)=8),AugSun1+5,""))</f>
        <v/>
      </c>
      <c r="H68" s="11" t="str">
        <f>IF(DAY(AugSun1)=1,"",IF(AND(YEAR(AugSun1+6)=CalendarYear,MONTH(AugSun1+6)=8),AugSun1+6,""))</f>
        <v/>
      </c>
      <c r="I68" s="11" t="str">
        <f>IF(DAY(AugSun1)=1,IF(AND(YEAR(AugSun1)=CalendarYear,MONTH(AugSun1)=8),AugSun1,""),IF(AND(YEAR(AugSun1+7)=CalendarYear,MONTH(AugSun1+7)=8),AugSun1+7,""))</f>
        <v/>
      </c>
      <c r="J68" s="11" t="str">
        <f>IF(DAY(AugSun1)=1,IF(AND(YEAR(AugSun1+1)=CalendarYear,MONTH(AugSun1+1)=8),AugSun1+1,""),IF(AND(YEAR(AugSun1+8)=CalendarYear,MONTH(AugSun1+8)=8),AugSun1+8,""))</f>
        <v/>
      </c>
      <c r="K68" s="11" t="str">
        <f>IF(DAY(AugSun1)=1,IF(AND(YEAR(AugSun1+2)=CalendarYear,MONTH(AugSun1+2)=8),AugSun1+2,""),IF(AND(YEAR(AugSun1+9)=CalendarYear,MONTH(AugSun1+9)=8),AugSun1+9,""))</f>
        <v/>
      </c>
      <c r="L68" s="11" t="str">
        <f>IF(DAY(AugSun1)=1,IF(AND(YEAR(AugSun1+3)=CalendarYear,MONTH(AugSun1+3)=8),AugSun1+3,""),IF(AND(YEAR(AugSun1+10)=CalendarYear,MONTH(AugSun1+10)=8),AugSun1+10,""))</f>
        <v/>
      </c>
      <c r="M68" s="11" t="str">
        <f>IF(DAY(AugSun1)=1,IF(AND(YEAR(AugSun1+4)=CalendarYear,MONTH(AugSun1+4)=8),AugSun1+4,""),IF(AND(YEAR(AugSun1+11)=CalendarYear,MONTH(AugSun1+11)=8),AugSun1+11,""))</f>
        <v/>
      </c>
      <c r="N68" s="11" t="str">
        <f>IF(DAY(AugSun1)=1,IF(AND(YEAR(AugSun1+5)=CalendarYear,MONTH(AugSun1+5)=8),AugSun1+5,""),IF(AND(YEAR(AugSun1+12)=CalendarYear,MONTH(AugSun1+12)=8),AugSun1+12,""))</f>
        <v/>
      </c>
      <c r="O68" s="11" t="str">
        <f>IF(DAY(AugSun1)=1,IF(AND(YEAR(AugSun1+6)=CalendarYear,MONTH(AugSun1+6)=8),AugSun1+6,""),IF(AND(YEAR(AugSun1+13)=CalendarYear,MONTH(AugSun1+13)=8),AugSun1+13,""))</f>
        <v/>
      </c>
      <c r="P68" s="11" t="str">
        <f>IF(DAY(AugSun1)=1,IF(AND(YEAR(AugSun1+7)=CalendarYear,MONTH(AugSun1+7)=8),AugSun1+7,""),IF(AND(YEAR(AugSun1+14)=CalendarYear,MONTH(AugSun1+14)=8),AugSun1+14,""))</f>
        <v/>
      </c>
      <c r="Q68" s="11" t="str">
        <f>IF(DAY(AugSun1)=1,IF(AND(YEAR(AugSun1+8)=CalendarYear,MONTH(AugSun1+8)=8),AugSun1+8,""),IF(AND(YEAR(AugSun1+15)=CalendarYear,MONTH(AugSun1+15)=8),AugSun1+15,""))</f>
        <v/>
      </c>
      <c r="R68" s="11" t="str">
        <f>IF(DAY(AugSun1)=1,IF(AND(YEAR(AugSun1+9)=CalendarYear,MONTH(AugSun1+9)=8),AugSun1+9,""),IF(AND(YEAR(AugSun1+16)=CalendarYear,MONTH(AugSun1+16)=8),AugSun1+16,""))</f>
        <v/>
      </c>
      <c r="S68" s="11" t="str">
        <f>IF(DAY(AugSun1)=1,IF(AND(YEAR(AugSun1+10)=CalendarYear,MONTH(AugSun1+10)=8),AugSun1+10,""),IF(AND(YEAR(AugSun1+17)=CalendarYear,MONTH(AugSun1+17)=8),AugSun1+17,""))</f>
        <v/>
      </c>
      <c r="T68" s="11" t="str">
        <f>IF(DAY(AugSun1)=1,IF(AND(YEAR(AugSun1+11)=CalendarYear,MONTH(AugSun1+11)=8),AugSun1+11,""),IF(AND(YEAR(AugSun1+18)=CalendarYear,MONTH(AugSun1+18)=8),AugSun1+18,""))</f>
        <v/>
      </c>
      <c r="U68" s="11" t="str">
        <f>IF(DAY(AugSun1)=1,IF(AND(YEAR(AugSun1+12)=CalendarYear,MONTH(AugSun1+12)=8),AugSun1+12,""),IF(AND(YEAR(AugSun1+19)=CalendarYear,MONTH(AugSun1+19)=8),AugSun1+19,""))</f>
        <v/>
      </c>
      <c r="V68" s="11" t="str">
        <f>IF(DAY(AugSun1)=1,IF(AND(YEAR(AugSun1+13)=CalendarYear,MONTH(AugSun1+13)=8),AugSun1+13,""),IF(AND(YEAR(AugSun1+20)=CalendarYear,MONTH(AugSun1+20)=8),AugSun1+20,""))</f>
        <v/>
      </c>
      <c r="W68" s="11" t="str">
        <f>IF(DAY(AugSun1)=1,IF(AND(YEAR(AugSun1+14)=CalendarYear,MONTH(AugSun1+14)=8),AugSun1+14,""),IF(AND(YEAR(AugSun1+21)=CalendarYear,MONTH(AugSun1+21)=8),AugSun1+21,""))</f>
        <v/>
      </c>
      <c r="X68" s="11" t="str">
        <f>IF(DAY(AugSun1)=1,IF(AND(YEAR(AugSun1+15)=CalendarYear,MONTH(AugSun1+15)=8),AugSun1+15,""),IF(AND(YEAR(AugSun1+22)=CalendarYear,MONTH(AugSun1+22)=8),AugSun1+22,""))</f>
        <v/>
      </c>
      <c r="Y68" s="11" t="str">
        <f>IF(DAY(AugSun1)=1,IF(AND(YEAR(AugSun1+16)=CalendarYear,MONTH(AugSun1+16)=8),AugSun1+16,""),IF(AND(YEAR(AugSun1+23)=CalendarYear,MONTH(AugSun1+23)=8),AugSun1+23,""))</f>
        <v/>
      </c>
      <c r="Z68" s="11" t="str">
        <f>IF(DAY(AugSun1)=1,IF(AND(YEAR(AugSun1+17)=CalendarYear,MONTH(AugSun1+17)=8),AugSun1+17,""),IF(AND(YEAR(AugSun1+24)=CalendarYear,MONTH(AugSun1+24)=8),AugSun1+24,""))</f>
        <v/>
      </c>
      <c r="AA68" s="11" t="str">
        <f>IF(DAY(AugSun1)=1,IF(AND(YEAR(AugSun1+18)=CalendarYear,MONTH(AugSun1+18)=8),AugSun1+18,""),IF(AND(YEAR(AugSun1+25)=CalendarYear,MONTH(AugSun1+25)=8),AugSun1+25,""))</f>
        <v/>
      </c>
      <c r="AB68" s="11" t="str">
        <f>IF(DAY(AugSun1)=1,IF(AND(YEAR(AugSun1+19)=CalendarYear,MONTH(AugSun1+19)=8),AugSun1+19,""),IF(AND(YEAR(AugSun1+26)=CalendarYear,MONTH(AugSun1+26)=8),AugSun1+26,""))</f>
        <v/>
      </c>
      <c r="AC68" s="11" t="str">
        <f>IF(DAY(AugSun1)=1,IF(AND(YEAR(AugSun1+20)=CalendarYear,MONTH(AugSun1+20)=8),AugSun1+20,""),IF(AND(YEAR(AugSun1+27)=CalendarYear,MONTH(AugSun1+27)=8),AugSun1+27,""))</f>
        <v/>
      </c>
      <c r="AD68" s="11" t="str">
        <f>IF(DAY(AugSun1)=1,IF(AND(YEAR(AugSun1+21)=CalendarYear,MONTH(AugSun1+21)=8),AugSun1+21,""),IF(AND(YEAR(AugSun1+28)=CalendarYear,MONTH(AugSun1+28)=8),AugSun1+28,""))</f>
        <v/>
      </c>
      <c r="AE68" s="11" t="str">
        <f>IF(DAY(AugSun1)=1,IF(AND(YEAR(AugSun1+22)=CalendarYear,MONTH(AugSun1+22)=8),AugSun1+22,""),IF(AND(YEAR(AugSun1+29)=CalendarYear,MONTH(AugSun1+29)=8),AugSun1+29,""))</f>
        <v/>
      </c>
      <c r="AF68" s="11" t="str">
        <f>IF(DAY(AugSun1)=1,IF(AND(YEAR(AugSun1+23)=CalendarYear,MONTH(AugSun1+23)=8),AugSun1+23,""),IF(AND(YEAR(AugSun1+30)=CalendarYear,MONTH(AugSun1+30)=8),AugSun1+30,""))</f>
        <v/>
      </c>
      <c r="AG68" s="11" t="str">
        <f>IF(DAY(AugSun1)=1,IF(AND(YEAR(AugSun1+24)=CalendarYear,MONTH(AugSun1+24)=8),AugSun1+24,""),IF(AND(YEAR(AugSun1+31)=CalendarYear,MONTH(AugSun1+31)=8),AugSun1+31,""))</f>
        <v/>
      </c>
      <c r="AH68" s="11" t="str">
        <f>IF(DAY(AugSun1)=1,IF(AND(YEAR(AugSun1+25)=CalendarYear,MONTH(AugSun1+25)=8),AugSun1+25,""),IF(AND(YEAR(AugSun1+32)=CalendarYear,MONTH(AugSun1+32)=8),AugSun1+32,""))</f>
        <v/>
      </c>
      <c r="AI68" s="11" t="str">
        <f>IF(DAY(AugSun1)=1,IF(AND(YEAR(AugSun1+26)=CalendarYear,MONTH(AugSun1+26)=8),AugSun1+26,""),IF(AND(YEAR(AugSun1+33)=CalendarYear,MONTH(AugSun1+33)=8),AugSun1+33,""))</f>
        <v/>
      </c>
      <c r="AJ68" s="11" t="str">
        <f>IF(DAY(AugSun1)=1,IF(AND(YEAR(AugSun1+27)=CalendarYear,MONTH(AugSun1+27)=8),AugSun1+27,""),IF(AND(YEAR(AugSun1+34)=CalendarYear,MONTH(AugSun1+34)=8),AugSun1+34,""))</f>
        <v/>
      </c>
      <c r="AK68" s="11" t="str">
        <f>IF(DAY(AugSun1)=1,IF(AND(YEAR(AugSun1+28)=CalendarYear,MONTH(AugSun1+28)=8),AugSun1+28,""),IF(AND(YEAR(AugSun1+35)=CalendarYear,MONTH(AugSun1+35)=8),AugSun1+35,""))</f>
        <v/>
      </c>
      <c r="AL68" s="11" t="str">
        <f>IF(DAY(AugSun1)=1,IF(AND(YEAR(AugSun1+29)=CalendarYear,MONTH(AugSun1+29)=8),AugSun1+29,""),IF(AND(YEAR(AugSun1+36)=CalendarYear,MONTH(AugSun1+36)=8),AugSun1+36,""))</f>
        <v/>
      </c>
      <c r="AM68" s="12" t="str">
        <f>IF(DAY(AugSun1)=1,IF(AND(YEAR(AugSun1+30)=CalendarYear,MONTH(AugSun1+30)=8),AugSun1+30,""),IF(AND(YEAR(AugSun1+37)=CalendarYear,MONTH(AugSun1+37)=8),AugSun1+37,""))</f>
        <v/>
      </c>
    </row>
    <row r="69" spans="2:39" s="9" customFormat="1" ht="18.95" customHeight="1">
      <c r="B69" s="81"/>
      <c r="C69" s="10" t="s">
        <v>0</v>
      </c>
      <c r="D69" s="10" t="s">
        <v>1</v>
      </c>
      <c r="E69" s="10" t="s">
        <v>2</v>
      </c>
      <c r="F69" s="10" t="s">
        <v>3</v>
      </c>
      <c r="G69" s="10" t="s">
        <v>4</v>
      </c>
      <c r="H69" s="10" t="s">
        <v>5</v>
      </c>
      <c r="I69" s="10" t="s">
        <v>6</v>
      </c>
      <c r="J69" s="10" t="s">
        <v>0</v>
      </c>
      <c r="K69" s="10" t="s">
        <v>1</v>
      </c>
      <c r="L69" s="10" t="s">
        <v>2</v>
      </c>
      <c r="M69" s="10" t="s">
        <v>3</v>
      </c>
      <c r="N69" s="10" t="s">
        <v>4</v>
      </c>
      <c r="O69" s="10" t="s">
        <v>5</v>
      </c>
      <c r="P69" s="10" t="s">
        <v>6</v>
      </c>
      <c r="Q69" s="10" t="s">
        <v>0</v>
      </c>
      <c r="R69" s="10" t="s">
        <v>1</v>
      </c>
      <c r="S69" s="10" t="s">
        <v>2</v>
      </c>
      <c r="T69" s="10" t="s">
        <v>3</v>
      </c>
      <c r="U69" s="10" t="s">
        <v>4</v>
      </c>
      <c r="V69" s="10" t="s">
        <v>5</v>
      </c>
      <c r="W69" s="10" t="s">
        <v>6</v>
      </c>
      <c r="X69" s="10" t="s">
        <v>0</v>
      </c>
      <c r="Y69" s="10" t="s">
        <v>1</v>
      </c>
      <c r="Z69" s="10" t="s">
        <v>2</v>
      </c>
      <c r="AA69" s="10" t="s">
        <v>3</v>
      </c>
      <c r="AB69" s="10" t="s">
        <v>4</v>
      </c>
      <c r="AC69" s="10" t="s">
        <v>5</v>
      </c>
      <c r="AD69" s="10" t="s">
        <v>6</v>
      </c>
      <c r="AE69" s="10" t="s">
        <v>0</v>
      </c>
      <c r="AF69" s="10" t="s">
        <v>1</v>
      </c>
      <c r="AG69" s="10" t="s">
        <v>2</v>
      </c>
      <c r="AH69" s="10" t="s">
        <v>3</v>
      </c>
      <c r="AI69" s="10" t="s">
        <v>4</v>
      </c>
      <c r="AJ69" s="10" t="s">
        <v>5</v>
      </c>
      <c r="AK69" s="10" t="s">
        <v>6</v>
      </c>
      <c r="AL69" s="10" t="s">
        <v>0</v>
      </c>
      <c r="AM69" s="13" t="s">
        <v>1</v>
      </c>
    </row>
    <row r="70" spans="2:39" ht="18.95" customHeight="1">
      <c r="B70" s="7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</row>
    <row r="71" spans="2:39" ht="18.95" customHeight="1">
      <c r="B71" s="8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</row>
    <row r="72" spans="2:39" ht="18.95" customHeight="1">
      <c r="B72" s="8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</row>
    <row r="73" spans="2:39" ht="18.95" customHeight="1">
      <c r="B73" s="64" t="s">
        <v>20</v>
      </c>
      <c r="C73" s="61">
        <f>SUMIF('FICHE CHANTIER'!$J:$J,C66,'FICHE CHANTIER'!$K:$K)</f>
        <v>0</v>
      </c>
      <c r="D73" s="61">
        <f>SUMIF('FICHE CHANTIER'!$J:$J,D66,'FICHE CHANTIER'!$K:$K)</f>
        <v>0</v>
      </c>
      <c r="E73" s="61">
        <f>SUMIF('FICHE CHANTIER'!$J:$J,E66,'FICHE CHANTIER'!$K:$K)</f>
        <v>0</v>
      </c>
      <c r="F73" s="61">
        <f>SUMIF('FICHE CHANTIER'!$J:$J,F66,'FICHE CHANTIER'!$K:$K)</f>
        <v>0</v>
      </c>
      <c r="G73" s="61">
        <f>SUMIF('FICHE CHANTIER'!$J:$J,G66,'FICHE CHANTIER'!$K:$K)</f>
        <v>0</v>
      </c>
      <c r="H73" s="61">
        <f>SUMIF('FICHE CHANTIER'!$J:$J,H66,'FICHE CHANTIER'!$K:$K)</f>
        <v>0</v>
      </c>
      <c r="I73" s="61">
        <f>SUMIF('FICHE CHANTIER'!$J:$J,I66,'FICHE CHANTIER'!$K:$K)</f>
        <v>0</v>
      </c>
      <c r="J73" s="61">
        <f>SUMIF('FICHE CHANTIER'!$J:$J,J66,'FICHE CHANTIER'!$K:$K)</f>
        <v>0</v>
      </c>
      <c r="K73" s="61">
        <f>SUMIF('FICHE CHANTIER'!$J:$J,K66,'FICHE CHANTIER'!$K:$K)</f>
        <v>0</v>
      </c>
      <c r="L73" s="61">
        <f>SUMIF('FICHE CHANTIER'!$J:$J,L66,'FICHE CHANTIER'!$K:$K)</f>
        <v>0</v>
      </c>
      <c r="M73" s="61">
        <f>SUMIF('FICHE CHANTIER'!$J:$J,M66,'FICHE CHANTIER'!$K:$K)</f>
        <v>0</v>
      </c>
      <c r="N73" s="61">
        <f>SUMIF('FICHE CHANTIER'!$J:$J,N66,'FICHE CHANTIER'!$K:$K)</f>
        <v>0</v>
      </c>
      <c r="O73" s="61">
        <f>SUMIF('FICHE CHANTIER'!$J:$J,O66,'FICHE CHANTIER'!$K:$K)</f>
        <v>0</v>
      </c>
      <c r="P73" s="61">
        <f>SUMIF('FICHE CHANTIER'!$J:$J,P66,'FICHE CHANTIER'!$K:$K)</f>
        <v>0</v>
      </c>
      <c r="Q73" s="61">
        <f>SUMIF('FICHE CHANTIER'!$J:$J,Q66,'FICHE CHANTIER'!$K:$K)</f>
        <v>0</v>
      </c>
      <c r="R73" s="61">
        <f>SUMIF('FICHE CHANTIER'!$J:$J,R66,'FICHE CHANTIER'!$K:$K)</f>
        <v>0</v>
      </c>
      <c r="S73" s="61">
        <f>SUMIF('FICHE CHANTIER'!$J:$J,S66,'FICHE CHANTIER'!$K:$K)</f>
        <v>0</v>
      </c>
      <c r="T73" s="61">
        <f>SUMIF('FICHE CHANTIER'!$J:$J,T66,'FICHE CHANTIER'!$K:$K)</f>
        <v>0</v>
      </c>
      <c r="U73" s="61">
        <f>SUMIF('FICHE CHANTIER'!$J:$J,U66,'FICHE CHANTIER'!$K:$K)</f>
        <v>0</v>
      </c>
      <c r="V73" s="61">
        <f>SUMIF('FICHE CHANTIER'!$J:$J,V66,'FICHE CHANTIER'!$K:$K)</f>
        <v>0</v>
      </c>
      <c r="W73" s="61">
        <f>SUMIF('FICHE CHANTIER'!$J:$J,W66,'FICHE CHANTIER'!$K:$K)</f>
        <v>0</v>
      </c>
      <c r="X73" s="61">
        <f>SUMIF('FICHE CHANTIER'!$J:$J,X66,'FICHE CHANTIER'!$K:$K)</f>
        <v>0</v>
      </c>
      <c r="Y73" s="61">
        <f>SUMIF('FICHE CHANTIER'!$J:$J,Y66,'FICHE CHANTIER'!$K:$K)</f>
        <v>0</v>
      </c>
      <c r="Z73" s="61">
        <f>SUMIF('FICHE CHANTIER'!$J:$J,Z66,'FICHE CHANTIER'!$K:$K)</f>
        <v>0</v>
      </c>
      <c r="AA73" s="61">
        <f>SUMIF('FICHE CHANTIER'!$J:$J,AA66,'FICHE CHANTIER'!$K:$K)</f>
        <v>0</v>
      </c>
      <c r="AB73" s="61">
        <f>SUMIF('FICHE CHANTIER'!$J:$J,AB66,'FICHE CHANTIER'!$K:$K)</f>
        <v>0</v>
      </c>
      <c r="AC73" s="61">
        <f>SUMIF('FICHE CHANTIER'!$J:$J,AC66,'FICHE CHANTIER'!$K:$K)</f>
        <v>0</v>
      </c>
      <c r="AD73" s="61">
        <f>SUMIF('FICHE CHANTIER'!$J:$J,AD66,'FICHE CHANTIER'!$K:$K)</f>
        <v>0</v>
      </c>
      <c r="AE73" s="61">
        <f>SUMIF('FICHE CHANTIER'!$J:$J,AE66,'FICHE CHANTIER'!$K:$K)</f>
        <v>0</v>
      </c>
      <c r="AF73" s="61">
        <f>SUMIF('FICHE CHANTIER'!$J:$J,AF66,'FICHE CHANTIER'!$K:$K)</f>
        <v>0</v>
      </c>
      <c r="AG73" s="61">
        <f>SUMIF('FICHE CHANTIER'!$J:$J,AG66,'FICHE CHANTIER'!$K:$K)</f>
        <v>0</v>
      </c>
      <c r="AH73" s="61">
        <f>SUMIF('FICHE CHANTIER'!$J:$J,AH66,'FICHE CHANTIER'!$K:$K)</f>
        <v>0</v>
      </c>
      <c r="AI73" s="61">
        <f>SUMIF('FICHE CHANTIER'!$J:$J,AI66,'FICHE CHANTIER'!$K:$K)</f>
        <v>0</v>
      </c>
      <c r="AJ73" s="61">
        <f>SUMIF('FICHE CHANTIER'!$J:$J,AJ66,'FICHE CHANTIER'!$K:$K)</f>
        <v>0</v>
      </c>
      <c r="AK73" s="61">
        <f>SUMIF('FICHE CHANTIER'!$J:$J,AK66,'FICHE CHANTIER'!$K:$K)</f>
        <v>0</v>
      </c>
      <c r="AL73" s="61">
        <f>SUMIF('FICHE CHANTIER'!$J:$J,AL66,'FICHE CHANTIER'!$K:$K)</f>
        <v>0</v>
      </c>
      <c r="AM73" s="61">
        <f>SUMIF('FICHE CHANTIER'!$J:$J,AM66,'FICHE CHANTIER'!$K:$K)</f>
        <v>0</v>
      </c>
    </row>
    <row r="74" spans="2:39" ht="17.100000000000001" customHeight="1"/>
    <row r="75" spans="2:39" s="9" customFormat="1" ht="18.95" customHeight="1">
      <c r="B75" s="82">
        <v>9</v>
      </c>
      <c r="C75" s="11">
        <v>44805</v>
      </c>
      <c r="D75" s="11" t="str">
        <f>IF(DAY(SepSun1)=1,"",IF(AND(YEAR(SepSun1+2)=CalendarYear,MONTH(SepSun1+2)=9),SepSun1+2,""))</f>
        <v/>
      </c>
      <c r="E75" s="11" t="str">
        <f>IF(DAY(SepSun1)=1,"",IF(AND(YEAR(SepSun1+3)=CalendarYear,MONTH(SepSun1+3)=9),SepSun1+3,""))</f>
        <v/>
      </c>
      <c r="F75" s="11" t="str">
        <f>IF(DAY(SepSun1)=1,"",IF(AND(YEAR(SepSun1+4)=CalendarYear,MONTH(SepSun1+4)=9),SepSun1+4,""))</f>
        <v/>
      </c>
      <c r="G75" s="11" t="str">
        <f>IF(DAY(SepSun1)=1,"",IF(AND(YEAR(SepSun1+5)=CalendarYear,MONTH(SepSun1+5)=9),SepSun1+5,""))</f>
        <v/>
      </c>
      <c r="H75" s="11" t="str">
        <f>IF(DAY(SepSun1)=1,"",IF(AND(YEAR(SepSun1+6)=CalendarYear,MONTH(SepSun1+6)=9),SepSun1+6,""))</f>
        <v/>
      </c>
      <c r="I75" s="11" t="str">
        <f>IF(DAY(SepSun1)=1,IF(AND(YEAR(SepSun1)=CalendarYear,MONTH(SepSun1)=9),SepSun1,""),IF(AND(YEAR(SepSun1+7)=CalendarYear,MONTH(SepSun1+7)=9),SepSun1+7,""))</f>
        <v/>
      </c>
      <c r="J75" s="11" t="str">
        <f>IF(DAY(SepSun1)=1,IF(AND(YEAR(SepSun1+1)=CalendarYear,MONTH(SepSun1+1)=9),SepSun1+1,""),IF(AND(YEAR(SepSun1+8)=CalendarYear,MONTH(SepSun1+8)=9),SepSun1+8,""))</f>
        <v/>
      </c>
      <c r="K75" s="11" t="str">
        <f>IF(DAY(SepSun1)=1,IF(AND(YEAR(SepSun1+2)=CalendarYear,MONTH(SepSun1+2)=9),SepSun1+2,""),IF(AND(YEAR(SepSun1+9)=CalendarYear,MONTH(SepSun1+9)=9),SepSun1+9,""))</f>
        <v/>
      </c>
      <c r="L75" s="11" t="str">
        <f>IF(DAY(SepSun1)=1,IF(AND(YEAR(SepSun1+3)=CalendarYear,MONTH(SepSun1+3)=9),SepSun1+3,""),IF(AND(YEAR(SepSun1+10)=CalendarYear,MONTH(SepSun1+10)=9),SepSun1+10,""))</f>
        <v/>
      </c>
      <c r="M75" s="11" t="str">
        <f>IF(DAY(SepSun1)=1,IF(AND(YEAR(SepSun1+4)=CalendarYear,MONTH(SepSun1+4)=9),SepSun1+4,""),IF(AND(YEAR(SepSun1+11)=CalendarYear,MONTH(SepSun1+11)=9),SepSun1+11,""))</f>
        <v/>
      </c>
      <c r="N75" s="11" t="str">
        <f>IF(DAY(SepSun1)=1,IF(AND(YEAR(SepSun1+5)=CalendarYear,MONTH(SepSun1+5)=9),SepSun1+5,""),IF(AND(YEAR(SepSun1+12)=CalendarYear,MONTH(SepSun1+12)=9),SepSun1+12,""))</f>
        <v/>
      </c>
      <c r="O75" s="11" t="str">
        <f>IF(DAY(SepSun1)=1,IF(AND(YEAR(SepSun1+6)=CalendarYear,MONTH(SepSun1+6)=9),SepSun1+6,""),IF(AND(YEAR(SepSun1+13)=CalendarYear,MONTH(SepSun1+13)=9),SepSun1+13,""))</f>
        <v/>
      </c>
      <c r="P75" s="11" t="str">
        <f>IF(DAY(SepSun1)=1,IF(AND(YEAR(SepSun1+7)=CalendarYear,MONTH(SepSun1+7)=9),SepSun1+7,""),IF(AND(YEAR(SepSun1+14)=CalendarYear,MONTH(SepSun1+14)=9),SepSun1+14,""))</f>
        <v/>
      </c>
      <c r="Q75" s="11" t="str">
        <f>IF(DAY(SepSun1)=1,IF(AND(YEAR(SepSun1+8)=CalendarYear,MONTH(SepSun1+8)=9),SepSun1+8,""),IF(AND(YEAR(SepSun1+15)=CalendarYear,MONTH(SepSun1+15)=9),SepSun1+15,""))</f>
        <v/>
      </c>
      <c r="R75" s="11" t="str">
        <f>IF(DAY(SepSun1)=1,IF(AND(YEAR(SepSun1+9)=CalendarYear,MONTH(SepSun1+9)=9),SepSun1+9,""),IF(AND(YEAR(SepSun1+16)=CalendarYear,MONTH(SepSun1+16)=9),SepSun1+16,""))</f>
        <v/>
      </c>
      <c r="S75" s="11" t="str">
        <f>IF(DAY(SepSun1)=1,IF(AND(YEAR(SepSun1+10)=CalendarYear,MONTH(SepSun1+10)=9),SepSun1+10,""),IF(AND(YEAR(SepSun1+17)=CalendarYear,MONTH(SepSun1+17)=9),SepSun1+17,""))</f>
        <v/>
      </c>
      <c r="T75" s="11" t="str">
        <f>IF(DAY(SepSun1)=1,IF(AND(YEAR(SepSun1+11)=CalendarYear,MONTH(SepSun1+11)=9),SepSun1+11,""),IF(AND(YEAR(SepSun1+18)=CalendarYear,MONTH(SepSun1+18)=9),SepSun1+18,""))</f>
        <v/>
      </c>
      <c r="U75" s="11" t="str">
        <f>IF(DAY(SepSun1)=1,IF(AND(YEAR(SepSun1+12)=CalendarYear,MONTH(SepSun1+12)=9),SepSun1+12,""),IF(AND(YEAR(SepSun1+19)=CalendarYear,MONTH(SepSun1+19)=9),SepSun1+19,""))</f>
        <v/>
      </c>
      <c r="V75" s="11" t="str">
        <f>IF(DAY(SepSun1)=1,IF(AND(YEAR(SepSun1+13)=CalendarYear,MONTH(SepSun1+13)=9),SepSun1+13,""),IF(AND(YEAR(SepSun1+20)=CalendarYear,MONTH(SepSun1+20)=9),SepSun1+20,""))</f>
        <v/>
      </c>
      <c r="W75" s="11" t="str">
        <f>IF(DAY(SepSun1)=1,IF(AND(YEAR(SepSun1+14)=CalendarYear,MONTH(SepSun1+14)=9),SepSun1+14,""),IF(AND(YEAR(SepSun1+21)=CalendarYear,MONTH(SepSun1+21)=9),SepSun1+21,""))</f>
        <v/>
      </c>
      <c r="X75" s="11" t="str">
        <f>IF(DAY(SepSun1)=1,IF(AND(YEAR(SepSun1+15)=CalendarYear,MONTH(SepSun1+15)=9),SepSun1+15,""),IF(AND(YEAR(SepSun1+22)=CalendarYear,MONTH(SepSun1+22)=9),SepSun1+22,""))</f>
        <v/>
      </c>
      <c r="Y75" s="11" t="str">
        <f>IF(DAY(SepSun1)=1,IF(AND(YEAR(SepSun1+16)=CalendarYear,MONTH(SepSun1+16)=9),SepSun1+16,""),IF(AND(YEAR(SepSun1+23)=CalendarYear,MONTH(SepSun1+23)=9),SepSun1+23,""))</f>
        <v/>
      </c>
      <c r="Z75" s="11" t="str">
        <f>IF(DAY(SepSun1)=1,IF(AND(YEAR(SepSun1+17)=CalendarYear,MONTH(SepSun1+17)=9),SepSun1+17,""),IF(AND(YEAR(SepSun1+24)=CalendarYear,MONTH(SepSun1+24)=9),SepSun1+24,""))</f>
        <v/>
      </c>
      <c r="AA75" s="11" t="str">
        <f>IF(DAY(SepSun1)=1,IF(AND(YEAR(SepSun1+18)=CalendarYear,MONTH(SepSun1+18)=9),SepSun1+18,""),IF(AND(YEAR(SepSun1+25)=CalendarYear,MONTH(SepSun1+25)=9),SepSun1+25,""))</f>
        <v/>
      </c>
      <c r="AB75" s="11" t="str">
        <f>IF(DAY(SepSun1)=1,IF(AND(YEAR(SepSun1+19)=CalendarYear,MONTH(SepSun1+19)=9),SepSun1+19,""),IF(AND(YEAR(SepSun1+26)=CalendarYear,MONTH(SepSun1+26)=9),SepSun1+26,""))</f>
        <v/>
      </c>
      <c r="AC75" s="11" t="str">
        <f>IF(DAY(SepSun1)=1,IF(AND(YEAR(SepSun1+20)=CalendarYear,MONTH(SepSun1+20)=9),SepSun1+20,""),IF(AND(YEAR(SepSun1+27)=CalendarYear,MONTH(SepSun1+27)=9),SepSun1+27,""))</f>
        <v/>
      </c>
      <c r="AD75" s="11" t="str">
        <f>IF(DAY(SepSun1)=1,IF(AND(YEAR(SepSun1+21)=CalendarYear,MONTH(SepSun1+21)=9),SepSun1+21,""),IF(AND(YEAR(SepSun1+28)=CalendarYear,MONTH(SepSun1+28)=9),SepSun1+28,""))</f>
        <v/>
      </c>
      <c r="AE75" s="11" t="str">
        <f>IF(DAY(SepSun1)=1,IF(AND(YEAR(SepSun1+22)=CalendarYear,MONTH(SepSun1+22)=9),SepSun1+22,""),IF(AND(YEAR(SepSun1+29)=CalendarYear,MONTH(SepSun1+29)=9),SepSun1+29,""))</f>
        <v/>
      </c>
      <c r="AF75" s="11" t="str">
        <f>IF(DAY(SepSun1)=1,IF(AND(YEAR(SepSun1+23)=CalendarYear,MONTH(SepSun1+23)=9),SepSun1+23,""),IF(AND(YEAR(SepSun1+30)=CalendarYear,MONTH(SepSun1+30)=9),SepSun1+30,""))</f>
        <v/>
      </c>
      <c r="AG75" s="11" t="str">
        <f>IF(DAY(SepSun1)=1,IF(AND(YEAR(SepSun1+24)=CalendarYear,MONTH(SepSun1+24)=9),SepSun1+24,""),IF(AND(YEAR(SepSun1+31)=CalendarYear,MONTH(SepSun1+31)=9),SepSun1+31,""))</f>
        <v/>
      </c>
      <c r="AH75" s="11" t="str">
        <f>IF(DAY(SepSun1)=1,IF(AND(YEAR(SepSun1+25)=CalendarYear,MONTH(SepSun1+25)=9),SepSun1+25,""),IF(AND(YEAR(SepSun1+32)=CalendarYear,MONTH(SepSun1+32)=9),SepSun1+32,""))</f>
        <v/>
      </c>
      <c r="AI75" s="11" t="str">
        <f>IF(DAY(SepSun1)=1,IF(AND(YEAR(SepSun1+26)=CalendarYear,MONTH(SepSun1+26)=9),SepSun1+26,""),IF(AND(YEAR(SepSun1+33)=CalendarYear,MONTH(SepSun1+33)=9),SepSun1+33,""))</f>
        <v/>
      </c>
      <c r="AJ75" s="11" t="str">
        <f>IF(DAY(SepSun1)=1,IF(AND(YEAR(SepSun1+27)=CalendarYear,MONTH(SepSun1+27)=9),SepSun1+27,""),IF(AND(YEAR(SepSun1+34)=CalendarYear,MONTH(SepSun1+34)=9),SepSun1+34,""))</f>
        <v/>
      </c>
      <c r="AK75" s="11" t="str">
        <f>IF(DAY(SepSun1)=1,IF(AND(YEAR(SepSun1+28)=CalendarYear,MONTH(SepSun1+28)=9),SepSun1+28,""),IF(AND(YEAR(SepSun1+35)=CalendarYear,MONTH(SepSun1+35)=9),SepSun1+35,""))</f>
        <v/>
      </c>
      <c r="AL75" s="11" t="str">
        <f>IF(DAY(SepSun1)=1,IF(AND(YEAR(SepSun1+29)=CalendarYear,MONTH(SepSun1+29)=9),SepSun1+29,""),IF(AND(YEAR(SepSun1+36)=CalendarYear,MONTH(SepSun1+36)=9),SepSun1+36,""))</f>
        <v/>
      </c>
      <c r="AM75" s="12" t="str">
        <f>IF(DAY(SepSun1)=1,IF(AND(YEAR(SepSun1+30)=CalendarYear,MONTH(SepSun1+30)=9),SepSun1+30,""),IF(AND(YEAR(SepSun1+37)=CalendarYear,MONTH(SepSun1+37)=9),SepSun1+37,""))</f>
        <v/>
      </c>
    </row>
    <row r="76" spans="2:39" s="9" customFormat="1" ht="18.95" customHeight="1">
      <c r="B76" s="82"/>
      <c r="C76" s="10" t="s">
        <v>0</v>
      </c>
      <c r="D76" s="10" t="s">
        <v>1</v>
      </c>
      <c r="E76" s="10" t="s">
        <v>2</v>
      </c>
      <c r="F76" s="10" t="s">
        <v>3</v>
      </c>
      <c r="G76" s="10" t="s">
        <v>4</v>
      </c>
      <c r="H76" s="10" t="s">
        <v>5</v>
      </c>
      <c r="I76" s="10" t="s">
        <v>6</v>
      </c>
      <c r="J76" s="10" t="s">
        <v>0</v>
      </c>
      <c r="K76" s="10" t="s">
        <v>1</v>
      </c>
      <c r="L76" s="10" t="s">
        <v>2</v>
      </c>
      <c r="M76" s="10" t="s">
        <v>3</v>
      </c>
      <c r="N76" s="10" t="s">
        <v>4</v>
      </c>
      <c r="O76" s="10" t="s">
        <v>5</v>
      </c>
      <c r="P76" s="10" t="s">
        <v>6</v>
      </c>
      <c r="Q76" s="10" t="s">
        <v>0</v>
      </c>
      <c r="R76" s="10" t="s">
        <v>1</v>
      </c>
      <c r="S76" s="10" t="s">
        <v>2</v>
      </c>
      <c r="T76" s="10" t="s">
        <v>3</v>
      </c>
      <c r="U76" s="10" t="s">
        <v>4</v>
      </c>
      <c r="V76" s="10" t="s">
        <v>5</v>
      </c>
      <c r="W76" s="10" t="s">
        <v>6</v>
      </c>
      <c r="X76" s="10" t="s">
        <v>0</v>
      </c>
      <c r="Y76" s="10" t="s">
        <v>1</v>
      </c>
      <c r="Z76" s="10" t="s">
        <v>2</v>
      </c>
      <c r="AA76" s="10" t="s">
        <v>3</v>
      </c>
      <c r="AB76" s="10" t="s">
        <v>4</v>
      </c>
      <c r="AC76" s="10" t="s">
        <v>5</v>
      </c>
      <c r="AD76" s="10" t="s">
        <v>6</v>
      </c>
      <c r="AE76" s="10" t="s">
        <v>0</v>
      </c>
      <c r="AF76" s="10" t="s">
        <v>1</v>
      </c>
      <c r="AG76" s="10" t="s">
        <v>2</v>
      </c>
      <c r="AH76" s="10" t="s">
        <v>3</v>
      </c>
      <c r="AI76" s="10" t="s">
        <v>4</v>
      </c>
      <c r="AJ76" s="10" t="s">
        <v>5</v>
      </c>
      <c r="AK76" s="10" t="s">
        <v>6</v>
      </c>
      <c r="AL76" s="10" t="s">
        <v>0</v>
      </c>
      <c r="AM76" s="13" t="s">
        <v>1</v>
      </c>
    </row>
    <row r="77" spans="2:39" ht="18.95" customHeight="1">
      <c r="B77" s="7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</row>
    <row r="78" spans="2:39" ht="18.95" customHeight="1">
      <c r="B78" s="8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</row>
    <row r="79" spans="2:39" ht="18.95" customHeight="1">
      <c r="B79" s="8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</row>
    <row r="80" spans="2:39" ht="18.95" customHeight="1">
      <c r="B80" s="64" t="s">
        <v>20</v>
      </c>
      <c r="C80" s="61">
        <f>SUMIF('FICHE CHANTIER'!$J:$J,C73,'FICHE CHANTIER'!$K:$K)</f>
        <v>0</v>
      </c>
      <c r="D80" s="61">
        <f>SUMIF('FICHE CHANTIER'!$J:$J,D73,'FICHE CHANTIER'!$K:$K)</f>
        <v>0</v>
      </c>
      <c r="E80" s="61">
        <f>SUMIF('FICHE CHANTIER'!$J:$J,E73,'FICHE CHANTIER'!$K:$K)</f>
        <v>0</v>
      </c>
      <c r="F80" s="61">
        <f>SUMIF('FICHE CHANTIER'!$J:$J,F73,'FICHE CHANTIER'!$K:$K)</f>
        <v>0</v>
      </c>
      <c r="G80" s="61">
        <f>SUMIF('FICHE CHANTIER'!$J:$J,G73,'FICHE CHANTIER'!$K:$K)</f>
        <v>0</v>
      </c>
      <c r="H80" s="61">
        <f>SUMIF('FICHE CHANTIER'!$J:$J,H73,'FICHE CHANTIER'!$K:$K)</f>
        <v>0</v>
      </c>
      <c r="I80" s="61">
        <f>SUMIF('FICHE CHANTIER'!$J:$J,I73,'FICHE CHANTIER'!$K:$K)</f>
        <v>0</v>
      </c>
      <c r="J80" s="61">
        <f>SUMIF('FICHE CHANTIER'!$J:$J,J73,'FICHE CHANTIER'!$K:$K)</f>
        <v>0</v>
      </c>
      <c r="K80" s="61">
        <f>SUMIF('FICHE CHANTIER'!$J:$J,K73,'FICHE CHANTIER'!$K:$K)</f>
        <v>0</v>
      </c>
      <c r="L80" s="61">
        <f>SUMIF('FICHE CHANTIER'!$J:$J,L73,'FICHE CHANTIER'!$K:$K)</f>
        <v>0</v>
      </c>
      <c r="M80" s="61">
        <f>SUMIF('FICHE CHANTIER'!$J:$J,M73,'FICHE CHANTIER'!$K:$K)</f>
        <v>0</v>
      </c>
      <c r="N80" s="61">
        <f>SUMIF('FICHE CHANTIER'!$J:$J,N73,'FICHE CHANTIER'!$K:$K)</f>
        <v>0</v>
      </c>
      <c r="O80" s="61">
        <f>SUMIF('FICHE CHANTIER'!$J:$J,O73,'FICHE CHANTIER'!$K:$K)</f>
        <v>0</v>
      </c>
      <c r="P80" s="61">
        <f>SUMIF('FICHE CHANTIER'!$J:$J,P73,'FICHE CHANTIER'!$K:$K)</f>
        <v>0</v>
      </c>
      <c r="Q80" s="61">
        <f>SUMIF('FICHE CHANTIER'!$J:$J,Q73,'FICHE CHANTIER'!$K:$K)</f>
        <v>0</v>
      </c>
      <c r="R80" s="61">
        <f>SUMIF('FICHE CHANTIER'!$J:$J,R73,'FICHE CHANTIER'!$K:$K)</f>
        <v>0</v>
      </c>
      <c r="S80" s="61">
        <f>SUMIF('FICHE CHANTIER'!$J:$J,S73,'FICHE CHANTIER'!$K:$K)</f>
        <v>0</v>
      </c>
      <c r="T80" s="61">
        <f>SUMIF('FICHE CHANTIER'!$J:$J,T73,'FICHE CHANTIER'!$K:$K)</f>
        <v>0</v>
      </c>
      <c r="U80" s="61">
        <f>SUMIF('FICHE CHANTIER'!$J:$J,U73,'FICHE CHANTIER'!$K:$K)</f>
        <v>0</v>
      </c>
      <c r="V80" s="61">
        <f>SUMIF('FICHE CHANTIER'!$J:$J,V73,'FICHE CHANTIER'!$K:$K)</f>
        <v>0</v>
      </c>
      <c r="W80" s="61">
        <f>SUMIF('FICHE CHANTIER'!$J:$J,W73,'FICHE CHANTIER'!$K:$K)</f>
        <v>0</v>
      </c>
      <c r="X80" s="61">
        <f>SUMIF('FICHE CHANTIER'!$J:$J,X73,'FICHE CHANTIER'!$K:$K)</f>
        <v>0</v>
      </c>
      <c r="Y80" s="61">
        <f>SUMIF('FICHE CHANTIER'!$J:$J,Y73,'FICHE CHANTIER'!$K:$K)</f>
        <v>0</v>
      </c>
      <c r="Z80" s="61">
        <f>SUMIF('FICHE CHANTIER'!$J:$J,Z73,'FICHE CHANTIER'!$K:$K)</f>
        <v>0</v>
      </c>
      <c r="AA80" s="61">
        <f>SUMIF('FICHE CHANTIER'!$J:$J,AA73,'FICHE CHANTIER'!$K:$K)</f>
        <v>0</v>
      </c>
      <c r="AB80" s="61">
        <f>SUMIF('FICHE CHANTIER'!$J:$J,AB73,'FICHE CHANTIER'!$K:$K)</f>
        <v>0</v>
      </c>
      <c r="AC80" s="61">
        <f>SUMIF('FICHE CHANTIER'!$J:$J,AC73,'FICHE CHANTIER'!$K:$K)</f>
        <v>0</v>
      </c>
      <c r="AD80" s="61">
        <f>SUMIF('FICHE CHANTIER'!$J:$J,AD73,'FICHE CHANTIER'!$K:$K)</f>
        <v>0</v>
      </c>
      <c r="AE80" s="61">
        <f>SUMIF('FICHE CHANTIER'!$J:$J,AE73,'FICHE CHANTIER'!$K:$K)</f>
        <v>0</v>
      </c>
      <c r="AF80" s="61">
        <f>SUMIF('FICHE CHANTIER'!$J:$J,AF73,'FICHE CHANTIER'!$K:$K)</f>
        <v>0</v>
      </c>
      <c r="AG80" s="61">
        <f>SUMIF('FICHE CHANTIER'!$J:$J,AG73,'FICHE CHANTIER'!$K:$K)</f>
        <v>0</v>
      </c>
      <c r="AH80" s="61">
        <f>SUMIF('FICHE CHANTIER'!$J:$J,AH73,'FICHE CHANTIER'!$K:$K)</f>
        <v>0</v>
      </c>
      <c r="AI80" s="61">
        <f>SUMIF('FICHE CHANTIER'!$J:$J,AI73,'FICHE CHANTIER'!$K:$K)</f>
        <v>0</v>
      </c>
      <c r="AJ80" s="61">
        <f>SUMIF('FICHE CHANTIER'!$J:$J,AJ73,'FICHE CHANTIER'!$K:$K)</f>
        <v>0</v>
      </c>
      <c r="AK80" s="61">
        <f>SUMIF('FICHE CHANTIER'!$J:$J,AK73,'FICHE CHANTIER'!$K:$K)</f>
        <v>0</v>
      </c>
      <c r="AL80" s="61">
        <f>SUMIF('FICHE CHANTIER'!$J:$J,AL73,'FICHE CHANTIER'!$K:$K)</f>
        <v>0</v>
      </c>
      <c r="AM80" s="61">
        <f>SUMIF('FICHE CHANTIER'!$J:$J,AM73,'FICHE CHANTIER'!$K:$K)</f>
        <v>0</v>
      </c>
    </row>
    <row r="81" spans="2:39" ht="15.95" customHeight="1"/>
    <row r="82" spans="2:39" s="9" customFormat="1" ht="18.95" customHeight="1">
      <c r="B82" s="75">
        <v>10</v>
      </c>
      <c r="C82" s="11">
        <v>44835</v>
      </c>
      <c r="D82" s="11" t="str">
        <f>IF(DAY(OctSun1)=1,"",IF(AND(YEAR(OctSun1+2)=CalendarYear,MONTH(OctSun1+2)=10),OctSun1+2,""))</f>
        <v/>
      </c>
      <c r="E82" s="11" t="str">
        <f>IF(DAY(OctSun1)=1,"",IF(AND(YEAR(OctSun1+3)=CalendarYear,MONTH(OctSun1+3)=10),OctSun1+3,""))</f>
        <v/>
      </c>
      <c r="F82" s="11" t="str">
        <f>IF(DAY(OctSun1)=1,"",IF(AND(YEAR(OctSun1+4)=CalendarYear,MONTH(OctSun1+4)=10),OctSun1+4,""))</f>
        <v/>
      </c>
      <c r="G82" s="11" t="str">
        <f>IF(DAY(OctSun1)=1,"",IF(AND(YEAR(OctSun1+5)=CalendarYear,MONTH(OctSun1+5)=10),OctSun1+5,""))</f>
        <v/>
      </c>
      <c r="H82" s="11" t="str">
        <f>IF(DAY(OctSun1)=1,"",IF(AND(YEAR(OctSun1+6)=CalendarYear,MONTH(OctSun1+6)=10),OctSun1+6,""))</f>
        <v/>
      </c>
      <c r="I82" s="11" t="str">
        <f>IF(DAY(OctSun1)=1,IF(AND(YEAR(OctSun1)=CalendarYear,MONTH(OctSun1)=10),OctSun1,""),IF(AND(YEAR(OctSun1+7)=CalendarYear,MONTH(OctSun1+7)=10),OctSun1+7,""))</f>
        <v/>
      </c>
      <c r="J82" s="11" t="str">
        <f>IF(DAY(OctSun1)=1,IF(AND(YEAR(OctSun1+1)=CalendarYear,MONTH(OctSun1+1)=10),OctSun1+1,""),IF(AND(YEAR(OctSun1+8)=CalendarYear,MONTH(OctSun1+8)=10),OctSun1+8,""))</f>
        <v/>
      </c>
      <c r="K82" s="11" t="str">
        <f>IF(DAY(OctSun1)=1,IF(AND(YEAR(OctSun1+2)=CalendarYear,MONTH(OctSun1+2)=10),OctSun1+2,""),IF(AND(YEAR(OctSun1+9)=CalendarYear,MONTH(OctSun1+9)=10),OctSun1+9,""))</f>
        <v/>
      </c>
      <c r="L82" s="11" t="str">
        <f>IF(DAY(OctSun1)=1,IF(AND(YEAR(OctSun1+3)=CalendarYear,MONTH(OctSun1+3)=10),OctSun1+3,""),IF(AND(YEAR(OctSun1+10)=CalendarYear,MONTH(OctSun1+10)=10),OctSun1+10,""))</f>
        <v/>
      </c>
      <c r="M82" s="11" t="str">
        <f>IF(DAY(OctSun1)=1,IF(AND(YEAR(OctSun1+4)=CalendarYear,MONTH(OctSun1+4)=10),OctSun1+4,""),IF(AND(YEAR(OctSun1+11)=CalendarYear,MONTH(OctSun1+11)=10),OctSun1+11,""))</f>
        <v/>
      </c>
      <c r="N82" s="11" t="str">
        <f>IF(DAY(OctSun1)=1,IF(AND(YEAR(OctSun1+5)=CalendarYear,MONTH(OctSun1+5)=10),OctSun1+5,""),IF(AND(YEAR(OctSun1+12)=CalendarYear,MONTH(OctSun1+12)=10),OctSun1+12,""))</f>
        <v/>
      </c>
      <c r="O82" s="11" t="str">
        <f>IF(DAY(OctSun1)=1,IF(AND(YEAR(OctSun1+6)=CalendarYear,MONTH(OctSun1+6)=10),OctSun1+6,""),IF(AND(YEAR(OctSun1+13)=CalendarYear,MONTH(OctSun1+13)=10),OctSun1+13,""))</f>
        <v/>
      </c>
      <c r="P82" s="11" t="str">
        <f>IF(DAY(OctSun1)=1,IF(AND(YEAR(OctSun1+7)=CalendarYear,MONTH(OctSun1+7)=10),OctSun1+7,""),IF(AND(YEAR(OctSun1+14)=CalendarYear,MONTH(OctSun1+14)=10),OctSun1+14,""))</f>
        <v/>
      </c>
      <c r="Q82" s="11" t="str">
        <f>IF(DAY(OctSun1)=1,IF(AND(YEAR(OctSun1+8)=CalendarYear,MONTH(OctSun1+8)=10),OctSun1+8,""),IF(AND(YEAR(OctSun1+15)=CalendarYear,MONTH(OctSun1+15)=10),OctSun1+15,""))</f>
        <v/>
      </c>
      <c r="R82" s="11" t="str">
        <f>IF(DAY(OctSun1)=1,IF(AND(YEAR(OctSun1+9)=CalendarYear,MONTH(OctSun1+9)=10),OctSun1+9,""),IF(AND(YEAR(OctSun1+16)=CalendarYear,MONTH(OctSun1+16)=10),OctSun1+16,""))</f>
        <v/>
      </c>
      <c r="S82" s="11" t="str">
        <f>IF(DAY(OctSun1)=1,IF(AND(YEAR(OctSun1+10)=CalendarYear,MONTH(OctSun1+10)=10),OctSun1+10,""),IF(AND(YEAR(OctSun1+17)=CalendarYear,MONTH(OctSun1+17)=10),OctSun1+17,""))</f>
        <v/>
      </c>
      <c r="T82" s="11" t="str">
        <f>IF(DAY(OctSun1)=1,IF(AND(YEAR(OctSun1+11)=CalendarYear,MONTH(OctSun1+11)=10),OctSun1+11,""),IF(AND(YEAR(OctSun1+18)=CalendarYear,MONTH(OctSun1+18)=10),OctSun1+18,""))</f>
        <v/>
      </c>
      <c r="U82" s="11" t="str">
        <f>IF(DAY(OctSun1)=1,IF(AND(YEAR(OctSun1+12)=CalendarYear,MONTH(OctSun1+12)=10),OctSun1+12,""),IF(AND(YEAR(OctSun1+19)=CalendarYear,MONTH(OctSun1+19)=10),OctSun1+19,""))</f>
        <v/>
      </c>
      <c r="V82" s="11" t="str">
        <f>IF(DAY(OctSun1)=1,IF(AND(YEAR(OctSun1+13)=CalendarYear,MONTH(OctSun1+13)=10),OctSun1+13,""),IF(AND(YEAR(OctSun1+20)=CalendarYear,MONTH(OctSun1+20)=10),OctSun1+20,""))</f>
        <v/>
      </c>
      <c r="W82" s="11" t="str">
        <f>IF(DAY(OctSun1)=1,IF(AND(YEAR(OctSun1+14)=CalendarYear,MONTH(OctSun1+14)=10),OctSun1+14,""),IF(AND(YEAR(OctSun1+21)=CalendarYear,MONTH(OctSun1+21)=10),OctSun1+21,""))</f>
        <v/>
      </c>
      <c r="X82" s="11" t="str">
        <f>IF(DAY(OctSun1)=1,IF(AND(YEAR(OctSun1+15)=CalendarYear,MONTH(OctSun1+15)=10),OctSun1+15,""),IF(AND(YEAR(OctSun1+22)=CalendarYear,MONTH(OctSun1+22)=10),OctSun1+22,""))</f>
        <v/>
      </c>
      <c r="Y82" s="11" t="str">
        <f>IF(DAY(OctSun1)=1,IF(AND(YEAR(OctSun1+16)=CalendarYear,MONTH(OctSun1+16)=10),OctSun1+16,""),IF(AND(YEAR(OctSun1+23)=CalendarYear,MONTH(OctSun1+23)=10),OctSun1+23,""))</f>
        <v/>
      </c>
      <c r="Z82" s="11" t="str">
        <f>IF(DAY(OctSun1)=1,IF(AND(YEAR(OctSun1+17)=CalendarYear,MONTH(OctSun1+17)=10),OctSun1+17,""),IF(AND(YEAR(OctSun1+24)=CalendarYear,MONTH(OctSun1+24)=10),OctSun1+24,""))</f>
        <v/>
      </c>
      <c r="AA82" s="11" t="str">
        <f>IF(DAY(OctSun1)=1,IF(AND(YEAR(OctSun1+18)=CalendarYear,MONTH(OctSun1+18)=10),OctSun1+18,""),IF(AND(YEAR(OctSun1+25)=CalendarYear,MONTH(OctSun1+25)=10),OctSun1+25,""))</f>
        <v/>
      </c>
      <c r="AB82" s="11" t="str">
        <f>IF(DAY(OctSun1)=1,IF(AND(YEAR(OctSun1+19)=CalendarYear,MONTH(OctSun1+19)=10),OctSun1+19,""),IF(AND(YEAR(OctSun1+26)=CalendarYear,MONTH(OctSun1+26)=10),OctSun1+26,""))</f>
        <v/>
      </c>
      <c r="AC82" s="11" t="str">
        <f>IF(DAY(OctSun1)=1,IF(AND(YEAR(OctSun1+20)=CalendarYear,MONTH(OctSun1+20)=10),OctSun1+20,""),IF(AND(YEAR(OctSun1+27)=CalendarYear,MONTH(OctSun1+27)=10),OctSun1+27,""))</f>
        <v/>
      </c>
      <c r="AD82" s="11" t="str">
        <f>IF(DAY(OctSun1)=1,IF(AND(YEAR(OctSun1+21)=CalendarYear,MONTH(OctSun1+21)=10),OctSun1+21,""),IF(AND(YEAR(OctSun1+28)=CalendarYear,MONTH(OctSun1+28)=10),OctSun1+28,""))</f>
        <v/>
      </c>
      <c r="AE82" s="11" t="str">
        <f>IF(DAY(OctSun1)=1,IF(AND(YEAR(OctSun1+22)=CalendarYear,MONTH(OctSun1+22)=10),OctSun1+22,""),IF(AND(YEAR(OctSun1+29)=CalendarYear,MONTH(OctSun1+29)=10),OctSun1+29,""))</f>
        <v/>
      </c>
      <c r="AF82" s="11" t="str">
        <f>IF(DAY(OctSun1)=1,IF(AND(YEAR(OctSun1+23)=CalendarYear,MONTH(OctSun1+23)=10),OctSun1+23,""),IF(AND(YEAR(OctSun1+30)=CalendarYear,MONTH(OctSun1+30)=10),OctSun1+30,""))</f>
        <v/>
      </c>
      <c r="AG82" s="11" t="str">
        <f>IF(DAY(OctSun1)=1,IF(AND(YEAR(OctSun1+24)=CalendarYear,MONTH(OctSun1+24)=10),OctSun1+24,""),IF(AND(YEAR(OctSun1+31)=CalendarYear,MONTH(OctSun1+31)=10),OctSun1+31,""))</f>
        <v/>
      </c>
      <c r="AH82" s="11" t="str">
        <f>IF(DAY(OctSun1)=1,IF(AND(YEAR(OctSun1+25)=CalendarYear,MONTH(OctSun1+25)=10),OctSun1+25,""),IF(AND(YEAR(OctSun1+32)=CalendarYear,MONTH(OctSun1+32)=10),OctSun1+32,""))</f>
        <v/>
      </c>
      <c r="AI82" s="11" t="str">
        <f>IF(DAY(OctSun1)=1,IF(AND(YEAR(OctSun1+26)=CalendarYear,MONTH(OctSun1+26)=10),OctSun1+26,""),IF(AND(YEAR(OctSun1+33)=CalendarYear,MONTH(OctSun1+33)=10),OctSun1+33,""))</f>
        <v/>
      </c>
      <c r="AJ82" s="11" t="str">
        <f>IF(DAY(OctSun1)=1,IF(AND(YEAR(OctSun1+27)=CalendarYear,MONTH(OctSun1+27)=10),OctSun1+27,""),IF(AND(YEAR(OctSun1+34)=CalendarYear,MONTH(OctSun1+34)=10),OctSun1+34,""))</f>
        <v/>
      </c>
      <c r="AK82" s="11" t="str">
        <f>IF(DAY(OctSun1)=1,IF(AND(YEAR(OctSun1+28)=CalendarYear,MONTH(OctSun1+28)=10),OctSun1+28,""),IF(AND(YEAR(OctSun1+35)=CalendarYear,MONTH(OctSun1+35)=10),OctSun1+35,""))</f>
        <v/>
      </c>
      <c r="AL82" s="11" t="str">
        <f>IF(DAY(OctSun1)=1,IF(AND(YEAR(OctSun1+29)=CalendarYear,MONTH(OctSun1+29)=10),OctSun1+29,""),IF(AND(YEAR(OctSun1+36)=CalendarYear,MONTH(OctSun1+36)=10),OctSun1+36,""))</f>
        <v/>
      </c>
      <c r="AM82" s="12" t="str">
        <f>IF(DAY(OctSun1)=1,IF(AND(YEAR(OctSun1+30)=CalendarYear,MONTH(OctSun1+30)=10),OctSun1+30,""),IF(AND(YEAR(OctSun1+37)=CalendarYear,MONTH(OctSun1+37)=10),OctSun1+37,""))</f>
        <v/>
      </c>
    </row>
    <row r="83" spans="2:39" s="9" customFormat="1" ht="18.95" customHeight="1">
      <c r="B83" s="75"/>
      <c r="C83" s="10" t="s">
        <v>0</v>
      </c>
      <c r="D83" s="10" t="s">
        <v>1</v>
      </c>
      <c r="E83" s="10" t="s">
        <v>2</v>
      </c>
      <c r="F83" s="10" t="s">
        <v>3</v>
      </c>
      <c r="G83" s="10" t="s">
        <v>4</v>
      </c>
      <c r="H83" s="10" t="s">
        <v>5</v>
      </c>
      <c r="I83" s="10" t="s">
        <v>6</v>
      </c>
      <c r="J83" s="10" t="s">
        <v>0</v>
      </c>
      <c r="K83" s="10" t="s">
        <v>1</v>
      </c>
      <c r="L83" s="10" t="s">
        <v>2</v>
      </c>
      <c r="M83" s="10" t="s">
        <v>3</v>
      </c>
      <c r="N83" s="10" t="s">
        <v>4</v>
      </c>
      <c r="O83" s="10" t="s">
        <v>5</v>
      </c>
      <c r="P83" s="10" t="s">
        <v>6</v>
      </c>
      <c r="Q83" s="10" t="s">
        <v>0</v>
      </c>
      <c r="R83" s="10" t="s">
        <v>1</v>
      </c>
      <c r="S83" s="10" t="s">
        <v>2</v>
      </c>
      <c r="T83" s="10" t="s">
        <v>3</v>
      </c>
      <c r="U83" s="10" t="s">
        <v>4</v>
      </c>
      <c r="V83" s="10" t="s">
        <v>5</v>
      </c>
      <c r="W83" s="10" t="s">
        <v>6</v>
      </c>
      <c r="X83" s="10" t="s">
        <v>0</v>
      </c>
      <c r="Y83" s="10" t="s">
        <v>1</v>
      </c>
      <c r="Z83" s="10" t="s">
        <v>2</v>
      </c>
      <c r="AA83" s="10" t="s">
        <v>3</v>
      </c>
      <c r="AB83" s="10" t="s">
        <v>4</v>
      </c>
      <c r="AC83" s="10" t="s">
        <v>5</v>
      </c>
      <c r="AD83" s="10" t="s">
        <v>6</v>
      </c>
      <c r="AE83" s="10" t="s">
        <v>0</v>
      </c>
      <c r="AF83" s="10" t="s">
        <v>1</v>
      </c>
      <c r="AG83" s="10" t="s">
        <v>2</v>
      </c>
      <c r="AH83" s="10" t="s">
        <v>3</v>
      </c>
      <c r="AI83" s="10" t="s">
        <v>4</v>
      </c>
      <c r="AJ83" s="10" t="s">
        <v>5</v>
      </c>
      <c r="AK83" s="10" t="s">
        <v>6</v>
      </c>
      <c r="AL83" s="10" t="s">
        <v>0</v>
      </c>
      <c r="AM83" s="13" t="s">
        <v>1</v>
      </c>
    </row>
    <row r="84" spans="2:39" ht="18.95" customHeight="1">
      <c r="B84" s="7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</row>
    <row r="85" spans="2:39" ht="18.95" customHeight="1"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</row>
    <row r="86" spans="2:39" ht="18.95" customHeight="1">
      <c r="B86" s="8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</row>
    <row r="87" spans="2:39" ht="18.95" customHeight="1">
      <c r="B87" s="64" t="s">
        <v>20</v>
      </c>
      <c r="C87" s="61">
        <f>SUMIF('FICHE CHANTIER'!$J:$J,C80,'FICHE CHANTIER'!$K:$K)</f>
        <v>0</v>
      </c>
      <c r="D87" s="61">
        <f>SUMIF('FICHE CHANTIER'!$J:$J,D80,'FICHE CHANTIER'!$K:$K)</f>
        <v>0</v>
      </c>
      <c r="E87" s="61">
        <f>SUMIF('FICHE CHANTIER'!$J:$J,E80,'FICHE CHANTIER'!$K:$K)</f>
        <v>0</v>
      </c>
      <c r="F87" s="61">
        <f>SUMIF('FICHE CHANTIER'!$J:$J,F80,'FICHE CHANTIER'!$K:$K)</f>
        <v>0</v>
      </c>
      <c r="G87" s="61">
        <f>SUMIF('FICHE CHANTIER'!$J:$J,G80,'FICHE CHANTIER'!$K:$K)</f>
        <v>0</v>
      </c>
      <c r="H87" s="61">
        <f>SUMIF('FICHE CHANTIER'!$J:$J,H80,'FICHE CHANTIER'!$K:$K)</f>
        <v>0</v>
      </c>
      <c r="I87" s="61">
        <f>SUMIF('FICHE CHANTIER'!$J:$J,I80,'FICHE CHANTIER'!$K:$K)</f>
        <v>0</v>
      </c>
      <c r="J87" s="61">
        <f>SUMIF('FICHE CHANTIER'!$J:$J,J80,'FICHE CHANTIER'!$K:$K)</f>
        <v>0</v>
      </c>
      <c r="K87" s="61">
        <f>SUMIF('FICHE CHANTIER'!$J:$J,K80,'FICHE CHANTIER'!$K:$K)</f>
        <v>0</v>
      </c>
      <c r="L87" s="61">
        <f>SUMIF('FICHE CHANTIER'!$J:$J,L80,'FICHE CHANTIER'!$K:$K)</f>
        <v>0</v>
      </c>
      <c r="M87" s="61">
        <f>SUMIF('FICHE CHANTIER'!$J:$J,M80,'FICHE CHANTIER'!$K:$K)</f>
        <v>0</v>
      </c>
      <c r="N87" s="61">
        <f>SUMIF('FICHE CHANTIER'!$J:$J,N80,'FICHE CHANTIER'!$K:$K)</f>
        <v>0</v>
      </c>
      <c r="O87" s="61">
        <f>SUMIF('FICHE CHANTIER'!$J:$J,O80,'FICHE CHANTIER'!$K:$K)</f>
        <v>0</v>
      </c>
      <c r="P87" s="61">
        <f>SUMIF('FICHE CHANTIER'!$J:$J,P80,'FICHE CHANTIER'!$K:$K)</f>
        <v>0</v>
      </c>
      <c r="Q87" s="61">
        <f>SUMIF('FICHE CHANTIER'!$J:$J,Q80,'FICHE CHANTIER'!$K:$K)</f>
        <v>0</v>
      </c>
      <c r="R87" s="61">
        <f>SUMIF('FICHE CHANTIER'!$J:$J,R80,'FICHE CHANTIER'!$K:$K)</f>
        <v>0</v>
      </c>
      <c r="S87" s="61">
        <f>SUMIF('FICHE CHANTIER'!$J:$J,S80,'FICHE CHANTIER'!$K:$K)</f>
        <v>0</v>
      </c>
      <c r="T87" s="61">
        <f>SUMIF('FICHE CHANTIER'!$J:$J,T80,'FICHE CHANTIER'!$K:$K)</f>
        <v>0</v>
      </c>
      <c r="U87" s="61">
        <f>SUMIF('FICHE CHANTIER'!$J:$J,U80,'FICHE CHANTIER'!$K:$K)</f>
        <v>0</v>
      </c>
      <c r="V87" s="61">
        <f>SUMIF('FICHE CHANTIER'!$J:$J,V80,'FICHE CHANTIER'!$K:$K)</f>
        <v>0</v>
      </c>
      <c r="W87" s="61">
        <f>SUMIF('FICHE CHANTIER'!$J:$J,W80,'FICHE CHANTIER'!$K:$K)</f>
        <v>0</v>
      </c>
      <c r="X87" s="61">
        <f>SUMIF('FICHE CHANTIER'!$J:$J,X80,'FICHE CHANTIER'!$K:$K)</f>
        <v>0</v>
      </c>
      <c r="Y87" s="61">
        <f>SUMIF('FICHE CHANTIER'!$J:$J,Y80,'FICHE CHANTIER'!$K:$K)</f>
        <v>0</v>
      </c>
      <c r="Z87" s="61">
        <f>SUMIF('FICHE CHANTIER'!$J:$J,Z80,'FICHE CHANTIER'!$K:$K)</f>
        <v>0</v>
      </c>
      <c r="AA87" s="61">
        <f>SUMIF('FICHE CHANTIER'!$J:$J,AA80,'FICHE CHANTIER'!$K:$K)</f>
        <v>0</v>
      </c>
      <c r="AB87" s="61">
        <f>SUMIF('FICHE CHANTIER'!$J:$J,AB80,'FICHE CHANTIER'!$K:$K)</f>
        <v>0</v>
      </c>
      <c r="AC87" s="61">
        <f>SUMIF('FICHE CHANTIER'!$J:$J,AC80,'FICHE CHANTIER'!$K:$K)</f>
        <v>0</v>
      </c>
      <c r="AD87" s="61">
        <f>SUMIF('FICHE CHANTIER'!$J:$J,AD80,'FICHE CHANTIER'!$K:$K)</f>
        <v>0</v>
      </c>
      <c r="AE87" s="61">
        <f>SUMIF('FICHE CHANTIER'!$J:$J,AE80,'FICHE CHANTIER'!$K:$K)</f>
        <v>0</v>
      </c>
      <c r="AF87" s="61">
        <f>SUMIF('FICHE CHANTIER'!$J:$J,AF80,'FICHE CHANTIER'!$K:$K)</f>
        <v>0</v>
      </c>
      <c r="AG87" s="61">
        <f>SUMIF('FICHE CHANTIER'!$J:$J,AG80,'FICHE CHANTIER'!$K:$K)</f>
        <v>0</v>
      </c>
      <c r="AH87" s="61">
        <f>SUMIF('FICHE CHANTIER'!$J:$J,AH80,'FICHE CHANTIER'!$K:$K)</f>
        <v>0</v>
      </c>
      <c r="AI87" s="61">
        <f>SUMIF('FICHE CHANTIER'!$J:$J,AI80,'FICHE CHANTIER'!$K:$K)</f>
        <v>0</v>
      </c>
      <c r="AJ87" s="61">
        <f>SUMIF('FICHE CHANTIER'!$J:$J,AJ80,'FICHE CHANTIER'!$K:$K)</f>
        <v>0</v>
      </c>
      <c r="AK87" s="61">
        <f>SUMIF('FICHE CHANTIER'!$J:$J,AK80,'FICHE CHANTIER'!$K:$K)</f>
        <v>0</v>
      </c>
      <c r="AL87" s="61">
        <f>SUMIF('FICHE CHANTIER'!$J:$J,AL80,'FICHE CHANTIER'!$K:$K)</f>
        <v>0</v>
      </c>
      <c r="AM87" s="61">
        <f>SUMIF('FICHE CHANTIER'!$J:$J,AM80,'FICHE CHANTIER'!$K:$K)</f>
        <v>0</v>
      </c>
    </row>
    <row r="88" spans="2:39" ht="17.100000000000001" customHeight="1"/>
    <row r="89" spans="2:39" s="9" customFormat="1" ht="18.95" customHeight="1">
      <c r="B89" s="76">
        <v>11</v>
      </c>
      <c r="C89" s="11">
        <v>44866</v>
      </c>
      <c r="D89" s="11" t="str">
        <f>IF(DAY(NovSun1)=1,"",IF(AND(YEAR(NovSun1+2)=CalendarYear,MONTH(NovSun1+2)=11),NovSun1+2,""))</f>
        <v/>
      </c>
      <c r="E89" s="11" t="str">
        <f>IF(DAY(NovSun1)=1,"",IF(AND(YEAR(NovSun1+3)=CalendarYear,MONTH(NovSun1+3)=11),NovSun1+3,""))</f>
        <v/>
      </c>
      <c r="F89" s="11" t="str">
        <f>IF(DAY(NovSun1)=1,"",IF(AND(YEAR(NovSun1+4)=CalendarYear,MONTH(NovSun1+4)=11),NovSun1+4,""))</f>
        <v/>
      </c>
      <c r="G89" s="11" t="str">
        <f>IF(DAY(NovSun1)=1,"",IF(AND(YEAR(NovSun1+5)=CalendarYear,MONTH(NovSun1+5)=11),NovSun1+5,""))</f>
        <v/>
      </c>
      <c r="H89" s="11" t="str">
        <f>IF(DAY(NovSun1)=1,"",IF(AND(YEAR(NovSun1+6)=CalendarYear,MONTH(NovSun1+6)=11),NovSun1+6,""))</f>
        <v/>
      </c>
      <c r="I89" s="11" t="str">
        <f>IF(DAY(NovSun1)=1,IF(AND(YEAR(NovSun1)=CalendarYear,MONTH(NovSun1)=11),NovSun1,""),IF(AND(YEAR(NovSun1+7)=CalendarYear,MONTH(NovSun1+7)=11),NovSun1+7,""))</f>
        <v/>
      </c>
      <c r="J89" s="11" t="str">
        <f>IF(DAY(NovSun1)=1,IF(AND(YEAR(NovSun1+1)=CalendarYear,MONTH(NovSun1+1)=11),NovSun1+1,""),IF(AND(YEAR(NovSun1+8)=CalendarYear,MONTH(NovSun1+8)=11),NovSun1+8,""))</f>
        <v/>
      </c>
      <c r="K89" s="11" t="str">
        <f>IF(DAY(NovSun1)=1,IF(AND(YEAR(NovSun1+2)=CalendarYear,MONTH(NovSun1+2)=11),NovSun1+2,""),IF(AND(YEAR(NovSun1+9)=CalendarYear,MONTH(NovSun1+9)=11),NovSun1+9,""))</f>
        <v/>
      </c>
      <c r="L89" s="11" t="str">
        <f>IF(DAY(NovSun1)=1,IF(AND(YEAR(NovSun1+3)=CalendarYear,MONTH(NovSun1+3)=11),NovSun1+3,""),IF(AND(YEAR(NovSun1+10)=CalendarYear,MONTH(NovSun1+10)=11),NovSun1+10,""))</f>
        <v/>
      </c>
      <c r="M89" s="11" t="str">
        <f>IF(DAY(NovSun1)=1,IF(AND(YEAR(NovSun1+4)=CalendarYear,MONTH(NovSun1+4)=11),NovSun1+4,""),IF(AND(YEAR(NovSun1+11)=CalendarYear,MONTH(NovSun1+11)=11),NovSun1+11,""))</f>
        <v/>
      </c>
      <c r="N89" s="11" t="str">
        <f>IF(DAY(NovSun1)=1,IF(AND(YEAR(NovSun1+5)=CalendarYear,MONTH(NovSun1+5)=11),NovSun1+5,""),IF(AND(YEAR(NovSun1+12)=CalendarYear,MONTH(NovSun1+12)=11),NovSun1+12,""))</f>
        <v/>
      </c>
      <c r="O89" s="11" t="str">
        <f>IF(DAY(NovSun1)=1,IF(AND(YEAR(NovSun1+6)=CalendarYear,MONTH(NovSun1+6)=11),NovSun1+6,""),IF(AND(YEAR(NovSun1+13)=CalendarYear,MONTH(NovSun1+13)=11),NovSun1+13,""))</f>
        <v/>
      </c>
      <c r="P89" s="11" t="str">
        <f>IF(DAY(NovSun1)=1,IF(AND(YEAR(NovSun1+7)=CalendarYear,MONTH(NovSun1+7)=11),NovSun1+7,""),IF(AND(YEAR(NovSun1+14)=CalendarYear,MONTH(NovSun1+14)=11),NovSun1+14,""))</f>
        <v/>
      </c>
      <c r="Q89" s="11" t="str">
        <f>IF(DAY(NovSun1)=1,IF(AND(YEAR(NovSun1+8)=CalendarYear,MONTH(NovSun1+8)=11),NovSun1+8,""),IF(AND(YEAR(NovSun1+15)=CalendarYear,MONTH(NovSun1+15)=11),NovSun1+15,""))</f>
        <v/>
      </c>
      <c r="R89" s="11" t="str">
        <f>IF(DAY(NovSun1)=1,IF(AND(YEAR(NovSun1+9)=CalendarYear,MONTH(NovSun1+9)=11),NovSun1+9,""),IF(AND(YEAR(NovSun1+16)=CalendarYear,MONTH(NovSun1+16)=11),NovSun1+16,""))</f>
        <v/>
      </c>
      <c r="S89" s="11" t="str">
        <f>IF(DAY(NovSun1)=1,IF(AND(YEAR(NovSun1+10)=CalendarYear,MONTH(NovSun1+10)=11),NovSun1+10,""),IF(AND(YEAR(NovSun1+17)=CalendarYear,MONTH(NovSun1+17)=11),NovSun1+17,""))</f>
        <v/>
      </c>
      <c r="T89" s="11" t="str">
        <f>IF(DAY(NovSun1)=1,IF(AND(YEAR(NovSun1+11)=CalendarYear,MONTH(NovSun1+11)=11),NovSun1+11,""),IF(AND(YEAR(NovSun1+18)=CalendarYear,MONTH(NovSun1+18)=11),NovSun1+18,""))</f>
        <v/>
      </c>
      <c r="U89" s="11" t="str">
        <f>IF(DAY(NovSun1)=1,IF(AND(YEAR(NovSun1+12)=CalendarYear,MONTH(NovSun1+12)=11),NovSun1+12,""),IF(AND(YEAR(NovSun1+19)=CalendarYear,MONTH(NovSun1+19)=11),NovSun1+19,""))</f>
        <v/>
      </c>
      <c r="V89" s="11" t="str">
        <f>IF(DAY(NovSun1)=1,IF(AND(YEAR(NovSun1+13)=CalendarYear,MONTH(NovSun1+13)=11),NovSun1+13,""),IF(AND(YEAR(NovSun1+20)=CalendarYear,MONTH(NovSun1+20)=11),NovSun1+20,""))</f>
        <v/>
      </c>
      <c r="W89" s="11" t="str">
        <f>IF(DAY(NovSun1)=1,IF(AND(YEAR(NovSun1+14)=CalendarYear,MONTH(NovSun1+14)=11),NovSun1+14,""),IF(AND(YEAR(NovSun1+21)=CalendarYear,MONTH(NovSun1+21)=11),NovSun1+21,""))</f>
        <v/>
      </c>
      <c r="X89" s="11" t="str">
        <f>IF(DAY(NovSun1)=1,IF(AND(YEAR(NovSun1+15)=CalendarYear,MONTH(NovSun1+15)=11),NovSun1+15,""),IF(AND(YEAR(NovSun1+22)=CalendarYear,MONTH(NovSun1+22)=11),NovSun1+22,""))</f>
        <v/>
      </c>
      <c r="Y89" s="11" t="str">
        <f>IF(DAY(NovSun1)=1,IF(AND(YEAR(NovSun1+16)=CalendarYear,MONTH(NovSun1+16)=11),NovSun1+16,""),IF(AND(YEAR(NovSun1+23)=CalendarYear,MONTH(NovSun1+23)=11),NovSun1+23,""))</f>
        <v/>
      </c>
      <c r="Z89" s="11" t="str">
        <f>IF(DAY(NovSun1)=1,IF(AND(YEAR(NovSun1+17)=CalendarYear,MONTH(NovSun1+17)=11),NovSun1+17,""),IF(AND(YEAR(NovSun1+24)=CalendarYear,MONTH(NovSun1+24)=11),NovSun1+24,""))</f>
        <v/>
      </c>
      <c r="AA89" s="11" t="str">
        <f>IF(DAY(NovSun1)=1,IF(AND(YEAR(NovSun1+18)=CalendarYear,MONTH(NovSun1+18)=11),NovSun1+18,""),IF(AND(YEAR(NovSun1+25)=CalendarYear,MONTH(NovSun1+25)=11),NovSun1+25,""))</f>
        <v/>
      </c>
      <c r="AB89" s="11" t="str">
        <f>IF(DAY(NovSun1)=1,IF(AND(YEAR(NovSun1+19)=CalendarYear,MONTH(NovSun1+19)=11),NovSun1+19,""),IF(AND(YEAR(NovSun1+26)=CalendarYear,MONTH(NovSun1+26)=11),NovSun1+26,""))</f>
        <v/>
      </c>
      <c r="AC89" s="11" t="str">
        <f>IF(DAY(NovSun1)=1,IF(AND(YEAR(NovSun1+20)=CalendarYear,MONTH(NovSun1+20)=11),NovSun1+20,""),IF(AND(YEAR(NovSun1+27)=CalendarYear,MONTH(NovSun1+27)=11),NovSun1+27,""))</f>
        <v/>
      </c>
      <c r="AD89" s="11" t="str">
        <f>IF(DAY(NovSun1)=1,IF(AND(YEAR(NovSun1+21)=CalendarYear,MONTH(NovSun1+21)=11),NovSun1+21,""),IF(AND(YEAR(NovSun1+28)=CalendarYear,MONTH(NovSun1+28)=11),NovSun1+28,""))</f>
        <v/>
      </c>
      <c r="AE89" s="11" t="str">
        <f>IF(DAY(NovSun1)=1,IF(AND(YEAR(NovSun1+22)=CalendarYear,MONTH(NovSun1+22)=11),NovSun1+22,""),IF(AND(YEAR(NovSun1+29)=CalendarYear,MONTH(NovSun1+29)=11),NovSun1+29,""))</f>
        <v/>
      </c>
      <c r="AF89" s="11" t="str">
        <f>IF(DAY(NovSun1)=1,IF(AND(YEAR(NovSun1+23)=CalendarYear,MONTH(NovSun1+23)=11),NovSun1+23,""),IF(AND(YEAR(NovSun1+30)=CalendarYear,MONTH(NovSun1+30)=11),NovSun1+30,""))</f>
        <v/>
      </c>
      <c r="AG89" s="11" t="str">
        <f>IF(DAY(NovSun1)=1,IF(AND(YEAR(NovSun1+24)=CalendarYear,MONTH(NovSun1+24)=11),NovSun1+24,""),IF(AND(YEAR(NovSun1+31)=CalendarYear,MONTH(NovSun1+31)=11),NovSun1+31,""))</f>
        <v/>
      </c>
      <c r="AH89" s="11" t="str">
        <f>IF(DAY(NovSun1)=1,IF(AND(YEAR(NovSun1+25)=CalendarYear,MONTH(NovSun1+25)=11),NovSun1+25,""),IF(AND(YEAR(NovSun1+32)=CalendarYear,MONTH(NovSun1+32)=11),NovSun1+32,""))</f>
        <v/>
      </c>
      <c r="AI89" s="11" t="str">
        <f>IF(DAY(NovSun1)=1,IF(AND(YEAR(NovSun1+26)=CalendarYear,MONTH(NovSun1+26)=11),NovSun1+26,""),IF(AND(YEAR(NovSun1+33)=CalendarYear,MONTH(NovSun1+33)=11),NovSun1+33,""))</f>
        <v/>
      </c>
      <c r="AJ89" s="11" t="str">
        <f>IF(DAY(NovSun1)=1,IF(AND(YEAR(NovSun1+27)=CalendarYear,MONTH(NovSun1+27)=11),NovSun1+27,""),IF(AND(YEAR(NovSun1+34)=CalendarYear,MONTH(NovSun1+34)=11),NovSun1+34,""))</f>
        <v/>
      </c>
      <c r="AK89" s="11" t="str">
        <f>IF(DAY(NovSun1)=1,IF(AND(YEAR(NovSun1+28)=CalendarYear,MONTH(NovSun1+28)=11),NovSun1+28,""),IF(AND(YEAR(NovSun1+35)=CalendarYear,MONTH(NovSun1+35)=11),NovSun1+35,""))</f>
        <v/>
      </c>
      <c r="AL89" s="11" t="str">
        <f>IF(DAY(NovSun1)=1,IF(AND(YEAR(NovSun1+29)=CalendarYear,MONTH(NovSun1+29)=11),NovSun1+29,""),IF(AND(YEAR(NovSun1+36)=CalendarYear,MONTH(NovSun1+36)=11),NovSun1+36,""))</f>
        <v/>
      </c>
      <c r="AM89" s="12" t="str">
        <f>IF(DAY(NovSun1)=1,IF(AND(YEAR(NovSun1+30)=CalendarYear,MONTH(NovSun1+30)=11),NovSun1+30,""),IF(AND(YEAR(NovSun1+37)=CalendarYear,MONTH(NovSun1+37)=11),NovSun1+37,""))</f>
        <v/>
      </c>
    </row>
    <row r="90" spans="2:39" s="9" customFormat="1" ht="18.95" customHeight="1">
      <c r="B90" s="76"/>
      <c r="C90" s="10" t="s">
        <v>0</v>
      </c>
      <c r="D90" s="10" t="s">
        <v>1</v>
      </c>
      <c r="E90" s="10" t="s">
        <v>2</v>
      </c>
      <c r="F90" s="10" t="s">
        <v>3</v>
      </c>
      <c r="G90" s="10" t="s">
        <v>4</v>
      </c>
      <c r="H90" s="10" t="s">
        <v>5</v>
      </c>
      <c r="I90" s="10" t="s">
        <v>6</v>
      </c>
      <c r="J90" s="10" t="s">
        <v>0</v>
      </c>
      <c r="K90" s="10" t="s">
        <v>1</v>
      </c>
      <c r="L90" s="10" t="s">
        <v>2</v>
      </c>
      <c r="M90" s="10" t="s">
        <v>3</v>
      </c>
      <c r="N90" s="10" t="s">
        <v>4</v>
      </c>
      <c r="O90" s="10" t="s">
        <v>5</v>
      </c>
      <c r="P90" s="10" t="s">
        <v>6</v>
      </c>
      <c r="Q90" s="10" t="s">
        <v>0</v>
      </c>
      <c r="R90" s="10" t="s">
        <v>1</v>
      </c>
      <c r="S90" s="10" t="s">
        <v>2</v>
      </c>
      <c r="T90" s="10" t="s">
        <v>3</v>
      </c>
      <c r="U90" s="10" t="s">
        <v>4</v>
      </c>
      <c r="V90" s="10" t="s">
        <v>5</v>
      </c>
      <c r="W90" s="10" t="s">
        <v>6</v>
      </c>
      <c r="X90" s="10" t="s">
        <v>0</v>
      </c>
      <c r="Y90" s="10" t="s">
        <v>1</v>
      </c>
      <c r="Z90" s="10" t="s">
        <v>2</v>
      </c>
      <c r="AA90" s="10" t="s">
        <v>3</v>
      </c>
      <c r="AB90" s="10" t="s">
        <v>4</v>
      </c>
      <c r="AC90" s="10" t="s">
        <v>5</v>
      </c>
      <c r="AD90" s="10" t="s">
        <v>6</v>
      </c>
      <c r="AE90" s="10" t="s">
        <v>0</v>
      </c>
      <c r="AF90" s="10" t="s">
        <v>1</v>
      </c>
      <c r="AG90" s="10" t="s">
        <v>2</v>
      </c>
      <c r="AH90" s="10" t="s">
        <v>3</v>
      </c>
      <c r="AI90" s="10" t="s">
        <v>4</v>
      </c>
      <c r="AJ90" s="10" t="s">
        <v>5</v>
      </c>
      <c r="AK90" s="10" t="s">
        <v>6</v>
      </c>
      <c r="AL90" s="10" t="s">
        <v>0</v>
      </c>
      <c r="AM90" s="13" t="s">
        <v>1</v>
      </c>
    </row>
    <row r="91" spans="2:39" ht="18.95" customHeight="1">
      <c r="B91" s="7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</row>
    <row r="92" spans="2:39" ht="18.95" customHeight="1">
      <c r="B92" s="8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</row>
    <row r="93" spans="2:39" ht="18.95" customHeight="1">
      <c r="B93" s="8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</row>
    <row r="94" spans="2:39" ht="18.95" customHeight="1">
      <c r="B94" s="64" t="s">
        <v>20</v>
      </c>
      <c r="C94" s="61">
        <f>SUMIF('FICHE CHANTIER'!$J:$J,C87,'FICHE CHANTIER'!$K:$K)</f>
        <v>0</v>
      </c>
      <c r="D94" s="61">
        <f>SUMIF('FICHE CHANTIER'!$J:$J,D87,'FICHE CHANTIER'!$K:$K)</f>
        <v>0</v>
      </c>
      <c r="E94" s="61">
        <f>SUMIF('FICHE CHANTIER'!$J:$J,E87,'FICHE CHANTIER'!$K:$K)</f>
        <v>0</v>
      </c>
      <c r="F94" s="61">
        <f>SUMIF('FICHE CHANTIER'!$J:$J,F87,'FICHE CHANTIER'!$K:$K)</f>
        <v>0</v>
      </c>
      <c r="G94" s="61">
        <f>SUMIF('FICHE CHANTIER'!$J:$J,G87,'FICHE CHANTIER'!$K:$K)</f>
        <v>0</v>
      </c>
      <c r="H94" s="61">
        <f>SUMIF('FICHE CHANTIER'!$J:$J,H87,'FICHE CHANTIER'!$K:$K)</f>
        <v>0</v>
      </c>
      <c r="I94" s="61">
        <f>SUMIF('FICHE CHANTIER'!$J:$J,I87,'FICHE CHANTIER'!$K:$K)</f>
        <v>0</v>
      </c>
      <c r="J94" s="61">
        <f>SUMIF('FICHE CHANTIER'!$J:$J,J87,'FICHE CHANTIER'!$K:$K)</f>
        <v>0</v>
      </c>
      <c r="K94" s="61">
        <f>SUMIF('FICHE CHANTIER'!$J:$J,K87,'FICHE CHANTIER'!$K:$K)</f>
        <v>0</v>
      </c>
      <c r="L94" s="61">
        <f>SUMIF('FICHE CHANTIER'!$J:$J,L87,'FICHE CHANTIER'!$K:$K)</f>
        <v>0</v>
      </c>
      <c r="M94" s="61">
        <f>SUMIF('FICHE CHANTIER'!$J:$J,M87,'FICHE CHANTIER'!$K:$K)</f>
        <v>0</v>
      </c>
      <c r="N94" s="61">
        <f>SUMIF('FICHE CHANTIER'!$J:$J,N87,'FICHE CHANTIER'!$K:$K)</f>
        <v>0</v>
      </c>
      <c r="O94" s="61">
        <f>SUMIF('FICHE CHANTIER'!$J:$J,O87,'FICHE CHANTIER'!$K:$K)</f>
        <v>0</v>
      </c>
      <c r="P94" s="61">
        <f>SUMIF('FICHE CHANTIER'!$J:$J,P87,'FICHE CHANTIER'!$K:$K)</f>
        <v>0</v>
      </c>
      <c r="Q94" s="61">
        <f>SUMIF('FICHE CHANTIER'!$J:$J,Q87,'FICHE CHANTIER'!$K:$K)</f>
        <v>0</v>
      </c>
      <c r="R94" s="61">
        <f>SUMIF('FICHE CHANTIER'!$J:$J,R87,'FICHE CHANTIER'!$K:$K)</f>
        <v>0</v>
      </c>
      <c r="S94" s="61">
        <f>SUMIF('FICHE CHANTIER'!$J:$J,S87,'FICHE CHANTIER'!$K:$K)</f>
        <v>0</v>
      </c>
      <c r="T94" s="61">
        <f>SUMIF('FICHE CHANTIER'!$J:$J,T87,'FICHE CHANTIER'!$K:$K)</f>
        <v>0</v>
      </c>
      <c r="U94" s="61">
        <f>SUMIF('FICHE CHANTIER'!$J:$J,U87,'FICHE CHANTIER'!$K:$K)</f>
        <v>0</v>
      </c>
      <c r="V94" s="61">
        <f>SUMIF('FICHE CHANTIER'!$J:$J,V87,'FICHE CHANTIER'!$K:$K)</f>
        <v>0</v>
      </c>
      <c r="W94" s="61">
        <f>SUMIF('FICHE CHANTIER'!$J:$J,W87,'FICHE CHANTIER'!$K:$K)</f>
        <v>0</v>
      </c>
      <c r="X94" s="61">
        <f>SUMIF('FICHE CHANTIER'!$J:$J,X87,'FICHE CHANTIER'!$K:$K)</f>
        <v>0</v>
      </c>
      <c r="Y94" s="61">
        <f>SUMIF('FICHE CHANTIER'!$J:$J,Y87,'FICHE CHANTIER'!$K:$K)</f>
        <v>0</v>
      </c>
      <c r="Z94" s="61">
        <f>SUMIF('FICHE CHANTIER'!$J:$J,Z87,'FICHE CHANTIER'!$K:$K)</f>
        <v>0</v>
      </c>
      <c r="AA94" s="61">
        <f>SUMIF('FICHE CHANTIER'!$J:$J,AA87,'FICHE CHANTIER'!$K:$K)</f>
        <v>0</v>
      </c>
      <c r="AB94" s="61">
        <f>SUMIF('FICHE CHANTIER'!$J:$J,AB87,'FICHE CHANTIER'!$K:$K)</f>
        <v>0</v>
      </c>
      <c r="AC94" s="61">
        <f>SUMIF('FICHE CHANTIER'!$J:$J,AC87,'FICHE CHANTIER'!$K:$K)</f>
        <v>0</v>
      </c>
      <c r="AD94" s="61">
        <f>SUMIF('FICHE CHANTIER'!$J:$J,AD87,'FICHE CHANTIER'!$K:$K)</f>
        <v>0</v>
      </c>
      <c r="AE94" s="61">
        <f>SUMIF('FICHE CHANTIER'!$J:$J,AE87,'FICHE CHANTIER'!$K:$K)</f>
        <v>0</v>
      </c>
      <c r="AF94" s="61">
        <f>SUMIF('FICHE CHANTIER'!$J:$J,AF87,'FICHE CHANTIER'!$K:$K)</f>
        <v>0</v>
      </c>
      <c r="AG94" s="61">
        <f>SUMIF('FICHE CHANTIER'!$J:$J,AG87,'FICHE CHANTIER'!$K:$K)</f>
        <v>0</v>
      </c>
      <c r="AH94" s="61">
        <f>SUMIF('FICHE CHANTIER'!$J:$J,AH87,'FICHE CHANTIER'!$K:$K)</f>
        <v>0</v>
      </c>
      <c r="AI94" s="61">
        <f>SUMIF('FICHE CHANTIER'!$J:$J,AI87,'FICHE CHANTIER'!$K:$K)</f>
        <v>0</v>
      </c>
      <c r="AJ94" s="61">
        <f>SUMIF('FICHE CHANTIER'!$J:$J,AJ87,'FICHE CHANTIER'!$K:$K)</f>
        <v>0</v>
      </c>
      <c r="AK94" s="61">
        <f>SUMIF('FICHE CHANTIER'!$J:$J,AK87,'FICHE CHANTIER'!$K:$K)</f>
        <v>0</v>
      </c>
      <c r="AL94" s="61">
        <f>SUMIF('FICHE CHANTIER'!$J:$J,AL87,'FICHE CHANTIER'!$K:$K)</f>
        <v>0</v>
      </c>
      <c r="AM94" s="61">
        <f>SUMIF('FICHE CHANTIER'!$J:$J,AM87,'FICHE CHANTIER'!$K:$K)</f>
        <v>0</v>
      </c>
    </row>
    <row r="95" spans="2:39" ht="20.100000000000001" customHeight="1"/>
    <row r="96" spans="2:39" s="9" customFormat="1" ht="18.95" customHeight="1">
      <c r="B96" s="77">
        <v>12</v>
      </c>
      <c r="C96" s="11">
        <v>44896</v>
      </c>
      <c r="D96" s="11" t="str">
        <f>IF(DAY(DecSun1)=1,"",IF(AND(YEAR(DecSun1+2)=CalendarYear,MONTH(DecSun1+2)=12),DecSun1+2,""))</f>
        <v/>
      </c>
      <c r="E96" s="11" t="str">
        <f>IF(DAY(DecSun1)=1,"",IF(AND(YEAR(DecSun1+3)=CalendarYear,MONTH(DecSun1+3)=12),DecSun1+3,""))</f>
        <v/>
      </c>
      <c r="F96" s="11" t="str">
        <f>IF(DAY(DecSun1)=1,"",IF(AND(YEAR(DecSun1+4)=CalendarYear,MONTH(DecSun1+4)=12),DecSun1+4,""))</f>
        <v/>
      </c>
      <c r="G96" s="11" t="str">
        <f>IF(DAY(DecSun1)=1,"",IF(AND(YEAR(DecSun1+5)=CalendarYear,MONTH(DecSun1+5)=12),DecSun1+5,""))</f>
        <v/>
      </c>
      <c r="H96" s="11" t="str">
        <f>IF(DAY(DecSun1)=1,"",IF(AND(YEAR(DecSun1+6)=CalendarYear,MONTH(DecSun1+6)=12),DecSun1+6,""))</f>
        <v/>
      </c>
      <c r="I96" s="11" t="str">
        <f>IF(DAY(DecSun1)=1,IF(AND(YEAR(DecSun1)=CalendarYear,MONTH(DecSun1)=12),DecSun1,""),IF(AND(YEAR(DecSun1+7)=CalendarYear,MONTH(DecSun1+7)=12),DecSun1+7,""))</f>
        <v/>
      </c>
      <c r="J96" s="11" t="str">
        <f>IF(DAY(DecSun1)=1,IF(AND(YEAR(DecSun1+1)=CalendarYear,MONTH(DecSun1+1)=12),DecSun1+1,""),IF(AND(YEAR(DecSun1+8)=CalendarYear,MONTH(DecSun1+8)=12),DecSun1+8,""))</f>
        <v/>
      </c>
      <c r="K96" s="11" t="str">
        <f>IF(DAY(DecSun1)=1,IF(AND(YEAR(DecSun1+2)=CalendarYear,MONTH(DecSun1+2)=12),DecSun1+2,""),IF(AND(YEAR(DecSun1+9)=CalendarYear,MONTH(DecSun1+9)=12),DecSun1+9,""))</f>
        <v/>
      </c>
      <c r="L96" s="11" t="str">
        <f>IF(DAY(DecSun1)=1,IF(AND(YEAR(DecSun1+3)=CalendarYear,MONTH(DecSun1+3)=12),DecSun1+3,""),IF(AND(YEAR(DecSun1+10)=CalendarYear,MONTH(DecSun1+10)=12),DecSun1+10,""))</f>
        <v/>
      </c>
      <c r="M96" s="11" t="str">
        <f>IF(DAY(DecSun1)=1,IF(AND(YEAR(DecSun1+4)=CalendarYear,MONTH(DecSun1+4)=12),DecSun1+4,""),IF(AND(YEAR(DecSun1+11)=CalendarYear,MONTH(DecSun1+11)=12),DecSun1+11,""))</f>
        <v/>
      </c>
      <c r="N96" s="11" t="str">
        <f>IF(DAY(DecSun1)=1,IF(AND(YEAR(DecSun1+5)=CalendarYear,MONTH(DecSun1+5)=12),DecSun1+5,""),IF(AND(YEAR(DecSun1+12)=CalendarYear,MONTH(DecSun1+12)=12),DecSun1+12,""))</f>
        <v/>
      </c>
      <c r="O96" s="11" t="str">
        <f>IF(DAY(DecSun1)=1,IF(AND(YEAR(DecSun1+6)=CalendarYear,MONTH(DecSun1+6)=12),DecSun1+6,""),IF(AND(YEAR(DecSun1+13)=CalendarYear,MONTH(DecSun1+13)=12),DecSun1+13,""))</f>
        <v/>
      </c>
      <c r="P96" s="11" t="str">
        <f>IF(DAY(DecSun1)=1,IF(AND(YEAR(DecSun1+7)=CalendarYear,MONTH(DecSun1+7)=12),DecSun1+7,""),IF(AND(YEAR(DecSun1+14)=CalendarYear,MONTH(DecSun1+14)=12),DecSun1+14,""))</f>
        <v/>
      </c>
      <c r="Q96" s="11" t="str">
        <f>IF(DAY(DecSun1)=1,IF(AND(YEAR(DecSun1+8)=CalendarYear,MONTH(DecSun1+8)=12),DecSun1+8,""),IF(AND(YEAR(DecSun1+15)=CalendarYear,MONTH(DecSun1+15)=12),DecSun1+15,""))</f>
        <v/>
      </c>
      <c r="R96" s="11" t="str">
        <f>IF(DAY(DecSun1)=1,IF(AND(YEAR(DecSun1+9)=CalendarYear,MONTH(DecSun1+9)=12),DecSun1+9,""),IF(AND(YEAR(DecSun1+16)=CalendarYear,MONTH(DecSun1+16)=12),DecSun1+16,""))</f>
        <v/>
      </c>
      <c r="S96" s="11" t="str">
        <f>IF(DAY(DecSun1)=1,IF(AND(YEAR(DecSun1+10)=CalendarYear,MONTH(DecSun1+10)=12),DecSun1+10,""),IF(AND(YEAR(DecSun1+17)=CalendarYear,MONTH(DecSun1+17)=12),DecSun1+17,""))</f>
        <v/>
      </c>
      <c r="T96" s="11" t="str">
        <f>IF(DAY(DecSun1)=1,IF(AND(YEAR(DecSun1+11)=CalendarYear,MONTH(DecSun1+11)=12),DecSun1+11,""),IF(AND(YEAR(DecSun1+18)=CalendarYear,MONTH(DecSun1+18)=12),DecSun1+18,""))</f>
        <v/>
      </c>
      <c r="U96" s="11" t="str">
        <f>IF(DAY(DecSun1)=1,IF(AND(YEAR(DecSun1+12)=CalendarYear,MONTH(DecSun1+12)=12),DecSun1+12,""),IF(AND(YEAR(DecSun1+19)=CalendarYear,MONTH(DecSun1+19)=12),DecSun1+19,""))</f>
        <v/>
      </c>
      <c r="V96" s="11" t="str">
        <f>IF(DAY(DecSun1)=1,IF(AND(YEAR(DecSun1+13)=CalendarYear,MONTH(DecSun1+13)=12),DecSun1+13,""),IF(AND(YEAR(DecSun1+20)=CalendarYear,MONTH(DecSun1+20)=12),DecSun1+20,""))</f>
        <v/>
      </c>
      <c r="W96" s="11" t="str">
        <f>IF(DAY(DecSun1)=1,IF(AND(YEAR(DecSun1+14)=CalendarYear,MONTH(DecSun1+14)=12),DecSun1+14,""),IF(AND(YEAR(DecSun1+21)=CalendarYear,MONTH(DecSun1+21)=12),DecSun1+21,""))</f>
        <v/>
      </c>
      <c r="X96" s="11" t="str">
        <f>IF(DAY(DecSun1)=1,IF(AND(YEAR(DecSun1+15)=CalendarYear,MONTH(DecSun1+15)=12),DecSun1+15,""),IF(AND(YEAR(DecSun1+22)=CalendarYear,MONTH(DecSun1+22)=12),DecSun1+22,""))</f>
        <v/>
      </c>
      <c r="Y96" s="11" t="str">
        <f>IF(DAY(DecSun1)=1,IF(AND(YEAR(DecSun1+16)=CalendarYear,MONTH(DecSun1+16)=12),DecSun1+16,""),IF(AND(YEAR(DecSun1+23)=CalendarYear,MONTH(DecSun1+23)=12),DecSun1+23,""))</f>
        <v/>
      </c>
      <c r="Z96" s="11" t="str">
        <f>IF(DAY(DecSun1)=1,IF(AND(YEAR(DecSun1+17)=CalendarYear,MONTH(DecSun1+17)=12),DecSun1+17,""),IF(AND(YEAR(DecSun1+24)=CalendarYear,MONTH(DecSun1+24)=12),DecSun1+24,""))</f>
        <v/>
      </c>
      <c r="AA96" s="11" t="str">
        <f>IF(DAY(DecSun1)=1,IF(AND(YEAR(DecSun1+18)=CalendarYear,MONTH(DecSun1+18)=12),DecSun1+18,""),IF(AND(YEAR(DecSun1+25)=CalendarYear,MONTH(DecSun1+25)=12),DecSun1+25,""))</f>
        <v/>
      </c>
      <c r="AB96" s="11" t="str">
        <f>IF(DAY(DecSun1)=1,IF(AND(YEAR(DecSun1+19)=CalendarYear,MONTH(DecSun1+19)=12),DecSun1+19,""),IF(AND(YEAR(DecSun1+26)=CalendarYear,MONTH(DecSun1+26)=12),DecSun1+26,""))</f>
        <v/>
      </c>
      <c r="AC96" s="11" t="str">
        <f>IF(DAY(DecSun1)=1,IF(AND(YEAR(DecSun1+20)=CalendarYear,MONTH(DecSun1+20)=12),DecSun1+20,""),IF(AND(YEAR(DecSun1+27)=CalendarYear,MONTH(DecSun1+27)=12),DecSun1+27,""))</f>
        <v/>
      </c>
      <c r="AD96" s="11" t="str">
        <f>IF(DAY(DecSun1)=1,IF(AND(YEAR(DecSun1+21)=CalendarYear,MONTH(DecSun1+21)=12),DecSun1+21,""),IF(AND(YEAR(DecSun1+28)=CalendarYear,MONTH(DecSun1+28)=12),DecSun1+28,""))</f>
        <v/>
      </c>
      <c r="AE96" s="11" t="str">
        <f>IF(DAY(DecSun1)=1,IF(AND(YEAR(DecSun1+22)=CalendarYear,MONTH(DecSun1+22)=12),DecSun1+22,""),IF(AND(YEAR(DecSun1+29)=CalendarYear,MONTH(DecSun1+29)=12),DecSun1+29,""))</f>
        <v/>
      </c>
      <c r="AF96" s="11" t="str">
        <f>IF(DAY(DecSun1)=1,IF(AND(YEAR(DecSun1+23)=CalendarYear,MONTH(DecSun1+23)=12),DecSun1+23,""),IF(AND(YEAR(DecSun1+30)=CalendarYear,MONTH(DecSun1+30)=12),DecSun1+30,""))</f>
        <v/>
      </c>
      <c r="AG96" s="11" t="str">
        <f>IF(DAY(DecSun1)=1,IF(AND(YEAR(DecSun1+24)=CalendarYear,MONTH(DecSun1+24)=12),DecSun1+24,""),IF(AND(YEAR(DecSun1+31)=CalendarYear,MONTH(DecSun1+31)=12),DecSun1+31,""))</f>
        <v/>
      </c>
      <c r="AH96" s="11" t="str">
        <f>IF(DAY(DecSun1)=1,IF(AND(YEAR(DecSun1+25)=CalendarYear,MONTH(DecSun1+25)=12),DecSun1+25,""),IF(AND(YEAR(DecSun1+32)=CalendarYear,MONTH(DecSun1+32)=12),DecSun1+32,""))</f>
        <v/>
      </c>
      <c r="AI96" s="11" t="str">
        <f>IF(DAY(DecSun1)=1,IF(AND(YEAR(DecSun1+26)=CalendarYear,MONTH(DecSun1+26)=12),DecSun1+26,""),IF(AND(YEAR(DecSun1+33)=CalendarYear,MONTH(DecSun1+33)=12),DecSun1+33,""))</f>
        <v/>
      </c>
      <c r="AJ96" s="11" t="str">
        <f>IF(DAY(DecSun1)=1,IF(AND(YEAR(DecSun1+27)=CalendarYear,MONTH(DecSun1+27)=12),DecSun1+27,""),IF(AND(YEAR(DecSun1+34)=CalendarYear,MONTH(DecSun1+34)=12),DecSun1+34,""))</f>
        <v/>
      </c>
      <c r="AK96" s="11" t="str">
        <f>IF(DAY(DecSun1)=1,IF(AND(YEAR(DecSun1+28)=CalendarYear,MONTH(DecSun1+28)=12),DecSun1+28,""),IF(AND(YEAR(DecSun1+35)=CalendarYear,MONTH(DecSun1+35)=12),DecSun1+35,""))</f>
        <v/>
      </c>
      <c r="AL96" s="11" t="str">
        <f>IF(DAY(DecSun1)=1,IF(AND(YEAR(DecSun1+29)=CalendarYear,MONTH(DecSun1+29)=12),DecSun1+29,""),IF(AND(YEAR(DecSun1+36)=CalendarYear,MONTH(DecSun1+36)=12),DecSun1+36,""))</f>
        <v/>
      </c>
      <c r="AM96" s="12" t="str">
        <f>IF(DAY(DecSun1)=1,IF(AND(YEAR(DecSun1+30)=CalendarYear,MONTH(DecSun1+30)=12),DecSun1+30,""),IF(AND(YEAR(DecSun1+37)=CalendarYear,MONTH(DecSun1+37)=12),DecSun1+37,""))</f>
        <v/>
      </c>
    </row>
    <row r="97" spans="2:39" s="9" customFormat="1" ht="18.95" customHeight="1">
      <c r="B97" s="77"/>
      <c r="C97" s="10" t="s">
        <v>0</v>
      </c>
      <c r="D97" s="10" t="s">
        <v>1</v>
      </c>
      <c r="E97" s="10" t="s">
        <v>2</v>
      </c>
      <c r="F97" s="10" t="s">
        <v>3</v>
      </c>
      <c r="G97" s="10" t="s">
        <v>4</v>
      </c>
      <c r="H97" s="10" t="s">
        <v>5</v>
      </c>
      <c r="I97" s="10" t="s">
        <v>6</v>
      </c>
      <c r="J97" s="10" t="s">
        <v>0</v>
      </c>
      <c r="K97" s="10" t="s">
        <v>1</v>
      </c>
      <c r="L97" s="10" t="s">
        <v>2</v>
      </c>
      <c r="M97" s="10" t="s">
        <v>3</v>
      </c>
      <c r="N97" s="10" t="s">
        <v>4</v>
      </c>
      <c r="O97" s="10" t="s">
        <v>5</v>
      </c>
      <c r="P97" s="10" t="s">
        <v>6</v>
      </c>
      <c r="Q97" s="10" t="s">
        <v>0</v>
      </c>
      <c r="R97" s="10" t="s">
        <v>1</v>
      </c>
      <c r="S97" s="10" t="s">
        <v>2</v>
      </c>
      <c r="T97" s="10" t="s">
        <v>3</v>
      </c>
      <c r="U97" s="10" t="s">
        <v>4</v>
      </c>
      <c r="V97" s="10" t="s">
        <v>5</v>
      </c>
      <c r="W97" s="10" t="s">
        <v>6</v>
      </c>
      <c r="X97" s="10" t="s">
        <v>0</v>
      </c>
      <c r="Y97" s="10" t="s">
        <v>1</v>
      </c>
      <c r="Z97" s="10" t="s">
        <v>2</v>
      </c>
      <c r="AA97" s="10" t="s">
        <v>3</v>
      </c>
      <c r="AB97" s="10" t="s">
        <v>4</v>
      </c>
      <c r="AC97" s="10" t="s">
        <v>5</v>
      </c>
      <c r="AD97" s="10" t="s">
        <v>6</v>
      </c>
      <c r="AE97" s="10" t="s">
        <v>0</v>
      </c>
      <c r="AF97" s="10" t="s">
        <v>1</v>
      </c>
      <c r="AG97" s="10" t="s">
        <v>2</v>
      </c>
      <c r="AH97" s="10" t="s">
        <v>3</v>
      </c>
      <c r="AI97" s="10" t="s">
        <v>4</v>
      </c>
      <c r="AJ97" s="10" t="s">
        <v>5</v>
      </c>
      <c r="AK97" s="10" t="s">
        <v>6</v>
      </c>
      <c r="AL97" s="10" t="s">
        <v>0</v>
      </c>
      <c r="AM97" s="13" t="s">
        <v>1</v>
      </c>
    </row>
    <row r="98" spans="2:39" ht="18.95" customHeight="1">
      <c r="B98" s="7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</row>
    <row r="99" spans="2:39" ht="18.95" customHeight="1">
      <c r="B99" s="8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</row>
    <row r="100" spans="2:39" ht="18.95" customHeight="1">
      <c r="B100" s="8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</row>
    <row r="101" spans="2:39" ht="18.95" customHeight="1">
      <c r="B101" s="64" t="s">
        <v>20</v>
      </c>
      <c r="C101" s="61">
        <f>SUMIF('FICHE CHANTIER'!$J:$J,C94,'FICHE CHANTIER'!$K:$K)</f>
        <v>0</v>
      </c>
      <c r="D101" s="61">
        <f>SUMIF('FICHE CHANTIER'!$J:$J,D94,'FICHE CHANTIER'!$K:$K)</f>
        <v>0</v>
      </c>
      <c r="E101" s="61">
        <f>SUMIF('FICHE CHANTIER'!$J:$J,E94,'FICHE CHANTIER'!$K:$K)</f>
        <v>0</v>
      </c>
      <c r="F101" s="61">
        <f>SUMIF('FICHE CHANTIER'!$J:$J,F94,'FICHE CHANTIER'!$K:$K)</f>
        <v>0</v>
      </c>
      <c r="G101" s="61">
        <f>SUMIF('FICHE CHANTIER'!$J:$J,G94,'FICHE CHANTIER'!$K:$K)</f>
        <v>0</v>
      </c>
      <c r="H101" s="61">
        <f>SUMIF('FICHE CHANTIER'!$J:$J,H94,'FICHE CHANTIER'!$K:$K)</f>
        <v>0</v>
      </c>
      <c r="I101" s="61">
        <f>SUMIF('FICHE CHANTIER'!$J:$J,I94,'FICHE CHANTIER'!$K:$K)</f>
        <v>0</v>
      </c>
      <c r="J101" s="61">
        <f>SUMIF('FICHE CHANTIER'!$J:$J,J94,'FICHE CHANTIER'!$K:$K)</f>
        <v>0</v>
      </c>
      <c r="K101" s="61">
        <f>SUMIF('FICHE CHANTIER'!$J:$J,K94,'FICHE CHANTIER'!$K:$K)</f>
        <v>0</v>
      </c>
      <c r="L101" s="61">
        <f>SUMIF('FICHE CHANTIER'!$J:$J,L94,'FICHE CHANTIER'!$K:$K)</f>
        <v>0</v>
      </c>
      <c r="M101" s="61">
        <f>SUMIF('FICHE CHANTIER'!$J:$J,M94,'FICHE CHANTIER'!$K:$K)</f>
        <v>0</v>
      </c>
      <c r="N101" s="61">
        <f>SUMIF('FICHE CHANTIER'!$J:$J,N94,'FICHE CHANTIER'!$K:$K)</f>
        <v>0</v>
      </c>
      <c r="O101" s="61">
        <f>SUMIF('FICHE CHANTIER'!$J:$J,O94,'FICHE CHANTIER'!$K:$K)</f>
        <v>0</v>
      </c>
      <c r="P101" s="61">
        <f>SUMIF('FICHE CHANTIER'!$J:$J,P94,'FICHE CHANTIER'!$K:$K)</f>
        <v>0</v>
      </c>
      <c r="Q101" s="61">
        <f>SUMIF('FICHE CHANTIER'!$J:$J,Q94,'FICHE CHANTIER'!$K:$K)</f>
        <v>0</v>
      </c>
      <c r="R101" s="61">
        <f>SUMIF('FICHE CHANTIER'!$J:$J,R94,'FICHE CHANTIER'!$K:$K)</f>
        <v>0</v>
      </c>
      <c r="S101" s="61">
        <f>SUMIF('FICHE CHANTIER'!$J:$J,S94,'FICHE CHANTIER'!$K:$K)</f>
        <v>0</v>
      </c>
      <c r="T101" s="61">
        <f>SUMIF('FICHE CHANTIER'!$J:$J,T94,'FICHE CHANTIER'!$K:$K)</f>
        <v>0</v>
      </c>
      <c r="U101" s="61">
        <f>SUMIF('FICHE CHANTIER'!$J:$J,U94,'FICHE CHANTIER'!$K:$K)</f>
        <v>0</v>
      </c>
      <c r="V101" s="61">
        <f>SUMIF('FICHE CHANTIER'!$J:$J,V94,'FICHE CHANTIER'!$K:$K)</f>
        <v>0</v>
      </c>
      <c r="W101" s="61">
        <f>SUMIF('FICHE CHANTIER'!$J:$J,W94,'FICHE CHANTIER'!$K:$K)</f>
        <v>0</v>
      </c>
      <c r="X101" s="61">
        <f>SUMIF('FICHE CHANTIER'!$J:$J,X94,'FICHE CHANTIER'!$K:$K)</f>
        <v>0</v>
      </c>
      <c r="Y101" s="61">
        <f>SUMIF('FICHE CHANTIER'!$J:$J,Y94,'FICHE CHANTIER'!$K:$K)</f>
        <v>0</v>
      </c>
      <c r="Z101" s="61">
        <f>SUMIF('FICHE CHANTIER'!$J:$J,Z94,'FICHE CHANTIER'!$K:$K)</f>
        <v>0</v>
      </c>
      <c r="AA101" s="61">
        <f>SUMIF('FICHE CHANTIER'!$J:$J,AA94,'FICHE CHANTIER'!$K:$K)</f>
        <v>0</v>
      </c>
      <c r="AB101" s="61">
        <f>SUMIF('FICHE CHANTIER'!$J:$J,AB94,'FICHE CHANTIER'!$K:$K)</f>
        <v>0</v>
      </c>
      <c r="AC101" s="61">
        <f>SUMIF('FICHE CHANTIER'!$J:$J,AC94,'FICHE CHANTIER'!$K:$K)</f>
        <v>0</v>
      </c>
      <c r="AD101" s="61">
        <f>SUMIF('FICHE CHANTIER'!$J:$J,AD94,'FICHE CHANTIER'!$K:$K)</f>
        <v>0</v>
      </c>
      <c r="AE101" s="61">
        <f>SUMIF('FICHE CHANTIER'!$J:$J,AE94,'FICHE CHANTIER'!$K:$K)</f>
        <v>0</v>
      </c>
      <c r="AF101" s="61">
        <f>SUMIF('FICHE CHANTIER'!$J:$J,AF94,'FICHE CHANTIER'!$K:$K)</f>
        <v>0</v>
      </c>
      <c r="AG101" s="61">
        <f>SUMIF('FICHE CHANTIER'!$J:$J,AG94,'FICHE CHANTIER'!$K:$K)</f>
        <v>0</v>
      </c>
      <c r="AH101" s="61">
        <f>SUMIF('FICHE CHANTIER'!$J:$J,AH94,'FICHE CHANTIER'!$K:$K)</f>
        <v>0</v>
      </c>
      <c r="AI101" s="61">
        <f>SUMIF('FICHE CHANTIER'!$J:$J,AI94,'FICHE CHANTIER'!$K:$K)</f>
        <v>0</v>
      </c>
      <c r="AJ101" s="61">
        <f>SUMIF('FICHE CHANTIER'!$J:$J,AJ94,'FICHE CHANTIER'!$K:$K)</f>
        <v>0</v>
      </c>
      <c r="AK101" s="61">
        <f>SUMIF('FICHE CHANTIER'!$J:$J,AK94,'FICHE CHANTIER'!$K:$K)</f>
        <v>0</v>
      </c>
      <c r="AL101" s="61">
        <f>SUMIF('FICHE CHANTIER'!$J:$J,AL94,'FICHE CHANTIER'!$K:$K)</f>
        <v>0</v>
      </c>
      <c r="AM101" s="61">
        <f>SUMIF('FICHE CHANTIER'!$J:$J,AM94,'FICHE CHANTIER'!$K:$K)</f>
        <v>0</v>
      </c>
    </row>
    <row r="171" spans="2:2" ht="18.95" customHeight="1">
      <c r="B171" s="5" t="s">
        <v>13</v>
      </c>
    </row>
    <row r="172" spans="2:2" ht="18.95" customHeight="1">
      <c r="B172" s="5" t="s">
        <v>14</v>
      </c>
    </row>
  </sheetData>
  <mergeCells count="13">
    <mergeCell ref="B82:B83"/>
    <mergeCell ref="B89:B90"/>
    <mergeCell ref="B96:B97"/>
    <mergeCell ref="B41:B42"/>
    <mergeCell ref="B50:B51"/>
    <mergeCell ref="B59:B60"/>
    <mergeCell ref="B68:B69"/>
    <mergeCell ref="B75:B76"/>
    <mergeCell ref="B5:B6"/>
    <mergeCell ref="B23:B24"/>
    <mergeCell ref="B32:B33"/>
    <mergeCell ref="AJ1:AM1"/>
    <mergeCell ref="B14:B15"/>
  </mergeCells>
  <conditionalFormatting sqref="C41:AM41 C50:AM50 C59:AM59 C68:AM68 C75:AM75 C82:AM82 C89:AM89 C96:AM96 C23:AM23 C32:AM32">
    <cfRule type="expression" dxfId="123" priority="94">
      <formula>NOT(ISNUMBER(C23))</formula>
    </cfRule>
  </conditionalFormatting>
  <conditionalFormatting sqref="C69:AM69 C76:AM76 C83:AM83 C90:AM90 C97:AM97">
    <cfRule type="expression" dxfId="122" priority="89" stopIfTrue="1">
      <formula>NOT(ISNUMBER(C68))</formula>
    </cfRule>
    <cfRule type="expression" dxfId="121" priority="93">
      <formula>OR(COUNTIF(C70:C72,1)&gt;1,COUNTIF(C70:C72,2)&gt;1,COUNTIF(C70:C72,3)&gt;1)</formula>
    </cfRule>
  </conditionalFormatting>
  <conditionalFormatting sqref="C11:AE11 C43:AM47 C52:AM56 C61:AM65 C70:AM72 C77:AM79 C84:AM86 C91:AM93 C98:AM100 AD7:AE10 AK7:AL11 I17:J20 W16:X20 AG16:AM16 AD16:AE20 C25:D29 AJ17:AM18 AG19:AM20 I25:J29 P25:Q29 W25:X29 AD25:AE29 AJ25:AM29 P16:Q20 C34:G38 I34:J38 P34:Q38 W34:X38 AD34:AE38 AK34:AM38 C7:Y10 J16 C16:C20 C12:AM12">
    <cfRule type="cellIs" dxfId="120" priority="90" stopIfTrue="1" operator="equal">
      <formula>1</formula>
    </cfRule>
    <cfRule type="cellIs" dxfId="119" priority="91" stopIfTrue="1" operator="equal">
      <formula>2</formula>
    </cfRule>
    <cfRule type="cellIs" dxfId="118" priority="92" operator="equal">
      <formula>3</formula>
    </cfRule>
  </conditionalFormatting>
  <conditionalFormatting sqref="D16:D20">
    <cfRule type="cellIs" dxfId="117" priority="86" stopIfTrue="1" operator="equal">
      <formula>1</formula>
    </cfRule>
    <cfRule type="cellIs" dxfId="116" priority="87" stopIfTrue="1" operator="equal">
      <formula>2</formula>
    </cfRule>
    <cfRule type="cellIs" dxfId="115" priority="88" operator="equal">
      <formula>3</formula>
    </cfRule>
  </conditionalFormatting>
  <conditionalFormatting sqref="AG17:AI18">
    <cfRule type="cellIs" dxfId="114" priority="83" stopIfTrue="1" operator="equal">
      <formula>1</formula>
    </cfRule>
    <cfRule type="cellIs" dxfId="113" priority="84" stopIfTrue="1" operator="equal">
      <formula>2</formula>
    </cfRule>
    <cfRule type="cellIs" dxfId="112" priority="85" operator="equal">
      <formula>3</formula>
    </cfRule>
  </conditionalFormatting>
  <conditionalFormatting sqref="AH33:AM33">
    <cfRule type="expression" dxfId="111" priority="101" stopIfTrue="1">
      <formula>NOT(ISNUMBER(AH32))</formula>
    </cfRule>
    <cfRule type="expression" dxfId="110" priority="102">
      <formula>OR(COUNTIF(AH34:AH38,1)&gt;1,COUNTIF(AH34:AH38,2)&gt;1,COUNTIF(AH34:AH38,3)&gt;1)</formula>
    </cfRule>
  </conditionalFormatting>
  <conditionalFormatting sqref="C42:AM42">
    <cfRule type="expression" dxfId="109" priority="103" stopIfTrue="1">
      <formula>NOT(ISNUMBER(C41))</formula>
    </cfRule>
    <cfRule type="expression" dxfId="108" priority="104">
      <formula>OR(COUNTIF(C43:C47,1)&gt;1,COUNTIF(C43:C47,2)&gt;1,COUNTIF(C43:C47,3)&gt;1)</formula>
    </cfRule>
  </conditionalFormatting>
  <conditionalFormatting sqref="C51:AM51">
    <cfRule type="expression" dxfId="107" priority="105" stopIfTrue="1">
      <formula>NOT(ISNUMBER(C50))</formula>
    </cfRule>
    <cfRule type="expression" dxfId="106" priority="106">
      <formula>OR(COUNTIF(C52:C56,1)&gt;1,COUNTIF(C52:C56,2)&gt;1,COUNTIF(C52:C56,3)&gt;1)</formula>
    </cfRule>
  </conditionalFormatting>
  <conditionalFormatting sqref="C60:AM60">
    <cfRule type="expression" dxfId="105" priority="107" stopIfTrue="1">
      <formula>NOT(ISNUMBER(C59))</formula>
    </cfRule>
    <cfRule type="expression" dxfId="104" priority="108">
      <formula>OR(COUNTIF(C61:C65,1)&gt;1,COUNTIF(C61:C65,2)&gt;1,COUNTIF(C61:C65,3)&gt;1)</formula>
    </cfRule>
  </conditionalFormatting>
  <conditionalFormatting sqref="AF11:AJ11">
    <cfRule type="cellIs" dxfId="103" priority="80" stopIfTrue="1" operator="equal">
      <formula>1</formula>
    </cfRule>
    <cfRule type="cellIs" dxfId="102" priority="81" stopIfTrue="1" operator="equal">
      <formula>2</formula>
    </cfRule>
    <cfRule type="cellIs" dxfId="101" priority="82" operator="equal">
      <formula>3</formula>
    </cfRule>
  </conditionalFormatting>
  <conditionalFormatting sqref="G3">
    <cfRule type="cellIs" dxfId="100" priority="74" stopIfTrue="1" operator="equal">
      <formula>1</formula>
    </cfRule>
    <cfRule type="cellIs" dxfId="99" priority="75" stopIfTrue="1" operator="equal">
      <formula>2</formula>
    </cfRule>
    <cfRule type="cellIs" dxfId="98" priority="76" operator="equal">
      <formula>3</formula>
    </cfRule>
  </conditionalFormatting>
  <conditionalFormatting sqref="R34:V37">
    <cfRule type="cellIs" dxfId="97" priority="71" stopIfTrue="1" operator="equal">
      <formula>1</formula>
    </cfRule>
    <cfRule type="cellIs" dxfId="96" priority="72" stopIfTrue="1" operator="equal">
      <formula>2</formula>
    </cfRule>
    <cfRule type="cellIs" dxfId="95" priority="73" operator="equal">
      <formula>3</formula>
    </cfRule>
  </conditionalFormatting>
  <conditionalFormatting sqref="Y34:AC37">
    <cfRule type="cellIs" dxfId="94" priority="68" stopIfTrue="1" operator="equal">
      <formula>1</formula>
    </cfRule>
    <cfRule type="cellIs" dxfId="93" priority="69" stopIfTrue="1" operator="equal">
      <formula>2</formula>
    </cfRule>
    <cfRule type="cellIs" dxfId="92" priority="70" operator="equal">
      <formula>3</formula>
    </cfRule>
  </conditionalFormatting>
  <conditionalFormatting sqref="AF34:AJ37">
    <cfRule type="cellIs" dxfId="91" priority="65" stopIfTrue="1" operator="equal">
      <formula>1</formula>
    </cfRule>
    <cfRule type="cellIs" dxfId="90" priority="66" stopIfTrue="1" operator="equal">
      <formula>2</formula>
    </cfRule>
    <cfRule type="cellIs" dxfId="89" priority="67" operator="equal">
      <formula>3</formula>
    </cfRule>
  </conditionalFormatting>
  <conditionalFormatting sqref="AB9:AC9">
    <cfRule type="cellIs" dxfId="88" priority="60" stopIfTrue="1" operator="equal">
      <formula>1</formula>
    </cfRule>
    <cfRule type="cellIs" dxfId="87" priority="61" stopIfTrue="1" operator="equal">
      <formula>2</formula>
    </cfRule>
    <cfRule type="cellIs" dxfId="86" priority="62" operator="equal">
      <formula>3</formula>
    </cfRule>
  </conditionalFormatting>
  <conditionalFormatting sqref="I16">
    <cfRule type="cellIs" dxfId="85" priority="54" stopIfTrue="1" operator="equal">
      <formula>1</formula>
    </cfRule>
    <cfRule type="cellIs" dxfId="84" priority="55" stopIfTrue="1" operator="equal">
      <formula>2</formula>
    </cfRule>
    <cfRule type="cellIs" dxfId="83" priority="56" operator="equal">
      <formula>3</formula>
    </cfRule>
  </conditionalFormatting>
  <conditionalFormatting sqref="C5:AM5">
    <cfRule type="expression" dxfId="82" priority="35">
      <formula>NOT(ISNUMBER(C5))</formula>
    </cfRule>
  </conditionalFormatting>
  <conditionalFormatting sqref="C14:AM14">
    <cfRule type="expression" dxfId="81" priority="34">
      <formula>NOT(ISNUMBER(C14))</formula>
    </cfRule>
  </conditionalFormatting>
  <conditionalFormatting sqref="C21:AM21">
    <cfRule type="cellIs" dxfId="65" priority="31" stopIfTrue="1" operator="equal">
      <formula>1</formula>
    </cfRule>
    <cfRule type="cellIs" dxfId="64" priority="32" stopIfTrue="1" operator="equal">
      <formula>2</formula>
    </cfRule>
    <cfRule type="cellIs" dxfId="63" priority="33" operator="equal">
      <formula>3</formula>
    </cfRule>
  </conditionalFormatting>
  <conditionalFormatting sqref="C30:AM30">
    <cfRule type="cellIs" dxfId="59" priority="28" stopIfTrue="1" operator="equal">
      <formula>1</formula>
    </cfRule>
    <cfRule type="cellIs" dxfId="58" priority="29" stopIfTrue="1" operator="equal">
      <formula>2</formula>
    </cfRule>
    <cfRule type="cellIs" dxfId="57" priority="30" operator="equal">
      <formula>3</formula>
    </cfRule>
  </conditionalFormatting>
  <conditionalFormatting sqref="C39:AM39">
    <cfRule type="cellIs" dxfId="53" priority="25" stopIfTrue="1" operator="equal">
      <formula>1</formula>
    </cfRule>
    <cfRule type="cellIs" dxfId="52" priority="26" stopIfTrue="1" operator="equal">
      <formula>2</formula>
    </cfRule>
    <cfRule type="cellIs" dxfId="51" priority="27" operator="equal">
      <formula>3</formula>
    </cfRule>
  </conditionalFormatting>
  <conditionalFormatting sqref="C48:AM48">
    <cfRule type="cellIs" dxfId="47" priority="22" stopIfTrue="1" operator="equal">
      <formula>1</formula>
    </cfRule>
    <cfRule type="cellIs" dxfId="46" priority="23" stopIfTrue="1" operator="equal">
      <formula>2</formula>
    </cfRule>
    <cfRule type="cellIs" dxfId="45" priority="24" operator="equal">
      <formula>3</formula>
    </cfRule>
  </conditionalFormatting>
  <conditionalFormatting sqref="C57:AM57">
    <cfRule type="cellIs" dxfId="41" priority="19" stopIfTrue="1" operator="equal">
      <formula>1</formula>
    </cfRule>
    <cfRule type="cellIs" dxfId="40" priority="20" stopIfTrue="1" operator="equal">
      <formula>2</formula>
    </cfRule>
    <cfRule type="cellIs" dxfId="39" priority="21" operator="equal">
      <formula>3</formula>
    </cfRule>
  </conditionalFormatting>
  <conditionalFormatting sqref="C66:AM66">
    <cfRule type="cellIs" dxfId="35" priority="16" stopIfTrue="1" operator="equal">
      <formula>1</formula>
    </cfRule>
    <cfRule type="cellIs" dxfId="34" priority="17" stopIfTrue="1" operator="equal">
      <formula>2</formula>
    </cfRule>
    <cfRule type="cellIs" dxfId="33" priority="18" operator="equal">
      <formula>3</formula>
    </cfRule>
  </conditionalFormatting>
  <conditionalFormatting sqref="C73:AM73">
    <cfRule type="cellIs" dxfId="29" priority="13" stopIfTrue="1" operator="equal">
      <formula>1</formula>
    </cfRule>
    <cfRule type="cellIs" dxfId="28" priority="14" stopIfTrue="1" operator="equal">
      <formula>2</formula>
    </cfRule>
    <cfRule type="cellIs" dxfId="27" priority="15" operator="equal">
      <formula>3</formula>
    </cfRule>
  </conditionalFormatting>
  <conditionalFormatting sqref="C80:AM80">
    <cfRule type="cellIs" dxfId="23" priority="10" stopIfTrue="1" operator="equal">
      <formula>1</formula>
    </cfRule>
    <cfRule type="cellIs" dxfId="22" priority="11" stopIfTrue="1" operator="equal">
      <formula>2</formula>
    </cfRule>
    <cfRule type="cellIs" dxfId="21" priority="12" operator="equal">
      <formula>3</formula>
    </cfRule>
  </conditionalFormatting>
  <conditionalFormatting sqref="C87:AM87">
    <cfRule type="cellIs" dxfId="17" priority="7" stopIfTrue="1" operator="equal">
      <formula>1</formula>
    </cfRule>
    <cfRule type="cellIs" dxfId="16" priority="8" stopIfTrue="1" operator="equal">
      <formula>2</formula>
    </cfRule>
    <cfRule type="cellIs" dxfId="15" priority="9" operator="equal">
      <formula>3</formula>
    </cfRule>
  </conditionalFormatting>
  <conditionalFormatting sqref="C94:AM94">
    <cfRule type="cellIs" dxfId="11" priority="4" stopIfTrue="1" operator="equal">
      <formula>1</formula>
    </cfRule>
    <cfRule type="cellIs" dxfId="10" priority="5" stopIfTrue="1" operator="equal">
      <formula>2</formula>
    </cfRule>
    <cfRule type="cellIs" dxfId="9" priority="6" operator="equal">
      <formula>3</formula>
    </cfRule>
  </conditionalFormatting>
  <conditionalFormatting sqref="C101:AM101">
    <cfRule type="cellIs" dxfId="5" priority="1" stopIfTrue="1" operator="equal">
      <formula>1</formula>
    </cfRule>
    <cfRule type="cellIs" dxfId="4" priority="2" stopIfTrue="1" operator="equal">
      <formula>2</formula>
    </cfRule>
    <cfRule type="cellIs" dxfId="3" priority="3" operator="equal">
      <formula>3</formula>
    </cfRule>
  </conditionalFormatting>
  <dataValidations disablePrompts="1" count="1">
    <dataValidation allowBlank="1" showInputMessage="1" showErrorMessage="1" promptTitle="Calendrier d’horaire de travail" prompt="Avec les toupies, modifiez l'année civile. Le calendrier affiche automatiquement le planning quotidien pour 3 travaux. Configurez les détails de la tâche/l'équipe et le modèle dans Travaux &amp; équipes. _x000a_Les jours en rouge indiquent des conflits de planning." sqref="A1"/>
  </dataValidations>
  <printOptions horizontalCentered="1" verticalCentered="1"/>
  <pageMargins left="0.3" right="0.3" top="0.3" bottom="0.3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48"/>
  <sheetViews>
    <sheetView workbookViewId="0">
      <selection activeCell="J5" sqref="J5:K20"/>
    </sheetView>
  </sheetViews>
  <sheetFormatPr baseColWidth="10" defaultRowHeight="14.25"/>
  <cols>
    <col min="2" max="2" width="9.5" customWidth="1"/>
    <col min="3" max="3" width="27.5" customWidth="1"/>
    <col min="4" max="4" width="14" customWidth="1"/>
    <col min="6" max="6" width="13.5" customWidth="1"/>
    <col min="7" max="7" width="2.625" customWidth="1"/>
    <col min="8" max="8" width="13.875" customWidth="1"/>
    <col min="9" max="10" width="14.5" customWidth="1"/>
    <col min="11" max="11" width="11.125" style="68" customWidth="1"/>
    <col min="12" max="12" width="2.375" customWidth="1"/>
    <col min="13" max="13" width="14.5" customWidth="1"/>
    <col min="14" max="14" width="14.375" customWidth="1"/>
    <col min="15" max="15" width="11" customWidth="1"/>
    <col min="16" max="16" width="1.875" customWidth="1"/>
  </cols>
  <sheetData>
    <row r="2" spans="2:16">
      <c r="B2" s="56"/>
      <c r="C2" s="56"/>
      <c r="D2" s="56"/>
      <c r="E2" s="56"/>
      <c r="F2" s="56"/>
      <c r="G2" s="56"/>
      <c r="H2" s="83" t="s">
        <v>11</v>
      </c>
      <c r="I2" s="83"/>
      <c r="J2" s="83"/>
      <c r="K2" s="83"/>
      <c r="L2" s="56"/>
      <c r="M2" s="83" t="s">
        <v>12</v>
      </c>
      <c r="N2" s="83"/>
      <c r="O2" s="83"/>
      <c r="P2" s="56"/>
    </row>
    <row r="3" spans="2:16">
      <c r="B3" s="55" t="s">
        <v>8</v>
      </c>
      <c r="C3" s="44"/>
      <c r="D3" s="55" t="s">
        <v>9</v>
      </c>
      <c r="E3" s="27" t="s">
        <v>18</v>
      </c>
      <c r="F3" s="27" t="s">
        <v>10</v>
      </c>
      <c r="G3" s="55"/>
      <c r="H3" s="27" t="s">
        <v>15</v>
      </c>
      <c r="I3" s="27" t="s">
        <v>17</v>
      </c>
      <c r="J3" s="27" t="s">
        <v>19</v>
      </c>
      <c r="K3" s="59" t="s">
        <v>16</v>
      </c>
      <c r="L3" s="56"/>
      <c r="M3" s="27" t="s">
        <v>15</v>
      </c>
      <c r="N3" s="27" t="s">
        <v>17</v>
      </c>
      <c r="O3" s="27" t="s">
        <v>16</v>
      </c>
      <c r="P3" s="56"/>
    </row>
    <row r="4" spans="2:16">
      <c r="B4" s="26"/>
      <c r="C4" s="33"/>
      <c r="D4" s="26"/>
      <c r="E4" s="26"/>
      <c r="F4" s="26"/>
      <c r="G4" s="26"/>
      <c r="H4" s="26"/>
      <c r="I4" s="26"/>
      <c r="J4" s="26"/>
      <c r="K4" s="67"/>
      <c r="L4" s="56"/>
      <c r="M4" s="83"/>
      <c r="N4" s="83"/>
      <c r="O4" s="83"/>
      <c r="P4" s="56"/>
    </row>
    <row r="5" spans="2:16">
      <c r="B5" s="43"/>
      <c r="C5" s="44" t="s">
        <v>36</v>
      </c>
      <c r="D5" s="87">
        <v>100</v>
      </c>
      <c r="E5" s="87" t="s">
        <v>13</v>
      </c>
      <c r="F5" s="85">
        <f>IF(E5="OUI",D5*30%,0)</f>
        <v>30</v>
      </c>
      <c r="G5" s="54"/>
      <c r="H5" s="89">
        <v>44586</v>
      </c>
      <c r="I5" s="88">
        <v>5</v>
      </c>
      <c r="J5" s="89">
        <f>H5+I5</f>
        <v>44591</v>
      </c>
      <c r="K5" s="85">
        <v>600</v>
      </c>
      <c r="L5" s="56"/>
      <c r="M5" s="86"/>
      <c r="N5" s="86"/>
      <c r="O5" s="86"/>
      <c r="P5" s="56"/>
    </row>
    <row r="6" spans="2:16">
      <c r="B6" s="27"/>
      <c r="C6" s="44"/>
      <c r="D6" s="87"/>
      <c r="E6" s="87"/>
      <c r="F6" s="85"/>
      <c r="G6" s="54"/>
      <c r="H6" s="89"/>
      <c r="I6" s="88"/>
      <c r="J6" s="89"/>
      <c r="K6" s="85"/>
      <c r="L6" s="56"/>
      <c r="M6" s="86"/>
      <c r="N6" s="86"/>
      <c r="O6" s="86"/>
      <c r="P6" s="56"/>
    </row>
    <row r="7" spans="2:16">
      <c r="B7" s="45"/>
      <c r="C7" s="44" t="s">
        <v>37</v>
      </c>
      <c r="D7" s="87">
        <v>9337.9</v>
      </c>
      <c r="E7" s="87" t="s">
        <v>14</v>
      </c>
      <c r="F7" s="85">
        <f t="shared" ref="F7:F21" si="0">IF(E7="OUI",D7*30%,0)</f>
        <v>0</v>
      </c>
      <c r="G7" s="54"/>
      <c r="H7" s="89">
        <v>44614</v>
      </c>
      <c r="I7" s="88">
        <v>4</v>
      </c>
      <c r="J7" s="89">
        <f t="shared" ref="J7:J19" si="1">H7+I7</f>
        <v>44618</v>
      </c>
      <c r="K7" s="85">
        <v>700</v>
      </c>
      <c r="L7" s="56"/>
      <c r="M7" s="86"/>
      <c r="N7" s="86"/>
      <c r="O7" s="86"/>
      <c r="P7" s="56"/>
    </row>
    <row r="8" spans="2:16">
      <c r="B8" s="27"/>
      <c r="C8" s="44"/>
      <c r="D8" s="87"/>
      <c r="E8" s="87"/>
      <c r="F8" s="85"/>
      <c r="G8" s="54"/>
      <c r="H8" s="89"/>
      <c r="I8" s="88"/>
      <c r="J8" s="89"/>
      <c r="K8" s="85"/>
      <c r="L8" s="56"/>
      <c r="M8" s="86"/>
      <c r="N8" s="86"/>
      <c r="O8" s="86"/>
      <c r="P8" s="56"/>
    </row>
    <row r="9" spans="2:16">
      <c r="B9" s="46"/>
      <c r="C9" s="44" t="s">
        <v>38</v>
      </c>
      <c r="D9" s="87">
        <v>200</v>
      </c>
      <c r="E9" s="87" t="s">
        <v>14</v>
      </c>
      <c r="F9" s="85">
        <f t="shared" si="0"/>
        <v>0</v>
      </c>
      <c r="G9" s="54"/>
      <c r="H9" s="89">
        <v>44613</v>
      </c>
      <c r="I9" s="88">
        <v>2</v>
      </c>
      <c r="J9" s="89">
        <f t="shared" si="1"/>
        <v>44615</v>
      </c>
      <c r="K9" s="85">
        <v>500</v>
      </c>
      <c r="L9" s="56"/>
      <c r="M9" s="86"/>
      <c r="N9" s="86"/>
      <c r="O9" s="86"/>
      <c r="P9" s="56"/>
    </row>
    <row r="10" spans="2:16">
      <c r="B10" s="27"/>
      <c r="C10" s="44"/>
      <c r="D10" s="87"/>
      <c r="E10" s="87"/>
      <c r="F10" s="85"/>
      <c r="G10" s="54"/>
      <c r="H10" s="89"/>
      <c r="I10" s="88"/>
      <c r="J10" s="89"/>
      <c r="K10" s="85"/>
      <c r="L10" s="56"/>
      <c r="M10" s="86"/>
      <c r="N10" s="86"/>
      <c r="O10" s="86"/>
      <c r="P10" s="56"/>
    </row>
    <row r="11" spans="2:16">
      <c r="B11" s="47"/>
      <c r="C11" s="44" t="s">
        <v>39</v>
      </c>
      <c r="D11" s="87">
        <v>5000</v>
      </c>
      <c r="E11" s="87" t="s">
        <v>13</v>
      </c>
      <c r="F11" s="85">
        <f t="shared" si="0"/>
        <v>1500</v>
      </c>
      <c r="G11" s="54"/>
      <c r="H11" s="89">
        <v>44631</v>
      </c>
      <c r="I11" s="88">
        <v>2</v>
      </c>
      <c r="J11" s="89">
        <f t="shared" si="1"/>
        <v>44633</v>
      </c>
      <c r="K11" s="85">
        <v>300</v>
      </c>
      <c r="L11" s="56"/>
      <c r="M11" s="86"/>
      <c r="N11" s="86"/>
      <c r="O11" s="86"/>
      <c r="P11" s="56"/>
    </row>
    <row r="12" spans="2:16">
      <c r="B12" s="27"/>
      <c r="C12" s="44"/>
      <c r="D12" s="87"/>
      <c r="E12" s="87"/>
      <c r="F12" s="85"/>
      <c r="G12" s="54"/>
      <c r="H12" s="89"/>
      <c r="I12" s="88"/>
      <c r="J12" s="89"/>
      <c r="K12" s="85"/>
      <c r="L12" s="56"/>
      <c r="M12" s="86"/>
      <c r="N12" s="86"/>
      <c r="O12" s="86"/>
      <c r="P12" s="56"/>
    </row>
    <row r="13" spans="2:16">
      <c r="B13" s="48"/>
      <c r="C13" s="44" t="s">
        <v>40</v>
      </c>
      <c r="D13" s="87">
        <v>2000</v>
      </c>
      <c r="E13" s="87" t="s">
        <v>13</v>
      </c>
      <c r="F13" s="85">
        <f t="shared" si="0"/>
        <v>600</v>
      </c>
      <c r="G13" s="54"/>
      <c r="H13" s="89">
        <v>44583</v>
      </c>
      <c r="I13" s="88">
        <v>5</v>
      </c>
      <c r="J13" s="89">
        <f t="shared" si="1"/>
        <v>44588</v>
      </c>
      <c r="K13" s="85">
        <v>400</v>
      </c>
      <c r="L13" s="56"/>
      <c r="M13" s="86"/>
      <c r="N13" s="86"/>
      <c r="O13" s="86"/>
      <c r="P13" s="56"/>
    </row>
    <row r="14" spans="2:16">
      <c r="B14" s="27"/>
      <c r="C14" s="44"/>
      <c r="D14" s="87"/>
      <c r="E14" s="87"/>
      <c r="F14" s="85"/>
      <c r="G14" s="54"/>
      <c r="H14" s="87"/>
      <c r="I14" s="88"/>
      <c r="J14" s="89"/>
      <c r="K14" s="85"/>
      <c r="L14" s="56"/>
      <c r="M14" s="86"/>
      <c r="N14" s="86"/>
      <c r="O14" s="86"/>
      <c r="P14" s="56"/>
    </row>
    <row r="15" spans="2:16">
      <c r="B15" s="49"/>
      <c r="C15" s="44" t="s">
        <v>41</v>
      </c>
      <c r="D15" s="87">
        <v>1450</v>
      </c>
      <c r="E15" s="87" t="s">
        <v>13</v>
      </c>
      <c r="F15" s="85">
        <f>IF(E15="OUI",D15*30%,0)</f>
        <v>435</v>
      </c>
      <c r="G15" s="54"/>
      <c r="H15" s="89">
        <v>44615</v>
      </c>
      <c r="I15" s="88">
        <v>5</v>
      </c>
      <c r="J15" s="89">
        <f t="shared" si="1"/>
        <v>44620</v>
      </c>
      <c r="K15" s="85">
        <v>300</v>
      </c>
      <c r="L15" s="56"/>
      <c r="M15" s="86"/>
      <c r="N15" s="86"/>
      <c r="O15" s="86"/>
      <c r="P15" s="56"/>
    </row>
    <row r="16" spans="2:16">
      <c r="B16" s="27"/>
      <c r="C16" s="44"/>
      <c r="D16" s="87"/>
      <c r="E16" s="87"/>
      <c r="F16" s="85"/>
      <c r="G16" s="54"/>
      <c r="H16" s="87"/>
      <c r="I16" s="88"/>
      <c r="J16" s="89"/>
      <c r="K16" s="85"/>
      <c r="L16" s="56"/>
      <c r="M16" s="86"/>
      <c r="N16" s="86"/>
      <c r="O16" s="86"/>
      <c r="P16" s="56"/>
    </row>
    <row r="17" spans="2:16">
      <c r="B17" s="50"/>
      <c r="C17" s="44" t="s">
        <v>42</v>
      </c>
      <c r="D17" s="87">
        <v>2000</v>
      </c>
      <c r="E17" s="87" t="s">
        <v>14</v>
      </c>
      <c r="F17" s="85">
        <f t="shared" si="0"/>
        <v>0</v>
      </c>
      <c r="G17" s="54"/>
      <c r="H17" s="89">
        <v>44586</v>
      </c>
      <c r="I17" s="88">
        <v>5</v>
      </c>
      <c r="J17" s="89">
        <f t="shared" si="1"/>
        <v>44591</v>
      </c>
      <c r="K17" s="85">
        <v>200</v>
      </c>
      <c r="L17" s="56"/>
      <c r="M17" s="86"/>
      <c r="N17" s="86"/>
      <c r="O17" s="86"/>
      <c r="P17" s="56"/>
    </row>
    <row r="18" spans="2:16">
      <c r="B18" s="27"/>
      <c r="C18" s="44"/>
      <c r="D18" s="87"/>
      <c r="E18" s="87"/>
      <c r="F18" s="85"/>
      <c r="G18" s="54"/>
      <c r="H18" s="87"/>
      <c r="I18" s="88"/>
      <c r="J18" s="89"/>
      <c r="K18" s="85"/>
      <c r="L18" s="56"/>
      <c r="M18" s="86"/>
      <c r="N18" s="86"/>
      <c r="O18" s="86"/>
      <c r="P18" s="56"/>
    </row>
    <row r="19" spans="2:16">
      <c r="B19" s="51"/>
      <c r="C19" s="44" t="s">
        <v>43</v>
      </c>
      <c r="D19" s="87">
        <v>400</v>
      </c>
      <c r="E19" s="87" t="s">
        <v>13</v>
      </c>
      <c r="F19" s="85">
        <f t="shared" si="0"/>
        <v>120</v>
      </c>
      <c r="G19" s="54"/>
      <c r="H19" s="89">
        <v>44587</v>
      </c>
      <c r="I19" s="88">
        <v>7</v>
      </c>
      <c r="J19" s="89">
        <f t="shared" si="1"/>
        <v>44594</v>
      </c>
      <c r="K19" s="85">
        <v>200</v>
      </c>
      <c r="L19" s="56"/>
      <c r="M19" s="86"/>
      <c r="N19" s="86"/>
      <c r="O19" s="86"/>
      <c r="P19" s="56"/>
    </row>
    <row r="20" spans="2:16">
      <c r="B20" s="27"/>
      <c r="C20" s="44"/>
      <c r="D20" s="87"/>
      <c r="E20" s="87"/>
      <c r="F20" s="85"/>
      <c r="G20" s="54"/>
      <c r="H20" s="87"/>
      <c r="I20" s="88"/>
      <c r="J20" s="89"/>
      <c r="K20" s="85"/>
      <c r="L20" s="56"/>
      <c r="M20" s="86"/>
      <c r="N20" s="86"/>
      <c r="O20" s="86"/>
      <c r="P20" s="56"/>
    </row>
    <row r="21" spans="2:16">
      <c r="B21" s="52"/>
      <c r="C21" s="44" t="s">
        <v>44</v>
      </c>
      <c r="D21" s="87">
        <v>400</v>
      </c>
      <c r="E21" s="87" t="s">
        <v>13</v>
      </c>
      <c r="F21" s="85">
        <f t="shared" si="0"/>
        <v>120</v>
      </c>
      <c r="G21" s="54"/>
      <c r="H21" s="87"/>
      <c r="I21" s="88"/>
      <c r="J21" s="89">
        <f>H21+I21</f>
        <v>0</v>
      </c>
      <c r="K21" s="85"/>
      <c r="L21" s="56"/>
      <c r="M21" s="86"/>
      <c r="N21" s="86"/>
      <c r="O21" s="86"/>
      <c r="P21" s="56"/>
    </row>
    <row r="22" spans="2:16">
      <c r="B22" s="27"/>
      <c r="C22" s="44"/>
      <c r="D22" s="87"/>
      <c r="E22" s="87"/>
      <c r="F22" s="85"/>
      <c r="G22" s="54"/>
      <c r="H22" s="87"/>
      <c r="I22" s="88"/>
      <c r="J22" s="89"/>
      <c r="K22" s="85"/>
      <c r="L22" s="56"/>
      <c r="M22" s="86"/>
      <c r="N22" s="86"/>
      <c r="O22" s="86"/>
      <c r="P22" s="56"/>
    </row>
    <row r="23" spans="2:16">
      <c r="B23" s="53"/>
      <c r="C23" s="44" t="s">
        <v>45</v>
      </c>
      <c r="D23" s="87">
        <v>800</v>
      </c>
      <c r="E23" s="87" t="s">
        <v>13</v>
      </c>
      <c r="F23" s="85">
        <f>IF(E23="OUI",D23*30%,0)</f>
        <v>240</v>
      </c>
      <c r="G23" s="54"/>
      <c r="H23" s="87"/>
      <c r="I23" s="88"/>
      <c r="J23" s="89">
        <f>H23+I23</f>
        <v>0</v>
      </c>
      <c r="K23" s="85"/>
      <c r="L23" s="56"/>
      <c r="M23" s="86"/>
      <c r="N23" s="86"/>
      <c r="O23" s="86"/>
      <c r="P23" s="56"/>
    </row>
    <row r="24" spans="2:16">
      <c r="B24" s="27"/>
      <c r="C24" s="44"/>
      <c r="D24" s="87"/>
      <c r="E24" s="87"/>
      <c r="F24" s="85"/>
      <c r="G24" s="54"/>
      <c r="H24" s="87"/>
      <c r="I24" s="88"/>
      <c r="J24" s="89"/>
      <c r="K24" s="85"/>
      <c r="L24" s="56"/>
      <c r="M24" s="86"/>
      <c r="N24" s="86"/>
      <c r="O24" s="86"/>
      <c r="P24" s="56"/>
    </row>
    <row r="25" spans="2:16">
      <c r="B25" s="56"/>
      <c r="C25" s="56"/>
      <c r="D25" s="83"/>
      <c r="E25" s="83"/>
      <c r="F25" s="84"/>
      <c r="G25" s="56"/>
      <c r="H25" s="87"/>
      <c r="I25" s="88"/>
      <c r="J25" s="89">
        <f t="shared" ref="J25" si="2">H25+I25</f>
        <v>0</v>
      </c>
      <c r="K25" s="85"/>
      <c r="L25" s="56"/>
      <c r="M25" s="86"/>
      <c r="N25" s="86"/>
      <c r="O25" s="86"/>
      <c r="P25" s="56"/>
    </row>
    <row r="26" spans="2:16">
      <c r="B26" s="56"/>
      <c r="C26" s="56"/>
      <c r="D26" s="83"/>
      <c r="E26" s="83"/>
      <c r="F26" s="84"/>
      <c r="G26" s="56"/>
      <c r="H26" s="87"/>
      <c r="I26" s="88"/>
      <c r="J26" s="89"/>
      <c r="K26" s="85"/>
      <c r="L26" s="56"/>
      <c r="M26" s="86"/>
      <c r="N26" s="86"/>
      <c r="O26" s="86"/>
      <c r="P26" s="56"/>
    </row>
    <row r="27" spans="2:16">
      <c r="B27" s="56"/>
      <c r="C27" s="56"/>
      <c r="D27" s="83"/>
      <c r="E27" s="83"/>
      <c r="F27" s="84"/>
      <c r="G27" s="56"/>
      <c r="H27" s="87"/>
      <c r="I27" s="88"/>
      <c r="J27" s="89">
        <f t="shared" ref="J27" si="3">H27+I27</f>
        <v>0</v>
      </c>
      <c r="K27" s="85"/>
      <c r="L27" s="56"/>
      <c r="M27" s="86"/>
      <c r="N27" s="86"/>
      <c r="O27" s="86"/>
      <c r="P27" s="56"/>
    </row>
    <row r="28" spans="2:16">
      <c r="D28" s="83"/>
      <c r="E28" s="83"/>
      <c r="F28" s="84"/>
      <c r="H28" s="87"/>
      <c r="I28" s="88"/>
      <c r="J28" s="89"/>
      <c r="K28" s="85"/>
      <c r="M28" s="86"/>
      <c r="N28" s="86"/>
      <c r="O28" s="86"/>
    </row>
    <row r="29" spans="2:16">
      <c r="D29" s="83"/>
      <c r="E29" s="83"/>
      <c r="F29" s="84"/>
      <c r="H29" s="87"/>
      <c r="I29" s="88"/>
      <c r="J29" s="89">
        <f t="shared" ref="J29" si="4">H29+I29</f>
        <v>0</v>
      </c>
      <c r="K29" s="85"/>
      <c r="M29" s="86"/>
      <c r="N29" s="86"/>
      <c r="O29" s="86"/>
    </row>
    <row r="30" spans="2:16">
      <c r="D30" s="83"/>
      <c r="E30" s="83"/>
      <c r="F30" s="84"/>
      <c r="H30" s="87"/>
      <c r="I30" s="88"/>
      <c r="J30" s="89"/>
      <c r="K30" s="85"/>
      <c r="M30" s="86"/>
      <c r="N30" s="86"/>
      <c r="O30" s="86"/>
    </row>
    <row r="31" spans="2:16">
      <c r="D31" s="83"/>
      <c r="E31" s="83"/>
      <c r="F31" s="84"/>
      <c r="H31" s="87"/>
      <c r="I31" s="88"/>
      <c r="J31" s="89">
        <f t="shared" ref="J31" si="5">H31+I31</f>
        <v>0</v>
      </c>
      <c r="K31" s="85"/>
      <c r="M31" s="86"/>
      <c r="N31" s="86"/>
      <c r="O31" s="86"/>
    </row>
    <row r="32" spans="2:16">
      <c r="D32" s="83"/>
      <c r="E32" s="83"/>
      <c r="F32" s="84"/>
      <c r="H32" s="87"/>
      <c r="I32" s="88"/>
      <c r="J32" s="89"/>
      <c r="K32" s="85"/>
      <c r="M32" s="86"/>
      <c r="N32" s="86"/>
      <c r="O32" s="86"/>
    </row>
    <row r="33" spans="4:15">
      <c r="D33" s="83"/>
      <c r="E33" s="83"/>
      <c r="F33" s="84"/>
      <c r="H33" s="87"/>
      <c r="I33" s="88"/>
      <c r="J33" s="89">
        <f t="shared" ref="J33" si="6">H33+I33</f>
        <v>0</v>
      </c>
      <c r="K33" s="85"/>
      <c r="M33" s="86"/>
      <c r="N33" s="86"/>
      <c r="O33" s="86"/>
    </row>
    <row r="34" spans="4:15">
      <c r="D34" s="83"/>
      <c r="E34" s="83"/>
      <c r="F34" s="84"/>
      <c r="H34" s="87"/>
      <c r="I34" s="88"/>
      <c r="J34" s="89"/>
      <c r="K34" s="85"/>
      <c r="M34" s="86"/>
      <c r="N34" s="86"/>
      <c r="O34" s="86"/>
    </row>
    <row r="35" spans="4:15">
      <c r="D35" s="83"/>
      <c r="E35" s="83"/>
      <c r="F35" s="84"/>
      <c r="H35" s="87"/>
      <c r="I35" s="88"/>
      <c r="J35" s="89">
        <f t="shared" ref="J35" si="7">H35+I35</f>
        <v>0</v>
      </c>
      <c r="K35" s="85"/>
      <c r="M35" s="86"/>
      <c r="N35" s="86"/>
      <c r="O35" s="86"/>
    </row>
    <row r="36" spans="4:15">
      <c r="D36" s="83"/>
      <c r="E36" s="83"/>
      <c r="F36" s="84"/>
      <c r="H36" s="87"/>
      <c r="I36" s="88"/>
      <c r="J36" s="89"/>
      <c r="K36" s="85"/>
      <c r="M36" s="86"/>
      <c r="N36" s="86"/>
      <c r="O36" s="86"/>
    </row>
    <row r="37" spans="4:15">
      <c r="D37" s="83"/>
      <c r="E37" s="83"/>
      <c r="F37" s="84"/>
      <c r="H37" s="87"/>
      <c r="I37" s="88"/>
      <c r="J37" s="89">
        <f t="shared" ref="J37" si="8">H37+I37</f>
        <v>0</v>
      </c>
      <c r="K37" s="85"/>
      <c r="M37" s="86"/>
      <c r="N37" s="86"/>
      <c r="O37" s="86"/>
    </row>
    <row r="38" spans="4:15">
      <c r="D38" s="83"/>
      <c r="E38" s="83"/>
      <c r="F38" s="84"/>
      <c r="H38" s="87"/>
      <c r="I38" s="88"/>
      <c r="J38" s="89"/>
      <c r="K38" s="85"/>
      <c r="M38" s="86"/>
      <c r="N38" s="86"/>
      <c r="O38" s="86"/>
    </row>
    <row r="39" spans="4:15">
      <c r="D39" s="83"/>
      <c r="E39" s="83"/>
      <c r="F39" s="84"/>
      <c r="H39" s="87"/>
      <c r="I39" s="88"/>
      <c r="J39" s="89">
        <f t="shared" ref="J39" si="9">H39+I39</f>
        <v>0</v>
      </c>
      <c r="K39" s="85"/>
      <c r="M39" s="86"/>
      <c r="N39" s="86"/>
      <c r="O39" s="86"/>
    </row>
    <row r="40" spans="4:15">
      <c r="D40" s="83"/>
      <c r="E40" s="83"/>
      <c r="F40" s="84"/>
      <c r="H40" s="87"/>
      <c r="I40" s="88"/>
      <c r="J40" s="89"/>
      <c r="K40" s="85"/>
      <c r="M40" s="86"/>
      <c r="N40" s="86"/>
      <c r="O40" s="86"/>
    </row>
    <row r="41" spans="4:15">
      <c r="D41" s="83"/>
      <c r="E41" s="83"/>
      <c r="F41" s="84"/>
      <c r="H41" s="87"/>
      <c r="I41" s="88"/>
      <c r="J41" s="89">
        <f t="shared" ref="J41" si="10">H41+I41</f>
        <v>0</v>
      </c>
      <c r="K41" s="85"/>
      <c r="M41" s="86"/>
      <c r="N41" s="86"/>
      <c r="O41" s="86"/>
    </row>
    <row r="42" spans="4:15">
      <c r="D42" s="83"/>
      <c r="E42" s="83"/>
      <c r="F42" s="84"/>
      <c r="H42" s="87"/>
      <c r="I42" s="88"/>
      <c r="J42" s="89"/>
      <c r="K42" s="85"/>
      <c r="M42" s="86"/>
      <c r="N42" s="86"/>
      <c r="O42" s="86"/>
    </row>
    <row r="43" spans="4:15">
      <c r="D43" s="83"/>
      <c r="E43" s="83"/>
      <c r="F43" s="84"/>
      <c r="H43" s="87"/>
      <c r="I43" s="88"/>
      <c r="J43" s="89">
        <f t="shared" ref="J43" si="11">H43+I43</f>
        <v>0</v>
      </c>
      <c r="K43" s="85"/>
      <c r="M43" s="86"/>
      <c r="N43" s="86"/>
      <c r="O43" s="86"/>
    </row>
    <row r="44" spans="4:15">
      <c r="D44" s="83"/>
      <c r="E44" s="83"/>
      <c r="F44" s="84"/>
      <c r="H44" s="87"/>
      <c r="I44" s="88"/>
      <c r="J44" s="89"/>
      <c r="K44" s="85"/>
      <c r="M44" s="86"/>
      <c r="N44" s="86"/>
      <c r="O44" s="86"/>
    </row>
    <row r="45" spans="4:15">
      <c r="I45" s="60"/>
      <c r="J45" s="58"/>
    </row>
    <row r="46" spans="4:15">
      <c r="J46" s="58"/>
    </row>
    <row r="47" spans="4:15">
      <c r="J47" s="58"/>
    </row>
    <row r="48" spans="4:15">
      <c r="J48" s="58"/>
    </row>
  </sheetData>
  <mergeCells count="203">
    <mergeCell ref="H2:K2"/>
    <mergeCell ref="M4:O4"/>
    <mergeCell ref="M2:O2"/>
    <mergeCell ref="E5:E6"/>
    <mergeCell ref="D5:D6"/>
    <mergeCell ref="F5:F6"/>
    <mergeCell ref="I5:I6"/>
    <mergeCell ref="H5:H6"/>
    <mergeCell ref="J5:J6"/>
    <mergeCell ref="K5:K6"/>
    <mergeCell ref="M5:M6"/>
    <mergeCell ref="N5:N6"/>
    <mergeCell ref="O5:O6"/>
    <mergeCell ref="K7:K8"/>
    <mergeCell ref="I7:I8"/>
    <mergeCell ref="J7:J8"/>
    <mergeCell ref="I9:I10"/>
    <mergeCell ref="I11:I12"/>
    <mergeCell ref="K9:K10"/>
    <mergeCell ref="K11:K12"/>
    <mergeCell ref="J11:J12"/>
    <mergeCell ref="J9:J10"/>
    <mergeCell ref="H11:H12"/>
    <mergeCell ref="F19:F20"/>
    <mergeCell ref="F17:F18"/>
    <mergeCell ref="E17:E18"/>
    <mergeCell ref="E19:E20"/>
    <mergeCell ref="F11:F12"/>
    <mergeCell ref="E11:E12"/>
    <mergeCell ref="D7:D8"/>
    <mergeCell ref="D9:D10"/>
    <mergeCell ref="D11:D12"/>
    <mergeCell ref="D13:D14"/>
    <mergeCell ref="D15:D16"/>
    <mergeCell ref="F9:F10"/>
    <mergeCell ref="H9:H10"/>
    <mergeCell ref="F7:F8"/>
    <mergeCell ref="H7:H8"/>
    <mergeCell ref="E7:E8"/>
    <mergeCell ref="E9:E10"/>
    <mergeCell ref="M17:M18"/>
    <mergeCell ref="M19:M20"/>
    <mergeCell ref="M21:M22"/>
    <mergeCell ref="M23:M24"/>
    <mergeCell ref="M25:M26"/>
    <mergeCell ref="M7:M8"/>
    <mergeCell ref="M9:M10"/>
    <mergeCell ref="M11:M12"/>
    <mergeCell ref="M13:M14"/>
    <mergeCell ref="M15:M16"/>
    <mergeCell ref="K31:K32"/>
    <mergeCell ref="K33:K34"/>
    <mergeCell ref="K35:K36"/>
    <mergeCell ref="K37:K38"/>
    <mergeCell ref="M27:M28"/>
    <mergeCell ref="M29:M30"/>
    <mergeCell ref="M31:M32"/>
    <mergeCell ref="M33:M34"/>
    <mergeCell ref="M35:M36"/>
    <mergeCell ref="K13:K14"/>
    <mergeCell ref="K15:K16"/>
    <mergeCell ref="K17:K18"/>
    <mergeCell ref="K19:K20"/>
    <mergeCell ref="K21:K22"/>
    <mergeCell ref="K23:K24"/>
    <mergeCell ref="K25:K26"/>
    <mergeCell ref="K27:K28"/>
    <mergeCell ref="K29:K30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I13:I14"/>
    <mergeCell ref="D25:D26"/>
    <mergeCell ref="E25:E26"/>
    <mergeCell ref="H13:H14"/>
    <mergeCell ref="H29:H30"/>
    <mergeCell ref="I29:I30"/>
    <mergeCell ref="H31:H32"/>
    <mergeCell ref="I31:I32"/>
    <mergeCell ref="H33:H34"/>
    <mergeCell ref="I33:I34"/>
    <mergeCell ref="D19:D20"/>
    <mergeCell ref="D17:D18"/>
    <mergeCell ref="E15:E16"/>
    <mergeCell ref="F15:F16"/>
    <mergeCell ref="F13:F14"/>
    <mergeCell ref="E13:E14"/>
    <mergeCell ref="E21:E22"/>
    <mergeCell ref="F21:F22"/>
    <mergeCell ref="F23:F24"/>
    <mergeCell ref="E23:E24"/>
    <mergeCell ref="D23:D24"/>
    <mergeCell ref="D21:D22"/>
    <mergeCell ref="N13:N14"/>
    <mergeCell ref="O13:O14"/>
    <mergeCell ref="N15:N16"/>
    <mergeCell ref="O15:O16"/>
    <mergeCell ref="N17:N18"/>
    <mergeCell ref="O17:O18"/>
    <mergeCell ref="N7:N8"/>
    <mergeCell ref="O7:O8"/>
    <mergeCell ref="N9:N10"/>
    <mergeCell ref="O9:O10"/>
    <mergeCell ref="N11:N12"/>
    <mergeCell ref="O11:O12"/>
    <mergeCell ref="O35:O36"/>
    <mergeCell ref="N25:N26"/>
    <mergeCell ref="O25:O26"/>
    <mergeCell ref="N27:N28"/>
    <mergeCell ref="O27:O28"/>
    <mergeCell ref="N29:N30"/>
    <mergeCell ref="O29:O30"/>
    <mergeCell ref="N19:N20"/>
    <mergeCell ref="O19:O20"/>
    <mergeCell ref="N21:N22"/>
    <mergeCell ref="O21:O22"/>
    <mergeCell ref="N23:N24"/>
    <mergeCell ref="O23:O24"/>
    <mergeCell ref="H15:H16"/>
    <mergeCell ref="I15:I16"/>
    <mergeCell ref="H17:H18"/>
    <mergeCell ref="I17:I18"/>
    <mergeCell ref="H19:H20"/>
    <mergeCell ref="I19:I20"/>
    <mergeCell ref="H21:H22"/>
    <mergeCell ref="I21:I22"/>
    <mergeCell ref="H23:H24"/>
    <mergeCell ref="I23:I24"/>
    <mergeCell ref="O43:O44"/>
    <mergeCell ref="F25:F26"/>
    <mergeCell ref="H39:H40"/>
    <mergeCell ref="I39:I40"/>
    <mergeCell ref="H41:H42"/>
    <mergeCell ref="I41:I42"/>
    <mergeCell ref="H43:H44"/>
    <mergeCell ref="I43:I44"/>
    <mergeCell ref="M39:M40"/>
    <mergeCell ref="M41:M42"/>
    <mergeCell ref="H25:H26"/>
    <mergeCell ref="I25:I26"/>
    <mergeCell ref="H27:H28"/>
    <mergeCell ref="I27:I28"/>
    <mergeCell ref="N37:N38"/>
    <mergeCell ref="O37:O38"/>
    <mergeCell ref="N39:N40"/>
    <mergeCell ref="O39:O40"/>
    <mergeCell ref="N41:N42"/>
    <mergeCell ref="O41:O42"/>
    <mergeCell ref="N31:N32"/>
    <mergeCell ref="O31:O32"/>
    <mergeCell ref="N33:N34"/>
    <mergeCell ref="O33:O34"/>
    <mergeCell ref="D27:D28"/>
    <mergeCell ref="E27:E28"/>
    <mergeCell ref="F27:F28"/>
    <mergeCell ref="D29:D30"/>
    <mergeCell ref="E29:E30"/>
    <mergeCell ref="F29:F30"/>
    <mergeCell ref="K43:K44"/>
    <mergeCell ref="M43:M44"/>
    <mergeCell ref="N43:N44"/>
    <mergeCell ref="N35:N36"/>
    <mergeCell ref="J41:J42"/>
    <mergeCell ref="J43:J44"/>
    <mergeCell ref="H35:H36"/>
    <mergeCell ref="I35:I36"/>
    <mergeCell ref="H37:H38"/>
    <mergeCell ref="I37:I38"/>
    <mergeCell ref="K39:K40"/>
    <mergeCell ref="K41:K42"/>
    <mergeCell ref="J31:J32"/>
    <mergeCell ref="J33:J34"/>
    <mergeCell ref="J35:J36"/>
    <mergeCell ref="J37:J38"/>
    <mergeCell ref="J39:J40"/>
    <mergeCell ref="M37:M38"/>
    <mergeCell ref="D35:D36"/>
    <mergeCell ref="E35:E36"/>
    <mergeCell ref="F35:F36"/>
    <mergeCell ref="D37:D38"/>
    <mergeCell ref="E37:E38"/>
    <mergeCell ref="F37:F38"/>
    <mergeCell ref="D31:D32"/>
    <mergeCell ref="E31:E32"/>
    <mergeCell ref="F31:F32"/>
    <mergeCell ref="D33:D34"/>
    <mergeCell ref="E33:E34"/>
    <mergeCell ref="F33:F34"/>
    <mergeCell ref="D43:D44"/>
    <mergeCell ref="E43:E44"/>
    <mergeCell ref="F43:F44"/>
    <mergeCell ref="D39:D40"/>
    <mergeCell ref="E39:E40"/>
    <mergeCell ref="F39:F40"/>
    <mergeCell ref="D41:D42"/>
    <mergeCell ref="E41:E42"/>
    <mergeCell ref="F41:F42"/>
  </mergeCells>
  <conditionalFormatting sqref="B21">
    <cfRule type="cellIs" dxfId="80" priority="1" stopIfTrue="1" operator="equal">
      <formula>1</formula>
    </cfRule>
    <cfRule type="cellIs" dxfId="79" priority="2" stopIfTrue="1" operator="equal">
      <formula>2</formula>
    </cfRule>
    <cfRule type="cellIs" dxfId="78" priority="3" operator="equal">
      <formula>3</formula>
    </cfRule>
  </conditionalFormatting>
  <dataValidations count="1">
    <dataValidation type="list" allowBlank="1" showInputMessage="1" showErrorMessage="1" sqref="G11 G19 G15 G23 G21 G17 G13 G9 G7 E5 G5 E7 E9 E21 E11 E13 E15 E17 E19 E23">
      <formula1>"OUI,NON"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26e97fa315356fffbdcd9876fe988c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14b8f0def80e6d70ce3def20c90759a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Props1.xml><?xml version="1.0" encoding="utf-8"?>
<ds:datastoreItem xmlns:ds="http://schemas.openxmlformats.org/officeDocument/2006/customXml" ds:itemID="{284082A6-59E9-47FE-A802-4274C54383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DD5992-68AE-4B29-AEFE-7AC47D40B6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8A6C93-A69C-4202-9E10-B2DDF75C0D1E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TM89105255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 DES CHANTIERS </vt:lpstr>
      <vt:lpstr>FICHE CHANTIER</vt:lpstr>
      <vt:lpstr>CalendarYear</vt:lpstr>
      <vt:lpstr>Range_Dates</vt:lpstr>
      <vt:lpstr>Range_Days</vt:lpstr>
      <vt:lpstr>Range_Weekdays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2020-10-06T19:45:38Z</dcterms:created>
  <dcterms:modified xsi:type="dcterms:W3CDTF">2022-01-24T15:59:58Z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