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/>
  <bookViews>
    <workbookView xWindow="240" yWindow="45" windowWidth="18990" windowHeight="7995"/>
  </bookViews>
  <sheets>
    <sheet name="Tableau de bord" sheetId="1" r:id="rId1"/>
    <sheet name="Jour fériés" sheetId="2" r:id="rId2"/>
  </sheets>
  <externalReferences>
    <externalReference r:id="rId3"/>
  </externalReferences>
  <definedNames>
    <definedName name="Fériés">'Jour fériés'!$A$2:$A$50</definedName>
    <definedName name="_xlnm.Print_Area" localSheetId="0">'Tableau de bord'!$A$1:$P$69</definedName>
  </definedNames>
  <calcPr calcId="125725"/>
</workbook>
</file>

<file path=xl/calcChain.xml><?xml version="1.0" encoding="utf-8"?>
<calcChain xmlns="http://schemas.openxmlformats.org/spreadsheetml/2006/main">
  <c r="Z35" i="1"/>
  <c r="Z41"/>
  <c r="Z42"/>
  <c r="Z43"/>
  <c r="Z44"/>
  <c r="J17"/>
  <c r="I17"/>
  <c r="K13"/>
  <c r="K14"/>
  <c r="Z14" s="1"/>
  <c r="K15"/>
  <c r="K16"/>
  <c r="K12"/>
  <c r="K40"/>
  <c r="Z40" s="1"/>
  <c r="K34"/>
  <c r="Z34" s="1"/>
  <c r="K35"/>
  <c r="K36"/>
  <c r="Z36" s="1"/>
  <c r="K37"/>
  <c r="Z37" s="1"/>
  <c r="K33"/>
  <c r="Z33" s="1"/>
  <c r="K27"/>
  <c r="Z27" s="1"/>
  <c r="K28"/>
  <c r="Z28" s="1"/>
  <c r="K29"/>
  <c r="Z29" s="1"/>
  <c r="K30"/>
  <c r="Z30" s="1"/>
  <c r="K26"/>
  <c r="Z26" s="1"/>
  <c r="K20"/>
  <c r="Z20" s="1"/>
  <c r="K21"/>
  <c r="Z21" s="1"/>
  <c r="K22"/>
  <c r="Z22" s="1"/>
  <c r="K23"/>
  <c r="Z23" s="1"/>
  <c r="K19"/>
  <c r="Z19" s="1"/>
  <c r="R18"/>
  <c r="R14"/>
  <c r="O14"/>
  <c r="O41"/>
  <c r="P41" s="1"/>
  <c r="O42"/>
  <c r="P42" s="1"/>
  <c r="O43"/>
  <c r="R43" s="1"/>
  <c r="O44"/>
  <c r="R44" s="1"/>
  <c r="O40"/>
  <c r="P40" s="1"/>
  <c r="O34"/>
  <c r="R34" s="1"/>
  <c r="O35"/>
  <c r="R35" s="1"/>
  <c r="O36"/>
  <c r="R36" s="1"/>
  <c r="O37"/>
  <c r="R37" s="1"/>
  <c r="O33"/>
  <c r="P33" s="1"/>
  <c r="O27"/>
  <c r="P27" s="1"/>
  <c r="O28"/>
  <c r="R28" s="1"/>
  <c r="O29"/>
  <c r="R29" s="1"/>
  <c r="O30"/>
  <c r="R30" s="1"/>
  <c r="O26"/>
  <c r="R26" s="1"/>
  <c r="P44"/>
  <c r="P34"/>
  <c r="P37"/>
  <c r="P28"/>
  <c r="P29"/>
  <c r="P30"/>
  <c r="O20"/>
  <c r="P20" s="1"/>
  <c r="O21"/>
  <c r="R21" s="1"/>
  <c r="O22"/>
  <c r="R22" s="1"/>
  <c r="O23"/>
  <c r="P23" s="1"/>
  <c r="O19"/>
  <c r="R19" s="1"/>
  <c r="O12"/>
  <c r="P12" s="1"/>
  <c r="O13"/>
  <c r="P13" s="1"/>
  <c r="O15"/>
  <c r="P15" s="1"/>
  <c r="O16"/>
  <c r="R16" s="1"/>
  <c r="P14"/>
  <c r="AA19"/>
  <c r="AA20"/>
  <c r="AA21"/>
  <c r="AA22"/>
  <c r="AA23"/>
  <c r="AA26"/>
  <c r="AA27"/>
  <c r="AA28"/>
  <c r="AA29"/>
  <c r="AA30"/>
  <c r="AA33"/>
  <c r="AA34"/>
  <c r="AA35"/>
  <c r="AA36"/>
  <c r="AA37"/>
  <c r="AA40"/>
  <c r="AA41"/>
  <c r="AA42"/>
  <c r="AA43"/>
  <c r="AA44"/>
  <c r="W15"/>
  <c r="V13"/>
  <c r="V14"/>
  <c r="V15"/>
  <c r="V16"/>
  <c r="V19"/>
  <c r="V20"/>
  <c r="V21"/>
  <c r="V22"/>
  <c r="V23"/>
  <c r="V26"/>
  <c r="V27"/>
  <c r="V28"/>
  <c r="V29"/>
  <c r="V30"/>
  <c r="V33"/>
  <c r="V34"/>
  <c r="V35"/>
  <c r="V36"/>
  <c r="V37"/>
  <c r="V40"/>
  <c r="V41"/>
  <c r="V42"/>
  <c r="V43"/>
  <c r="V44"/>
  <c r="V12"/>
  <c r="P36" l="1"/>
  <c r="Z13"/>
  <c r="P19"/>
  <c r="R41"/>
  <c r="R23"/>
  <c r="Z15"/>
  <c r="Z16"/>
  <c r="P22"/>
  <c r="P16"/>
  <c r="R15"/>
  <c r="Z12"/>
  <c r="W16"/>
  <c r="P35"/>
  <c r="R42"/>
  <c r="R33"/>
  <c r="W12"/>
  <c r="P43"/>
  <c r="R12"/>
  <c r="R27"/>
  <c r="R20"/>
  <c r="R13"/>
  <c r="R40"/>
  <c r="O31"/>
  <c r="P21"/>
  <c r="O24"/>
  <c r="O45"/>
  <c r="O38"/>
  <c r="P26"/>
  <c r="W13"/>
  <c r="O17"/>
  <c r="V46"/>
  <c r="N46" s="1"/>
  <c r="W20" l="1"/>
  <c r="W19"/>
  <c r="Y13"/>
  <c r="Y14"/>
  <c r="Y15"/>
  <c r="Y16"/>
  <c r="Y19"/>
  <c r="Y20"/>
  <c r="Y21"/>
  <c r="Y22"/>
  <c r="Y23"/>
  <c r="Y26"/>
  <c r="Y27"/>
  <c r="Y28"/>
  <c r="Y29"/>
  <c r="Y30"/>
  <c r="Y33"/>
  <c r="Y34"/>
  <c r="Y35"/>
  <c r="Y36"/>
  <c r="Y37"/>
  <c r="Y40"/>
  <c r="Y41"/>
  <c r="Y42"/>
  <c r="Y43"/>
  <c r="Y44"/>
  <c r="Y12"/>
  <c r="X13"/>
  <c r="X14"/>
  <c r="X15"/>
  <c r="X16"/>
  <c r="X19"/>
  <c r="X20"/>
  <c r="X21"/>
  <c r="X22"/>
  <c r="X23"/>
  <c r="X26"/>
  <c r="X27"/>
  <c r="X28"/>
  <c r="X29"/>
  <c r="X30"/>
  <c r="X33"/>
  <c r="X34"/>
  <c r="X35"/>
  <c r="X36"/>
  <c r="X37"/>
  <c r="X40"/>
  <c r="X41"/>
  <c r="X42"/>
  <c r="X43"/>
  <c r="X44"/>
  <c r="X12"/>
  <c r="U13"/>
  <c r="U14"/>
  <c r="U15"/>
  <c r="U16"/>
  <c r="U19"/>
  <c r="U20"/>
  <c r="U21"/>
  <c r="U22"/>
  <c r="U23"/>
  <c r="U26"/>
  <c r="U27"/>
  <c r="U28"/>
  <c r="U29"/>
  <c r="U30"/>
  <c r="U33"/>
  <c r="U34"/>
  <c r="U35"/>
  <c r="U36"/>
  <c r="U37"/>
  <c r="U40"/>
  <c r="U41"/>
  <c r="U42"/>
  <c r="U43"/>
  <c r="U44"/>
  <c r="U12"/>
  <c r="T19"/>
  <c r="T20"/>
  <c r="T21"/>
  <c r="T22"/>
  <c r="T23"/>
  <c r="T26"/>
  <c r="T27"/>
  <c r="T28"/>
  <c r="T29"/>
  <c r="T30"/>
  <c r="T33"/>
  <c r="T34"/>
  <c r="T35"/>
  <c r="T36"/>
  <c r="T37"/>
  <c r="T40"/>
  <c r="T41"/>
  <c r="T42"/>
  <c r="T43"/>
  <c r="T44"/>
  <c r="T13"/>
  <c r="T14"/>
  <c r="T15"/>
  <c r="T16"/>
  <c r="T12"/>
  <c r="C12"/>
  <c r="S16"/>
  <c r="L13"/>
  <c r="AA13" s="1"/>
  <c r="L14"/>
  <c r="AA14" s="1"/>
  <c r="L15"/>
  <c r="AA15" s="1"/>
  <c r="L16"/>
  <c r="AA16" s="1"/>
  <c r="L12"/>
  <c r="AA12" s="1"/>
  <c r="H17"/>
  <c r="N45"/>
  <c r="M45"/>
  <c r="K45"/>
  <c r="G45"/>
  <c r="A44"/>
  <c r="A43"/>
  <c r="A40"/>
  <c r="N38"/>
  <c r="M38"/>
  <c r="K38"/>
  <c r="G38"/>
  <c r="A37"/>
  <c r="A36"/>
  <c r="A33"/>
  <c r="N31"/>
  <c r="M31"/>
  <c r="K31"/>
  <c r="G31"/>
  <c r="A30"/>
  <c r="A29"/>
  <c r="A26"/>
  <c r="N24"/>
  <c r="M24"/>
  <c r="K24"/>
  <c r="G24"/>
  <c r="A23"/>
  <c r="A22"/>
  <c r="A19"/>
  <c r="M17"/>
  <c r="N17"/>
  <c r="K17"/>
  <c r="G17"/>
  <c r="A12"/>
  <c r="A15"/>
  <c r="A16"/>
  <c r="P38" l="1"/>
  <c r="R38"/>
  <c r="P31"/>
  <c r="P45"/>
  <c r="P17"/>
  <c r="P24"/>
  <c r="AA46"/>
  <c r="L46" s="1"/>
  <c r="W22"/>
  <c r="W21"/>
  <c r="W14"/>
  <c r="L17"/>
  <c r="S13"/>
  <c r="C13"/>
  <c r="U46"/>
  <c r="M46" s="1"/>
  <c r="X46"/>
  <c r="H46" s="1"/>
  <c r="Y46"/>
  <c r="K46" s="1"/>
  <c r="C22"/>
  <c r="Z46"/>
  <c r="S19"/>
  <c r="C19"/>
  <c r="S15"/>
  <c r="C15"/>
  <c r="S20"/>
  <c r="C20"/>
  <c r="S12"/>
  <c r="S22"/>
  <c r="C16"/>
  <c r="T46"/>
  <c r="W23" l="1"/>
  <c r="AB17"/>
  <c r="P5"/>
  <c r="C21"/>
  <c r="S21"/>
  <c r="C14"/>
  <c r="S14"/>
  <c r="W26" l="1"/>
  <c r="C23"/>
  <c r="S23"/>
  <c r="W27" l="1"/>
  <c r="C26"/>
  <c r="S26"/>
  <c r="W30" l="1"/>
  <c r="W28"/>
  <c r="W29"/>
  <c r="S27"/>
  <c r="C27"/>
  <c r="S28" l="1"/>
  <c r="C28"/>
  <c r="C30"/>
  <c r="S30"/>
  <c r="S29"/>
  <c r="C29"/>
  <c r="W33" l="1"/>
  <c r="W34" l="1"/>
  <c r="C33"/>
  <c r="S33"/>
  <c r="C34" l="1"/>
  <c r="S34"/>
  <c r="W35"/>
  <c r="W36" l="1"/>
  <c r="S35"/>
  <c r="C35"/>
  <c r="S36" l="1"/>
  <c r="C36"/>
  <c r="W37"/>
  <c r="C37" l="1"/>
  <c r="S37"/>
  <c r="W41" l="1"/>
  <c r="W40"/>
  <c r="W42" l="1"/>
  <c r="C40"/>
  <c r="S40"/>
  <c r="S41"/>
  <c r="C41"/>
  <c r="S42" l="1"/>
  <c r="C42"/>
  <c r="W43"/>
  <c r="S43" l="1"/>
  <c r="C43"/>
  <c r="W44"/>
  <c r="W46" s="1"/>
  <c r="O46" s="1"/>
  <c r="S56" l="1"/>
  <c r="R46"/>
  <c r="G7" s="1"/>
  <c r="R47"/>
  <c r="AB14" s="1"/>
  <c r="S44"/>
  <c r="S62" s="1"/>
  <c r="S63" s="1"/>
  <c r="C44"/>
  <c r="S57" s="1"/>
  <c r="S55" l="1"/>
  <c r="AB15"/>
  <c r="AB18" s="1"/>
  <c r="AB19"/>
  <c r="AB20" l="1"/>
  <c r="D4" s="1"/>
  <c r="AB12"/>
  <c r="AC12" s="1"/>
</calcChain>
</file>

<file path=xl/sharedStrings.xml><?xml version="1.0" encoding="utf-8"?>
<sst xmlns="http://schemas.openxmlformats.org/spreadsheetml/2006/main" count="85" uniqueCount="49">
  <si>
    <t>Projets</t>
  </si>
  <si>
    <t>Livrable(s)</t>
  </si>
  <si>
    <t>Coût/Heures</t>
  </si>
  <si>
    <t>Statut</t>
  </si>
  <si>
    <t>Priorité</t>
  </si>
  <si>
    <t>Échéance</t>
  </si>
  <si>
    <t>Tâche</t>
  </si>
  <si>
    <t>Assignée à</t>
  </si>
  <si>
    <t>% Achevé</t>
  </si>
  <si>
    <t>Heures estimées</t>
  </si>
  <si>
    <t>Heures réelles</t>
  </si>
  <si>
    <t>Nom du projet</t>
  </si>
  <si>
    <t>27/10/2015</t>
  </si>
  <si>
    <t>27/10/2016</t>
  </si>
  <si>
    <t>Date de début</t>
  </si>
  <si>
    <t>Date de fin initiale</t>
  </si>
  <si>
    <t>Date de fin finale</t>
  </si>
  <si>
    <t>Activité</t>
  </si>
  <si>
    <t>Totaux :</t>
  </si>
  <si>
    <t>Coût estimé</t>
  </si>
  <si>
    <t>Coût réel</t>
  </si>
  <si>
    <t>Ecart des coûts</t>
  </si>
  <si>
    <t>Reste à faire
(heures)</t>
  </si>
  <si>
    <t>27/10/2017</t>
  </si>
  <si>
    <t>Indicateurs avancements</t>
  </si>
  <si>
    <t>Pourcentages des tâches</t>
  </si>
  <si>
    <t>En cours</t>
  </si>
  <si>
    <t>Non commencé</t>
  </si>
  <si>
    <t>Terminé</t>
  </si>
  <si>
    <t>Avancement global</t>
  </si>
  <si>
    <t>En retard</t>
  </si>
  <si>
    <t>G*K</t>
  </si>
  <si>
    <t>K</t>
  </si>
  <si>
    <t>N</t>
  </si>
  <si>
    <t>Budget consommé</t>
  </si>
  <si>
    <t>Budget prévisionnel</t>
  </si>
  <si>
    <t xml:space="preserve">Budget plannifié </t>
  </si>
  <si>
    <t>En temps</t>
  </si>
  <si>
    <t>Jour Fériés</t>
  </si>
  <si>
    <t>Etat du projet</t>
  </si>
  <si>
    <t>Heures de retard</t>
  </si>
  <si>
    <t>Valeur heures projet sur 100</t>
  </si>
  <si>
    <t>limiter le chiffre à 230 et a 5</t>
  </si>
  <si>
    <t>Reste à faire</t>
  </si>
  <si>
    <t>Ecarts des coûts</t>
  </si>
  <si>
    <t>Coût horaire</t>
  </si>
  <si>
    <t>Coût matériels</t>
  </si>
  <si>
    <t>Valeur coût projet sur 100</t>
  </si>
  <si>
    <t>MAJ : 10/09/2016</t>
  </si>
</sst>
</file>

<file path=xl/styles.xml><?xml version="1.0" encoding="utf-8"?>
<styleSheet xmlns="http://schemas.openxmlformats.org/spreadsheetml/2006/main">
  <numFmts count="9">
    <numFmt numFmtId="6" formatCode="#,##0\ &quot;€&quot;;[Red]\-#,##0\ &quot;€&quot;"/>
    <numFmt numFmtId="44" formatCode="_-* #,##0.00\ &quot;€&quot;_-;\-* #,##0.00\ &quot;€&quot;_-;_-* &quot;-&quot;??\ &quot;€&quot;_-;_-@_-"/>
    <numFmt numFmtId="164" formatCode="[$€-2]\ #,##0;[Red]\-[$€-2]\ #,##0"/>
    <numFmt numFmtId="165" formatCode="#,##0\ _€"/>
    <numFmt numFmtId="172" formatCode="0.000000"/>
    <numFmt numFmtId="173" formatCode="0.000"/>
    <numFmt numFmtId="174" formatCode="#,##0&quot;/100&quot;"/>
    <numFmt numFmtId="176" formatCode="#,##0\ &quot;€&quot;"/>
    <numFmt numFmtId="178" formatCode="#,##0\ [$€-1];[Red]\-#,##0\ [$€-1]"/>
  </numFmts>
  <fonts count="2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indexed="9"/>
      <name val="Arial"/>
      <family val="2"/>
    </font>
    <font>
      <b/>
      <sz val="10"/>
      <name val="Arial"/>
      <family val="2"/>
    </font>
    <font>
      <b/>
      <sz val="12"/>
      <color rgb="FFFF0000"/>
      <name val="Calibri"/>
      <family val="2"/>
      <scheme val="minor"/>
    </font>
    <font>
      <sz val="10"/>
      <name val="Arial"/>
      <family val="2"/>
    </font>
    <font>
      <b/>
      <sz val="26"/>
      <color theme="0"/>
      <name val="Calibri"/>
      <family val="2"/>
      <scheme val="minor"/>
    </font>
    <font>
      <b/>
      <sz val="11"/>
      <name val="Arial"/>
      <family val="2"/>
    </font>
    <font>
      <b/>
      <sz val="11"/>
      <color theme="0"/>
      <name val="Arial"/>
      <family val="2"/>
    </font>
    <font>
      <b/>
      <sz val="11"/>
      <color theme="1"/>
      <name val="Calibri"/>
      <family val="2"/>
      <scheme val="minor"/>
    </font>
    <font>
      <sz val="12"/>
      <color rgb="FF2F2F2F"/>
      <name val="Segoe UI"/>
      <family val="2"/>
    </font>
    <font>
      <sz val="11"/>
      <color rgb="FF2F2F2F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sz val="22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28"/>
      <color theme="0"/>
      <name val="Calibri"/>
      <family val="2"/>
      <scheme val="minor"/>
    </font>
    <font>
      <b/>
      <sz val="48"/>
      <color theme="0"/>
      <name val="Calibri"/>
      <family val="2"/>
      <scheme val="minor"/>
    </font>
    <font>
      <b/>
      <sz val="8"/>
      <name val="Webdings"/>
      <family val="1"/>
      <charset val="2"/>
    </font>
    <font>
      <sz val="9"/>
      <color rgb="FF333333"/>
      <name val="Segoe UI"/>
      <family val="2"/>
    </font>
    <font>
      <sz val="9"/>
      <color rgb="FF111111"/>
      <name val="Courier New"/>
      <family val="3"/>
    </font>
    <font>
      <sz val="12"/>
      <color theme="1"/>
      <name val="Calibri"/>
      <family val="2"/>
      <scheme val="minor"/>
    </font>
    <font>
      <sz val="10"/>
      <color rgb="FF333333"/>
      <name val="Segoe UI"/>
      <family val="2"/>
    </font>
  </fonts>
  <fills count="8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01">
    <xf numFmtId="0" fontId="0" fillId="0" borderId="0" xfId="0"/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4" fontId="5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9" fontId="7" fillId="0" borderId="1" xfId="2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 wrapText="1"/>
    </xf>
    <xf numFmtId="9" fontId="7" fillId="0" borderId="7" xfId="2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9" fontId="5" fillId="0" borderId="1" xfId="0" applyNumberFormat="1" applyFont="1" applyFill="1" applyBorder="1" applyAlignment="1">
      <alignment horizontal="center" vertical="center"/>
    </xf>
    <xf numFmtId="1" fontId="5" fillId="0" borderId="1" xfId="0" applyNumberFormat="1" applyFont="1" applyFill="1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14" fontId="5" fillId="0" borderId="5" xfId="0" applyNumberFormat="1" applyFont="1" applyFill="1" applyBorder="1" applyAlignment="1">
      <alignment horizontal="center" vertical="center"/>
    </xf>
    <xf numFmtId="0" fontId="10" fillId="3" borderId="5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 wrapText="1"/>
    </xf>
    <xf numFmtId="14" fontId="4" fillId="3" borderId="5" xfId="0" applyNumberFormat="1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/>
    </xf>
    <xf numFmtId="14" fontId="5" fillId="0" borderId="6" xfId="0" applyNumberFormat="1" applyFont="1" applyFill="1" applyBorder="1" applyAlignment="1">
      <alignment horizontal="center" vertical="center"/>
    </xf>
    <xf numFmtId="0" fontId="9" fillId="4" borderId="2" xfId="0" applyFont="1" applyFill="1" applyBorder="1" applyAlignment="1">
      <alignment horizontal="center" vertical="center" wrapText="1"/>
    </xf>
    <xf numFmtId="0" fontId="9" fillId="4" borderId="3" xfId="0" applyFont="1" applyFill="1" applyBorder="1" applyAlignment="1">
      <alignment horizontal="center" vertical="center" wrapText="1"/>
    </xf>
    <xf numFmtId="0" fontId="9" fillId="4" borderId="4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14" fontId="5" fillId="0" borderId="1" xfId="0" applyNumberFormat="1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right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11" fillId="0" borderId="0" xfId="0" applyFont="1" applyAlignment="1">
      <alignment horizontal="center"/>
    </xf>
    <xf numFmtId="0" fontId="12" fillId="0" borderId="0" xfId="0" applyFont="1"/>
    <xf numFmtId="9" fontId="0" fillId="0" borderId="0" xfId="0" applyNumberFormat="1"/>
    <xf numFmtId="9" fontId="13" fillId="0" borderId="0" xfId="0" applyNumberFormat="1" applyFont="1"/>
    <xf numFmtId="0" fontId="17" fillId="3" borderId="0" xfId="0" applyFont="1" applyFill="1" applyAlignment="1">
      <alignment horizontal="center" vertical="center"/>
    </xf>
    <xf numFmtId="0" fontId="8" fillId="3" borderId="8" xfId="0" applyFont="1" applyFill="1" applyBorder="1" applyAlignment="1">
      <alignment horizontal="center" vertical="center"/>
    </xf>
    <xf numFmtId="0" fontId="8" fillId="3" borderId="9" xfId="0" applyFont="1" applyFill="1" applyBorder="1" applyAlignment="1">
      <alignment horizontal="center" vertical="center"/>
    </xf>
    <xf numFmtId="0" fontId="8" fillId="3" borderId="10" xfId="0" applyFont="1" applyFill="1" applyBorder="1" applyAlignment="1">
      <alignment horizontal="center" vertical="center"/>
    </xf>
    <xf numFmtId="0" fontId="8" fillId="3" borderId="11" xfId="0" applyFont="1" applyFill="1" applyBorder="1" applyAlignment="1">
      <alignment horizontal="center" vertical="center"/>
    </xf>
    <xf numFmtId="0" fontId="8" fillId="3" borderId="0" xfId="0" applyFont="1" applyFill="1" applyBorder="1" applyAlignment="1">
      <alignment horizontal="center" vertical="center"/>
    </xf>
    <xf numFmtId="0" fontId="8" fillId="3" borderId="12" xfId="0" applyFont="1" applyFill="1" applyBorder="1" applyAlignment="1">
      <alignment horizontal="center" vertical="center"/>
    </xf>
    <xf numFmtId="0" fontId="8" fillId="3" borderId="13" xfId="0" applyFont="1" applyFill="1" applyBorder="1" applyAlignment="1">
      <alignment horizontal="center" vertical="center"/>
    </xf>
    <xf numFmtId="0" fontId="8" fillId="3" borderId="14" xfId="0" applyFont="1" applyFill="1" applyBorder="1" applyAlignment="1">
      <alignment horizontal="center" vertical="center"/>
    </xf>
    <xf numFmtId="0" fontId="8" fillId="3" borderId="15" xfId="0" applyFont="1" applyFill="1" applyBorder="1" applyAlignment="1">
      <alignment horizontal="center" vertical="center"/>
    </xf>
    <xf numFmtId="9" fontId="19" fillId="0" borderId="16" xfId="0" applyNumberFormat="1" applyFont="1" applyBorder="1" applyAlignment="1">
      <alignment horizontal="center" vertical="center"/>
    </xf>
    <xf numFmtId="9" fontId="19" fillId="0" borderId="17" xfId="0" applyNumberFormat="1" applyFont="1" applyBorder="1" applyAlignment="1">
      <alignment horizontal="center" vertical="center"/>
    </xf>
    <xf numFmtId="9" fontId="19" fillId="0" borderId="18" xfId="0" applyNumberFormat="1" applyFont="1" applyBorder="1" applyAlignment="1">
      <alignment horizontal="center" vertical="center"/>
    </xf>
    <xf numFmtId="0" fontId="20" fillId="3" borderId="0" xfId="0" applyFont="1" applyFill="1" applyAlignment="1">
      <alignment horizontal="center" vertical="center"/>
    </xf>
    <xf numFmtId="0" fontId="21" fillId="3" borderId="0" xfId="0" applyFont="1" applyFill="1" applyAlignment="1">
      <alignment horizontal="center" vertical="center"/>
    </xf>
    <xf numFmtId="9" fontId="0" fillId="0" borderId="0" xfId="0" applyNumberForma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14" fontId="0" fillId="0" borderId="0" xfId="0" applyNumberFormat="1"/>
    <xf numFmtId="165" fontId="0" fillId="0" borderId="0" xfId="0" applyNumberFormat="1" applyAlignment="1">
      <alignment horizontal="center" vertical="center"/>
    </xf>
    <xf numFmtId="165" fontId="0" fillId="0" borderId="0" xfId="0" applyNumberFormat="1"/>
    <xf numFmtId="0" fontId="0" fillId="0" borderId="0" xfId="0" applyBorder="1"/>
    <xf numFmtId="0" fontId="11" fillId="0" borderId="0" xfId="0" applyFont="1" applyFill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0" fillId="0" borderId="0" xfId="0" applyNumberFormat="1"/>
    <xf numFmtId="0" fontId="11" fillId="0" borderId="0" xfId="0" applyFont="1" applyAlignment="1"/>
    <xf numFmtId="0" fontId="0" fillId="6" borderId="1" xfId="0" applyFill="1" applyBorder="1" applyAlignment="1">
      <alignment horizontal="center" vertical="center"/>
    </xf>
    <xf numFmtId="0" fontId="11" fillId="7" borderId="1" xfId="0" applyFont="1" applyFill="1" applyBorder="1" applyAlignment="1">
      <alignment horizontal="center" vertical="center"/>
    </xf>
    <xf numFmtId="0" fontId="5" fillId="0" borderId="0" xfId="0" applyFont="1"/>
    <xf numFmtId="0" fontId="22" fillId="0" borderId="0" xfId="0" applyFont="1"/>
    <xf numFmtId="0" fontId="5" fillId="0" borderId="0" xfId="0" applyFont="1" applyAlignment="1">
      <alignment horizontal="center" vertical="center"/>
    </xf>
    <xf numFmtId="10" fontId="0" fillId="0" borderId="0" xfId="0" applyNumberFormat="1"/>
    <xf numFmtId="0" fontId="0" fillId="0" borderId="0" xfId="0" applyNumberFormat="1" applyAlignment="1">
      <alignment horizontal="center" vertical="center"/>
    </xf>
    <xf numFmtId="1" fontId="0" fillId="0" borderId="0" xfId="0" applyNumberFormat="1" applyFont="1" applyBorder="1" applyAlignment="1">
      <alignment horizontal="right" vertical="center"/>
    </xf>
    <xf numFmtId="1" fontId="0" fillId="0" borderId="0" xfId="0" applyNumberFormat="1" applyAlignment="1">
      <alignment horizontal="center" vertical="center"/>
    </xf>
    <xf numFmtId="1" fontId="0" fillId="0" borderId="0" xfId="0" applyNumberFormat="1"/>
    <xf numFmtId="172" fontId="0" fillId="0" borderId="0" xfId="0" applyNumberFormat="1"/>
    <xf numFmtId="173" fontId="0" fillId="0" borderId="0" xfId="0" applyNumberFormat="1" applyAlignment="1">
      <alignment horizontal="center" vertical="center"/>
    </xf>
    <xf numFmtId="173" fontId="0" fillId="0" borderId="0" xfId="0" applyNumberFormat="1"/>
    <xf numFmtId="174" fontId="16" fillId="3" borderId="0" xfId="0" applyNumberFormat="1" applyFont="1" applyFill="1" applyAlignment="1">
      <alignment horizontal="center" vertical="center"/>
    </xf>
    <xf numFmtId="0" fontId="14" fillId="3" borderId="1" xfId="0" applyFont="1" applyFill="1" applyBorder="1" applyAlignment="1">
      <alignment horizontal="center" vertical="center"/>
    </xf>
    <xf numFmtId="14" fontId="18" fillId="0" borderId="1" xfId="0" applyNumberFormat="1" applyFont="1" applyBorder="1" applyAlignment="1">
      <alignment horizontal="center" vertical="center"/>
    </xf>
    <xf numFmtId="0" fontId="23" fillId="0" borderId="0" xfId="0" applyFont="1"/>
    <xf numFmtId="0" fontId="24" fillId="0" borderId="0" xfId="0" applyFont="1"/>
    <xf numFmtId="0" fontId="15" fillId="3" borderId="19" xfId="0" applyFont="1" applyFill="1" applyBorder="1" applyAlignment="1">
      <alignment horizontal="right" vertical="center"/>
    </xf>
    <xf numFmtId="0" fontId="14" fillId="3" borderId="0" xfId="0" applyFont="1" applyFill="1" applyAlignment="1">
      <alignment horizontal="center" vertical="center"/>
    </xf>
    <xf numFmtId="0" fontId="25" fillId="0" borderId="0" xfId="0" applyFont="1"/>
    <xf numFmtId="1" fontId="14" fillId="3" borderId="3" xfId="0" applyNumberFormat="1" applyFont="1" applyFill="1" applyBorder="1" applyAlignment="1">
      <alignment horizontal="center" vertical="center"/>
    </xf>
    <xf numFmtId="9" fontId="5" fillId="3" borderId="4" xfId="0" applyNumberFormat="1" applyFont="1" applyFill="1" applyBorder="1" applyAlignment="1">
      <alignment horizontal="center" vertical="center"/>
    </xf>
    <xf numFmtId="6" fontId="5" fillId="0" borderId="1" xfId="0" applyNumberFormat="1" applyFont="1" applyFill="1" applyBorder="1" applyAlignment="1">
      <alignment horizontal="center" vertical="center"/>
    </xf>
    <xf numFmtId="6" fontId="7" fillId="0" borderId="1" xfId="1" applyNumberFormat="1" applyFont="1" applyFill="1" applyBorder="1" applyAlignment="1">
      <alignment horizontal="center" vertical="center"/>
    </xf>
    <xf numFmtId="176" fontId="7" fillId="0" borderId="7" xfId="1" applyNumberFormat="1" applyFont="1" applyFill="1" applyBorder="1" applyAlignment="1">
      <alignment horizontal="center" vertical="center"/>
    </xf>
    <xf numFmtId="176" fontId="7" fillId="0" borderId="1" xfId="1" applyNumberFormat="1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/>
    </xf>
    <xf numFmtId="176" fontId="7" fillId="0" borderId="1" xfId="2" applyNumberFormat="1" applyFont="1" applyFill="1" applyBorder="1" applyAlignment="1">
      <alignment horizontal="center" vertical="center"/>
    </xf>
    <xf numFmtId="6" fontId="7" fillId="0" borderId="7" xfId="1" applyNumberFormat="1" applyFont="1" applyFill="1" applyBorder="1" applyAlignment="1">
      <alignment horizontal="center" vertical="center"/>
    </xf>
    <xf numFmtId="178" fontId="14" fillId="3" borderId="0" xfId="0" applyNumberFormat="1" applyFont="1" applyFill="1" applyAlignment="1">
      <alignment horizontal="center" vertical="center"/>
    </xf>
    <xf numFmtId="0" fontId="7" fillId="0" borderId="5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26" fillId="0" borderId="0" xfId="0" applyNumberFormat="1" applyFont="1"/>
  </cellXfs>
  <cellStyles count="3">
    <cellStyle name="Monétaire" xfId="1" builtinId="4"/>
    <cellStyle name="Normal" xfId="0" builtinId="0"/>
    <cellStyle name="Pourcentage" xfId="2" builtinId="5"/>
  </cellStyles>
  <dxfs count="6"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33CC33"/>
      </font>
    </dxf>
    <dxf>
      <font>
        <color rgb="FFFF0000"/>
      </font>
    </dxf>
    <dxf>
      <font>
        <color theme="1" tint="0.34998626667073579"/>
      </font>
    </dxf>
  </dxfs>
  <tableStyles count="0" defaultTableStyle="TableStyleMedium9" defaultPivotStyle="PivotStyleLight16"/>
  <colors>
    <mruColors>
      <color rgb="FF33CC33"/>
      <color rgb="FFFF0000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en-US"/>
              <a:t>Tâches</a:t>
            </a:r>
          </a:p>
        </c:rich>
      </c:tx>
      <c:layout/>
    </c:title>
    <c:plotArea>
      <c:layout/>
      <c:pieChart>
        <c:varyColors val="1"/>
        <c:ser>
          <c:idx val="0"/>
          <c:order val="0"/>
          <c:dLbls>
            <c:txPr>
              <a:bodyPr/>
              <a:lstStyle/>
              <a:p>
                <a:pPr>
                  <a:defRPr sz="1400" b="1"/>
                </a:pPr>
                <a:endParaRPr lang="fr-FR"/>
              </a:p>
            </c:txPr>
            <c:showPercent val="1"/>
            <c:showLeaderLines val="1"/>
          </c:dLbls>
          <c:cat>
            <c:strRef>
              <c:f>'Tableau de bord'!$R$55:$R$57</c:f>
              <c:strCache>
                <c:ptCount val="3"/>
                <c:pt idx="0">
                  <c:v>Terminé</c:v>
                </c:pt>
                <c:pt idx="1">
                  <c:v>En cours</c:v>
                </c:pt>
                <c:pt idx="2">
                  <c:v>Non commencé</c:v>
                </c:pt>
              </c:strCache>
            </c:strRef>
          </c:cat>
          <c:val>
            <c:numRef>
              <c:f>'Tableau de bord'!$S$55:$S$57</c:f>
              <c:numCache>
                <c:formatCode>0%</c:formatCode>
                <c:ptCount val="3"/>
                <c:pt idx="0">
                  <c:v>0.13333333333333333</c:v>
                </c:pt>
                <c:pt idx="1">
                  <c:v>0.8</c:v>
                </c:pt>
                <c:pt idx="2">
                  <c:v>6.6666666666666666E-2</c:v>
                </c:pt>
              </c:numCache>
            </c:numRef>
          </c:val>
        </c:ser>
        <c:dLbls>
          <c:showPercent val="1"/>
        </c:dLbls>
        <c:firstSliceAng val="0"/>
      </c:pieChart>
    </c:plotArea>
    <c:legend>
      <c:legendPos val="t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style val="18"/>
  <c:chart>
    <c:title>
      <c:tx>
        <c:rich>
          <a:bodyPr/>
          <a:lstStyle/>
          <a:p>
            <a:pPr>
              <a:defRPr/>
            </a:pPr>
            <a:r>
              <a:rPr lang="en-US"/>
              <a:t>Budget</a:t>
            </a:r>
          </a:p>
        </c:rich>
      </c:tx>
      <c:layout/>
    </c:title>
    <c:plotArea>
      <c:layout>
        <c:manualLayout>
          <c:layoutTarget val="inner"/>
          <c:xMode val="edge"/>
          <c:yMode val="edge"/>
          <c:x val="0.23479390657563154"/>
          <c:y val="0.12488444152814232"/>
          <c:w val="0.70216077641457608"/>
          <c:h val="0.43068751822688833"/>
        </c:manualLayout>
      </c:layout>
      <c:barChart>
        <c:barDir val="bar"/>
        <c:grouping val="clustered"/>
        <c:ser>
          <c:idx val="0"/>
          <c:order val="0"/>
          <c:tx>
            <c:strRef>
              <c:f>'Tableau de bord'!$X$11</c:f>
              <c:strCache>
                <c:ptCount val="1"/>
                <c:pt idx="0">
                  <c:v>Budget plannifié </c:v>
                </c:pt>
              </c:strCache>
            </c:strRef>
          </c:tx>
          <c:cat>
            <c:strRef>
              <c:f>'Tableau de bord'!$X$11:$Z$11</c:f>
              <c:strCache>
                <c:ptCount val="3"/>
                <c:pt idx="0">
                  <c:v>Budget plannifié </c:v>
                </c:pt>
                <c:pt idx="1">
                  <c:v>Budget consommé</c:v>
                </c:pt>
                <c:pt idx="2">
                  <c:v>Budget prévisionnel</c:v>
                </c:pt>
              </c:strCache>
            </c:strRef>
          </c:cat>
          <c:val>
            <c:numRef>
              <c:f>'Tableau de bord'!$X$46</c:f>
              <c:numCache>
                <c:formatCode>[$€-2]\ #,##0;[Red]\-[$€-2]\ #,##0</c:formatCode>
                <c:ptCount val="1"/>
                <c:pt idx="0">
                  <c:v>13000</c:v>
                </c:pt>
              </c:numCache>
            </c:numRef>
          </c:val>
        </c:ser>
        <c:ser>
          <c:idx val="1"/>
          <c:order val="1"/>
          <c:tx>
            <c:strRef>
              <c:f>'Tableau de bord'!$Y$11</c:f>
              <c:strCache>
                <c:ptCount val="1"/>
                <c:pt idx="0">
                  <c:v>Budget consommé</c:v>
                </c:pt>
              </c:strCache>
            </c:strRef>
          </c:tx>
          <c:cat>
            <c:strRef>
              <c:f>'Tableau de bord'!$X$11:$Z$11</c:f>
              <c:strCache>
                <c:ptCount val="3"/>
                <c:pt idx="0">
                  <c:v>Budget plannifié </c:v>
                </c:pt>
                <c:pt idx="1">
                  <c:v>Budget consommé</c:v>
                </c:pt>
                <c:pt idx="2">
                  <c:v>Budget prévisionnel</c:v>
                </c:pt>
              </c:strCache>
            </c:strRef>
          </c:cat>
          <c:val>
            <c:numRef>
              <c:f>'Tableau de bord'!$Y$46</c:f>
              <c:numCache>
                <c:formatCode>[$€-2]\ #,##0;[Red]\-[$€-2]\ #,##0</c:formatCode>
                <c:ptCount val="1"/>
                <c:pt idx="0">
                  <c:v>8260</c:v>
                </c:pt>
              </c:numCache>
            </c:numRef>
          </c:val>
        </c:ser>
        <c:ser>
          <c:idx val="2"/>
          <c:order val="2"/>
          <c:tx>
            <c:strRef>
              <c:f>'Tableau de bord'!$Z$11</c:f>
              <c:strCache>
                <c:ptCount val="1"/>
                <c:pt idx="0">
                  <c:v>Budget prévisionnel</c:v>
                </c:pt>
              </c:strCache>
            </c:strRef>
          </c:tx>
          <c:cat>
            <c:strRef>
              <c:f>'Tableau de bord'!$X$11:$Z$11</c:f>
              <c:strCache>
                <c:ptCount val="3"/>
                <c:pt idx="0">
                  <c:v>Budget plannifié </c:v>
                </c:pt>
                <c:pt idx="1">
                  <c:v>Budget consommé</c:v>
                </c:pt>
                <c:pt idx="2">
                  <c:v>Budget prévisionnel</c:v>
                </c:pt>
              </c:strCache>
            </c:strRef>
          </c:cat>
          <c:val>
            <c:numRef>
              <c:f>'Tableau de bord'!$Z$46</c:f>
              <c:numCache>
                <c:formatCode>[$€-2]\ #,##0;[Red]\-[$€-2]\ #,##0</c:formatCode>
                <c:ptCount val="1"/>
                <c:pt idx="0">
                  <c:v>11920</c:v>
                </c:pt>
              </c:numCache>
            </c:numRef>
          </c:val>
        </c:ser>
        <c:dLbls/>
        <c:axId val="183153792"/>
        <c:axId val="204566912"/>
      </c:barChart>
      <c:catAx>
        <c:axId val="183153792"/>
        <c:scaling>
          <c:orientation val="minMax"/>
        </c:scaling>
        <c:delete val="1"/>
        <c:axPos val="l"/>
        <c:majorTickMark val="none"/>
        <c:tickLblPos val="none"/>
        <c:crossAx val="204566912"/>
        <c:crosses val="autoZero"/>
        <c:auto val="1"/>
        <c:lblAlgn val="ctr"/>
        <c:lblOffset val="100"/>
      </c:catAx>
      <c:valAx>
        <c:axId val="204566912"/>
        <c:scaling>
          <c:orientation val="minMax"/>
        </c:scaling>
        <c:axPos val="b"/>
        <c:majorGridlines/>
        <c:numFmt formatCode="[$€-2]\ #,##0;[Red]\-[$€-2]\ #,##0" sourceLinked="1"/>
        <c:majorTickMark val="none"/>
        <c:tickLblPos val="nextTo"/>
        <c:crossAx val="183153792"/>
        <c:crosses val="autoZero"/>
        <c:crossBetween val="between"/>
      </c:valAx>
      <c:dTable>
        <c:showHorzBorder val="1"/>
        <c:showVertBorder val="1"/>
        <c:showOutline val="1"/>
        <c:showKeys val="1"/>
      </c:dTable>
    </c:plotArea>
    <c:plotVisOnly val="1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en-US"/>
              <a:t>Tâches</a:t>
            </a:r>
          </a:p>
        </c:rich>
      </c:tx>
      <c:layout/>
    </c:title>
    <c:plotArea>
      <c:layout/>
      <c:pieChart>
        <c:varyColors val="1"/>
        <c:ser>
          <c:idx val="0"/>
          <c:order val="0"/>
          <c:dLbls>
            <c:txPr>
              <a:bodyPr/>
              <a:lstStyle/>
              <a:p>
                <a:pPr>
                  <a:defRPr sz="1400" b="1"/>
                </a:pPr>
                <a:endParaRPr lang="fr-FR"/>
              </a:p>
            </c:txPr>
            <c:showPercent val="1"/>
            <c:showLeaderLines val="1"/>
          </c:dLbls>
          <c:cat>
            <c:strRef>
              <c:f>'Tableau de bord'!$R$62:$R$63</c:f>
              <c:strCache>
                <c:ptCount val="2"/>
                <c:pt idx="0">
                  <c:v>En retard</c:v>
                </c:pt>
                <c:pt idx="1">
                  <c:v>En temps</c:v>
                </c:pt>
              </c:strCache>
            </c:strRef>
          </c:cat>
          <c:val>
            <c:numRef>
              <c:f>'Tableau de bord'!$S$62:$S$63</c:f>
              <c:numCache>
                <c:formatCode>0%</c:formatCode>
                <c:ptCount val="2"/>
                <c:pt idx="0">
                  <c:v>0.72</c:v>
                </c:pt>
                <c:pt idx="1">
                  <c:v>0.28000000000000003</c:v>
                </c:pt>
              </c:numCache>
            </c:numRef>
          </c:val>
        </c:ser>
        <c:dLbls>
          <c:showPercent val="1"/>
        </c:dLbls>
        <c:firstSliceAng val="0"/>
      </c:pieChart>
    </c:plotArea>
    <c:legend>
      <c:legendPos val="t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381000</xdr:colOff>
      <xdr:row>46</xdr:row>
      <xdr:rowOff>175964</xdr:rowOff>
    </xdr:from>
    <xdr:to>
      <xdr:col>10</xdr:col>
      <xdr:colOff>571499</xdr:colOff>
      <xdr:row>68</xdr:row>
      <xdr:rowOff>114732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659637</xdr:colOff>
      <xdr:row>46</xdr:row>
      <xdr:rowOff>167119</xdr:rowOff>
    </xdr:from>
    <xdr:to>
      <xdr:col>16</xdr:col>
      <xdr:colOff>23813</xdr:colOff>
      <xdr:row>68</xdr:row>
      <xdr:rowOff>84116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46</xdr:row>
      <xdr:rowOff>148751</xdr:rowOff>
    </xdr:from>
    <xdr:to>
      <xdr:col>4</xdr:col>
      <xdr:colOff>289155</xdr:colOff>
      <xdr:row>68</xdr:row>
      <xdr:rowOff>67107</xdr:rowOff>
    </xdr:to>
    <xdr:graphicFrame macro="">
      <xdr:nvGraphicFramePr>
        <xdr:cNvPr id="6" name="Graphique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1332520</xdr:colOff>
      <xdr:row>3</xdr:row>
      <xdr:rowOff>378021</xdr:rowOff>
    </xdr:from>
    <xdr:to>
      <xdr:col>4</xdr:col>
      <xdr:colOff>17300</xdr:colOff>
      <xdr:row>7</xdr:row>
      <xdr:rowOff>110127</xdr:rowOff>
    </xdr:to>
    <xdr:grpSp>
      <xdr:nvGrpSpPr>
        <xdr:cNvPr id="44" name="Groupe 43"/>
        <xdr:cNvGrpSpPr/>
      </xdr:nvGrpSpPr>
      <xdr:grpSpPr>
        <a:xfrm>
          <a:off x="1332520" y="1589057"/>
          <a:ext cx="4862423" cy="1051999"/>
          <a:chOff x="3626539" y="990537"/>
          <a:chExt cx="3611899" cy="800913"/>
        </a:xfrm>
      </xdr:grpSpPr>
      <xdr:sp macro="" textlink="">
        <xdr:nvSpPr>
          <xdr:cNvPr id="32" name="Rectangle 25"/>
          <xdr:cNvSpPr>
            <a:spLocks noChangeArrowheads="1"/>
          </xdr:cNvSpPr>
        </xdr:nvSpPr>
        <xdr:spPr bwMode="auto">
          <a:xfrm>
            <a:off x="3626539" y="990537"/>
            <a:ext cx="3611899" cy="800913"/>
          </a:xfrm>
          <a:prstGeom prst="rect">
            <a:avLst/>
          </a:prstGeom>
          <a:solidFill>
            <a:srgbClr val="FFFFFF"/>
          </a:solidFill>
          <a:ln w="15875">
            <a:noFill/>
            <a:miter lim="800000"/>
            <a:headEnd/>
            <a:tailEnd/>
          </a:ln>
        </xdr:spPr>
      </xdr:sp>
      <xdr:sp macro="" textlink="AC12">
        <xdr:nvSpPr>
          <xdr:cNvPr id="33" name="Rectangle 26"/>
          <xdr:cNvSpPr>
            <a:spLocks noChangeArrowheads="1" noTextEdit="1"/>
          </xdr:cNvSpPr>
        </xdr:nvSpPr>
        <xdr:spPr bwMode="auto">
          <a:xfrm rot="5400000">
            <a:off x="5279652" y="-634309"/>
            <a:ext cx="308101" cy="3596765"/>
          </a:xfrm>
          <a:prstGeom prst="rect">
            <a:avLst/>
          </a:prstGeom>
          <a:solidFill>
            <a:schemeClr val="tx2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45720" tIns="32004" rIns="0" bIns="32004" anchor="ctr" upright="1"/>
          <a:lstStyle/>
          <a:p>
            <a:pPr algn="l" rtl="0">
              <a:defRPr sz="1000"/>
            </a:pPr>
            <a:fld id="{BDCA75F6-FDA5-4E30-B6A3-C0294F9DFBDB}" type="TxLink">
              <a:rPr lang="en-US" sz="800" b="1" i="0" u="none" strike="noStrike" baseline="0">
                <a:solidFill>
                  <a:schemeClr val="bg1"/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Webdings"/>
                <a:cs typeface="Arial"/>
              </a:rPr>
              <a:t>gggggggggggggggggggggggg</a:t>
            </a:fld>
            <a:endParaRPr lang="fr-FR" sz="1100" b="1" i="0" u="none" strike="noStrike" baseline="0">
              <a:solidFill>
                <a:schemeClr val="bg1"/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Webdings"/>
            </a:endParaRPr>
          </a:p>
        </xdr:txBody>
      </xdr:sp>
      <xdr:sp macro="" textlink="$A$31">
        <xdr:nvSpPr>
          <xdr:cNvPr id="34" name="Rectangle 32"/>
          <xdr:cNvSpPr>
            <a:spLocks noChangeArrowheads="1" noTextEdit="1"/>
          </xdr:cNvSpPr>
        </xdr:nvSpPr>
        <xdr:spPr bwMode="auto">
          <a:xfrm>
            <a:off x="3634767" y="1315963"/>
            <a:ext cx="903002" cy="472337"/>
          </a:xfrm>
          <a:prstGeom prst="rect">
            <a:avLst/>
          </a:prstGeom>
          <a:solidFill>
            <a:srgbClr val="FF0000">
              <a:alpha val="50000"/>
            </a:srgbClr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18288" tIns="18288" rIns="18288" bIns="18288" anchor="ctr" upright="1"/>
          <a:lstStyle/>
          <a:p>
            <a:pPr algn="ctr" rtl="0">
              <a:defRPr sz="1000"/>
            </a:pPr>
            <a:fld id="{28E3D3D5-9362-4D2A-BB25-1EC7DAA79EC0}" type="TxLink">
              <a:rPr lang="fr-FR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Mauvais</a:t>
            </a:fld>
            <a:endParaRPr lang="fr-FR" sz="1000" b="1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</xdr:txBody>
      </xdr:sp>
      <xdr:sp macro="" textlink="$A$32">
        <xdr:nvSpPr>
          <xdr:cNvPr id="35" name="Rectangle 33"/>
          <xdr:cNvSpPr>
            <a:spLocks noChangeArrowheads="1" noTextEdit="1"/>
          </xdr:cNvSpPr>
        </xdr:nvSpPr>
        <xdr:spPr bwMode="auto">
          <a:xfrm>
            <a:off x="4535940" y="1315963"/>
            <a:ext cx="900000" cy="472337"/>
          </a:xfrm>
          <a:prstGeom prst="rect">
            <a:avLst/>
          </a:prstGeom>
          <a:solidFill>
            <a:srgbClr val="FFC000">
              <a:alpha val="50000"/>
            </a:srgbClr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18288" tIns="18288" rIns="18288" bIns="18288" anchor="ctr" upright="1"/>
          <a:lstStyle/>
          <a:p>
            <a:pPr algn="ctr" rtl="0">
              <a:defRPr sz="1000"/>
            </a:pPr>
            <a:fld id="{64966E42-F7B0-478C-BAC2-5D56502EB635}" type="TxLink">
              <a:rPr lang="fr-FR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Passable</a:t>
            </a:fld>
            <a:endParaRPr lang="fr-FR" sz="1000" b="1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</xdr:txBody>
      </xdr:sp>
      <xdr:sp macro="" textlink="$A$33">
        <xdr:nvSpPr>
          <xdr:cNvPr id="36" name="Rectangle 34"/>
          <xdr:cNvSpPr>
            <a:spLocks noChangeArrowheads="1" noTextEdit="1"/>
          </xdr:cNvSpPr>
        </xdr:nvSpPr>
        <xdr:spPr bwMode="auto">
          <a:xfrm>
            <a:off x="5433952" y="1315964"/>
            <a:ext cx="896622" cy="470045"/>
          </a:xfrm>
          <a:prstGeom prst="rect">
            <a:avLst/>
          </a:prstGeom>
          <a:solidFill>
            <a:srgbClr val="FFFF00">
              <a:alpha val="50000"/>
            </a:srgbClr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18288" tIns="18288" rIns="18288" bIns="18288" anchor="ctr" upright="1"/>
          <a:lstStyle/>
          <a:p>
            <a:pPr algn="ctr" rtl="0">
              <a:defRPr sz="1000"/>
            </a:pPr>
            <a:fld id="{CB3CBBFA-B5D4-42BF-A4D3-9D84322A64AC}" type="TxLink">
              <a:rPr lang="fr-FR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Bien</a:t>
            </a:fld>
            <a:endParaRPr lang="fr-FR" sz="1000" b="1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</xdr:txBody>
      </xdr:sp>
      <xdr:sp macro="" textlink="$A$34">
        <xdr:nvSpPr>
          <xdr:cNvPr id="37" name="Rectangle 35"/>
          <xdr:cNvSpPr>
            <a:spLocks noChangeArrowheads="1" noTextEdit="1"/>
          </xdr:cNvSpPr>
        </xdr:nvSpPr>
        <xdr:spPr bwMode="auto">
          <a:xfrm>
            <a:off x="6330504" y="1315963"/>
            <a:ext cx="900939" cy="470849"/>
          </a:xfrm>
          <a:prstGeom prst="rect">
            <a:avLst/>
          </a:prstGeom>
          <a:solidFill>
            <a:srgbClr val="33CC33">
              <a:alpha val="50000"/>
            </a:srgbClr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18288" tIns="18288" rIns="18288" bIns="18288" anchor="ctr" upright="1"/>
          <a:lstStyle/>
          <a:p>
            <a:pPr algn="ctr" rtl="0">
              <a:defRPr sz="1000"/>
            </a:pPr>
            <a:fld id="{65577470-8E73-4289-807C-BD93815422C6}" type="TxLink">
              <a:rPr lang="fr-FR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Très Bien</a:t>
            </a:fld>
            <a:endParaRPr lang="fr-FR" sz="1000" b="1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</xdr:txBody>
      </xdr:sp>
    </xdr:grp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lorentin.Guillemard/Downloads/Project-management-dashboard-excel_FR2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Plan du projet et Gantt"/>
      <sheetName val="Notes"/>
    </sheetNames>
    <sheetDataSet>
      <sheetData sheetId="0"/>
      <sheetData sheetId="1">
        <row r="27">
          <cell r="A27" t="str">
            <v>Planifié</v>
          </cell>
          <cell r="B27">
            <v>80000</v>
          </cell>
        </row>
        <row r="28">
          <cell r="A28" t="str">
            <v>Réel</v>
          </cell>
          <cell r="B28">
            <v>50000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C0C0C0"/>
        </a:solidFill>
        <a:ln w="9525">
          <a:solidFill>
            <a:srgbClr val="C0C0C0"/>
          </a:solidFill>
          <a:miter lim="800000"/>
          <a:headEnd/>
          <a:tailEnd/>
        </a:ln>
      </a:spPr>
      <a:bodyPr vertOverflow="clip" wrap="square" lIns="45720" tIns="32004" rIns="0" bIns="32004" anchor="ctr" upright="1"/>
      <a:lstStyle>
        <a:defPPr algn="l" rtl="0">
          <a:defRPr sz="1100" b="0" i="0" u="none" strike="noStrike" baseline="0">
            <a:solidFill>
              <a:srgbClr val="00FF00"/>
            </a:solidFill>
            <a:latin typeface="Webdings"/>
            <a:cs typeface="Arial"/>
          </a:defRPr>
        </a:defPPr>
      </a:lst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AC73"/>
  <sheetViews>
    <sheetView tabSelected="1" zoomScale="70" zoomScaleNormal="70" workbookViewId="0">
      <selection activeCell="E6" sqref="E6"/>
    </sheetView>
  </sheetViews>
  <sheetFormatPr baseColWidth="10" defaultRowHeight="15"/>
  <cols>
    <col min="1" max="1" width="20.140625" customWidth="1"/>
    <col min="2" max="2" width="30.7109375" customWidth="1"/>
    <col min="3" max="3" width="22.5703125" customWidth="1"/>
    <col min="4" max="4" width="19" customWidth="1"/>
    <col min="5" max="5" width="60.5703125" customWidth="1"/>
    <col min="6" max="6" width="37.140625" customWidth="1"/>
    <col min="7" max="7" width="24.7109375" customWidth="1"/>
    <col min="8" max="10" width="16.42578125" customWidth="1"/>
    <col min="11" max="12" width="16.5703125" customWidth="1"/>
    <col min="15" max="15" width="17.5703125" customWidth="1"/>
    <col min="16" max="16" width="36.5703125" customWidth="1"/>
    <col min="18" max="18" width="22.28515625" customWidth="1"/>
    <col min="22" max="23" width="25.42578125" customWidth="1"/>
    <col min="24" max="24" width="16.7109375" customWidth="1"/>
    <col min="25" max="25" width="23.5703125" customWidth="1"/>
    <col min="26" max="27" width="25.42578125" customWidth="1"/>
    <col min="28" max="28" width="25.5703125" customWidth="1"/>
  </cols>
  <sheetData>
    <row r="1" spans="1:29" ht="65.25" customHeight="1">
      <c r="A1" s="55" t="s">
        <v>11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4" t="s">
        <v>48</v>
      </c>
      <c r="O1" s="54"/>
      <c r="P1" s="54"/>
      <c r="U1" s="83"/>
      <c r="V1" s="83"/>
      <c r="W1" s="83"/>
      <c r="Z1" s="83"/>
      <c r="AA1" s="83"/>
    </row>
    <row r="2" spans="1:29">
      <c r="U2" s="84"/>
      <c r="V2" s="84"/>
      <c r="W2" s="84"/>
    </row>
    <row r="3" spans="1:29">
      <c r="E3" s="76"/>
      <c r="U3" s="84"/>
      <c r="V3" s="84"/>
      <c r="W3" s="84"/>
    </row>
    <row r="4" spans="1:29" ht="30" customHeight="1" thickBot="1">
      <c r="B4" s="41" t="s">
        <v>39</v>
      </c>
      <c r="C4" s="41"/>
      <c r="D4" s="80">
        <f>AB20</f>
        <v>90.468085921470802</v>
      </c>
    </row>
    <row r="5" spans="1:29" ht="24.95" customHeight="1">
      <c r="D5" s="62"/>
      <c r="E5" s="100"/>
      <c r="F5" s="81" t="s">
        <v>14</v>
      </c>
      <c r="G5" s="82">
        <v>42523</v>
      </c>
      <c r="K5" s="42" t="s">
        <v>29</v>
      </c>
      <c r="L5" s="43"/>
      <c r="M5" s="43"/>
      <c r="N5" s="43"/>
      <c r="O5" s="44"/>
      <c r="P5" s="51">
        <f>T46/U46</f>
        <v>0.51956521739130435</v>
      </c>
    </row>
    <row r="6" spans="1:29" ht="24.95" customHeight="1">
      <c r="D6" s="62"/>
      <c r="F6" s="81" t="s">
        <v>15</v>
      </c>
      <c r="G6" s="82">
        <v>42618</v>
      </c>
      <c r="I6" s="65"/>
      <c r="K6" s="45"/>
      <c r="L6" s="46"/>
      <c r="M6" s="46"/>
      <c r="N6" s="46"/>
      <c r="O6" s="47"/>
      <c r="P6" s="52"/>
    </row>
    <row r="7" spans="1:29" ht="24.95" customHeight="1" thickBot="1">
      <c r="F7" s="81" t="s">
        <v>16</v>
      </c>
      <c r="G7" s="82">
        <f>WORKDAY(G6,R46,Fériés)</f>
        <v>42642</v>
      </c>
      <c r="K7" s="48"/>
      <c r="L7" s="49"/>
      <c r="M7" s="49"/>
      <c r="N7" s="49"/>
      <c r="O7" s="50"/>
      <c r="P7" s="53"/>
    </row>
    <row r="8" spans="1:29" ht="27" customHeight="1"/>
    <row r="9" spans="1:29" ht="30.75" customHeight="1">
      <c r="A9" s="32" t="s">
        <v>0</v>
      </c>
      <c r="B9" s="33"/>
      <c r="C9" s="33"/>
      <c r="D9" s="33"/>
      <c r="E9" s="33"/>
      <c r="F9" s="33"/>
      <c r="G9" s="34"/>
      <c r="H9" s="32" t="s">
        <v>2</v>
      </c>
      <c r="I9" s="33"/>
      <c r="J9" s="33"/>
      <c r="K9" s="33"/>
      <c r="L9" s="33"/>
      <c r="M9" s="33"/>
      <c r="N9" s="33"/>
      <c r="O9" s="34"/>
    </row>
    <row r="10" spans="1:29" ht="38.25" customHeight="1">
      <c r="A10" s="20" t="s">
        <v>3</v>
      </c>
      <c r="B10" s="21" t="s">
        <v>6</v>
      </c>
      <c r="C10" s="21" t="s">
        <v>4</v>
      </c>
      <c r="D10" s="22" t="s">
        <v>5</v>
      </c>
      <c r="E10" s="23" t="s">
        <v>1</v>
      </c>
      <c r="F10" s="21" t="s">
        <v>7</v>
      </c>
      <c r="G10" s="21" t="s">
        <v>8</v>
      </c>
      <c r="H10" s="21" t="s">
        <v>19</v>
      </c>
      <c r="I10" s="21" t="s">
        <v>45</v>
      </c>
      <c r="J10" s="21" t="s">
        <v>46</v>
      </c>
      <c r="K10" s="21" t="s">
        <v>20</v>
      </c>
      <c r="L10" s="21" t="s">
        <v>21</v>
      </c>
      <c r="M10" s="21" t="s">
        <v>9</v>
      </c>
      <c r="N10" s="21" t="s">
        <v>10</v>
      </c>
      <c r="O10" s="18" t="s">
        <v>22</v>
      </c>
      <c r="P10" s="19" t="s">
        <v>24</v>
      </c>
      <c r="AB10" t="s">
        <v>42</v>
      </c>
    </row>
    <row r="11" spans="1:29" ht="24.95" customHeight="1">
      <c r="A11" s="25" t="s">
        <v>17</v>
      </c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7"/>
      <c r="R11" s="57" t="s">
        <v>40</v>
      </c>
      <c r="S11" s="57" t="s">
        <v>33</v>
      </c>
      <c r="T11" s="57" t="s">
        <v>31</v>
      </c>
      <c r="U11" s="57" t="s">
        <v>32</v>
      </c>
      <c r="V11" s="57" t="s">
        <v>10</v>
      </c>
      <c r="W11" s="57" t="s">
        <v>43</v>
      </c>
      <c r="X11" s="63" t="s">
        <v>36</v>
      </c>
      <c r="Y11" s="63" t="s">
        <v>34</v>
      </c>
      <c r="Z11" s="63" t="s">
        <v>35</v>
      </c>
      <c r="AA11" s="63" t="s">
        <v>44</v>
      </c>
      <c r="AB11" s="63" t="s">
        <v>39</v>
      </c>
    </row>
    <row r="12" spans="1:29" s="1" customFormat="1" ht="24.95" customHeight="1">
      <c r="A12" s="36" t="str">
        <f>IF(SUM(G12:G14)&lt;1%,"Non commencé",IF(AVERAGE(G12:G14)=100%,"Terminé",IF(SUM(G12:G14)&gt;0%,"En cours")))</f>
        <v>En cours</v>
      </c>
      <c r="B12" s="35" t="s">
        <v>6</v>
      </c>
      <c r="C12" s="3" t="str">
        <f>IF(P12&lt;60%,"Haute",IF(P12&lt;100%,"Moyenne",IF(P12&gt;=100%,"Faible")))</f>
        <v>Haute</v>
      </c>
      <c r="D12" s="24" t="s">
        <v>12</v>
      </c>
      <c r="E12" s="10"/>
      <c r="F12" s="11"/>
      <c r="G12" s="12">
        <v>0.4</v>
      </c>
      <c r="H12" s="92">
        <v>1000</v>
      </c>
      <c r="I12" s="92">
        <v>60</v>
      </c>
      <c r="J12" s="92">
        <v>500</v>
      </c>
      <c r="K12" s="92">
        <f>I12*N12+J12</f>
        <v>1280</v>
      </c>
      <c r="L12" s="96">
        <f>H12*G12-K12</f>
        <v>-880</v>
      </c>
      <c r="M12" s="13">
        <v>16</v>
      </c>
      <c r="N12" s="13">
        <v>13</v>
      </c>
      <c r="O12" s="16">
        <f t="shared" ref="O12:O14" si="0">IF(G12=0,"",(N12*100/(G12*100))-N12)</f>
        <v>19.5</v>
      </c>
      <c r="P12" s="14">
        <f t="shared" ref="P12:P13" si="1">IF(G12=0%,"",M12/(N12+O12))</f>
        <v>0.49230769230769234</v>
      </c>
      <c r="R12" s="60">
        <f t="shared" ref="R12:R13" si="2">IF(O12="","",(O12+N12)-M12)</f>
        <v>16.5</v>
      </c>
      <c r="S12" s="56">
        <f>P12</f>
        <v>0.49230769230769234</v>
      </c>
      <c r="T12" s="1">
        <f>G12*M12</f>
        <v>6.4</v>
      </c>
      <c r="U12" s="1">
        <f>M12</f>
        <v>16</v>
      </c>
      <c r="V12" s="1">
        <f>N12</f>
        <v>13</v>
      </c>
      <c r="W12" s="60">
        <f>O12</f>
        <v>19.5</v>
      </c>
      <c r="X12" s="64">
        <f>H12</f>
        <v>1000</v>
      </c>
      <c r="Y12" s="64">
        <f>K12</f>
        <v>1280</v>
      </c>
      <c r="Z12" s="64">
        <f>IF(K12=0,"",((J12)/(G12))+(I12*(N12+O12)))</f>
        <v>3200</v>
      </c>
      <c r="AA12" s="64">
        <f>L12</f>
        <v>-880</v>
      </c>
      <c r="AB12" s="71">
        <f>MIN(IF((1-AB18*4.8)*230&lt;=0,5,(1-AB18*4.8)*230),230)</f>
        <v>124.76766857303774</v>
      </c>
      <c r="AC12" s="70" t="str">
        <f>REPT("g",AB12/5)</f>
        <v>gggggggggggggggggggggggg</v>
      </c>
    </row>
    <row r="13" spans="1:29" s="1" customFormat="1" ht="24.95" customHeight="1">
      <c r="A13" s="28"/>
      <c r="B13" s="29"/>
      <c r="C13" s="3" t="str">
        <f t="shared" ref="C13:C16" si="3">IF(P13&lt;60%,"Haute",IF(P13&lt;100%,"Moyenne",IF(P13&gt;=100%,"Faible")))</f>
        <v>Moyenne</v>
      </c>
      <c r="D13" s="17" t="s">
        <v>13</v>
      </c>
      <c r="E13" s="8"/>
      <c r="F13" s="5"/>
      <c r="G13" s="7">
        <v>1</v>
      </c>
      <c r="H13" s="93">
        <v>3000</v>
      </c>
      <c r="I13" s="93">
        <v>60</v>
      </c>
      <c r="J13" s="93">
        <v>4000</v>
      </c>
      <c r="K13" s="92">
        <f t="shared" ref="K13:K16" si="4">I13*N13+J13</f>
        <v>5200</v>
      </c>
      <c r="L13" s="91">
        <f t="shared" ref="L13:L16" si="5">H13*G13-K13</f>
        <v>-2200</v>
      </c>
      <c r="M13" s="6">
        <v>15</v>
      </c>
      <c r="N13" s="6">
        <v>20</v>
      </c>
      <c r="O13" s="16">
        <f t="shared" si="0"/>
        <v>0</v>
      </c>
      <c r="P13" s="14">
        <f t="shared" si="1"/>
        <v>0.75</v>
      </c>
      <c r="R13" s="60">
        <f t="shared" si="2"/>
        <v>5</v>
      </c>
      <c r="S13" s="56">
        <f t="shared" ref="S13:S45" si="6">P13</f>
        <v>0.75</v>
      </c>
      <c r="T13" s="1">
        <f t="shared" ref="T13:T45" si="7">G13*M13</f>
        <v>15</v>
      </c>
      <c r="U13" s="1">
        <f t="shared" ref="U13:U45" si="8">M13</f>
        <v>15</v>
      </c>
      <c r="V13" s="1">
        <f t="shared" ref="V13:V44" si="9">N13</f>
        <v>20</v>
      </c>
      <c r="W13" s="60">
        <f t="shared" ref="W13:W44" si="10">O13</f>
        <v>0</v>
      </c>
      <c r="X13" s="64">
        <f t="shared" ref="X13:X45" si="11">H13</f>
        <v>3000</v>
      </c>
      <c r="Y13" s="64">
        <f t="shared" ref="Y13:Y45" si="12">K13</f>
        <v>5200</v>
      </c>
      <c r="Z13" s="64">
        <f t="shared" ref="Z13:Z44" si="13">IF(K13=0,"",((J13)/(G13))+(I13*(N13+O13)))</f>
        <v>5200</v>
      </c>
      <c r="AA13" s="64">
        <f t="shared" ref="AA13:AA45" si="14">L13</f>
        <v>-2200</v>
      </c>
      <c r="AB13" s="1" t="s">
        <v>41</v>
      </c>
    </row>
    <row r="14" spans="1:29" s="1" customFormat="1" ht="24.95" customHeight="1">
      <c r="A14" s="28"/>
      <c r="B14" s="29"/>
      <c r="C14" s="3" t="str">
        <f t="shared" si="3"/>
        <v>Faible</v>
      </c>
      <c r="D14" s="17" t="s">
        <v>23</v>
      </c>
      <c r="E14" s="8"/>
      <c r="F14" s="5"/>
      <c r="G14" s="7">
        <v>0</v>
      </c>
      <c r="H14" s="93">
        <v>2500</v>
      </c>
      <c r="I14" s="93">
        <v>60</v>
      </c>
      <c r="J14" s="93"/>
      <c r="K14" s="92">
        <f t="shared" si="4"/>
        <v>0</v>
      </c>
      <c r="L14" s="91">
        <f t="shared" si="5"/>
        <v>0</v>
      </c>
      <c r="M14" s="6">
        <v>20</v>
      </c>
      <c r="N14" s="6">
        <v>0</v>
      </c>
      <c r="O14" s="16" t="str">
        <f t="shared" si="0"/>
        <v/>
      </c>
      <c r="P14" s="14" t="str">
        <f>IF(G14=0%,"",M14/(N14+O14))</f>
        <v/>
      </c>
      <c r="R14" s="60" t="str">
        <f>IF(O14="","",(O14+N14)-M14)</f>
        <v/>
      </c>
      <c r="S14" s="56" t="str">
        <f t="shared" si="6"/>
        <v/>
      </c>
      <c r="T14" s="1">
        <f t="shared" si="7"/>
        <v>0</v>
      </c>
      <c r="U14" s="1">
        <f t="shared" si="8"/>
        <v>20</v>
      </c>
      <c r="V14" s="1">
        <f t="shared" si="9"/>
        <v>0</v>
      </c>
      <c r="W14" s="60" t="str">
        <f t="shared" si="10"/>
        <v/>
      </c>
      <c r="X14" s="64">
        <f t="shared" si="11"/>
        <v>2500</v>
      </c>
      <c r="Y14" s="64">
        <f t="shared" si="12"/>
        <v>0</v>
      </c>
      <c r="Z14" s="64" t="str">
        <f t="shared" si="13"/>
        <v/>
      </c>
      <c r="AA14" s="64">
        <f t="shared" si="14"/>
        <v>0</v>
      </c>
      <c r="AB14" s="73">
        <f>R47/U46</f>
        <v>0.28124230841622144</v>
      </c>
    </row>
    <row r="15" spans="1:29" s="1" customFormat="1" ht="24.95" customHeight="1">
      <c r="A15" s="2" t="str">
        <f>IF(G15&lt;1%,"Non commencé",IF(G15=100%,"Terminé",IF(G15&gt;0%,"En cours")))</f>
        <v>Terminé</v>
      </c>
      <c r="B15" s="5" t="s">
        <v>6</v>
      </c>
      <c r="C15" s="3" t="str">
        <f t="shared" si="3"/>
        <v>Faible</v>
      </c>
      <c r="D15" s="4" t="s">
        <v>13</v>
      </c>
      <c r="E15" s="8"/>
      <c r="F15" s="5"/>
      <c r="G15" s="7">
        <v>1</v>
      </c>
      <c r="H15" s="93">
        <v>1000</v>
      </c>
      <c r="I15" s="93">
        <v>60</v>
      </c>
      <c r="J15" s="93">
        <v>600</v>
      </c>
      <c r="K15" s="92">
        <f t="shared" si="4"/>
        <v>1200</v>
      </c>
      <c r="L15" s="91">
        <f t="shared" si="5"/>
        <v>-200</v>
      </c>
      <c r="M15" s="6">
        <v>10</v>
      </c>
      <c r="N15" s="6">
        <v>10</v>
      </c>
      <c r="O15" s="16">
        <f t="shared" ref="O15:O16" si="15">IF(G15=0,"",(N15*100/(G15*100))-N15)</f>
        <v>0</v>
      </c>
      <c r="P15" s="14">
        <f t="shared" ref="P15:P17" si="16">IF(G15=0%,"",M15/(N15+O15))</f>
        <v>1</v>
      </c>
      <c r="R15" s="60">
        <f t="shared" ref="R15:R44" si="17">IF(O15="","",(O15+N15)-M15)</f>
        <v>0</v>
      </c>
      <c r="S15" s="56">
        <f t="shared" si="6"/>
        <v>1</v>
      </c>
      <c r="T15" s="1">
        <f t="shared" si="7"/>
        <v>10</v>
      </c>
      <c r="U15" s="1">
        <f t="shared" si="8"/>
        <v>10</v>
      </c>
      <c r="V15" s="1">
        <f t="shared" si="9"/>
        <v>10</v>
      </c>
      <c r="W15" s="60">
        <f t="shared" si="10"/>
        <v>0</v>
      </c>
      <c r="X15" s="64">
        <f t="shared" si="11"/>
        <v>1000</v>
      </c>
      <c r="Y15" s="64">
        <f t="shared" si="12"/>
        <v>1200</v>
      </c>
      <c r="Z15" s="64">
        <f t="shared" si="13"/>
        <v>1200</v>
      </c>
      <c r="AA15" s="64">
        <f t="shared" si="14"/>
        <v>-200</v>
      </c>
      <c r="AB15" s="78">
        <f>1-(AB14)</f>
        <v>0.71875769158377856</v>
      </c>
    </row>
    <row r="16" spans="1:29" s="1" customFormat="1" ht="24.95" customHeight="1">
      <c r="A16" s="2" t="str">
        <f>IF(G16&lt;1%,"Non commencé",IF(G16=100%,"Terminé",IF(G16&gt;0%,"En cours")))</f>
        <v>En cours</v>
      </c>
      <c r="B16" s="9" t="s">
        <v>6</v>
      </c>
      <c r="C16" s="3" t="str">
        <f t="shared" si="3"/>
        <v>Moyenne</v>
      </c>
      <c r="D16" s="4">
        <v>42522</v>
      </c>
      <c r="E16" s="8"/>
      <c r="F16" s="5"/>
      <c r="G16" s="7">
        <v>0.25</v>
      </c>
      <c r="H16" s="93">
        <v>5500</v>
      </c>
      <c r="I16" s="93">
        <v>60</v>
      </c>
      <c r="J16" s="93">
        <v>100</v>
      </c>
      <c r="K16" s="92">
        <f t="shared" si="4"/>
        <v>580</v>
      </c>
      <c r="L16" s="91">
        <f t="shared" si="5"/>
        <v>795</v>
      </c>
      <c r="M16" s="6">
        <v>25</v>
      </c>
      <c r="N16" s="6">
        <v>8</v>
      </c>
      <c r="O16" s="16">
        <f t="shared" si="15"/>
        <v>24</v>
      </c>
      <c r="P16" s="14">
        <f t="shared" si="16"/>
        <v>0.78125</v>
      </c>
      <c r="R16" s="60">
        <f t="shared" si="17"/>
        <v>7</v>
      </c>
      <c r="S16" s="56">
        <f t="shared" si="6"/>
        <v>0.78125</v>
      </c>
      <c r="T16" s="1">
        <f t="shared" si="7"/>
        <v>6.25</v>
      </c>
      <c r="U16" s="1">
        <f t="shared" si="8"/>
        <v>25</v>
      </c>
      <c r="V16" s="1">
        <f t="shared" si="9"/>
        <v>8</v>
      </c>
      <c r="W16" s="60">
        <f t="shared" si="10"/>
        <v>24</v>
      </c>
      <c r="X16" s="64">
        <f t="shared" si="11"/>
        <v>5500</v>
      </c>
      <c r="Y16" s="64">
        <f t="shared" si="12"/>
        <v>580</v>
      </c>
      <c r="Z16" s="64">
        <f t="shared" si="13"/>
        <v>2320</v>
      </c>
      <c r="AA16" s="64">
        <f t="shared" si="14"/>
        <v>795</v>
      </c>
      <c r="AB16" s="1" t="s">
        <v>47</v>
      </c>
    </row>
    <row r="17" spans="1:29" ht="24.95" customHeight="1">
      <c r="A17" s="31" t="s">
        <v>18</v>
      </c>
      <c r="B17" s="31"/>
      <c r="C17" s="31"/>
      <c r="D17" s="31"/>
      <c r="E17" s="31"/>
      <c r="F17" s="31"/>
      <c r="G17" s="14">
        <f>AVERAGE(G12:G16)</f>
        <v>0.53</v>
      </c>
      <c r="H17" s="94">
        <f>SUM(H12:H16)</f>
        <v>13000</v>
      </c>
      <c r="I17" s="94">
        <f>SUM(I12:I16)</f>
        <v>300</v>
      </c>
      <c r="J17" s="94">
        <f>SUM(J12:J16)</f>
        <v>5200</v>
      </c>
      <c r="K17" s="94">
        <f>SUM(K12:K16)</f>
        <v>8260</v>
      </c>
      <c r="L17" s="91">
        <f>SUM(L12:L16)</f>
        <v>-2485</v>
      </c>
      <c r="M17" s="15">
        <f t="shared" ref="M17:N17" si="18">SUM(M12:M16)</f>
        <v>86</v>
      </c>
      <c r="N17" s="15">
        <f t="shared" si="18"/>
        <v>51</v>
      </c>
      <c r="O17" s="16">
        <f>SUM(O12:O16)</f>
        <v>43.5</v>
      </c>
      <c r="P17" s="14">
        <f t="shared" si="16"/>
        <v>0.91005291005291</v>
      </c>
      <c r="R17" s="60"/>
      <c r="S17" s="56"/>
      <c r="T17" s="1"/>
      <c r="U17" s="1"/>
      <c r="V17" s="1"/>
      <c r="W17" s="60"/>
      <c r="X17" s="64"/>
      <c r="Y17" s="64"/>
      <c r="Z17" s="64"/>
      <c r="AA17" s="64"/>
      <c r="AB17" s="79">
        <f>(X46/Z46)</f>
        <v>1.0906040268456376</v>
      </c>
    </row>
    <row r="18" spans="1:29" ht="24.95" customHeight="1">
      <c r="A18" s="25" t="s">
        <v>17</v>
      </c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7"/>
      <c r="R18" s="60" t="str">
        <f t="shared" si="17"/>
        <v/>
      </c>
      <c r="S18" s="56"/>
      <c r="T18" s="1"/>
      <c r="U18" s="1"/>
      <c r="V18" s="1"/>
      <c r="W18" s="60"/>
      <c r="X18" s="64"/>
      <c r="Y18" s="64"/>
      <c r="Z18" s="64"/>
      <c r="AA18" s="64"/>
      <c r="AB18" s="77">
        <f>1-(AB15+AB17)/2</f>
        <v>9.5319140785291911E-2</v>
      </c>
      <c r="AC18" s="77"/>
    </row>
    <row r="19" spans="1:29" ht="24.95" customHeight="1">
      <c r="A19" s="28" t="str">
        <f>IF(SUM(G19:G21)&lt;1%,"Non commencé",IF(AVERAGE(G19:G21)=100%,"Terminé",IF(SUM(G19:G21)&gt;0%,"En cours")))</f>
        <v>En cours</v>
      </c>
      <c r="B19" s="29" t="s">
        <v>6</v>
      </c>
      <c r="C19" s="58" t="str">
        <f>IF(P19&lt;60%,"Haute",IF(P19&lt;100%,"Moyenne",IF(P19&gt;=100%,"Faible")))</f>
        <v>Moyenne</v>
      </c>
      <c r="D19" s="30" t="s">
        <v>12</v>
      </c>
      <c r="E19" s="8"/>
      <c r="F19" s="5"/>
      <c r="G19" s="7">
        <v>0.5</v>
      </c>
      <c r="H19" s="95"/>
      <c r="I19" s="95"/>
      <c r="J19" s="95"/>
      <c r="K19" s="93">
        <f>I19+J19</f>
        <v>0</v>
      </c>
      <c r="L19" s="91"/>
      <c r="M19" s="6">
        <v>20</v>
      </c>
      <c r="N19" s="6">
        <v>15</v>
      </c>
      <c r="O19" s="16">
        <f>IF(G19=0,"",(N19*100/(G19*100))-N19)</f>
        <v>15</v>
      </c>
      <c r="P19" s="14">
        <f>IF(G19=0%,"",M19/(N19+O19))</f>
        <v>0.66666666666666663</v>
      </c>
      <c r="R19" s="60">
        <f t="shared" si="17"/>
        <v>10</v>
      </c>
      <c r="S19" s="56">
        <f t="shared" si="6"/>
        <v>0.66666666666666663</v>
      </c>
      <c r="T19" s="1">
        <f t="shared" si="7"/>
        <v>10</v>
      </c>
      <c r="U19" s="1">
        <f t="shared" si="8"/>
        <v>20</v>
      </c>
      <c r="V19" s="1">
        <f t="shared" si="9"/>
        <v>15</v>
      </c>
      <c r="W19" s="60">
        <f t="shared" si="10"/>
        <v>15</v>
      </c>
      <c r="X19" s="64">
        <f t="shared" si="11"/>
        <v>0</v>
      </c>
      <c r="Y19" s="64">
        <f t="shared" si="12"/>
        <v>0</v>
      </c>
      <c r="Z19" s="64" t="str">
        <f t="shared" si="13"/>
        <v/>
      </c>
      <c r="AA19" s="64">
        <f t="shared" si="14"/>
        <v>0</v>
      </c>
      <c r="AB19">
        <f>(1-AB14)</f>
        <v>0.71875769158377856</v>
      </c>
    </row>
    <row r="20" spans="1:29" ht="24.95" customHeight="1">
      <c r="A20" s="28"/>
      <c r="B20" s="29"/>
      <c r="C20" s="58" t="str">
        <f t="shared" ref="C20:C23" si="19">IF(P20&lt;60%,"Haute",IF(P20&lt;100%,"Moyenne",IF(P20&gt;=100%,"Faible")))</f>
        <v>Haute</v>
      </c>
      <c r="D20" s="30"/>
      <c r="E20" s="8"/>
      <c r="F20" s="5"/>
      <c r="G20" s="7">
        <v>0.2</v>
      </c>
      <c r="H20" s="95"/>
      <c r="I20" s="95"/>
      <c r="J20" s="95"/>
      <c r="K20" s="93">
        <f t="shared" ref="K20:K23" si="20">I20+J20</f>
        <v>0</v>
      </c>
      <c r="L20" s="91"/>
      <c r="M20" s="6">
        <v>10</v>
      </c>
      <c r="N20" s="6">
        <v>5</v>
      </c>
      <c r="O20" s="16">
        <f t="shared" ref="O20:O23" si="21">IF(G20=0,"",(N20*100/(G20*100))-N20)</f>
        <v>20</v>
      </c>
      <c r="P20" s="14">
        <f t="shared" ref="P20:P24" si="22">IF(G20=0%,"",M20/(N20+O20))</f>
        <v>0.4</v>
      </c>
      <c r="R20" s="60">
        <f t="shared" si="17"/>
        <v>15</v>
      </c>
      <c r="S20" s="56">
        <f t="shared" si="6"/>
        <v>0.4</v>
      </c>
      <c r="T20" s="1">
        <f t="shared" si="7"/>
        <v>2</v>
      </c>
      <c r="U20" s="1">
        <f t="shared" si="8"/>
        <v>10</v>
      </c>
      <c r="V20" s="1">
        <f t="shared" si="9"/>
        <v>5</v>
      </c>
      <c r="W20" s="60">
        <f t="shared" si="10"/>
        <v>20</v>
      </c>
      <c r="X20" s="64">
        <f t="shared" si="11"/>
        <v>0</v>
      </c>
      <c r="Y20" s="64">
        <f t="shared" si="12"/>
        <v>0</v>
      </c>
      <c r="Z20" s="64" t="str">
        <f t="shared" si="13"/>
        <v/>
      </c>
      <c r="AA20" s="64">
        <f t="shared" si="14"/>
        <v>0</v>
      </c>
      <c r="AB20" s="76">
        <f>MIN(IF((1-AB18)*100&lt;=0,0,(1-AB18)*100),100)</f>
        <v>90.468085921470802</v>
      </c>
    </row>
    <row r="21" spans="1:29" ht="24.95" customHeight="1">
      <c r="A21" s="28"/>
      <c r="B21" s="29"/>
      <c r="C21" s="58" t="str">
        <f t="shared" si="19"/>
        <v>Faible</v>
      </c>
      <c r="D21" s="30"/>
      <c r="E21" s="8"/>
      <c r="F21" s="5"/>
      <c r="G21" s="7">
        <v>0.1</v>
      </c>
      <c r="H21" s="95"/>
      <c r="I21" s="95"/>
      <c r="J21" s="95"/>
      <c r="K21" s="93">
        <f t="shared" si="20"/>
        <v>0</v>
      </c>
      <c r="L21" s="91"/>
      <c r="M21" s="6">
        <v>15</v>
      </c>
      <c r="N21" s="6">
        <v>1</v>
      </c>
      <c r="O21" s="16">
        <f t="shared" si="21"/>
        <v>9</v>
      </c>
      <c r="P21" s="14">
        <f t="shared" si="22"/>
        <v>1.5</v>
      </c>
      <c r="R21" s="60">
        <f t="shared" si="17"/>
        <v>-5</v>
      </c>
      <c r="S21" s="56">
        <f t="shared" si="6"/>
        <v>1.5</v>
      </c>
      <c r="T21" s="1">
        <f t="shared" si="7"/>
        <v>1.5</v>
      </c>
      <c r="U21" s="1">
        <f t="shared" si="8"/>
        <v>15</v>
      </c>
      <c r="V21" s="1">
        <f t="shared" si="9"/>
        <v>1</v>
      </c>
      <c r="W21" s="60">
        <f t="shared" si="10"/>
        <v>9</v>
      </c>
      <c r="X21" s="64">
        <f t="shared" si="11"/>
        <v>0</v>
      </c>
      <c r="Y21" s="64">
        <f t="shared" si="12"/>
        <v>0</v>
      </c>
      <c r="Z21" s="64" t="str">
        <f t="shared" si="13"/>
        <v/>
      </c>
      <c r="AA21" s="64">
        <f t="shared" si="14"/>
        <v>0</v>
      </c>
    </row>
    <row r="22" spans="1:29" ht="24.95" customHeight="1">
      <c r="A22" s="2" t="str">
        <f>IF(G22&lt;1%,"Non commencé",IF(G22=100%,"Terminé",IF(G22&gt;0%,"En cours")))</f>
        <v>En cours</v>
      </c>
      <c r="B22" s="5" t="s">
        <v>6</v>
      </c>
      <c r="C22" s="58" t="str">
        <f t="shared" si="19"/>
        <v>Moyenne</v>
      </c>
      <c r="D22" s="4" t="s">
        <v>13</v>
      </c>
      <c r="E22" s="8"/>
      <c r="F22" s="5"/>
      <c r="G22" s="7">
        <v>0.65</v>
      </c>
      <c r="H22" s="95"/>
      <c r="I22" s="95"/>
      <c r="J22" s="95"/>
      <c r="K22" s="93">
        <f t="shared" si="20"/>
        <v>0</v>
      </c>
      <c r="L22" s="91"/>
      <c r="M22" s="6">
        <v>40</v>
      </c>
      <c r="N22" s="6">
        <v>30</v>
      </c>
      <c r="O22" s="16">
        <f t="shared" si="21"/>
        <v>16.153846153846153</v>
      </c>
      <c r="P22" s="14">
        <f t="shared" si="22"/>
        <v>0.8666666666666667</v>
      </c>
      <c r="R22" s="60">
        <f t="shared" si="17"/>
        <v>6.1538461538461533</v>
      </c>
      <c r="S22" s="56">
        <f t="shared" si="6"/>
        <v>0.8666666666666667</v>
      </c>
      <c r="T22" s="1">
        <f t="shared" si="7"/>
        <v>26</v>
      </c>
      <c r="U22" s="1">
        <f t="shared" si="8"/>
        <v>40</v>
      </c>
      <c r="V22" s="1">
        <f t="shared" si="9"/>
        <v>30</v>
      </c>
      <c r="W22" s="60">
        <f t="shared" si="10"/>
        <v>16.153846153846153</v>
      </c>
      <c r="X22" s="64">
        <f t="shared" si="11"/>
        <v>0</v>
      </c>
      <c r="Y22" s="64">
        <f t="shared" si="12"/>
        <v>0</v>
      </c>
      <c r="Z22" s="64" t="str">
        <f t="shared" si="13"/>
        <v/>
      </c>
      <c r="AA22" s="64">
        <f t="shared" si="14"/>
        <v>0</v>
      </c>
    </row>
    <row r="23" spans="1:29" ht="24.95" customHeight="1">
      <c r="A23" s="2" t="str">
        <f>IF(G23&lt;1%,"Non commencé",IF(G23=100%,"Terminé",IF(G23&gt;0%,"En cours")))</f>
        <v>En cours</v>
      </c>
      <c r="B23" s="5" t="s">
        <v>6</v>
      </c>
      <c r="C23" s="58" t="str">
        <f t="shared" si="19"/>
        <v>Faible</v>
      </c>
      <c r="D23" s="4">
        <v>42522</v>
      </c>
      <c r="E23" s="8"/>
      <c r="F23" s="5"/>
      <c r="G23" s="7">
        <v>0.8</v>
      </c>
      <c r="H23" s="95"/>
      <c r="I23" s="95"/>
      <c r="J23" s="95"/>
      <c r="K23" s="93">
        <f t="shared" si="20"/>
        <v>0</v>
      </c>
      <c r="L23" s="91"/>
      <c r="M23" s="6">
        <v>25</v>
      </c>
      <c r="N23" s="6">
        <v>8</v>
      </c>
      <c r="O23" s="16">
        <f t="shared" si="21"/>
        <v>2</v>
      </c>
      <c r="P23" s="14">
        <f t="shared" si="22"/>
        <v>2.5</v>
      </c>
      <c r="R23" s="60">
        <f t="shared" si="17"/>
        <v>-15</v>
      </c>
      <c r="S23" s="56">
        <f t="shared" si="6"/>
        <v>2.5</v>
      </c>
      <c r="T23" s="1">
        <f t="shared" si="7"/>
        <v>20</v>
      </c>
      <c r="U23" s="1">
        <f t="shared" si="8"/>
        <v>25</v>
      </c>
      <c r="V23" s="1">
        <f t="shared" si="9"/>
        <v>8</v>
      </c>
      <c r="W23" s="60">
        <f t="shared" si="10"/>
        <v>2</v>
      </c>
      <c r="X23" s="64">
        <f t="shared" si="11"/>
        <v>0</v>
      </c>
      <c r="Y23" s="64">
        <f t="shared" si="12"/>
        <v>0</v>
      </c>
      <c r="Z23" s="64" t="str">
        <f t="shared" si="13"/>
        <v/>
      </c>
      <c r="AA23" s="64">
        <f t="shared" si="14"/>
        <v>0</v>
      </c>
    </row>
    <row r="24" spans="1:29" ht="24.95" customHeight="1">
      <c r="A24" s="31" t="s">
        <v>18</v>
      </c>
      <c r="B24" s="31"/>
      <c r="C24" s="31"/>
      <c r="D24" s="31"/>
      <c r="E24" s="31"/>
      <c r="F24" s="31"/>
      <c r="G24" s="14">
        <f>AVERAGE(G19:G23)</f>
        <v>0.45</v>
      </c>
      <c r="H24" s="94"/>
      <c r="I24" s="94"/>
      <c r="J24" s="94"/>
      <c r="K24" s="94">
        <f>SUM(K19:K23)</f>
        <v>0</v>
      </c>
      <c r="L24" s="90"/>
      <c r="M24" s="15">
        <f t="shared" ref="M24" si="23">SUM(M19:M23)</f>
        <v>110</v>
      </c>
      <c r="N24" s="15">
        <f t="shared" ref="N24" si="24">SUM(N19:N23)</f>
        <v>59</v>
      </c>
      <c r="O24" s="16">
        <f>SUM(O19:O23)</f>
        <v>62.153846153846153</v>
      </c>
      <c r="P24" s="14">
        <f t="shared" si="22"/>
        <v>0.90793650793650793</v>
      </c>
      <c r="R24" s="60"/>
      <c r="S24" s="56"/>
      <c r="T24" s="1"/>
      <c r="U24" s="1"/>
      <c r="V24" s="1"/>
      <c r="W24" s="60"/>
      <c r="X24" s="64"/>
      <c r="Y24" s="64"/>
      <c r="Z24" s="64"/>
      <c r="AA24" s="64"/>
    </row>
    <row r="25" spans="1:29" ht="24.95" customHeight="1">
      <c r="A25" s="25" t="s">
        <v>17</v>
      </c>
      <c r="B25" s="26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6"/>
      <c r="P25" s="27"/>
      <c r="R25" s="60"/>
      <c r="S25" s="56"/>
      <c r="T25" s="1"/>
      <c r="U25" s="1"/>
      <c r="V25" s="1"/>
      <c r="W25" s="60"/>
      <c r="X25" s="64"/>
      <c r="Y25" s="64"/>
      <c r="Z25" s="64"/>
      <c r="AA25" s="64"/>
    </row>
    <row r="26" spans="1:29" ht="24.95" customHeight="1">
      <c r="A26" s="28" t="str">
        <f>IF(SUM(G26:G28)&lt;1%,"Non commencé",IF(AVERAGE(G26:G28)=100%,"Terminé",IF(SUM(G26:G28)&gt;0%,"En cours")))</f>
        <v>En cours</v>
      </c>
      <c r="B26" s="98" t="s">
        <v>6</v>
      </c>
      <c r="C26" s="58" t="str">
        <f>IF(P26&lt;60%,"Haute",IF(P26&lt;100%,"Moyenne",IF(P26&gt;=100%,"Faible")))</f>
        <v>Moyenne</v>
      </c>
      <c r="D26" s="30" t="s">
        <v>12</v>
      </c>
      <c r="E26" s="8"/>
      <c r="F26" s="5"/>
      <c r="G26" s="7">
        <v>0.3</v>
      </c>
      <c r="H26" s="95"/>
      <c r="I26" s="95"/>
      <c r="J26" s="95"/>
      <c r="K26" s="93">
        <f>I126+J26</f>
        <v>0</v>
      </c>
      <c r="L26" s="91"/>
      <c r="M26" s="6">
        <v>20</v>
      </c>
      <c r="N26" s="6">
        <v>10</v>
      </c>
      <c r="O26" s="16">
        <f>IF(G26=0,"",(N26*100/(G26*100))-N26)</f>
        <v>23.333333333333336</v>
      </c>
      <c r="P26" s="14">
        <f>IF(G26=0%,"",M26/(N26+O26))</f>
        <v>0.6</v>
      </c>
      <c r="R26" s="60">
        <f t="shared" si="17"/>
        <v>13.333333333333336</v>
      </c>
      <c r="S26" s="56">
        <f t="shared" si="6"/>
        <v>0.6</v>
      </c>
      <c r="T26" s="1">
        <f t="shared" si="7"/>
        <v>6</v>
      </c>
      <c r="U26" s="1">
        <f t="shared" si="8"/>
        <v>20</v>
      </c>
      <c r="V26" s="1">
        <f t="shared" si="9"/>
        <v>10</v>
      </c>
      <c r="W26" s="60">
        <f t="shared" si="10"/>
        <v>23.333333333333336</v>
      </c>
      <c r="X26" s="64">
        <f t="shared" si="11"/>
        <v>0</v>
      </c>
      <c r="Y26" s="64">
        <f t="shared" si="12"/>
        <v>0</v>
      </c>
      <c r="Z26" s="64" t="str">
        <f t="shared" si="13"/>
        <v/>
      </c>
      <c r="AA26" s="64">
        <f t="shared" si="14"/>
        <v>0</v>
      </c>
    </row>
    <row r="27" spans="1:29" ht="24.95" customHeight="1">
      <c r="A27" s="28"/>
      <c r="B27" s="99"/>
      <c r="C27" s="58" t="str">
        <f>IF(P27&lt;60%,"Haute",IF(P27&lt;100%,"Moyenne",IF(P27&gt;=100%,"Faible")))</f>
        <v>Haute</v>
      </c>
      <c r="D27" s="30"/>
      <c r="E27" s="8"/>
      <c r="F27" s="5"/>
      <c r="G27" s="7">
        <v>0.35</v>
      </c>
      <c r="H27" s="95"/>
      <c r="I27" s="95"/>
      <c r="J27" s="95"/>
      <c r="K27" s="93">
        <f t="shared" ref="K27:K30" si="25">I127+J27</f>
        <v>0</v>
      </c>
      <c r="L27" s="91"/>
      <c r="M27" s="6">
        <v>15</v>
      </c>
      <c r="N27" s="6">
        <v>15</v>
      </c>
      <c r="O27" s="16">
        <f t="shared" ref="O27:O30" si="26">IF(G27=0,"",(N27*100/(G27*100))-N27)</f>
        <v>27.857142857142854</v>
      </c>
      <c r="P27" s="14">
        <f t="shared" ref="P27:P31" si="27">IF(G27=0%,"",M27/(N27+O27))</f>
        <v>0.35000000000000003</v>
      </c>
      <c r="R27" s="60">
        <f t="shared" si="17"/>
        <v>27.857142857142854</v>
      </c>
      <c r="S27" s="56">
        <f t="shared" si="6"/>
        <v>0.35000000000000003</v>
      </c>
      <c r="T27" s="1">
        <f t="shared" si="7"/>
        <v>5.25</v>
      </c>
      <c r="U27" s="1">
        <f t="shared" si="8"/>
        <v>15</v>
      </c>
      <c r="V27" s="1">
        <f t="shared" si="9"/>
        <v>15</v>
      </c>
      <c r="W27" s="60">
        <f t="shared" si="10"/>
        <v>27.857142857142854</v>
      </c>
      <c r="X27" s="64">
        <f t="shared" si="11"/>
        <v>0</v>
      </c>
      <c r="Y27" s="64">
        <f t="shared" si="12"/>
        <v>0</v>
      </c>
      <c r="Z27" s="64" t="str">
        <f t="shared" si="13"/>
        <v/>
      </c>
      <c r="AA27" s="64">
        <f t="shared" si="14"/>
        <v>0</v>
      </c>
    </row>
    <row r="28" spans="1:29" ht="24.95" customHeight="1">
      <c r="A28" s="28"/>
      <c r="B28" s="35"/>
      <c r="C28" s="58" t="str">
        <f>IF(P28&lt;60%,"Haute",IF(P28&lt;100%,"Moyenne",IF(P28&gt;=100%,"Faible")))</f>
        <v>Moyenne</v>
      </c>
      <c r="D28" s="30"/>
      <c r="E28" s="8"/>
      <c r="F28" s="5"/>
      <c r="G28" s="7">
        <v>0.6</v>
      </c>
      <c r="H28" s="95"/>
      <c r="I28" s="95"/>
      <c r="J28" s="95"/>
      <c r="K28" s="93">
        <f t="shared" si="25"/>
        <v>0</v>
      </c>
      <c r="L28" s="91"/>
      <c r="M28" s="6">
        <v>20</v>
      </c>
      <c r="N28" s="6">
        <v>15</v>
      </c>
      <c r="O28" s="16">
        <f t="shared" si="26"/>
        <v>10</v>
      </c>
      <c r="P28" s="14">
        <f t="shared" si="27"/>
        <v>0.8</v>
      </c>
      <c r="R28" s="60">
        <f t="shared" si="17"/>
        <v>5</v>
      </c>
      <c r="S28" s="56">
        <f t="shared" si="6"/>
        <v>0.8</v>
      </c>
      <c r="T28" s="1">
        <f t="shared" si="7"/>
        <v>12</v>
      </c>
      <c r="U28" s="1">
        <f t="shared" si="8"/>
        <v>20</v>
      </c>
      <c r="V28" s="1">
        <f t="shared" si="9"/>
        <v>15</v>
      </c>
      <c r="W28" s="60">
        <f t="shared" si="10"/>
        <v>10</v>
      </c>
      <c r="X28" s="64">
        <f t="shared" si="11"/>
        <v>0</v>
      </c>
      <c r="Y28" s="64">
        <f t="shared" si="12"/>
        <v>0</v>
      </c>
      <c r="Z28" s="64" t="str">
        <f t="shared" si="13"/>
        <v/>
      </c>
      <c r="AA28" s="64">
        <f t="shared" si="14"/>
        <v>0</v>
      </c>
    </row>
    <row r="29" spans="1:29" ht="24.95" customHeight="1">
      <c r="A29" s="2" t="str">
        <f>IF(G29&lt;1%,"Non commencé",IF(G29=100%,"Terminé",IF(G29&gt;0%,"En cours")))</f>
        <v>Non commencé</v>
      </c>
      <c r="B29" s="5" t="s">
        <v>6</v>
      </c>
      <c r="C29" s="58" t="str">
        <f>IF(P29&lt;60%,"Haute",IF(P29&lt;100%,"Moyenne",IF(P29&gt;=100%,"Faible")))</f>
        <v>Faible</v>
      </c>
      <c r="D29" s="4" t="s">
        <v>13</v>
      </c>
      <c r="E29" s="8"/>
      <c r="F29" s="5"/>
      <c r="G29" s="7">
        <v>0</v>
      </c>
      <c r="H29" s="95"/>
      <c r="I29" s="95"/>
      <c r="J29" s="95"/>
      <c r="K29" s="93">
        <f t="shared" si="25"/>
        <v>0</v>
      </c>
      <c r="L29" s="91"/>
      <c r="M29" s="6">
        <v>10</v>
      </c>
      <c r="N29" s="6">
        <v>8</v>
      </c>
      <c r="O29" s="16" t="str">
        <f t="shared" si="26"/>
        <v/>
      </c>
      <c r="P29" s="14" t="str">
        <f t="shared" si="27"/>
        <v/>
      </c>
      <c r="R29" s="60" t="str">
        <f t="shared" si="17"/>
        <v/>
      </c>
      <c r="S29" s="56" t="str">
        <f t="shared" si="6"/>
        <v/>
      </c>
      <c r="T29" s="1">
        <f t="shared" si="7"/>
        <v>0</v>
      </c>
      <c r="U29" s="1">
        <f t="shared" si="8"/>
        <v>10</v>
      </c>
      <c r="V29" s="1">
        <f t="shared" si="9"/>
        <v>8</v>
      </c>
      <c r="W29" s="60" t="str">
        <f t="shared" si="10"/>
        <v/>
      </c>
      <c r="X29" s="64">
        <f t="shared" si="11"/>
        <v>0</v>
      </c>
      <c r="Y29" s="64">
        <f t="shared" si="12"/>
        <v>0</v>
      </c>
      <c r="Z29" s="64" t="str">
        <f t="shared" si="13"/>
        <v/>
      </c>
      <c r="AA29" s="64">
        <f t="shared" si="14"/>
        <v>0</v>
      </c>
    </row>
    <row r="30" spans="1:29" ht="24.95" customHeight="1">
      <c r="A30" s="2" t="str">
        <f>IF(G30&lt;1%,"Non commencé",IF(G30=100%,"Terminé",IF(G30&gt;0%,"En cours")))</f>
        <v>En cours</v>
      </c>
      <c r="B30" s="5" t="s">
        <v>6</v>
      </c>
      <c r="C30" s="58" t="str">
        <f>IF(P30&lt;60%,"Haute",IF(P30&lt;100%,"Moyenne",IF(P30&gt;=100%,"Faible")))</f>
        <v>Faible</v>
      </c>
      <c r="D30" s="4">
        <v>42522</v>
      </c>
      <c r="E30" s="8"/>
      <c r="F30" s="5"/>
      <c r="G30" s="7">
        <v>0.6</v>
      </c>
      <c r="H30" s="95"/>
      <c r="I30" s="95"/>
      <c r="J30" s="95"/>
      <c r="K30" s="93">
        <f t="shared" si="25"/>
        <v>0</v>
      </c>
      <c r="L30" s="91"/>
      <c r="M30" s="6">
        <v>25</v>
      </c>
      <c r="N30" s="6">
        <v>15</v>
      </c>
      <c r="O30" s="16">
        <f t="shared" si="26"/>
        <v>10</v>
      </c>
      <c r="P30" s="14">
        <f t="shared" si="27"/>
        <v>1</v>
      </c>
      <c r="R30" s="60">
        <f t="shared" si="17"/>
        <v>0</v>
      </c>
      <c r="S30" s="56">
        <f t="shared" si="6"/>
        <v>1</v>
      </c>
      <c r="T30" s="1">
        <f t="shared" si="7"/>
        <v>15</v>
      </c>
      <c r="U30" s="1">
        <f t="shared" si="8"/>
        <v>25</v>
      </c>
      <c r="V30" s="1">
        <f t="shared" si="9"/>
        <v>15</v>
      </c>
      <c r="W30" s="60">
        <f t="shared" si="10"/>
        <v>10</v>
      </c>
      <c r="X30" s="64">
        <f t="shared" si="11"/>
        <v>0</v>
      </c>
      <c r="Y30" s="64">
        <f t="shared" si="12"/>
        <v>0</v>
      </c>
      <c r="Z30" s="64" t="str">
        <f t="shared" si="13"/>
        <v/>
      </c>
      <c r="AA30" s="64">
        <f t="shared" si="14"/>
        <v>0</v>
      </c>
    </row>
    <row r="31" spans="1:29" ht="24.95" customHeight="1">
      <c r="A31" s="31" t="s">
        <v>18</v>
      </c>
      <c r="B31" s="31">
        <v>77</v>
      </c>
      <c r="C31" s="31"/>
      <c r="D31" s="31"/>
      <c r="E31" s="31"/>
      <c r="F31" s="31"/>
      <c r="G31" s="14">
        <f>AVERAGE(G26:G30)</f>
        <v>0.37</v>
      </c>
      <c r="H31" s="94"/>
      <c r="I31" s="94"/>
      <c r="J31" s="94"/>
      <c r="K31" s="94">
        <f>SUM(K26:K30)</f>
        <v>0</v>
      </c>
      <c r="L31" s="90"/>
      <c r="M31" s="15">
        <f t="shared" ref="M31" si="28">SUM(M26:M30)</f>
        <v>90</v>
      </c>
      <c r="N31" s="15">
        <f t="shared" ref="N31" si="29">SUM(N26:N30)</f>
        <v>63</v>
      </c>
      <c r="O31" s="16">
        <f>SUM(O26:O30)</f>
        <v>71.19047619047619</v>
      </c>
      <c r="P31" s="14">
        <f t="shared" si="27"/>
        <v>0.67068843151171031</v>
      </c>
      <c r="R31" s="60"/>
      <c r="S31" s="56"/>
      <c r="T31" s="1"/>
      <c r="U31" s="1"/>
      <c r="V31" s="1"/>
      <c r="W31" s="60"/>
      <c r="X31" s="64"/>
      <c r="Y31" s="64"/>
      <c r="Z31" s="64"/>
      <c r="AA31" s="64"/>
    </row>
    <row r="32" spans="1:29" ht="24.95" customHeight="1">
      <c r="A32" s="25" t="s">
        <v>17</v>
      </c>
      <c r="B32" s="26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7"/>
      <c r="R32" s="60"/>
      <c r="S32" s="56"/>
      <c r="T32" s="1"/>
      <c r="U32" s="1"/>
      <c r="V32" s="1"/>
      <c r="W32" s="60"/>
      <c r="X32" s="64"/>
      <c r="Y32" s="64"/>
      <c r="Z32" s="64"/>
      <c r="AA32" s="64"/>
    </row>
    <row r="33" spans="1:27" ht="24.95" customHeight="1">
      <c r="A33" s="28" t="str">
        <f>IF(SUM(G33:G35)&lt;1%,"Non commencé",IF(AVERAGE(G33:G35)=100%,"Terminé",IF(SUM(G33:G35)&gt;0%,"En cours")))</f>
        <v>En cours</v>
      </c>
      <c r="B33" s="29" t="s">
        <v>6</v>
      </c>
      <c r="C33" s="58" t="str">
        <f>IF(P33&lt;60%,"Haute",IF(P33&lt;100%,"Moyenne",IF(P33&gt;=100%,"Faible")))</f>
        <v>Moyenne</v>
      </c>
      <c r="D33" s="30" t="s">
        <v>12</v>
      </c>
      <c r="E33" s="8"/>
      <c r="F33" s="5"/>
      <c r="G33" s="7">
        <v>0.7</v>
      </c>
      <c r="H33" s="95"/>
      <c r="I33" s="95"/>
      <c r="J33" s="95"/>
      <c r="K33" s="93">
        <f>I33+J33</f>
        <v>0</v>
      </c>
      <c r="L33" s="91"/>
      <c r="M33" s="6">
        <v>40</v>
      </c>
      <c r="N33" s="6">
        <v>30</v>
      </c>
      <c r="O33" s="16">
        <f>IF(G33=0,"",(N33*100/(G33*100))-N33)</f>
        <v>12.857142857142854</v>
      </c>
      <c r="P33" s="14">
        <f>IF(G33=0%,"",M33/(N33+O33))</f>
        <v>0.93333333333333335</v>
      </c>
      <c r="R33" s="60">
        <f t="shared" si="17"/>
        <v>2.8571428571428541</v>
      </c>
      <c r="S33" s="56">
        <f t="shared" si="6"/>
        <v>0.93333333333333335</v>
      </c>
      <c r="T33" s="1">
        <f t="shared" si="7"/>
        <v>28</v>
      </c>
      <c r="U33" s="1">
        <f t="shared" si="8"/>
        <v>40</v>
      </c>
      <c r="V33" s="1">
        <f t="shared" si="9"/>
        <v>30</v>
      </c>
      <c r="W33" s="60">
        <f t="shared" si="10"/>
        <v>12.857142857142854</v>
      </c>
      <c r="X33" s="64">
        <f t="shared" si="11"/>
        <v>0</v>
      </c>
      <c r="Y33" s="64">
        <f t="shared" si="12"/>
        <v>0</v>
      </c>
      <c r="Z33" s="64" t="str">
        <f t="shared" si="13"/>
        <v/>
      </c>
      <c r="AA33" s="64">
        <f t="shared" si="14"/>
        <v>0</v>
      </c>
    </row>
    <row r="34" spans="1:27" ht="24.95" customHeight="1">
      <c r="A34" s="28"/>
      <c r="B34" s="29"/>
      <c r="C34" s="58" t="str">
        <f t="shared" ref="C34:C37" si="30">IF(P34&lt;60%,"Haute",IF(P34&lt;100%,"Moyenne",IF(P34&gt;=100%,"Faible")))</f>
        <v>Moyenne</v>
      </c>
      <c r="D34" s="30"/>
      <c r="E34" s="8"/>
      <c r="F34" s="5"/>
      <c r="G34" s="7">
        <v>1</v>
      </c>
      <c r="H34" s="95"/>
      <c r="I34" s="95"/>
      <c r="J34" s="95"/>
      <c r="K34" s="93">
        <f t="shared" ref="K34:K37" si="31">I34+J34</f>
        <v>0</v>
      </c>
      <c r="L34" s="91"/>
      <c r="M34" s="6">
        <v>15</v>
      </c>
      <c r="N34" s="6">
        <v>20</v>
      </c>
      <c r="O34" s="16">
        <f t="shared" ref="O34:O37" si="32">IF(G34=0,"",(N34*100/(G34*100))-N34)</f>
        <v>0</v>
      </c>
      <c r="P34" s="14">
        <f t="shared" ref="P34:P38" si="33">IF(G34=0%,"",M34/(N34+O34))</f>
        <v>0.75</v>
      </c>
      <c r="R34" s="60">
        <f t="shared" si="17"/>
        <v>5</v>
      </c>
      <c r="S34" s="56">
        <f t="shared" si="6"/>
        <v>0.75</v>
      </c>
      <c r="T34" s="1">
        <f t="shared" si="7"/>
        <v>15</v>
      </c>
      <c r="U34" s="1">
        <f t="shared" si="8"/>
        <v>15</v>
      </c>
      <c r="V34" s="1">
        <f t="shared" si="9"/>
        <v>20</v>
      </c>
      <c r="W34" s="60">
        <f t="shared" si="10"/>
        <v>0</v>
      </c>
      <c r="X34" s="64">
        <f t="shared" si="11"/>
        <v>0</v>
      </c>
      <c r="Y34" s="64">
        <f t="shared" si="12"/>
        <v>0</v>
      </c>
      <c r="Z34" s="64" t="str">
        <f t="shared" si="13"/>
        <v/>
      </c>
      <c r="AA34" s="64">
        <f t="shared" si="14"/>
        <v>0</v>
      </c>
    </row>
    <row r="35" spans="1:27" ht="24.95" customHeight="1">
      <c r="A35" s="28"/>
      <c r="B35" s="29"/>
      <c r="C35" s="58" t="str">
        <f t="shared" si="30"/>
        <v>Moyenne</v>
      </c>
      <c r="D35" s="30"/>
      <c r="E35" s="8"/>
      <c r="F35" s="5"/>
      <c r="G35" s="7">
        <v>1</v>
      </c>
      <c r="H35" s="95"/>
      <c r="I35" s="95"/>
      <c r="J35" s="95"/>
      <c r="K35" s="93">
        <f t="shared" si="31"/>
        <v>0</v>
      </c>
      <c r="L35" s="91"/>
      <c r="M35" s="6">
        <v>20</v>
      </c>
      <c r="N35" s="6">
        <v>22</v>
      </c>
      <c r="O35" s="16">
        <f t="shared" si="32"/>
        <v>0</v>
      </c>
      <c r="P35" s="14">
        <f t="shared" si="33"/>
        <v>0.90909090909090906</v>
      </c>
      <c r="R35" s="60">
        <f t="shared" si="17"/>
        <v>2</v>
      </c>
      <c r="S35" s="56">
        <f t="shared" si="6"/>
        <v>0.90909090909090906</v>
      </c>
      <c r="T35" s="1">
        <f t="shared" si="7"/>
        <v>20</v>
      </c>
      <c r="U35" s="1">
        <f t="shared" si="8"/>
        <v>20</v>
      </c>
      <c r="V35" s="1">
        <f t="shared" si="9"/>
        <v>22</v>
      </c>
      <c r="W35" s="60">
        <f t="shared" si="10"/>
        <v>0</v>
      </c>
      <c r="X35" s="64">
        <f t="shared" si="11"/>
        <v>0</v>
      </c>
      <c r="Y35" s="64">
        <f t="shared" si="12"/>
        <v>0</v>
      </c>
      <c r="Z35" s="64" t="str">
        <f t="shared" si="13"/>
        <v/>
      </c>
      <c r="AA35" s="64">
        <f t="shared" si="14"/>
        <v>0</v>
      </c>
    </row>
    <row r="36" spans="1:27" ht="24.95" customHeight="1">
      <c r="A36" s="2" t="str">
        <f>IF(G36&lt;1%,"Non commencé",IF(G36=100%,"Terminé",IF(G36&gt;0%,"En cours")))</f>
        <v>Terminé</v>
      </c>
      <c r="B36" s="9" t="s">
        <v>6</v>
      </c>
      <c r="C36" s="58" t="str">
        <f t="shared" si="30"/>
        <v>Moyenne</v>
      </c>
      <c r="D36" s="4" t="s">
        <v>13</v>
      </c>
      <c r="E36" s="8"/>
      <c r="F36" s="5"/>
      <c r="G36" s="7">
        <v>1</v>
      </c>
      <c r="H36" s="95"/>
      <c r="I36" s="95"/>
      <c r="J36" s="95"/>
      <c r="K36" s="93">
        <f t="shared" si="31"/>
        <v>0</v>
      </c>
      <c r="L36" s="91"/>
      <c r="M36" s="6">
        <v>10</v>
      </c>
      <c r="N36" s="6">
        <v>12</v>
      </c>
      <c r="O36" s="16">
        <f t="shared" si="32"/>
        <v>0</v>
      </c>
      <c r="P36" s="14">
        <f t="shared" si="33"/>
        <v>0.83333333333333337</v>
      </c>
      <c r="R36" s="60">
        <f t="shared" si="17"/>
        <v>2</v>
      </c>
      <c r="S36" s="56">
        <f t="shared" si="6"/>
        <v>0.83333333333333337</v>
      </c>
      <c r="T36" s="1">
        <f t="shared" si="7"/>
        <v>10</v>
      </c>
      <c r="U36" s="1">
        <f t="shared" si="8"/>
        <v>10</v>
      </c>
      <c r="V36" s="1">
        <f t="shared" si="9"/>
        <v>12</v>
      </c>
      <c r="W36" s="60">
        <f t="shared" si="10"/>
        <v>0</v>
      </c>
      <c r="X36" s="64">
        <f t="shared" si="11"/>
        <v>0</v>
      </c>
      <c r="Y36" s="64">
        <f t="shared" si="12"/>
        <v>0</v>
      </c>
      <c r="Z36" s="64" t="str">
        <f t="shared" si="13"/>
        <v/>
      </c>
      <c r="AA36" s="64">
        <f t="shared" si="14"/>
        <v>0</v>
      </c>
    </row>
    <row r="37" spans="1:27" ht="24.95" customHeight="1">
      <c r="A37" s="2" t="str">
        <f>IF(G37&lt;1%,"Non commencé",IF(G37=100%,"Terminé",IF(G37&gt;0%,"En cours")))</f>
        <v>En cours</v>
      </c>
      <c r="B37" s="9" t="s">
        <v>6</v>
      </c>
      <c r="C37" s="58" t="str">
        <f t="shared" si="30"/>
        <v>Moyenne</v>
      </c>
      <c r="D37" s="4">
        <v>42522</v>
      </c>
      <c r="E37" s="8"/>
      <c r="F37" s="5"/>
      <c r="G37" s="7">
        <v>0.25</v>
      </c>
      <c r="H37" s="95"/>
      <c r="I37" s="95"/>
      <c r="J37" s="95"/>
      <c r="K37" s="93">
        <f t="shared" si="31"/>
        <v>0</v>
      </c>
      <c r="L37" s="91"/>
      <c r="M37" s="6">
        <v>25</v>
      </c>
      <c r="N37" s="6">
        <v>8</v>
      </c>
      <c r="O37" s="16">
        <f t="shared" si="32"/>
        <v>24</v>
      </c>
      <c r="P37" s="14">
        <f t="shared" si="33"/>
        <v>0.78125</v>
      </c>
      <c r="R37" s="60">
        <f t="shared" si="17"/>
        <v>7</v>
      </c>
      <c r="S37" s="56">
        <f t="shared" si="6"/>
        <v>0.78125</v>
      </c>
      <c r="T37" s="1">
        <f t="shared" si="7"/>
        <v>6.25</v>
      </c>
      <c r="U37" s="1">
        <f t="shared" si="8"/>
        <v>25</v>
      </c>
      <c r="V37" s="1">
        <f t="shared" si="9"/>
        <v>8</v>
      </c>
      <c r="W37" s="60">
        <f t="shared" si="10"/>
        <v>24</v>
      </c>
      <c r="X37" s="64">
        <f t="shared" si="11"/>
        <v>0</v>
      </c>
      <c r="Y37" s="64">
        <f t="shared" si="12"/>
        <v>0</v>
      </c>
      <c r="Z37" s="64" t="str">
        <f t="shared" si="13"/>
        <v/>
      </c>
      <c r="AA37" s="64">
        <f t="shared" si="14"/>
        <v>0</v>
      </c>
    </row>
    <row r="38" spans="1:27" ht="24.95" customHeight="1">
      <c r="A38" s="31" t="s">
        <v>18</v>
      </c>
      <c r="B38" s="31"/>
      <c r="C38" s="31"/>
      <c r="D38" s="31"/>
      <c r="E38" s="31"/>
      <c r="F38" s="31"/>
      <c r="G38" s="14">
        <f>AVERAGE(G33:G37)</f>
        <v>0.79</v>
      </c>
      <c r="H38" s="94"/>
      <c r="I38" s="94"/>
      <c r="J38" s="94"/>
      <c r="K38" s="94">
        <f>SUM(K33:K37)</f>
        <v>0</v>
      </c>
      <c r="L38" s="90"/>
      <c r="M38" s="15">
        <f t="shared" ref="M38" si="34">SUM(M33:M37)</f>
        <v>110</v>
      </c>
      <c r="N38" s="15">
        <f t="shared" ref="N38" si="35">SUM(N33:N37)</f>
        <v>92</v>
      </c>
      <c r="O38" s="16">
        <f>SUM(O33:O37)</f>
        <v>36.857142857142854</v>
      </c>
      <c r="P38" s="14">
        <f t="shared" si="33"/>
        <v>0.85365853658536583</v>
      </c>
      <c r="R38" s="60">
        <f t="shared" si="17"/>
        <v>18.857142857142861</v>
      </c>
      <c r="S38" s="56"/>
      <c r="T38" s="1"/>
      <c r="U38" s="1"/>
      <c r="V38" s="1"/>
      <c r="W38" s="60"/>
      <c r="X38" s="64"/>
      <c r="Y38" s="64"/>
      <c r="Z38" s="64"/>
      <c r="AA38" s="64"/>
    </row>
    <row r="39" spans="1:27" ht="24.95" customHeight="1">
      <c r="A39" s="25" t="s">
        <v>17</v>
      </c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  <c r="P39" s="27"/>
      <c r="R39" s="60"/>
      <c r="S39" s="56"/>
      <c r="T39" s="1"/>
      <c r="U39" s="1"/>
      <c r="V39" s="1"/>
      <c r="W39" s="60"/>
      <c r="X39" s="64"/>
      <c r="Y39" s="64"/>
      <c r="Z39" s="64"/>
      <c r="AA39" s="64"/>
    </row>
    <row r="40" spans="1:27" ht="24.95" customHeight="1">
      <c r="A40" s="28" t="str">
        <f>IF(SUM(G40:G42)&lt;1%,"Non commencé",IF(AVERAGE(G40:G42)=100%,"Terminé",IF(SUM(G40:G42)&gt;0%,"En cours")))</f>
        <v>En cours</v>
      </c>
      <c r="B40" s="29" t="s">
        <v>6</v>
      </c>
      <c r="C40" s="58" t="str">
        <f>IF(P40&lt;60%,"Haute",IF(P40&lt;100%,"Moyenne",IF(P40&gt;=100%,"Faible")))</f>
        <v>Moyenne</v>
      </c>
      <c r="D40" s="30" t="s">
        <v>12</v>
      </c>
      <c r="E40" s="8"/>
      <c r="F40" s="5"/>
      <c r="G40" s="7">
        <v>0.5</v>
      </c>
      <c r="H40" s="95"/>
      <c r="I40" s="95"/>
      <c r="J40" s="95"/>
      <c r="K40" s="93">
        <f>I40+J40</f>
        <v>0</v>
      </c>
      <c r="L40" s="91"/>
      <c r="M40" s="6">
        <v>40</v>
      </c>
      <c r="N40" s="6">
        <v>25</v>
      </c>
      <c r="O40" s="16">
        <f>IF(G40=0,"",(N40*100/(G40*100))-N40)</f>
        <v>25</v>
      </c>
      <c r="P40" s="14">
        <f>IF(G40=0%,"",M40/(N40+O40))</f>
        <v>0.8</v>
      </c>
      <c r="R40" s="60">
        <f t="shared" si="17"/>
        <v>10</v>
      </c>
      <c r="S40" s="56">
        <f t="shared" si="6"/>
        <v>0.8</v>
      </c>
      <c r="T40" s="1">
        <f t="shared" si="7"/>
        <v>20</v>
      </c>
      <c r="U40" s="1">
        <f t="shared" si="8"/>
        <v>40</v>
      </c>
      <c r="V40" s="1">
        <f t="shared" si="9"/>
        <v>25</v>
      </c>
      <c r="W40" s="60">
        <f t="shared" si="10"/>
        <v>25</v>
      </c>
      <c r="X40" s="64">
        <f t="shared" si="11"/>
        <v>0</v>
      </c>
      <c r="Y40" s="64">
        <f t="shared" si="12"/>
        <v>0</v>
      </c>
      <c r="Z40" s="64" t="str">
        <f t="shared" si="13"/>
        <v/>
      </c>
      <c r="AA40" s="64">
        <f t="shared" si="14"/>
        <v>0</v>
      </c>
    </row>
    <row r="41" spans="1:27" ht="24.95" customHeight="1">
      <c r="A41" s="28"/>
      <c r="B41" s="29"/>
      <c r="C41" s="58" t="str">
        <f t="shared" ref="C41:C44" si="36">IF(P41&lt;60%,"Haute",IF(P41&lt;100%,"Moyenne",IF(P41&gt;=100%,"Faible")))</f>
        <v>Moyenne</v>
      </c>
      <c r="D41" s="30"/>
      <c r="E41" s="8"/>
      <c r="F41" s="5"/>
      <c r="G41" s="7">
        <v>0.15</v>
      </c>
      <c r="H41" s="95"/>
      <c r="I41" s="95"/>
      <c r="J41" s="95"/>
      <c r="K41" s="93">
        <v>0</v>
      </c>
      <c r="L41" s="91"/>
      <c r="M41" s="6">
        <v>15</v>
      </c>
      <c r="N41" s="6">
        <v>3</v>
      </c>
      <c r="O41" s="16">
        <f t="shared" ref="O41:O44" si="37">IF(G41=0,"",(N41*100/(G41*100))-N41)</f>
        <v>17</v>
      </c>
      <c r="P41" s="14">
        <f t="shared" ref="P41:P45" si="38">IF(G41=0%,"",M41/(N41+O41))</f>
        <v>0.75</v>
      </c>
      <c r="R41" s="60">
        <f t="shared" si="17"/>
        <v>5</v>
      </c>
      <c r="S41" s="56">
        <f t="shared" si="6"/>
        <v>0.75</v>
      </c>
      <c r="T41" s="1">
        <f t="shared" si="7"/>
        <v>2.25</v>
      </c>
      <c r="U41" s="1">
        <f t="shared" si="8"/>
        <v>15</v>
      </c>
      <c r="V41" s="1">
        <f t="shared" si="9"/>
        <v>3</v>
      </c>
      <c r="W41" s="60">
        <f t="shared" si="10"/>
        <v>17</v>
      </c>
      <c r="X41" s="64">
        <f t="shared" si="11"/>
        <v>0</v>
      </c>
      <c r="Y41" s="64">
        <f t="shared" si="12"/>
        <v>0</v>
      </c>
      <c r="Z41" s="64" t="str">
        <f t="shared" si="13"/>
        <v/>
      </c>
      <c r="AA41" s="64">
        <f t="shared" si="14"/>
        <v>0</v>
      </c>
    </row>
    <row r="42" spans="1:27" ht="24.95" customHeight="1">
      <c r="A42" s="28"/>
      <c r="B42" s="29"/>
      <c r="C42" s="58" t="str">
        <f t="shared" si="36"/>
        <v>Moyenne</v>
      </c>
      <c r="D42" s="30"/>
      <c r="E42" s="8"/>
      <c r="F42" s="5"/>
      <c r="G42" s="7">
        <v>0.2</v>
      </c>
      <c r="H42" s="95"/>
      <c r="I42" s="95"/>
      <c r="J42" s="95"/>
      <c r="K42" s="93">
        <v>0</v>
      </c>
      <c r="L42" s="91"/>
      <c r="M42" s="6">
        <v>20</v>
      </c>
      <c r="N42" s="6">
        <v>5</v>
      </c>
      <c r="O42" s="16">
        <f t="shared" si="37"/>
        <v>20</v>
      </c>
      <c r="P42" s="14">
        <f t="shared" si="38"/>
        <v>0.8</v>
      </c>
      <c r="R42" s="60">
        <f t="shared" si="17"/>
        <v>5</v>
      </c>
      <c r="S42" s="56">
        <f t="shared" si="6"/>
        <v>0.8</v>
      </c>
      <c r="T42" s="1">
        <f t="shared" si="7"/>
        <v>4</v>
      </c>
      <c r="U42" s="1">
        <f t="shared" si="8"/>
        <v>20</v>
      </c>
      <c r="V42" s="1">
        <f t="shared" si="9"/>
        <v>5</v>
      </c>
      <c r="W42" s="60">
        <f t="shared" si="10"/>
        <v>20</v>
      </c>
      <c r="X42" s="64">
        <f t="shared" si="11"/>
        <v>0</v>
      </c>
      <c r="Y42" s="64">
        <f t="shared" si="12"/>
        <v>0</v>
      </c>
      <c r="Z42" s="64" t="str">
        <f t="shared" si="13"/>
        <v/>
      </c>
      <c r="AA42" s="64">
        <f t="shared" si="14"/>
        <v>0</v>
      </c>
    </row>
    <row r="43" spans="1:27" ht="24.95" customHeight="1">
      <c r="A43" s="2" t="str">
        <f>IF(G43&lt;1%,"Non commencé",IF(G43=100%,"Terminé",IF(G43&gt;0%,"En cours")))</f>
        <v>En cours</v>
      </c>
      <c r="B43" s="5" t="s">
        <v>6</v>
      </c>
      <c r="C43" s="58" t="str">
        <f t="shared" si="36"/>
        <v>Moyenne</v>
      </c>
      <c r="D43" s="4" t="s">
        <v>13</v>
      </c>
      <c r="E43" s="8"/>
      <c r="F43" s="5"/>
      <c r="G43" s="7">
        <v>0.2</v>
      </c>
      <c r="H43" s="95"/>
      <c r="I43" s="95"/>
      <c r="J43" s="95"/>
      <c r="K43" s="93">
        <v>0</v>
      </c>
      <c r="L43" s="91"/>
      <c r="M43" s="6">
        <v>10</v>
      </c>
      <c r="N43" s="6">
        <v>3</v>
      </c>
      <c r="O43" s="16">
        <f t="shared" si="37"/>
        <v>12</v>
      </c>
      <c r="P43" s="14">
        <f t="shared" si="38"/>
        <v>0.66666666666666663</v>
      </c>
      <c r="R43" s="60">
        <f t="shared" si="17"/>
        <v>5</v>
      </c>
      <c r="S43" s="56">
        <f t="shared" si="6"/>
        <v>0.66666666666666663</v>
      </c>
      <c r="T43" s="1">
        <f t="shared" si="7"/>
        <v>2</v>
      </c>
      <c r="U43" s="1">
        <f t="shared" si="8"/>
        <v>10</v>
      </c>
      <c r="V43" s="1">
        <f t="shared" si="9"/>
        <v>3</v>
      </c>
      <c r="W43" s="60">
        <f t="shared" si="10"/>
        <v>12</v>
      </c>
      <c r="X43" s="64">
        <f t="shared" si="11"/>
        <v>0</v>
      </c>
      <c r="Y43" s="64">
        <f t="shared" si="12"/>
        <v>0</v>
      </c>
      <c r="Z43" s="64" t="str">
        <f t="shared" si="13"/>
        <v/>
      </c>
      <c r="AA43" s="64">
        <f t="shared" si="14"/>
        <v>0</v>
      </c>
    </row>
    <row r="44" spans="1:27" ht="24.95" customHeight="1">
      <c r="A44" s="2" t="str">
        <f>IF(G44&lt;1%,"Non commencé",IF(G44=100%,"Terminé",IF(G44&gt;0%,"En cours")))</f>
        <v>En cours</v>
      </c>
      <c r="B44" s="5" t="s">
        <v>6</v>
      </c>
      <c r="C44" s="58" t="str">
        <f t="shared" si="36"/>
        <v>Faible</v>
      </c>
      <c r="D44" s="4">
        <v>42522</v>
      </c>
      <c r="E44" s="8"/>
      <c r="F44" s="5"/>
      <c r="G44" s="7">
        <v>0.8</v>
      </c>
      <c r="H44" s="95"/>
      <c r="I44" s="95"/>
      <c r="J44" s="95"/>
      <c r="K44" s="93">
        <v>0</v>
      </c>
      <c r="L44" s="91"/>
      <c r="M44" s="6">
        <v>25</v>
      </c>
      <c r="N44" s="6">
        <v>15</v>
      </c>
      <c r="O44" s="16">
        <f t="shared" si="37"/>
        <v>3.75</v>
      </c>
      <c r="P44" s="14">
        <f t="shared" si="38"/>
        <v>1.3333333333333333</v>
      </c>
      <c r="R44" s="60">
        <f t="shared" si="17"/>
        <v>-6.25</v>
      </c>
      <c r="S44" s="56">
        <f t="shared" si="6"/>
        <v>1.3333333333333333</v>
      </c>
      <c r="T44" s="1">
        <f t="shared" si="7"/>
        <v>20</v>
      </c>
      <c r="U44" s="1">
        <f t="shared" si="8"/>
        <v>25</v>
      </c>
      <c r="V44" s="1">
        <f t="shared" si="9"/>
        <v>15</v>
      </c>
      <c r="W44" s="60">
        <f t="shared" si="10"/>
        <v>3.75</v>
      </c>
      <c r="X44" s="64">
        <f t="shared" si="11"/>
        <v>0</v>
      </c>
      <c r="Y44" s="64">
        <f t="shared" si="12"/>
        <v>0</v>
      </c>
      <c r="Z44" s="64" t="str">
        <f t="shared" si="13"/>
        <v/>
      </c>
      <c r="AA44" s="64">
        <f t="shared" si="14"/>
        <v>0</v>
      </c>
    </row>
    <row r="45" spans="1:27" ht="24.95" customHeight="1">
      <c r="A45" s="31" t="s">
        <v>18</v>
      </c>
      <c r="B45" s="31"/>
      <c r="C45" s="31"/>
      <c r="D45" s="31"/>
      <c r="E45" s="31"/>
      <c r="F45" s="31"/>
      <c r="G45" s="14">
        <f>AVERAGE(G40:G44)</f>
        <v>0.37</v>
      </c>
      <c r="H45" s="94"/>
      <c r="I45" s="94"/>
      <c r="J45" s="94"/>
      <c r="K45" s="94">
        <f>SUM(K40:K44)</f>
        <v>0</v>
      </c>
      <c r="L45" s="90"/>
      <c r="M45" s="15">
        <f t="shared" ref="M45" si="39">SUM(M40:M44)</f>
        <v>110</v>
      </c>
      <c r="N45" s="15">
        <f t="shared" ref="N45" si="40">SUM(N40:N44)</f>
        <v>51</v>
      </c>
      <c r="O45" s="16">
        <f>SUM(O40:O44)</f>
        <v>77.75</v>
      </c>
      <c r="P45" s="14">
        <f t="shared" si="38"/>
        <v>0.85436893203883491</v>
      </c>
      <c r="R45" s="60"/>
      <c r="S45" s="56"/>
      <c r="T45" s="1"/>
      <c r="U45" s="1"/>
      <c r="V45" s="1"/>
      <c r="W45" s="60"/>
      <c r="X45" s="64"/>
      <c r="Y45" s="64"/>
      <c r="Z45" s="64"/>
      <c r="AA45" s="64"/>
    </row>
    <row r="46" spans="1:27" ht="30.75" customHeight="1">
      <c r="A46" s="85" t="s">
        <v>18</v>
      </c>
      <c r="B46" s="85"/>
      <c r="C46" s="85"/>
      <c r="D46" s="85"/>
      <c r="E46" s="85"/>
      <c r="F46" s="85"/>
      <c r="G46" s="85"/>
      <c r="H46" s="97">
        <f>X46</f>
        <v>13000</v>
      </c>
      <c r="I46" s="97"/>
      <c r="J46" s="97"/>
      <c r="K46" s="97">
        <f>Y46</f>
        <v>8260</v>
      </c>
      <c r="L46" s="97">
        <f>AA46</f>
        <v>-2485</v>
      </c>
      <c r="M46" s="86">
        <f>U46</f>
        <v>506</v>
      </c>
      <c r="N46" s="86">
        <f>V46</f>
        <v>316</v>
      </c>
      <c r="O46" s="88">
        <f>W46</f>
        <v>291.45146520146523</v>
      </c>
      <c r="P46" s="89"/>
      <c r="R46" s="61">
        <f>SUM(R12:R45)/7.5</f>
        <v>18.974481074481073</v>
      </c>
      <c r="T46" s="1">
        <f>SUM(T12:T44)</f>
        <v>262.89999999999998</v>
      </c>
      <c r="U46" s="1">
        <f>SUM(U12:U45)</f>
        <v>506</v>
      </c>
      <c r="V46" s="1">
        <f>SUM(V12:V45)</f>
        <v>316</v>
      </c>
      <c r="W46" s="75">
        <f>SUM(W12:W45)</f>
        <v>291.45146520146523</v>
      </c>
      <c r="X46" s="65">
        <f>SUM(X12:X45)</f>
        <v>13000</v>
      </c>
      <c r="Y46" s="65">
        <f>SUM(Y12:Y45)</f>
        <v>8260</v>
      </c>
      <c r="Z46" s="65">
        <f>SUM(Z12:Z45)</f>
        <v>11920</v>
      </c>
      <c r="AA46" s="65">
        <f>SUM(AA12:AA45)</f>
        <v>-2485</v>
      </c>
    </row>
    <row r="47" spans="1:27" ht="27" customHeight="1">
      <c r="H47" s="87"/>
      <c r="I47" s="87"/>
      <c r="J47" s="87"/>
      <c r="K47" s="87"/>
      <c r="L47" s="87"/>
      <c r="M47" s="87"/>
      <c r="N47" s="87"/>
      <c r="O47" s="87"/>
      <c r="R47" s="74">
        <f>SUM(R12:R44)</f>
        <v>142.30860805860806</v>
      </c>
    </row>
    <row r="48" spans="1:27">
      <c r="R48" s="62"/>
    </row>
    <row r="49" spans="18:19">
      <c r="R49" s="61"/>
    </row>
    <row r="50" spans="18:19">
      <c r="R50" s="59"/>
    </row>
    <row r="54" spans="18:19">
      <c r="R54" s="37" t="s">
        <v>25</v>
      </c>
      <c r="S54" s="37"/>
    </row>
    <row r="55" spans="18:19">
      <c r="R55" t="s">
        <v>28</v>
      </c>
      <c r="S55" s="40">
        <f>COUNTIF(A12:P45,"Terminé")/COUNTA(A12:A16,A19:A23,A26:A30,A33:A37,A40:A44)</f>
        <v>0.13333333333333333</v>
      </c>
    </row>
    <row r="56" spans="18:19">
      <c r="R56" t="s">
        <v>26</v>
      </c>
      <c r="S56" s="39">
        <f>COUNTIF(A12:P45,"En cours")/COUNTA(A12:A16,A19:A23,A26:A30,A33:A37,A40:A44)</f>
        <v>0.8</v>
      </c>
    </row>
    <row r="57" spans="18:19">
      <c r="R57" t="s">
        <v>27</v>
      </c>
      <c r="S57" s="39">
        <f>COUNTIF(A12:P45,"Non commencé")/COUNTA(A12:A16,A19:A23,A26:A30,A33:A37,A40:A44)</f>
        <v>6.6666666666666666E-2</v>
      </c>
    </row>
    <row r="59" spans="18:19">
      <c r="R59" t="s">
        <v>29</v>
      </c>
    </row>
    <row r="62" spans="18:19">
      <c r="R62" t="s">
        <v>30</v>
      </c>
      <c r="S62" s="39">
        <f>COUNTIF(S12:S45,"&lt;99%")/COUNTA(S12:S45)</f>
        <v>0.72</v>
      </c>
    </row>
    <row r="63" spans="18:19">
      <c r="R63" t="s">
        <v>37</v>
      </c>
      <c r="S63" s="39">
        <f>1-S62</f>
        <v>0.28000000000000003</v>
      </c>
    </row>
    <row r="73" spans="1:2" ht="16.5">
      <c r="A73" s="69"/>
      <c r="B73" s="70"/>
    </row>
  </sheetData>
  <mergeCells count="33">
    <mergeCell ref="A1:M1"/>
    <mergeCell ref="N1:P1"/>
    <mergeCell ref="R54:S54"/>
    <mergeCell ref="P5:P7"/>
    <mergeCell ref="B4:C4"/>
    <mergeCell ref="A46:G46"/>
    <mergeCell ref="H9:O9"/>
    <mergeCell ref="K5:O7"/>
    <mergeCell ref="A18:P18"/>
    <mergeCell ref="A25:P25"/>
    <mergeCell ref="A32:P32"/>
    <mergeCell ref="A39:P39"/>
    <mergeCell ref="A45:F45"/>
    <mergeCell ref="A33:A35"/>
    <mergeCell ref="B33:B35"/>
    <mergeCell ref="D33:D35"/>
    <mergeCell ref="A38:F38"/>
    <mergeCell ref="A26:A28"/>
    <mergeCell ref="B26:B28"/>
    <mergeCell ref="D26:D28"/>
    <mergeCell ref="A31:F31"/>
    <mergeCell ref="A19:A21"/>
    <mergeCell ref="B19:B21"/>
    <mergeCell ref="A11:P11"/>
    <mergeCell ref="A40:A42"/>
    <mergeCell ref="B40:B42"/>
    <mergeCell ref="D40:D42"/>
    <mergeCell ref="D19:D21"/>
    <mergeCell ref="A24:F24"/>
    <mergeCell ref="A17:F17"/>
    <mergeCell ref="A9:G9"/>
    <mergeCell ref="B12:B14"/>
    <mergeCell ref="A12:A14"/>
  </mergeCells>
  <conditionalFormatting sqref="A12 A15:A16 A19 A22:A23 A26 A29:A30 A33 A36:A37 A40 A43:A44">
    <cfRule type="containsText" dxfId="5" priority="22" operator="containsText" text="Non commencé">
      <formula>NOT(ISERROR(SEARCH("Non commencé",A12)))</formula>
    </cfRule>
    <cfRule type="containsText" dxfId="4" priority="23" operator="containsText" text="En cours">
      <formula>NOT(ISERROR(SEARCH("En cours",A12)))</formula>
    </cfRule>
    <cfRule type="containsText" dxfId="3" priority="24" operator="containsText" text="Terminé">
      <formula>NOT(ISERROR(SEARCH("Terminé",A12)))</formula>
    </cfRule>
  </conditionalFormatting>
  <conditionalFormatting sqref="P5:P7">
    <cfRule type="colorScale" priority="1">
      <colorScale>
        <cfvo type="num" val="0"/>
        <cfvo type="percentile" val="50"/>
        <cfvo type="num" val="100"/>
        <color rgb="FFFF0000"/>
        <color rgb="FFFFFF00"/>
        <color rgb="FF33CC33"/>
      </colorScale>
    </cfRule>
  </conditionalFormatting>
  <conditionalFormatting sqref="P12:P17 P19:P24 P26:P31 P33:P38 P40:P45">
    <cfRule type="cellIs" dxfId="2" priority="2" operator="between">
      <formula>1</formula>
      <formula>1000000</formula>
    </cfRule>
    <cfRule type="cellIs" dxfId="1" priority="3" operator="between">
      <formula>0.61</formula>
      <formula>0.99</formula>
    </cfRule>
    <cfRule type="cellIs" dxfId="0" priority="4" operator="between">
      <formula>0</formula>
      <formula>0.6</formula>
    </cfRule>
  </conditionalFormatting>
  <pageMargins left="0.70866141732283472" right="0.11811023622047245" top="0" bottom="0" header="0.31496062992125984" footer="0.31496062992125984"/>
  <pageSetup paperSize="8" scale="53" orientation="landscape" r:id="rId1"/>
  <ignoredErrors>
    <ignoredError sqref="A12 A19 A26" formulaRange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D50"/>
  <sheetViews>
    <sheetView workbookViewId="0">
      <selection activeCell="D8" sqref="D8"/>
    </sheetView>
  </sheetViews>
  <sheetFormatPr baseColWidth="10" defaultRowHeight="15"/>
  <cols>
    <col min="1" max="1" width="22" customWidth="1"/>
  </cols>
  <sheetData>
    <row r="1" spans="1:4">
      <c r="A1" s="68" t="s">
        <v>38</v>
      </c>
      <c r="B1" s="66"/>
    </row>
    <row r="2" spans="1:4" ht="17.25">
      <c r="A2" s="67"/>
      <c r="B2" s="38"/>
    </row>
    <row r="3" spans="1:4">
      <c r="A3" s="67"/>
    </row>
    <row r="4" spans="1:4">
      <c r="A4" s="67"/>
    </row>
    <row r="5" spans="1:4">
      <c r="A5" s="67"/>
    </row>
    <row r="6" spans="1:4">
      <c r="A6" s="67"/>
    </row>
    <row r="7" spans="1:4">
      <c r="A7" s="67"/>
    </row>
    <row r="8" spans="1:4">
      <c r="A8" s="67"/>
      <c r="D8" s="72"/>
    </row>
    <row r="9" spans="1:4">
      <c r="A9" s="67"/>
    </row>
    <row r="10" spans="1:4">
      <c r="A10" s="67"/>
    </row>
    <row r="11" spans="1:4">
      <c r="A11" s="67"/>
    </row>
    <row r="12" spans="1:4">
      <c r="A12" s="67"/>
    </row>
    <row r="13" spans="1:4">
      <c r="A13" s="67"/>
    </row>
    <row r="14" spans="1:4">
      <c r="A14" s="67"/>
    </row>
    <row r="15" spans="1:4">
      <c r="A15" s="67"/>
    </row>
    <row r="16" spans="1:4">
      <c r="A16" s="67"/>
    </row>
    <row r="17" spans="1:1">
      <c r="A17" s="67"/>
    </row>
    <row r="18" spans="1:1">
      <c r="A18" s="67"/>
    </row>
    <row r="19" spans="1:1">
      <c r="A19" s="67"/>
    </row>
    <row r="20" spans="1:1">
      <c r="A20" s="67"/>
    </row>
    <row r="21" spans="1:1">
      <c r="A21" s="67"/>
    </row>
    <row r="22" spans="1:1">
      <c r="A22" s="67"/>
    </row>
    <row r="23" spans="1:1">
      <c r="A23" s="67"/>
    </row>
    <row r="24" spans="1:1">
      <c r="A24" s="67"/>
    </row>
    <row r="25" spans="1:1">
      <c r="A25" s="67"/>
    </row>
    <row r="26" spans="1:1">
      <c r="A26" s="67"/>
    </row>
    <row r="27" spans="1:1">
      <c r="A27" s="67"/>
    </row>
    <row r="28" spans="1:1">
      <c r="A28" s="67"/>
    </row>
    <row r="29" spans="1:1">
      <c r="A29" s="67"/>
    </row>
    <row r="30" spans="1:1">
      <c r="A30" s="67"/>
    </row>
    <row r="31" spans="1:1">
      <c r="A31" s="67"/>
    </row>
    <row r="32" spans="1:1">
      <c r="A32" s="67"/>
    </row>
    <row r="33" spans="1:1">
      <c r="A33" s="67"/>
    </row>
    <row r="34" spans="1:1">
      <c r="A34" s="67"/>
    </row>
    <row r="35" spans="1:1">
      <c r="A35" s="67"/>
    </row>
    <row r="36" spans="1:1">
      <c r="A36" s="67"/>
    </row>
    <row r="37" spans="1:1">
      <c r="A37" s="67"/>
    </row>
    <row r="38" spans="1:1">
      <c r="A38" s="67"/>
    </row>
    <row r="39" spans="1:1">
      <c r="A39" s="67"/>
    </row>
    <row r="40" spans="1:1">
      <c r="A40" s="67"/>
    </row>
    <row r="41" spans="1:1">
      <c r="A41" s="67"/>
    </row>
    <row r="42" spans="1:1">
      <c r="A42" s="67"/>
    </row>
    <row r="43" spans="1:1">
      <c r="A43" s="67"/>
    </row>
    <row r="44" spans="1:1">
      <c r="A44" s="67"/>
    </row>
    <row r="45" spans="1:1">
      <c r="A45" s="67"/>
    </row>
    <row r="46" spans="1:1">
      <c r="A46" s="67"/>
    </row>
    <row r="47" spans="1:1">
      <c r="A47" s="67"/>
    </row>
    <row r="48" spans="1:1">
      <c r="A48" s="67"/>
    </row>
    <row r="49" spans="1:1">
      <c r="A49" s="67"/>
    </row>
    <row r="50" spans="1:1">
      <c r="A50" s="6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Tableau de bord</vt:lpstr>
      <vt:lpstr>Jour fériés</vt:lpstr>
      <vt:lpstr>Fériés</vt:lpstr>
      <vt:lpstr>'Tableau de bord'!Zone_d_impression</vt:lpstr>
    </vt:vector>
  </TitlesOfParts>
  <Company>Air Liquide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GUILLEMARD, Florentin</dc:creator>
  <cp:lastModifiedBy>GUILLEMARD, Florentin</cp:lastModifiedBy>
  <cp:lastPrinted>2016-10-26T15:23:01Z</cp:lastPrinted>
  <dcterms:created xsi:type="dcterms:W3CDTF">2016-10-25T09:30:48Z</dcterms:created>
  <dcterms:modified xsi:type="dcterms:W3CDTF">2016-10-27T10:04:12Z</dcterms:modified>
</cp:coreProperties>
</file>