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firstSheet="4" activeTab="14"/>
  </bookViews>
  <sheets>
    <sheet name="TR" sheetId="2" r:id="rId1"/>
    <sheet name="Janvier" sheetId="1" r:id="rId2"/>
    <sheet name="Février" sheetId="3" r:id="rId3"/>
    <sheet name="Mars" sheetId="4" r:id="rId4"/>
    <sheet name="Avril" sheetId="16" r:id="rId5"/>
    <sheet name="Mai" sheetId="6" r:id="rId6"/>
    <sheet name="Juin" sheetId="18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  <sheet name="Recap" sheetId="15" r:id="rId14"/>
    <sheet name="Compte à rebours" sheetId="19" r:id="rId15"/>
  </sheets>
  <externalReferences>
    <externalReference r:id="rId16"/>
  </externalReferences>
  <calcPr calcId="152511"/>
</workbook>
</file>

<file path=xl/calcChain.xml><?xml version="1.0" encoding="utf-8"?>
<calcChain xmlns="http://schemas.openxmlformats.org/spreadsheetml/2006/main">
  <c r="B21" i="19" l="1"/>
  <c r="B20" i="19"/>
  <c r="P21" i="19"/>
  <c r="P20" i="19"/>
  <c r="P19" i="19"/>
  <c r="P18" i="19"/>
  <c r="O21" i="19"/>
  <c r="P17" i="19"/>
  <c r="O19" i="19"/>
  <c r="O18" i="19"/>
  <c r="O17" i="19"/>
  <c r="O20" i="19"/>
  <c r="B19" i="19" l="1"/>
  <c r="B18" i="19"/>
  <c r="N17" i="19"/>
  <c r="B17" i="19"/>
  <c r="E39" i="18"/>
  <c r="E36" i="1"/>
  <c r="B22" i="19" l="1"/>
  <c r="H18" i="19" s="1"/>
  <c r="C36" i="12"/>
  <c r="C47" i="13"/>
  <c r="C45" i="12"/>
  <c r="C43" i="11"/>
  <c r="C44" i="13"/>
  <c r="C43" i="13"/>
  <c r="C44" i="12"/>
  <c r="C43" i="12"/>
  <c r="R36" i="1" l="1"/>
  <c r="C36" i="3" l="1"/>
  <c r="Q34" i="12" l="1"/>
  <c r="Q34" i="10"/>
  <c r="R36" i="3" l="1"/>
  <c r="I33" i="3" l="1"/>
  <c r="I34" i="3"/>
  <c r="H33" i="3"/>
  <c r="H34" i="3"/>
  <c r="R37" i="3"/>
  <c r="R37" i="1"/>
  <c r="O34" i="3" l="1"/>
  <c r="M34" i="3"/>
  <c r="O33" i="3"/>
  <c r="M33" i="3"/>
  <c r="J34" i="3"/>
  <c r="J33" i="3"/>
  <c r="C36" i="13" l="1"/>
  <c r="C36" i="11"/>
  <c r="C36" i="10"/>
  <c r="C36" i="9"/>
  <c r="C36" i="8"/>
  <c r="C36" i="18"/>
  <c r="C36" i="6"/>
  <c r="C36" i="16"/>
  <c r="C36" i="4"/>
  <c r="C37" i="4"/>
  <c r="C36" i="1"/>
  <c r="C37" i="3"/>
  <c r="H33" i="15"/>
  <c r="R36" i="13" l="1"/>
  <c r="R37" i="13" s="1"/>
  <c r="R36" i="12"/>
  <c r="R37" i="12" s="1"/>
  <c r="R36" i="11"/>
  <c r="R37" i="11" s="1"/>
  <c r="R36" i="10"/>
  <c r="R37" i="10" s="1"/>
  <c r="R36" i="9"/>
  <c r="R37" i="9" s="1"/>
  <c r="R36" i="8"/>
  <c r="R37" i="8" s="1"/>
  <c r="R36" i="18"/>
  <c r="R37" i="18" s="1"/>
  <c r="R36" i="6"/>
  <c r="R37" i="6" s="1"/>
  <c r="R36" i="16"/>
  <c r="R37" i="16" s="1"/>
  <c r="R36" i="4"/>
  <c r="R37" i="4" s="1"/>
  <c r="I5" i="8" l="1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4" i="8"/>
  <c r="I4" i="1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4" i="8"/>
  <c r="H4" i="18"/>
  <c r="F5" i="8"/>
  <c r="L5" i="8" s="1"/>
  <c r="F6" i="8"/>
  <c r="L6" i="8" s="1"/>
  <c r="F7" i="8"/>
  <c r="F8" i="8"/>
  <c r="L8" i="8" s="1"/>
  <c r="F9" i="8"/>
  <c r="L9" i="8" s="1"/>
  <c r="F10" i="8"/>
  <c r="L10" i="8" s="1"/>
  <c r="F11" i="8"/>
  <c r="L11" i="8" s="1"/>
  <c r="F12" i="8"/>
  <c r="L12" i="8" s="1"/>
  <c r="F13" i="8"/>
  <c r="F14" i="8"/>
  <c r="L14" i="8" s="1"/>
  <c r="F15" i="8"/>
  <c r="L15" i="8" s="1"/>
  <c r="F16" i="8"/>
  <c r="L16" i="8" s="1"/>
  <c r="F17" i="8"/>
  <c r="L17" i="8" s="1"/>
  <c r="F18" i="8"/>
  <c r="L18" i="8" s="1"/>
  <c r="F19" i="8"/>
  <c r="L19" i="8" s="1"/>
  <c r="F20" i="8"/>
  <c r="L20" i="8" s="1"/>
  <c r="F21" i="8"/>
  <c r="L21" i="8" s="1"/>
  <c r="F22" i="8"/>
  <c r="L22" i="8" s="1"/>
  <c r="F23" i="8"/>
  <c r="L23" i="8" s="1"/>
  <c r="F24" i="8"/>
  <c r="L24" i="8" s="1"/>
  <c r="F25" i="8"/>
  <c r="L25" i="8" s="1"/>
  <c r="F26" i="8"/>
  <c r="L26" i="8" s="1"/>
  <c r="F27" i="8"/>
  <c r="F28" i="8"/>
  <c r="L28" i="8" s="1"/>
  <c r="F29" i="8"/>
  <c r="L29" i="8" s="1"/>
  <c r="F30" i="8"/>
  <c r="L30" i="8" s="1"/>
  <c r="F31" i="8"/>
  <c r="L31" i="8" s="1"/>
  <c r="F32" i="8"/>
  <c r="L32" i="8" s="1"/>
  <c r="F33" i="8"/>
  <c r="L33" i="8" s="1"/>
  <c r="F34" i="8"/>
  <c r="L34" i="8" s="1"/>
  <c r="F4" i="8"/>
  <c r="L4" i="8" s="1"/>
  <c r="F4" i="18"/>
  <c r="L4" i="18" s="1"/>
  <c r="E5" i="8"/>
  <c r="K5" i="8" s="1"/>
  <c r="E6" i="8"/>
  <c r="E7" i="8"/>
  <c r="E8" i="8"/>
  <c r="K8" i="8" s="1"/>
  <c r="E9" i="8"/>
  <c r="K9" i="8" s="1"/>
  <c r="E10" i="8"/>
  <c r="E11" i="8"/>
  <c r="K11" i="8" s="1"/>
  <c r="E12" i="8"/>
  <c r="K12" i="8" s="1"/>
  <c r="E13" i="8"/>
  <c r="E14" i="8"/>
  <c r="E15" i="8"/>
  <c r="K15" i="8" s="1"/>
  <c r="E16" i="8"/>
  <c r="E17" i="8"/>
  <c r="K17" i="8" s="1"/>
  <c r="E18" i="8"/>
  <c r="K18" i="8" s="1"/>
  <c r="E19" i="8"/>
  <c r="K19" i="8" s="1"/>
  <c r="E20" i="8"/>
  <c r="K20" i="8" s="1"/>
  <c r="E21" i="8"/>
  <c r="K21" i="8" s="1"/>
  <c r="E22" i="8"/>
  <c r="K22" i="8" s="1"/>
  <c r="E23" i="8"/>
  <c r="K23" i="8" s="1"/>
  <c r="E24" i="8"/>
  <c r="K24" i="8" s="1"/>
  <c r="E25" i="8"/>
  <c r="K25" i="8" s="1"/>
  <c r="E26" i="8"/>
  <c r="E27" i="8"/>
  <c r="E28" i="8"/>
  <c r="K28" i="8" s="1"/>
  <c r="E29" i="8"/>
  <c r="K29" i="8" s="1"/>
  <c r="E30" i="8"/>
  <c r="K30" i="8" s="1"/>
  <c r="E31" i="8"/>
  <c r="E32" i="8"/>
  <c r="E33" i="8"/>
  <c r="K33" i="8" s="1"/>
  <c r="E34" i="8"/>
  <c r="E4" i="18"/>
  <c r="E4" i="8"/>
  <c r="E15" i="18"/>
  <c r="E16" i="18"/>
  <c r="E17" i="18"/>
  <c r="K27" i="8" l="1"/>
  <c r="L27" i="8"/>
  <c r="K6" i="8"/>
  <c r="K14" i="8"/>
  <c r="K31" i="8"/>
  <c r="K10" i="8"/>
  <c r="K26" i="8"/>
  <c r="K34" i="8"/>
  <c r="K16" i="8"/>
  <c r="K7" i="8"/>
  <c r="L7" i="8"/>
  <c r="K4" i="8"/>
  <c r="K13" i="8"/>
  <c r="L13" i="8"/>
  <c r="K32" i="8"/>
  <c r="O32" i="8"/>
  <c r="M32" i="8"/>
  <c r="O24" i="8"/>
  <c r="M24" i="8"/>
  <c r="O20" i="8"/>
  <c r="M20" i="8"/>
  <c r="O16" i="8"/>
  <c r="M16" i="8"/>
  <c r="P16" i="8" s="1"/>
  <c r="O12" i="8"/>
  <c r="M12" i="8"/>
  <c r="O4" i="8"/>
  <c r="M4" i="8"/>
  <c r="O31" i="8"/>
  <c r="M31" i="8"/>
  <c r="O27" i="8"/>
  <c r="M27" i="8"/>
  <c r="O23" i="8"/>
  <c r="M23" i="8"/>
  <c r="O19" i="8"/>
  <c r="M19" i="8"/>
  <c r="O15" i="8"/>
  <c r="M15" i="8"/>
  <c r="O11" i="8"/>
  <c r="M11" i="8"/>
  <c r="O7" i="8"/>
  <c r="M7" i="8"/>
  <c r="M4" i="18"/>
  <c r="O28" i="8"/>
  <c r="M28" i="8"/>
  <c r="O8" i="8"/>
  <c r="M8" i="8"/>
  <c r="O34" i="8"/>
  <c r="M34" i="8"/>
  <c r="O30" i="8"/>
  <c r="M30" i="8"/>
  <c r="O26" i="8"/>
  <c r="M26" i="8"/>
  <c r="O22" i="8"/>
  <c r="M22" i="8"/>
  <c r="O18" i="8"/>
  <c r="M18" i="8"/>
  <c r="O14" i="8"/>
  <c r="M14" i="8"/>
  <c r="O10" i="8"/>
  <c r="M10" i="8"/>
  <c r="O6" i="8"/>
  <c r="M6" i="8"/>
  <c r="O33" i="8"/>
  <c r="M33" i="8"/>
  <c r="O29" i="8"/>
  <c r="M29" i="8"/>
  <c r="O25" i="8"/>
  <c r="M25" i="8"/>
  <c r="O21" i="8"/>
  <c r="M21" i="8"/>
  <c r="O17" i="8"/>
  <c r="M17" i="8"/>
  <c r="O13" i="8"/>
  <c r="M13" i="8"/>
  <c r="O9" i="8"/>
  <c r="M9" i="8"/>
  <c r="O5" i="8"/>
  <c r="M5" i="8"/>
  <c r="K4" i="18"/>
  <c r="L27" i="15"/>
  <c r="D35" i="15"/>
  <c r="C53" i="13" l="1"/>
  <c r="C52" i="13"/>
  <c r="C51" i="13"/>
  <c r="C50" i="13"/>
  <c r="C49" i="13"/>
  <c r="C48" i="13"/>
  <c r="C42" i="13"/>
  <c r="C41" i="13"/>
  <c r="C39" i="13"/>
  <c r="C38" i="13"/>
  <c r="C40" i="13"/>
  <c r="C42" i="12"/>
  <c r="C41" i="12"/>
  <c r="C40" i="12"/>
  <c r="C39" i="12"/>
  <c r="C38" i="12"/>
  <c r="C42" i="11"/>
  <c r="C41" i="11"/>
  <c r="C40" i="11"/>
  <c r="C39" i="11"/>
  <c r="C38" i="11"/>
  <c r="C42" i="10"/>
  <c r="C41" i="10"/>
  <c r="C40" i="10"/>
  <c r="C39" i="10"/>
  <c r="C38" i="10"/>
  <c r="C42" i="9"/>
  <c r="C41" i="9"/>
  <c r="C40" i="9"/>
  <c r="C39" i="9"/>
  <c r="C38" i="9"/>
  <c r="C42" i="8"/>
  <c r="C41" i="8"/>
  <c r="C40" i="8"/>
  <c r="C39" i="8"/>
  <c r="C38" i="8"/>
  <c r="C42" i="18"/>
  <c r="C41" i="18"/>
  <c r="C40" i="18"/>
  <c r="C39" i="18"/>
  <c r="C38" i="18"/>
  <c r="C42" i="6"/>
  <c r="C41" i="6"/>
  <c r="C40" i="6"/>
  <c r="C39" i="6"/>
  <c r="C38" i="6"/>
  <c r="C42" i="16"/>
  <c r="C41" i="16"/>
  <c r="C40" i="16"/>
  <c r="C39" i="16"/>
  <c r="C38" i="16"/>
  <c r="C42" i="4"/>
  <c r="C41" i="4"/>
  <c r="C40" i="4"/>
  <c r="C39" i="4"/>
  <c r="C38" i="4"/>
  <c r="C42" i="3"/>
  <c r="C41" i="3"/>
  <c r="C40" i="3"/>
  <c r="C39" i="3"/>
  <c r="C38" i="3"/>
  <c r="W38" i="18" l="1"/>
  <c r="W38" i="1"/>
  <c r="C42" i="1" l="1"/>
  <c r="C41" i="1"/>
  <c r="C40" i="1"/>
  <c r="C39" i="1"/>
  <c r="C38" i="1"/>
  <c r="C37" i="1"/>
  <c r="I19" i="16" l="1"/>
  <c r="I20" i="16"/>
  <c r="H19" i="16"/>
  <c r="F19" i="16"/>
  <c r="E19" i="16"/>
  <c r="L19" i="16" l="1"/>
  <c r="K19" i="16"/>
  <c r="O20" i="16"/>
  <c r="M20" i="16"/>
  <c r="O19" i="16"/>
  <c r="M19" i="16"/>
  <c r="T19" i="16"/>
  <c r="U19" i="16" s="1"/>
  <c r="W19" i="16" s="1"/>
  <c r="J19" i="16"/>
  <c r="G19" i="16"/>
  <c r="C37" i="13"/>
  <c r="C37" i="12"/>
  <c r="C37" i="11"/>
  <c r="C37" i="10"/>
  <c r="C37" i="9"/>
  <c r="C37" i="8"/>
  <c r="C37" i="18"/>
  <c r="C37" i="6"/>
  <c r="C37" i="16"/>
  <c r="P19" i="16" l="1"/>
  <c r="S19" i="16"/>
  <c r="Q19" i="16" s="1"/>
  <c r="W38" i="8"/>
  <c r="V36" i="8"/>
  <c r="E4" i="13"/>
  <c r="F4" i="13"/>
  <c r="H4" i="13"/>
  <c r="I4" i="13"/>
  <c r="E5" i="13"/>
  <c r="F5" i="13"/>
  <c r="H5" i="13"/>
  <c r="I5" i="13"/>
  <c r="E6" i="13"/>
  <c r="F6" i="13"/>
  <c r="H6" i="13"/>
  <c r="I6" i="13"/>
  <c r="E7" i="13"/>
  <c r="F7" i="13"/>
  <c r="H7" i="13"/>
  <c r="I7" i="13"/>
  <c r="E8" i="13"/>
  <c r="F8" i="13"/>
  <c r="H8" i="13"/>
  <c r="I8" i="13"/>
  <c r="E9" i="13"/>
  <c r="F9" i="13"/>
  <c r="H9" i="13"/>
  <c r="I9" i="13"/>
  <c r="E10" i="13"/>
  <c r="F10" i="13"/>
  <c r="H10" i="13"/>
  <c r="I10" i="13"/>
  <c r="E11" i="13"/>
  <c r="F11" i="13"/>
  <c r="H11" i="13"/>
  <c r="I11" i="13"/>
  <c r="E12" i="13"/>
  <c r="F12" i="13"/>
  <c r="H12" i="13"/>
  <c r="I12" i="13"/>
  <c r="E13" i="13"/>
  <c r="F13" i="13"/>
  <c r="H13" i="13"/>
  <c r="I13" i="13"/>
  <c r="E14" i="13"/>
  <c r="F14" i="13"/>
  <c r="H14" i="13"/>
  <c r="I14" i="13"/>
  <c r="E15" i="13"/>
  <c r="F15" i="13"/>
  <c r="H15" i="13"/>
  <c r="I15" i="13"/>
  <c r="E16" i="13"/>
  <c r="F16" i="13"/>
  <c r="H16" i="13"/>
  <c r="I16" i="13"/>
  <c r="E17" i="13"/>
  <c r="F17" i="13"/>
  <c r="H17" i="13"/>
  <c r="I17" i="13"/>
  <c r="E18" i="13"/>
  <c r="F18" i="13"/>
  <c r="H18" i="13"/>
  <c r="I18" i="13"/>
  <c r="E19" i="13"/>
  <c r="F19" i="13"/>
  <c r="H19" i="13"/>
  <c r="I19" i="13"/>
  <c r="E20" i="13"/>
  <c r="F20" i="13"/>
  <c r="H20" i="13"/>
  <c r="I20" i="13"/>
  <c r="E21" i="13"/>
  <c r="F21" i="13"/>
  <c r="H21" i="13"/>
  <c r="I21" i="13"/>
  <c r="E22" i="13"/>
  <c r="F22" i="13"/>
  <c r="H22" i="13"/>
  <c r="I22" i="13"/>
  <c r="E23" i="13"/>
  <c r="F23" i="13"/>
  <c r="H23" i="13"/>
  <c r="I23" i="13"/>
  <c r="E24" i="13"/>
  <c r="F24" i="13"/>
  <c r="H24" i="13"/>
  <c r="I24" i="13"/>
  <c r="E25" i="13"/>
  <c r="F25" i="13"/>
  <c r="H25" i="13"/>
  <c r="I25" i="13"/>
  <c r="E26" i="13"/>
  <c r="F26" i="13"/>
  <c r="H26" i="13"/>
  <c r="I26" i="13"/>
  <c r="E27" i="13"/>
  <c r="F27" i="13"/>
  <c r="H27" i="13"/>
  <c r="I27" i="13"/>
  <c r="E28" i="13"/>
  <c r="F28" i="13"/>
  <c r="H28" i="13"/>
  <c r="I28" i="13"/>
  <c r="E29" i="13"/>
  <c r="F29" i="13"/>
  <c r="H29" i="13"/>
  <c r="I29" i="13"/>
  <c r="E30" i="13"/>
  <c r="F30" i="13"/>
  <c r="H30" i="13"/>
  <c r="I30" i="13"/>
  <c r="E31" i="13"/>
  <c r="F31" i="13"/>
  <c r="H31" i="13"/>
  <c r="I31" i="13"/>
  <c r="E32" i="13"/>
  <c r="F32" i="13"/>
  <c r="H32" i="13"/>
  <c r="I32" i="13"/>
  <c r="E33" i="13"/>
  <c r="F33" i="13"/>
  <c r="H33" i="13"/>
  <c r="I33" i="13"/>
  <c r="E34" i="13"/>
  <c r="F34" i="13"/>
  <c r="H34" i="13"/>
  <c r="I34" i="13"/>
  <c r="M34" i="13" s="1"/>
  <c r="V36" i="13"/>
  <c r="W38" i="13"/>
  <c r="K33" i="13" l="1"/>
  <c r="K31" i="13"/>
  <c r="K27" i="13"/>
  <c r="K24" i="13"/>
  <c r="K34" i="13"/>
  <c r="K32" i="13"/>
  <c r="K30" i="13"/>
  <c r="K28" i="13"/>
  <c r="K26" i="13"/>
  <c r="K25" i="13"/>
  <c r="K23" i="13"/>
  <c r="K22" i="13"/>
  <c r="K21" i="13"/>
  <c r="K20" i="13"/>
  <c r="K19" i="13"/>
  <c r="K18" i="13"/>
  <c r="K17" i="13"/>
  <c r="K16" i="13"/>
  <c r="K15" i="13"/>
  <c r="K14" i="13"/>
  <c r="K13" i="13"/>
  <c r="K12" i="13"/>
  <c r="K11" i="13"/>
  <c r="K10" i="13"/>
  <c r="K9" i="13"/>
  <c r="K8" i="13"/>
  <c r="K7" i="13"/>
  <c r="K5" i="13"/>
  <c r="K4" i="13"/>
  <c r="K6" i="13"/>
  <c r="L28" i="13"/>
  <c r="L27" i="13"/>
  <c r="L26" i="13"/>
  <c r="L25" i="13"/>
  <c r="L24" i="13"/>
  <c r="L23" i="13"/>
  <c r="L22" i="13"/>
  <c r="L21" i="13"/>
  <c r="L20" i="13"/>
  <c r="L19" i="13"/>
  <c r="L18" i="13"/>
  <c r="L17" i="13"/>
  <c r="L16" i="13"/>
  <c r="L15" i="13"/>
  <c r="L14" i="13"/>
  <c r="L13" i="13"/>
  <c r="L12" i="13"/>
  <c r="L11" i="13"/>
  <c r="L10" i="13"/>
  <c r="L9" i="13"/>
  <c r="L8" i="13"/>
  <c r="L7" i="13"/>
  <c r="L6" i="13"/>
  <c r="O33" i="13"/>
  <c r="M33" i="13"/>
  <c r="O32" i="13"/>
  <c r="M32" i="13"/>
  <c r="O31" i="13"/>
  <c r="M31" i="13"/>
  <c r="O30" i="13"/>
  <c r="M30" i="13"/>
  <c r="O29" i="13"/>
  <c r="M29" i="13"/>
  <c r="O28" i="13"/>
  <c r="M28" i="13"/>
  <c r="O27" i="13"/>
  <c r="M27" i="13"/>
  <c r="O26" i="13"/>
  <c r="M26" i="13"/>
  <c r="O25" i="13"/>
  <c r="M25" i="13"/>
  <c r="O24" i="13"/>
  <c r="M24" i="13"/>
  <c r="O23" i="13"/>
  <c r="M23" i="13"/>
  <c r="O22" i="13"/>
  <c r="M22" i="13"/>
  <c r="O21" i="13"/>
  <c r="M21" i="13"/>
  <c r="O20" i="13"/>
  <c r="M20" i="13"/>
  <c r="O19" i="13"/>
  <c r="M19" i="13"/>
  <c r="O18" i="13"/>
  <c r="M18" i="13"/>
  <c r="O17" i="13"/>
  <c r="M17" i="13"/>
  <c r="O16" i="13"/>
  <c r="M16" i="13"/>
  <c r="O15" i="13"/>
  <c r="M15" i="13"/>
  <c r="O14" i="13"/>
  <c r="M14" i="13"/>
  <c r="O13" i="13"/>
  <c r="M13" i="13"/>
  <c r="O12" i="13"/>
  <c r="M12" i="13"/>
  <c r="O11" i="13"/>
  <c r="M11" i="13"/>
  <c r="O10" i="13"/>
  <c r="M10" i="13"/>
  <c r="O9" i="13"/>
  <c r="M9" i="13"/>
  <c r="O8" i="13"/>
  <c r="M8" i="13"/>
  <c r="O7" i="13"/>
  <c r="M7" i="13"/>
  <c r="O6" i="13"/>
  <c r="M6" i="13"/>
  <c r="O5" i="13"/>
  <c r="M5" i="13"/>
  <c r="O4" i="13"/>
  <c r="M4" i="13"/>
  <c r="K29" i="13"/>
  <c r="L34" i="13"/>
  <c r="L33" i="13"/>
  <c r="L32" i="13"/>
  <c r="L31" i="13"/>
  <c r="L30" i="13"/>
  <c r="L29" i="13"/>
  <c r="L5" i="13"/>
  <c r="L4" i="13"/>
  <c r="G4" i="13"/>
  <c r="G34" i="13"/>
  <c r="G32" i="13"/>
  <c r="J33" i="13"/>
  <c r="J23" i="13"/>
  <c r="J19" i="13"/>
  <c r="J17" i="13"/>
  <c r="J11" i="13"/>
  <c r="J7" i="13"/>
  <c r="J5" i="13"/>
  <c r="N4" i="8"/>
  <c r="N5" i="8" s="1"/>
  <c r="N6" i="8" s="1"/>
  <c r="J4" i="13"/>
  <c r="N33" i="8"/>
  <c r="N34" i="8" s="1"/>
  <c r="J33" i="8"/>
  <c r="J30" i="13"/>
  <c r="J28" i="13"/>
  <c r="J26" i="13"/>
  <c r="J24" i="13"/>
  <c r="J15" i="13"/>
  <c r="J16" i="13"/>
  <c r="J12" i="13"/>
  <c r="J13" i="13"/>
  <c r="J20" i="13"/>
  <c r="J21" i="13"/>
  <c r="J8" i="13"/>
  <c r="J9" i="13"/>
  <c r="T14" i="13"/>
  <c r="U14" i="13" s="1"/>
  <c r="W14" i="13" s="1"/>
  <c r="T22" i="13"/>
  <c r="U22" i="13" s="1"/>
  <c r="W22" i="13" s="1"/>
  <c r="T6" i="13"/>
  <c r="U6" i="13" s="1"/>
  <c r="W6" i="13" s="1"/>
  <c r="T18" i="13"/>
  <c r="U18" i="13" s="1"/>
  <c r="W18" i="13" s="1"/>
  <c r="T10" i="13"/>
  <c r="U10" i="13" s="1"/>
  <c r="W10" i="13" s="1"/>
  <c r="J31" i="13"/>
  <c r="J29" i="13"/>
  <c r="J27" i="13"/>
  <c r="T33" i="13"/>
  <c r="U33" i="13" s="1"/>
  <c r="W33" i="13" s="1"/>
  <c r="J22" i="13"/>
  <c r="J18" i="13"/>
  <c r="J14" i="13"/>
  <c r="J10" i="13"/>
  <c r="J6" i="13"/>
  <c r="J25" i="13"/>
  <c r="J17" i="8"/>
  <c r="G20" i="8"/>
  <c r="J21" i="8"/>
  <c r="T24" i="8"/>
  <c r="J25" i="8"/>
  <c r="G28" i="8"/>
  <c r="J16" i="8"/>
  <c r="J12" i="8"/>
  <c r="J24" i="8"/>
  <c r="J28" i="8"/>
  <c r="J32" i="8"/>
  <c r="J5" i="8"/>
  <c r="J15" i="8"/>
  <c r="N28" i="8"/>
  <c r="J20" i="8"/>
  <c r="T23" i="8"/>
  <c r="U23" i="8" s="1"/>
  <c r="W23" i="8" s="1"/>
  <c r="N25" i="8"/>
  <c r="J29" i="8"/>
  <c r="T32" i="8"/>
  <c r="U32" i="8" s="1"/>
  <c r="W32" i="8" s="1"/>
  <c r="N17" i="8"/>
  <c r="N23" i="8"/>
  <c r="G24" i="8"/>
  <c r="G32" i="8"/>
  <c r="P32" i="8" s="1"/>
  <c r="T31" i="8"/>
  <c r="U31" i="8" s="1"/>
  <c r="W31" i="8" s="1"/>
  <c r="N20" i="8"/>
  <c r="J23" i="8"/>
  <c r="J31" i="8"/>
  <c r="T4" i="8"/>
  <c r="N15" i="8"/>
  <c r="J10" i="8"/>
  <c r="T16" i="8"/>
  <c r="U16" i="8" s="1"/>
  <c r="W16" i="8" s="1"/>
  <c r="J19" i="8"/>
  <c r="J27" i="8"/>
  <c r="T15" i="8"/>
  <c r="U15" i="8" s="1"/>
  <c r="W15" i="8" s="1"/>
  <c r="G16" i="8"/>
  <c r="N19" i="8"/>
  <c r="T20" i="8"/>
  <c r="U20" i="8" s="1"/>
  <c r="W20" i="8" s="1"/>
  <c r="T28" i="8"/>
  <c r="U28" i="8" s="1"/>
  <c r="W28" i="8" s="1"/>
  <c r="J7" i="8"/>
  <c r="N16" i="8"/>
  <c r="T19" i="8"/>
  <c r="U19" i="8" s="1"/>
  <c r="W19" i="8" s="1"/>
  <c r="N21" i="8"/>
  <c r="N24" i="8"/>
  <c r="T27" i="8"/>
  <c r="U27" i="8" s="1"/>
  <c r="W27" i="8" s="1"/>
  <c r="N29" i="8"/>
  <c r="N32" i="8"/>
  <c r="T11" i="8"/>
  <c r="U11" i="8" s="1"/>
  <c r="W11" i="8" s="1"/>
  <c r="G6" i="8"/>
  <c r="T9" i="8"/>
  <c r="U9" i="8" s="1"/>
  <c r="W9" i="8" s="1"/>
  <c r="T6" i="8"/>
  <c r="U6" i="8" s="1"/>
  <c r="W6" i="8" s="1"/>
  <c r="G4" i="8"/>
  <c r="J8" i="8"/>
  <c r="T7" i="8"/>
  <c r="U7" i="8" s="1"/>
  <c r="W7" i="8" s="1"/>
  <c r="T8" i="8"/>
  <c r="U8" i="8" s="1"/>
  <c r="W8" i="8" s="1"/>
  <c r="T10" i="8"/>
  <c r="U10" i="8" s="1"/>
  <c r="W10" i="8" s="1"/>
  <c r="T12" i="8"/>
  <c r="U12" i="8" s="1"/>
  <c r="W12" i="8" s="1"/>
  <c r="J4" i="8"/>
  <c r="T5" i="8"/>
  <c r="U5" i="8" s="1"/>
  <c r="W5" i="8" s="1"/>
  <c r="J6" i="8"/>
  <c r="J9" i="8"/>
  <c r="J11" i="8"/>
  <c r="T14" i="8"/>
  <c r="U14" i="8" s="1"/>
  <c r="W14" i="8" s="1"/>
  <c r="T17" i="8"/>
  <c r="U17" i="8" s="1"/>
  <c r="W17" i="8" s="1"/>
  <c r="G17" i="8"/>
  <c r="T18" i="8"/>
  <c r="U18" i="8" s="1"/>
  <c r="W18" i="8" s="1"/>
  <c r="T21" i="8"/>
  <c r="U21" i="8" s="1"/>
  <c r="W21" i="8" s="1"/>
  <c r="G21" i="8"/>
  <c r="P21" i="8" s="1"/>
  <c r="T22" i="8"/>
  <c r="U22" i="8" s="1"/>
  <c r="W22" i="8" s="1"/>
  <c r="T25" i="8"/>
  <c r="U25" i="8" s="1"/>
  <c r="W25" i="8" s="1"/>
  <c r="G25" i="8"/>
  <c r="T26" i="8"/>
  <c r="U26" i="8" s="1"/>
  <c r="W26" i="8" s="1"/>
  <c r="T29" i="8"/>
  <c r="U29" i="8" s="1"/>
  <c r="W29" i="8" s="1"/>
  <c r="G29" i="8"/>
  <c r="T30" i="8"/>
  <c r="U30" i="8" s="1"/>
  <c r="W30" i="8" s="1"/>
  <c r="T33" i="8"/>
  <c r="U33" i="8" s="1"/>
  <c r="W33" i="8" s="1"/>
  <c r="G33" i="8"/>
  <c r="T34" i="8"/>
  <c r="U34" i="8" s="1"/>
  <c r="W34" i="8" s="1"/>
  <c r="G9" i="8"/>
  <c r="G10" i="8"/>
  <c r="G11" i="8"/>
  <c r="G12" i="8"/>
  <c r="G13" i="8"/>
  <c r="J14" i="8"/>
  <c r="J18" i="8"/>
  <c r="J22" i="8"/>
  <c r="J26" i="8"/>
  <c r="J30" i="8"/>
  <c r="J34" i="8"/>
  <c r="G5" i="8"/>
  <c r="G7" i="8"/>
  <c r="G8" i="8"/>
  <c r="J13" i="8"/>
  <c r="N14" i="8"/>
  <c r="G18" i="8"/>
  <c r="N18" i="8"/>
  <c r="N22" i="8"/>
  <c r="N26" i="8"/>
  <c r="N30" i="8"/>
  <c r="T13" i="8"/>
  <c r="U13" i="8" s="1"/>
  <c r="W13" i="8" s="1"/>
  <c r="N27" i="8"/>
  <c r="N31" i="8"/>
  <c r="G14" i="8"/>
  <c r="G22" i="8"/>
  <c r="G26" i="8"/>
  <c r="G30" i="8"/>
  <c r="G34" i="8"/>
  <c r="G15" i="8"/>
  <c r="G19" i="8"/>
  <c r="P19" i="8" s="1"/>
  <c r="G23" i="8"/>
  <c r="G27" i="8"/>
  <c r="G31" i="8"/>
  <c r="P31" i="8" s="1"/>
  <c r="G29" i="13"/>
  <c r="G27" i="13"/>
  <c r="G17" i="13"/>
  <c r="T17" i="13"/>
  <c r="U17" i="13" s="1"/>
  <c r="W17" i="13" s="1"/>
  <c r="G5" i="13"/>
  <c r="T5" i="13"/>
  <c r="U5" i="13" s="1"/>
  <c r="W5" i="13" s="1"/>
  <c r="J34" i="13"/>
  <c r="J32" i="13"/>
  <c r="G31" i="13"/>
  <c r="G28" i="13"/>
  <c r="G25" i="13"/>
  <c r="G33" i="13"/>
  <c r="G23" i="13"/>
  <c r="T20" i="13"/>
  <c r="U20" i="13" s="1"/>
  <c r="W20" i="13" s="1"/>
  <c r="G19" i="13"/>
  <c r="T19" i="13"/>
  <c r="U19" i="13" s="1"/>
  <c r="W19" i="13" s="1"/>
  <c r="T16" i="13"/>
  <c r="U16" i="13" s="1"/>
  <c r="W16" i="13" s="1"/>
  <c r="G15" i="13"/>
  <c r="T15" i="13"/>
  <c r="U15" i="13" s="1"/>
  <c r="W15" i="13" s="1"/>
  <c r="T12" i="13"/>
  <c r="U12" i="13" s="1"/>
  <c r="W12" i="13" s="1"/>
  <c r="G11" i="13"/>
  <c r="T11" i="13"/>
  <c r="U11" i="13" s="1"/>
  <c r="W11" i="13" s="1"/>
  <c r="T8" i="13"/>
  <c r="U8" i="13" s="1"/>
  <c r="W8" i="13" s="1"/>
  <c r="G7" i="13"/>
  <c r="T7" i="13"/>
  <c r="U7" i="13" s="1"/>
  <c r="W7" i="13" s="1"/>
  <c r="T4" i="13"/>
  <c r="G30" i="13"/>
  <c r="G26" i="13"/>
  <c r="G24" i="13"/>
  <c r="G21" i="13"/>
  <c r="T21" i="13"/>
  <c r="U21" i="13" s="1"/>
  <c r="W21" i="13" s="1"/>
  <c r="G13" i="13"/>
  <c r="T13" i="13"/>
  <c r="U13" i="13" s="1"/>
  <c r="W13" i="13" s="1"/>
  <c r="G9" i="13"/>
  <c r="T9" i="13"/>
  <c r="U9" i="13" s="1"/>
  <c r="W9" i="13" s="1"/>
  <c r="T34" i="13"/>
  <c r="U34" i="13" s="1"/>
  <c r="W34" i="13" s="1"/>
  <c r="T32" i="13"/>
  <c r="U32" i="13" s="1"/>
  <c r="W32" i="13" s="1"/>
  <c r="T31" i="13"/>
  <c r="U31" i="13" s="1"/>
  <c r="W31" i="13" s="1"/>
  <c r="T30" i="13"/>
  <c r="U30" i="13" s="1"/>
  <c r="W30" i="13" s="1"/>
  <c r="T29" i="13"/>
  <c r="U29" i="13" s="1"/>
  <c r="W29" i="13" s="1"/>
  <c r="T28" i="13"/>
  <c r="U28" i="13" s="1"/>
  <c r="W28" i="13" s="1"/>
  <c r="T27" i="13"/>
  <c r="U27" i="13" s="1"/>
  <c r="W27" i="13" s="1"/>
  <c r="T26" i="13"/>
  <c r="U26" i="13" s="1"/>
  <c r="W26" i="13" s="1"/>
  <c r="T25" i="13"/>
  <c r="U25" i="13" s="1"/>
  <c r="W25" i="13" s="1"/>
  <c r="T24" i="13"/>
  <c r="T23" i="13"/>
  <c r="U23" i="13" s="1"/>
  <c r="W23" i="13" s="1"/>
  <c r="G22" i="13"/>
  <c r="G20" i="13"/>
  <c r="G18" i="13"/>
  <c r="G16" i="13"/>
  <c r="G14" i="13"/>
  <c r="G12" i="13"/>
  <c r="G10" i="13"/>
  <c r="G8" i="13"/>
  <c r="G6" i="13"/>
  <c r="T42" i="8" l="1"/>
  <c r="P34" i="8"/>
  <c r="P33" i="8"/>
  <c r="P14" i="8"/>
  <c r="P26" i="8"/>
  <c r="P17" i="8"/>
  <c r="P11" i="8"/>
  <c r="P15" i="8"/>
  <c r="P22" i="8"/>
  <c r="P27" i="8"/>
  <c r="P25" i="8"/>
  <c r="P24" i="8"/>
  <c r="P8" i="8"/>
  <c r="P10" i="8"/>
  <c r="P4" i="8"/>
  <c r="P4" i="13"/>
  <c r="P9" i="13"/>
  <c r="P17" i="13"/>
  <c r="P25" i="13"/>
  <c r="P9" i="8"/>
  <c r="P31" i="13"/>
  <c r="P13" i="13"/>
  <c r="P21" i="13"/>
  <c r="P7" i="8"/>
  <c r="P13" i="8"/>
  <c r="P23" i="8"/>
  <c r="P30" i="8"/>
  <c r="P5" i="8"/>
  <c r="P12" i="8"/>
  <c r="P29" i="8"/>
  <c r="P29" i="13"/>
  <c r="P33" i="13"/>
  <c r="P7" i="13"/>
  <c r="P11" i="13"/>
  <c r="P15" i="13"/>
  <c r="P19" i="13"/>
  <c r="P23" i="13"/>
  <c r="P27" i="13"/>
  <c r="P6" i="8"/>
  <c r="P30" i="13"/>
  <c r="P34" i="13"/>
  <c r="P8" i="13"/>
  <c r="P12" i="13"/>
  <c r="P16" i="13"/>
  <c r="P20" i="13"/>
  <c r="P24" i="13"/>
  <c r="P28" i="13"/>
  <c r="P18" i="8"/>
  <c r="P28" i="8"/>
  <c r="P20" i="8"/>
  <c r="P5" i="13"/>
  <c r="P32" i="13"/>
  <c r="P6" i="13"/>
  <c r="P10" i="13"/>
  <c r="P14" i="13"/>
  <c r="P18" i="13"/>
  <c r="P22" i="13"/>
  <c r="P26" i="13"/>
  <c r="S34" i="13"/>
  <c r="Q34" i="13" s="1"/>
  <c r="S4" i="13"/>
  <c r="Q4" i="13" s="1"/>
  <c r="S8" i="13"/>
  <c r="Q8" i="13" s="1"/>
  <c r="S10" i="13"/>
  <c r="Q10" i="13" s="1"/>
  <c r="S32" i="13"/>
  <c r="Q32" i="13" s="1"/>
  <c r="S15" i="13"/>
  <c r="Q15" i="13" s="1"/>
  <c r="S5" i="13"/>
  <c r="Q5" i="13" s="1"/>
  <c r="S27" i="13"/>
  <c r="Q27" i="13" s="1"/>
  <c r="S30" i="13"/>
  <c r="Q30" i="13" s="1"/>
  <c r="S19" i="13"/>
  <c r="Q19" i="13" s="1"/>
  <c r="S13" i="13"/>
  <c r="Q13" i="13" s="1"/>
  <c r="S28" i="13"/>
  <c r="Q28" i="13" s="1"/>
  <c r="S33" i="13"/>
  <c r="Q33" i="13" s="1"/>
  <c r="S16" i="13"/>
  <c r="Q16" i="13" s="1"/>
  <c r="S11" i="13"/>
  <c r="Q11" i="13" s="1"/>
  <c r="S25" i="13"/>
  <c r="Q25" i="13" s="1"/>
  <c r="S9" i="13"/>
  <c r="Q9" i="13" s="1"/>
  <c r="S26" i="13"/>
  <c r="Q26" i="13" s="1"/>
  <c r="S17" i="13"/>
  <c r="Q17" i="13" s="1"/>
  <c r="S24" i="13"/>
  <c r="Q24" i="13" s="1"/>
  <c r="S23" i="13"/>
  <c r="Q23" i="13" s="1"/>
  <c r="S7" i="13"/>
  <c r="Q7" i="13" s="1"/>
  <c r="S24" i="8"/>
  <c r="Q24" i="8" s="1"/>
  <c r="S32" i="8"/>
  <c r="Q32" i="8" s="1"/>
  <c r="S19" i="8"/>
  <c r="Q19" i="8" s="1"/>
  <c r="S22" i="8"/>
  <c r="Q22" i="8" s="1"/>
  <c r="S17" i="8"/>
  <c r="Q17" i="8" s="1"/>
  <c r="S15" i="8"/>
  <c r="Q15" i="8" s="1"/>
  <c r="S28" i="8"/>
  <c r="Q28" i="8" s="1"/>
  <c r="S25" i="8"/>
  <c r="Q25" i="8" s="1"/>
  <c r="S20" i="8"/>
  <c r="Q20" i="8" s="1"/>
  <c r="U24" i="13"/>
  <c r="W24" i="13" s="1"/>
  <c r="T42" i="13"/>
  <c r="S16" i="8"/>
  <c r="Q16" i="8" s="1"/>
  <c r="U4" i="8"/>
  <c r="W4" i="8" s="1"/>
  <c r="U24" i="8"/>
  <c r="W24" i="8" s="1"/>
  <c r="S33" i="8"/>
  <c r="Q33" i="8" s="1"/>
  <c r="S23" i="8"/>
  <c r="Q23" i="8" s="1"/>
  <c r="S7" i="8"/>
  <c r="Q7" i="8" s="1"/>
  <c r="S10" i="8"/>
  <c r="Q10" i="8" s="1"/>
  <c r="S21" i="8"/>
  <c r="Q21" i="8" s="1"/>
  <c r="S6" i="8"/>
  <c r="Q6" i="8" s="1"/>
  <c r="S34" i="8"/>
  <c r="Q34" i="8" s="1"/>
  <c r="S18" i="13"/>
  <c r="Q18" i="13" s="1"/>
  <c r="S21" i="13"/>
  <c r="Q21" i="13" s="1"/>
  <c r="S12" i="13"/>
  <c r="Q12" i="13" s="1"/>
  <c r="S31" i="13"/>
  <c r="Q31" i="13" s="1"/>
  <c r="S14" i="13"/>
  <c r="Q14" i="13" s="1"/>
  <c r="S20" i="13"/>
  <c r="Q20" i="13" s="1"/>
  <c r="S29" i="13"/>
  <c r="Q29" i="13" s="1"/>
  <c r="S6" i="13"/>
  <c r="Q6" i="13" s="1"/>
  <c r="S22" i="13"/>
  <c r="Q22" i="13" s="1"/>
  <c r="S12" i="8"/>
  <c r="Q12" i="8" s="1"/>
  <c r="S11" i="8"/>
  <c r="Q11" i="8" s="1"/>
  <c r="S31" i="8"/>
  <c r="Q31" i="8" s="1"/>
  <c r="S5" i="8"/>
  <c r="Q5" i="8" s="1"/>
  <c r="S29" i="8"/>
  <c r="Q29" i="8" s="1"/>
  <c r="S26" i="8"/>
  <c r="Q26" i="8" s="1"/>
  <c r="S27" i="8"/>
  <c r="Q27" i="8" s="1"/>
  <c r="S14" i="8"/>
  <c r="Q14" i="8" s="1"/>
  <c r="S4" i="8"/>
  <c r="Q4" i="8" s="1"/>
  <c r="S8" i="8"/>
  <c r="Q8" i="8" s="1"/>
  <c r="S30" i="8"/>
  <c r="Q30" i="8" s="1"/>
  <c r="S18" i="8"/>
  <c r="Q18" i="8" s="1"/>
  <c r="S13" i="8"/>
  <c r="Q13" i="8" s="1"/>
  <c r="S9" i="8"/>
  <c r="Q9" i="8" s="1"/>
  <c r="U4" i="13"/>
  <c r="U36" i="8" l="1"/>
  <c r="W43" i="13"/>
  <c r="O15" i="15" s="1"/>
  <c r="T43" i="13"/>
  <c r="T43" i="8"/>
  <c r="W43" i="8"/>
  <c r="O10" i="15" s="1"/>
  <c r="W4" i="13"/>
  <c r="U36" i="13"/>
  <c r="E4" i="1" l="1"/>
  <c r="F34" i="6" l="1"/>
  <c r="E34" i="6"/>
  <c r="N11" i="15" l="1"/>
  <c r="N10" i="15"/>
  <c r="N9" i="15"/>
  <c r="N8" i="15"/>
  <c r="N7" i="15"/>
  <c r="N6" i="15"/>
  <c r="N5" i="15"/>
  <c r="N4" i="15"/>
  <c r="N15" i="15"/>
  <c r="N14" i="15"/>
  <c r="N13" i="15"/>
  <c r="N12" i="15"/>
  <c r="W38" i="12"/>
  <c r="W38" i="11"/>
  <c r="W38" i="10"/>
  <c r="W38" i="9"/>
  <c r="W38" i="6"/>
  <c r="W38" i="16"/>
  <c r="W38" i="4"/>
  <c r="W38" i="3"/>
  <c r="L22" i="15"/>
  <c r="W34" i="16"/>
  <c r="W33" i="3"/>
  <c r="W34" i="3"/>
  <c r="H4" i="15"/>
  <c r="I4" i="15"/>
  <c r="J15" i="15"/>
  <c r="J14" i="15"/>
  <c r="J13" i="15"/>
  <c r="J12" i="15"/>
  <c r="J11" i="15"/>
  <c r="J10" i="15"/>
  <c r="J9" i="15"/>
  <c r="J8" i="15"/>
  <c r="J7" i="15"/>
  <c r="J6" i="15"/>
  <c r="J5" i="15"/>
  <c r="J4" i="15"/>
  <c r="L15" i="15"/>
  <c r="L14" i="15"/>
  <c r="L13" i="15"/>
  <c r="L12" i="15"/>
  <c r="L11" i="15"/>
  <c r="L10" i="15"/>
  <c r="L9" i="15"/>
  <c r="L8" i="15"/>
  <c r="L7" i="15"/>
  <c r="L6" i="15"/>
  <c r="L5" i="15"/>
  <c r="L4" i="15"/>
  <c r="K14" i="15"/>
  <c r="K12" i="15"/>
  <c r="K10" i="15"/>
  <c r="K8" i="15"/>
  <c r="K7" i="15"/>
  <c r="K6" i="15"/>
  <c r="M15" i="15"/>
  <c r="M14" i="15"/>
  <c r="M13" i="15"/>
  <c r="M12" i="15"/>
  <c r="M11" i="15"/>
  <c r="M10" i="15"/>
  <c r="M9" i="15"/>
  <c r="M8" i="15"/>
  <c r="M7" i="15"/>
  <c r="M6" i="15"/>
  <c r="M5" i="15"/>
  <c r="K5" i="15"/>
  <c r="M4" i="15"/>
  <c r="K4" i="15"/>
  <c r="I9" i="15"/>
  <c r="V36" i="18"/>
  <c r="H9" i="15"/>
  <c r="I34" i="18"/>
  <c r="H34" i="18"/>
  <c r="F34" i="18"/>
  <c r="E34" i="18"/>
  <c r="I33" i="18"/>
  <c r="H33" i="18"/>
  <c r="F33" i="18"/>
  <c r="E33" i="18"/>
  <c r="I32" i="18"/>
  <c r="H32" i="18"/>
  <c r="F32" i="18"/>
  <c r="E32" i="18"/>
  <c r="I31" i="18"/>
  <c r="H31" i="18"/>
  <c r="F31" i="18"/>
  <c r="E31" i="18"/>
  <c r="I30" i="18"/>
  <c r="H30" i="18"/>
  <c r="F30" i="18"/>
  <c r="E30" i="18"/>
  <c r="I29" i="18"/>
  <c r="H29" i="18"/>
  <c r="F29" i="18"/>
  <c r="E29" i="18"/>
  <c r="I28" i="18"/>
  <c r="H28" i="18"/>
  <c r="F28" i="18"/>
  <c r="E28" i="18"/>
  <c r="I27" i="18"/>
  <c r="H27" i="18"/>
  <c r="F27" i="18"/>
  <c r="E27" i="18"/>
  <c r="I26" i="18"/>
  <c r="H26" i="18"/>
  <c r="F26" i="18"/>
  <c r="E26" i="18"/>
  <c r="I25" i="18"/>
  <c r="H25" i="18"/>
  <c r="F25" i="18"/>
  <c r="E25" i="18"/>
  <c r="I24" i="18"/>
  <c r="H24" i="18"/>
  <c r="F24" i="18"/>
  <c r="E24" i="18"/>
  <c r="I23" i="18"/>
  <c r="H23" i="18"/>
  <c r="F23" i="18"/>
  <c r="E23" i="18"/>
  <c r="I22" i="18"/>
  <c r="H22" i="18"/>
  <c r="F22" i="18"/>
  <c r="E22" i="18"/>
  <c r="I21" i="18"/>
  <c r="H21" i="18"/>
  <c r="F21" i="18"/>
  <c r="E21" i="18"/>
  <c r="I20" i="18"/>
  <c r="H20" i="18"/>
  <c r="F20" i="18"/>
  <c r="E20" i="18"/>
  <c r="I19" i="18"/>
  <c r="H19" i="18"/>
  <c r="F19" i="18"/>
  <c r="E19" i="18"/>
  <c r="I18" i="18"/>
  <c r="M18" i="18" s="1"/>
  <c r="H18" i="18"/>
  <c r="F18" i="18"/>
  <c r="E18" i="18"/>
  <c r="I17" i="18"/>
  <c r="H17" i="18"/>
  <c r="F17" i="18"/>
  <c r="I16" i="18"/>
  <c r="H16" i="18"/>
  <c r="F16" i="18"/>
  <c r="I15" i="18"/>
  <c r="M15" i="18" s="1"/>
  <c r="H15" i="18"/>
  <c r="F15" i="18"/>
  <c r="I14" i="18"/>
  <c r="H14" i="18"/>
  <c r="F14" i="18"/>
  <c r="E14" i="18"/>
  <c r="I13" i="18"/>
  <c r="H13" i="18"/>
  <c r="F13" i="18"/>
  <c r="E13" i="18"/>
  <c r="I12" i="18"/>
  <c r="H12" i="18"/>
  <c r="F12" i="18"/>
  <c r="E12" i="18"/>
  <c r="I11" i="18"/>
  <c r="H11" i="18"/>
  <c r="F11" i="18"/>
  <c r="E11" i="18"/>
  <c r="I10" i="18"/>
  <c r="H10" i="18"/>
  <c r="F10" i="18"/>
  <c r="E10" i="18"/>
  <c r="I9" i="18"/>
  <c r="H9" i="18"/>
  <c r="F9" i="18"/>
  <c r="E9" i="18"/>
  <c r="I8" i="18"/>
  <c r="H8" i="18"/>
  <c r="F8" i="18"/>
  <c r="E8" i="18"/>
  <c r="I7" i="18"/>
  <c r="H7" i="18"/>
  <c r="F7" i="18"/>
  <c r="E7" i="18"/>
  <c r="I6" i="18"/>
  <c r="H6" i="18"/>
  <c r="F6" i="18"/>
  <c r="E6" i="18"/>
  <c r="I5" i="18"/>
  <c r="H5" i="18"/>
  <c r="F5" i="18"/>
  <c r="E5" i="18"/>
  <c r="I7" i="15"/>
  <c r="V36" i="16"/>
  <c r="H7" i="15"/>
  <c r="I34" i="16"/>
  <c r="H34" i="16"/>
  <c r="F34" i="16"/>
  <c r="E34" i="16"/>
  <c r="I33" i="16"/>
  <c r="H33" i="16"/>
  <c r="F33" i="16"/>
  <c r="E33" i="16"/>
  <c r="I32" i="16"/>
  <c r="H32" i="16"/>
  <c r="F32" i="16"/>
  <c r="E32" i="16"/>
  <c r="I31" i="16"/>
  <c r="H31" i="16"/>
  <c r="F31" i="16"/>
  <c r="E31" i="16"/>
  <c r="I30" i="16"/>
  <c r="H30" i="16"/>
  <c r="F30" i="16"/>
  <c r="E30" i="16"/>
  <c r="I29" i="16"/>
  <c r="H29" i="16"/>
  <c r="F29" i="16"/>
  <c r="E29" i="16"/>
  <c r="I28" i="16"/>
  <c r="H28" i="16"/>
  <c r="F28" i="16"/>
  <c r="E28" i="16"/>
  <c r="I27" i="16"/>
  <c r="H27" i="16"/>
  <c r="F27" i="16"/>
  <c r="E27" i="16"/>
  <c r="I26" i="16"/>
  <c r="H26" i="16"/>
  <c r="F26" i="16"/>
  <c r="E26" i="16"/>
  <c r="I25" i="16"/>
  <c r="H25" i="16"/>
  <c r="F25" i="16"/>
  <c r="E25" i="16"/>
  <c r="I24" i="16"/>
  <c r="H24" i="16"/>
  <c r="F24" i="16"/>
  <c r="E24" i="16"/>
  <c r="I23" i="16"/>
  <c r="H23" i="16"/>
  <c r="F23" i="16"/>
  <c r="E23" i="16"/>
  <c r="I22" i="16"/>
  <c r="H22" i="16"/>
  <c r="F22" i="16"/>
  <c r="E22" i="16"/>
  <c r="I21" i="16"/>
  <c r="H21" i="16"/>
  <c r="F21" i="16"/>
  <c r="E21" i="16"/>
  <c r="H20" i="16"/>
  <c r="F20" i="16"/>
  <c r="E20" i="16"/>
  <c r="I18" i="16"/>
  <c r="H18" i="16"/>
  <c r="F18" i="16"/>
  <c r="E18" i="16"/>
  <c r="I17" i="16"/>
  <c r="H17" i="16"/>
  <c r="F17" i="16"/>
  <c r="E17" i="16"/>
  <c r="I16" i="16"/>
  <c r="H16" i="16"/>
  <c r="F16" i="16"/>
  <c r="E16" i="16"/>
  <c r="I15" i="16"/>
  <c r="H15" i="16"/>
  <c r="F15" i="16"/>
  <c r="E15" i="16"/>
  <c r="I14" i="16"/>
  <c r="H14" i="16"/>
  <c r="F14" i="16"/>
  <c r="E14" i="16"/>
  <c r="I13" i="16"/>
  <c r="H13" i="16"/>
  <c r="F13" i="16"/>
  <c r="E13" i="16"/>
  <c r="I12" i="16"/>
  <c r="H12" i="16"/>
  <c r="F12" i="16"/>
  <c r="E12" i="16"/>
  <c r="I11" i="16"/>
  <c r="H11" i="16"/>
  <c r="F11" i="16"/>
  <c r="E11" i="16"/>
  <c r="I10" i="16"/>
  <c r="H10" i="16"/>
  <c r="F10" i="16"/>
  <c r="E10" i="16"/>
  <c r="I9" i="16"/>
  <c r="H9" i="16"/>
  <c r="F9" i="16"/>
  <c r="E9" i="16"/>
  <c r="I8" i="16"/>
  <c r="H8" i="16"/>
  <c r="F8" i="16"/>
  <c r="E8" i="16"/>
  <c r="I7" i="16"/>
  <c r="H7" i="16"/>
  <c r="F7" i="16"/>
  <c r="E7" i="16"/>
  <c r="I6" i="16"/>
  <c r="H6" i="16"/>
  <c r="F6" i="16"/>
  <c r="E6" i="16"/>
  <c r="I5" i="16"/>
  <c r="H5" i="16"/>
  <c r="F5" i="16"/>
  <c r="E5" i="16"/>
  <c r="I4" i="16"/>
  <c r="H4" i="16"/>
  <c r="F4" i="16"/>
  <c r="E4" i="16"/>
  <c r="F32" i="10"/>
  <c r="H5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V36" i="12"/>
  <c r="S34" i="12"/>
  <c r="V36" i="11"/>
  <c r="V36" i="10"/>
  <c r="S34" i="10"/>
  <c r="V36" i="9"/>
  <c r="S34" i="9"/>
  <c r="Q34" i="9" s="1"/>
  <c r="V36" i="6"/>
  <c r="V36" i="4"/>
  <c r="V36" i="3"/>
  <c r="I5" i="12"/>
  <c r="I6" i="12"/>
  <c r="I7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M34" i="12" s="1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I5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I5" i="10"/>
  <c r="I6" i="10"/>
  <c r="I7" i="10"/>
  <c r="I8" i="10"/>
  <c r="I9" i="10"/>
  <c r="I10" i="10"/>
  <c r="I11" i="10"/>
  <c r="I12" i="10"/>
  <c r="I13" i="10"/>
  <c r="I14" i="10"/>
  <c r="I15" i="10"/>
  <c r="I16" i="10"/>
  <c r="I17" i="10"/>
  <c r="I18" i="10"/>
  <c r="I19" i="10"/>
  <c r="I20" i="10"/>
  <c r="I21" i="10"/>
  <c r="I22" i="10"/>
  <c r="I23" i="10"/>
  <c r="I24" i="10"/>
  <c r="I25" i="10"/>
  <c r="I26" i="10"/>
  <c r="I27" i="10"/>
  <c r="I28" i="10"/>
  <c r="I29" i="10"/>
  <c r="I30" i="10"/>
  <c r="I31" i="10"/>
  <c r="I32" i="10"/>
  <c r="I33" i="10"/>
  <c r="I34" i="10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3" i="10"/>
  <c r="F3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I5" i="9"/>
  <c r="I6" i="9"/>
  <c r="I7" i="9"/>
  <c r="I8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F5" i="3"/>
  <c r="F6" i="3"/>
  <c r="L6" i="3" s="1"/>
  <c r="F7" i="3"/>
  <c r="L7" i="3" s="1"/>
  <c r="F8" i="3"/>
  <c r="L8" i="3" s="1"/>
  <c r="F9" i="3"/>
  <c r="F10" i="3"/>
  <c r="F11" i="3"/>
  <c r="L11" i="3" s="1"/>
  <c r="F12" i="3"/>
  <c r="L12" i="3" s="1"/>
  <c r="F13" i="3"/>
  <c r="F14" i="3"/>
  <c r="L14" i="3" s="1"/>
  <c r="F15" i="3"/>
  <c r="F16" i="3"/>
  <c r="L16" i="3" s="1"/>
  <c r="F17" i="3"/>
  <c r="L17" i="3" s="1"/>
  <c r="F18" i="3"/>
  <c r="L18" i="3" s="1"/>
  <c r="F19" i="3"/>
  <c r="F20" i="3"/>
  <c r="L20" i="3" s="1"/>
  <c r="F21" i="3"/>
  <c r="L21" i="3" s="1"/>
  <c r="F22" i="3"/>
  <c r="L22" i="3" s="1"/>
  <c r="F23" i="3"/>
  <c r="L23" i="3" s="1"/>
  <c r="F24" i="3"/>
  <c r="L24" i="3" s="1"/>
  <c r="F25" i="3"/>
  <c r="L25" i="3" s="1"/>
  <c r="F26" i="3"/>
  <c r="L26" i="3" s="1"/>
  <c r="F27" i="3"/>
  <c r="L27" i="3" s="1"/>
  <c r="F28" i="3"/>
  <c r="L28" i="3" s="1"/>
  <c r="F29" i="3"/>
  <c r="L29" i="3" s="1"/>
  <c r="F30" i="3"/>
  <c r="F31" i="3"/>
  <c r="F32" i="3"/>
  <c r="F33" i="3"/>
  <c r="L33" i="3" s="1"/>
  <c r="F34" i="3"/>
  <c r="L34" i="3" s="1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I4" i="12"/>
  <c r="H4" i="12"/>
  <c r="F4" i="12"/>
  <c r="E4" i="12"/>
  <c r="I4" i="11"/>
  <c r="H4" i="11"/>
  <c r="F4" i="11"/>
  <c r="E4" i="11"/>
  <c r="I4" i="10"/>
  <c r="H4" i="10"/>
  <c r="F4" i="10"/>
  <c r="E4" i="10"/>
  <c r="I4" i="9"/>
  <c r="H4" i="9"/>
  <c r="F4" i="9"/>
  <c r="E4" i="9"/>
  <c r="I4" i="6"/>
  <c r="H4" i="6"/>
  <c r="E4" i="6"/>
  <c r="F4" i="6"/>
  <c r="I4" i="4"/>
  <c r="H4" i="4"/>
  <c r="F4" i="4"/>
  <c r="E4" i="4"/>
  <c r="I4" i="3"/>
  <c r="H4" i="3"/>
  <c r="F4" i="3"/>
  <c r="E4" i="3"/>
  <c r="I4" i="1"/>
  <c r="H4" i="1"/>
  <c r="F4" i="1"/>
  <c r="I15" i="15"/>
  <c r="I14" i="15"/>
  <c r="I13" i="15"/>
  <c r="I12" i="15"/>
  <c r="I11" i="15"/>
  <c r="I10" i="15"/>
  <c r="I8" i="15"/>
  <c r="I6" i="15"/>
  <c r="I5" i="15"/>
  <c r="H15" i="15"/>
  <c r="H14" i="15"/>
  <c r="H13" i="15"/>
  <c r="K13" i="15"/>
  <c r="H12" i="15"/>
  <c r="H11" i="15"/>
  <c r="H10" i="15"/>
  <c r="H8" i="15"/>
  <c r="H6" i="15"/>
  <c r="H5" i="15"/>
  <c r="V36" i="1"/>
  <c r="K15" i="15"/>
  <c r="K9" i="15"/>
  <c r="S34" i="16"/>
  <c r="Q34" i="16" s="1"/>
  <c r="G34" i="6"/>
  <c r="L32" i="3" l="1"/>
  <c r="L4" i="6"/>
  <c r="K30" i="1"/>
  <c r="K22" i="1"/>
  <c r="K18" i="1"/>
  <c r="L32" i="1"/>
  <c r="L28" i="1"/>
  <c r="L20" i="1"/>
  <c r="L16" i="1"/>
  <c r="L12" i="1"/>
  <c r="L8" i="1"/>
  <c r="K34" i="3"/>
  <c r="K30" i="3"/>
  <c r="K26" i="3"/>
  <c r="K22" i="3"/>
  <c r="K18" i="3"/>
  <c r="K14" i="3"/>
  <c r="K10" i="3"/>
  <c r="K6" i="3"/>
  <c r="K34" i="4"/>
  <c r="K30" i="4"/>
  <c r="K26" i="4"/>
  <c r="K22" i="4"/>
  <c r="K18" i="4"/>
  <c r="K14" i="4"/>
  <c r="K10" i="4"/>
  <c r="K6" i="4"/>
  <c r="L32" i="4"/>
  <c r="L28" i="4"/>
  <c r="L24" i="4"/>
  <c r="L20" i="4"/>
  <c r="L16" i="4"/>
  <c r="L12" i="4"/>
  <c r="L8" i="4"/>
  <c r="L33" i="6"/>
  <c r="L29" i="6"/>
  <c r="L25" i="6"/>
  <c r="L21" i="6"/>
  <c r="L17" i="6"/>
  <c r="L13" i="6"/>
  <c r="L9" i="6"/>
  <c r="L5" i="6"/>
  <c r="K31" i="9"/>
  <c r="K27" i="9"/>
  <c r="K23" i="9"/>
  <c r="K19" i="9"/>
  <c r="K15" i="9"/>
  <c r="L33" i="9"/>
  <c r="L29" i="9"/>
  <c r="L25" i="9"/>
  <c r="L17" i="9"/>
  <c r="L13" i="9"/>
  <c r="L9" i="9"/>
  <c r="L5" i="9"/>
  <c r="L28" i="10"/>
  <c r="L24" i="10"/>
  <c r="L20" i="10"/>
  <c r="L16" i="10"/>
  <c r="L12" i="10"/>
  <c r="L8" i="10"/>
  <c r="K34" i="11"/>
  <c r="K30" i="11"/>
  <c r="K26" i="11"/>
  <c r="K22" i="11"/>
  <c r="K18" i="11"/>
  <c r="K14" i="11"/>
  <c r="K10" i="11"/>
  <c r="K6" i="11"/>
  <c r="L32" i="11"/>
  <c r="L28" i="11"/>
  <c r="L24" i="11"/>
  <c r="L20" i="11"/>
  <c r="L16" i="11"/>
  <c r="L12" i="11"/>
  <c r="L8" i="11"/>
  <c r="K34" i="1"/>
  <c r="K26" i="1"/>
  <c r="K14" i="1"/>
  <c r="K10" i="1"/>
  <c r="K6" i="1"/>
  <c r="L24" i="1"/>
  <c r="L33" i="12"/>
  <c r="L29" i="12"/>
  <c r="L25" i="12"/>
  <c r="L21" i="12"/>
  <c r="L17" i="12"/>
  <c r="L13" i="12"/>
  <c r="L9" i="12"/>
  <c r="L5" i="12"/>
  <c r="L4" i="11"/>
  <c r="L21" i="9"/>
  <c r="K11" i="9"/>
  <c r="K7" i="9"/>
  <c r="L33" i="10"/>
  <c r="L33" i="11"/>
  <c r="L29" i="11"/>
  <c r="L25" i="11"/>
  <c r="L21" i="11"/>
  <c r="L17" i="11"/>
  <c r="L13" i="11"/>
  <c r="L9" i="11"/>
  <c r="L5" i="11"/>
  <c r="L32" i="12"/>
  <c r="L28" i="12"/>
  <c r="L24" i="12"/>
  <c r="L20" i="12"/>
  <c r="L16" i="12"/>
  <c r="L12" i="12"/>
  <c r="L8" i="12"/>
  <c r="L31" i="11"/>
  <c r="L27" i="11"/>
  <c r="L23" i="11"/>
  <c r="L19" i="11"/>
  <c r="L15" i="11"/>
  <c r="L11" i="11"/>
  <c r="L7" i="11"/>
  <c r="L34" i="11"/>
  <c r="L30" i="11"/>
  <c r="L26" i="11"/>
  <c r="L22" i="11"/>
  <c r="L18" i="11"/>
  <c r="L14" i="11"/>
  <c r="L10" i="11"/>
  <c r="L6" i="11"/>
  <c r="K34" i="6"/>
  <c r="L34" i="6"/>
  <c r="K31" i="1"/>
  <c r="K27" i="1"/>
  <c r="K23" i="1"/>
  <c r="K19" i="1"/>
  <c r="K15" i="1"/>
  <c r="K11" i="1"/>
  <c r="K7" i="1"/>
  <c r="L33" i="1"/>
  <c r="L29" i="1"/>
  <c r="L25" i="1"/>
  <c r="L21" i="1"/>
  <c r="L17" i="1"/>
  <c r="L13" i="1"/>
  <c r="L9" i="1"/>
  <c r="L5" i="1"/>
  <c r="K31" i="3"/>
  <c r="K27" i="3"/>
  <c r="K23" i="3"/>
  <c r="K19" i="3"/>
  <c r="K15" i="3"/>
  <c r="K11" i="3"/>
  <c r="K7" i="3"/>
  <c r="K31" i="4"/>
  <c r="K27" i="4"/>
  <c r="K23" i="4"/>
  <c r="K19" i="4"/>
  <c r="K15" i="4"/>
  <c r="K11" i="4"/>
  <c r="K7" i="4"/>
  <c r="L33" i="4"/>
  <c r="L29" i="4"/>
  <c r="L25" i="4"/>
  <c r="L21" i="4"/>
  <c r="L17" i="4"/>
  <c r="L13" i="4"/>
  <c r="L9" i="4"/>
  <c r="L5" i="4"/>
  <c r="L30" i="6"/>
  <c r="L26" i="6"/>
  <c r="L22" i="6"/>
  <c r="L18" i="6"/>
  <c r="L14" i="6"/>
  <c r="L10" i="6"/>
  <c r="L6" i="6"/>
  <c r="K32" i="9"/>
  <c r="K28" i="9"/>
  <c r="K24" i="9"/>
  <c r="K20" i="9"/>
  <c r="K16" i="9"/>
  <c r="K12" i="9"/>
  <c r="K8" i="9"/>
  <c r="L34" i="9"/>
  <c r="L30" i="9"/>
  <c r="L34" i="12"/>
  <c r="P34" i="12" s="1"/>
  <c r="L30" i="12"/>
  <c r="L26" i="12"/>
  <c r="L22" i="12"/>
  <c r="L18" i="12"/>
  <c r="L14" i="12"/>
  <c r="L10" i="12"/>
  <c r="L6" i="12"/>
  <c r="L26" i="9"/>
  <c r="L22" i="9"/>
  <c r="L18" i="9"/>
  <c r="L14" i="9"/>
  <c r="L10" i="9"/>
  <c r="L6" i="9"/>
  <c r="K32" i="10"/>
  <c r="K28" i="10"/>
  <c r="K24" i="10"/>
  <c r="K20" i="10"/>
  <c r="K16" i="10"/>
  <c r="K12" i="10"/>
  <c r="K8" i="10"/>
  <c r="L34" i="10"/>
  <c r="L29" i="10"/>
  <c r="L25" i="10"/>
  <c r="L21" i="10"/>
  <c r="L17" i="10"/>
  <c r="L13" i="10"/>
  <c r="L9" i="10"/>
  <c r="L5" i="10"/>
  <c r="K31" i="11"/>
  <c r="K27" i="11"/>
  <c r="K23" i="11"/>
  <c r="K19" i="11"/>
  <c r="K15" i="11"/>
  <c r="K11" i="11"/>
  <c r="K7" i="11"/>
  <c r="K31" i="12"/>
  <c r="K27" i="12"/>
  <c r="K23" i="12"/>
  <c r="K19" i="12"/>
  <c r="K15" i="12"/>
  <c r="K11" i="12"/>
  <c r="K7" i="12"/>
  <c r="L32" i="10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L5" i="18"/>
  <c r="L6" i="18"/>
  <c r="L7" i="18"/>
  <c r="L8" i="18"/>
  <c r="L9" i="18"/>
  <c r="L10" i="18"/>
  <c r="L11" i="18"/>
  <c r="L12" i="18"/>
  <c r="L13" i="18"/>
  <c r="L14" i="18"/>
  <c r="K18" i="18"/>
  <c r="K19" i="18"/>
  <c r="K20" i="18"/>
  <c r="K21" i="18"/>
  <c r="K22" i="18"/>
  <c r="K23" i="18"/>
  <c r="K24" i="18"/>
  <c r="K25" i="18"/>
  <c r="K26" i="18"/>
  <c r="K27" i="18"/>
  <c r="K28" i="18"/>
  <c r="K29" i="18"/>
  <c r="K30" i="18"/>
  <c r="K31" i="18"/>
  <c r="K32" i="18"/>
  <c r="K33" i="18"/>
  <c r="K34" i="18"/>
  <c r="K34" i="12"/>
  <c r="K30" i="12"/>
  <c r="K26" i="12"/>
  <c r="K22" i="12"/>
  <c r="K18" i="12"/>
  <c r="K14" i="12"/>
  <c r="K10" i="12"/>
  <c r="K6" i="12"/>
  <c r="K20" i="16"/>
  <c r="L21" i="16"/>
  <c r="L22" i="16"/>
  <c r="L23" i="16"/>
  <c r="L24" i="16"/>
  <c r="L25" i="16"/>
  <c r="L26" i="16"/>
  <c r="L27" i="16"/>
  <c r="L28" i="16"/>
  <c r="L29" i="16"/>
  <c r="L30" i="16"/>
  <c r="L31" i="16"/>
  <c r="L32" i="16"/>
  <c r="L33" i="16"/>
  <c r="L34" i="16"/>
  <c r="L18" i="18"/>
  <c r="L19" i="18"/>
  <c r="L20" i="18"/>
  <c r="L21" i="18"/>
  <c r="L22" i="18"/>
  <c r="L23" i="18"/>
  <c r="L24" i="18"/>
  <c r="L25" i="18"/>
  <c r="L26" i="18"/>
  <c r="L27" i="18"/>
  <c r="L28" i="18"/>
  <c r="L29" i="18"/>
  <c r="L30" i="18"/>
  <c r="L31" i="18"/>
  <c r="L32" i="18"/>
  <c r="L33" i="18"/>
  <c r="L34" i="18"/>
  <c r="O4" i="1"/>
  <c r="M4" i="1"/>
  <c r="N4" i="1"/>
  <c r="O33" i="1"/>
  <c r="M33" i="1"/>
  <c r="O13" i="1"/>
  <c r="M13" i="1"/>
  <c r="O9" i="1"/>
  <c r="M9" i="1"/>
  <c r="L9" i="3"/>
  <c r="O17" i="3"/>
  <c r="M17" i="3"/>
  <c r="O33" i="4"/>
  <c r="M33" i="4"/>
  <c r="O25" i="4"/>
  <c r="M25" i="4"/>
  <c r="O13" i="4"/>
  <c r="M13" i="4"/>
  <c r="O5" i="4"/>
  <c r="M5" i="4"/>
  <c r="K4" i="4"/>
  <c r="K4" i="9"/>
  <c r="K4" i="11"/>
  <c r="K4" i="12"/>
  <c r="O32" i="1"/>
  <c r="M32" i="1"/>
  <c r="P32" i="1" s="1"/>
  <c r="O28" i="1"/>
  <c r="M28" i="1"/>
  <c r="O24" i="1"/>
  <c r="M24" i="1"/>
  <c r="O24" i="3"/>
  <c r="M24" i="3"/>
  <c r="O20" i="3"/>
  <c r="M20" i="3"/>
  <c r="O12" i="3"/>
  <c r="M12" i="3"/>
  <c r="O8" i="3"/>
  <c r="M8" i="3"/>
  <c r="O28" i="4"/>
  <c r="M28" i="4"/>
  <c r="O20" i="4"/>
  <c r="M20" i="4"/>
  <c r="O12" i="4"/>
  <c r="M12" i="4"/>
  <c r="O33" i="9"/>
  <c r="M33" i="9"/>
  <c r="O29" i="9"/>
  <c r="M29" i="9"/>
  <c r="O21" i="9"/>
  <c r="M21" i="9"/>
  <c r="O13" i="9"/>
  <c r="M13" i="9"/>
  <c r="O5" i="9"/>
  <c r="M5" i="9"/>
  <c r="K27" i="10"/>
  <c r="K19" i="10"/>
  <c r="O28" i="10"/>
  <c r="M28" i="10"/>
  <c r="O20" i="10"/>
  <c r="M20" i="10"/>
  <c r="O12" i="10"/>
  <c r="M12" i="10"/>
  <c r="K32" i="1"/>
  <c r="K28" i="1"/>
  <c r="K24" i="1"/>
  <c r="K20" i="1"/>
  <c r="K16" i="1"/>
  <c r="K12" i="1"/>
  <c r="K8" i="1"/>
  <c r="L34" i="1"/>
  <c r="L30" i="1"/>
  <c r="L26" i="1"/>
  <c r="L22" i="1"/>
  <c r="L18" i="1"/>
  <c r="L14" i="1"/>
  <c r="L10" i="1"/>
  <c r="L6" i="1"/>
  <c r="O34" i="1"/>
  <c r="M34" i="1"/>
  <c r="O30" i="1"/>
  <c r="M30" i="1"/>
  <c r="O26" i="1"/>
  <c r="M26" i="1"/>
  <c r="O22" i="1"/>
  <c r="M22" i="1"/>
  <c r="O18" i="1"/>
  <c r="M18" i="1"/>
  <c r="O14" i="1"/>
  <c r="M14" i="1"/>
  <c r="O10" i="1"/>
  <c r="M10" i="1"/>
  <c r="O6" i="1"/>
  <c r="M6" i="1"/>
  <c r="K32" i="3"/>
  <c r="K28" i="3"/>
  <c r="K24" i="3"/>
  <c r="K20" i="3"/>
  <c r="K16" i="3"/>
  <c r="K12" i="3"/>
  <c r="K8" i="3"/>
  <c r="L30" i="3"/>
  <c r="L10" i="3"/>
  <c r="O30" i="3"/>
  <c r="M30" i="3"/>
  <c r="O26" i="3"/>
  <c r="M26" i="3"/>
  <c r="O22" i="3"/>
  <c r="M22" i="3"/>
  <c r="O18" i="3"/>
  <c r="M18" i="3"/>
  <c r="O14" i="3"/>
  <c r="M14" i="3"/>
  <c r="P14" i="3" s="1"/>
  <c r="O10" i="3"/>
  <c r="M10" i="3"/>
  <c r="O6" i="3"/>
  <c r="M6" i="3"/>
  <c r="K32" i="4"/>
  <c r="K28" i="4"/>
  <c r="K24" i="4"/>
  <c r="K20" i="4"/>
  <c r="K16" i="4"/>
  <c r="K12" i="4"/>
  <c r="K8" i="4"/>
  <c r="L34" i="4"/>
  <c r="L30" i="4"/>
  <c r="L26" i="4"/>
  <c r="L22" i="4"/>
  <c r="L18" i="4"/>
  <c r="L14" i="4"/>
  <c r="L10" i="4"/>
  <c r="L6" i="4"/>
  <c r="O34" i="4"/>
  <c r="M34" i="4"/>
  <c r="O30" i="4"/>
  <c r="M30" i="4"/>
  <c r="O26" i="4"/>
  <c r="M26" i="4"/>
  <c r="O22" i="4"/>
  <c r="M22" i="4"/>
  <c r="O18" i="4"/>
  <c r="M18" i="4"/>
  <c r="O14" i="4"/>
  <c r="M14" i="4"/>
  <c r="O10" i="4"/>
  <c r="M10" i="4"/>
  <c r="O6" i="4"/>
  <c r="M6" i="4"/>
  <c r="L31" i="6"/>
  <c r="L27" i="6"/>
  <c r="L23" i="6"/>
  <c r="L19" i="6"/>
  <c r="L15" i="6"/>
  <c r="L11" i="6"/>
  <c r="L7" i="6"/>
  <c r="K33" i="9"/>
  <c r="K29" i="9"/>
  <c r="K25" i="9"/>
  <c r="K21" i="9"/>
  <c r="K17" i="9"/>
  <c r="K13" i="9"/>
  <c r="K9" i="9"/>
  <c r="O4" i="3"/>
  <c r="M4" i="3"/>
  <c r="O4" i="6"/>
  <c r="M4" i="6"/>
  <c r="O4" i="9"/>
  <c r="M4" i="9"/>
  <c r="O4" i="10"/>
  <c r="M4" i="10"/>
  <c r="O4" i="11"/>
  <c r="M4" i="11"/>
  <c r="O25" i="1"/>
  <c r="M25" i="1"/>
  <c r="O25" i="3"/>
  <c r="M25" i="3"/>
  <c r="O21" i="3"/>
  <c r="M21" i="3"/>
  <c r="O13" i="3"/>
  <c r="M13" i="3"/>
  <c r="O5" i="3"/>
  <c r="M5" i="3"/>
  <c r="O29" i="4"/>
  <c r="M29" i="4"/>
  <c r="O21" i="4"/>
  <c r="M21" i="4"/>
  <c r="O17" i="4"/>
  <c r="M17" i="4"/>
  <c r="O34" i="9"/>
  <c r="M34" i="9"/>
  <c r="O30" i="9"/>
  <c r="M30" i="9"/>
  <c r="O26" i="9"/>
  <c r="M26" i="9"/>
  <c r="O22" i="9"/>
  <c r="M22" i="9"/>
  <c r="O18" i="9"/>
  <c r="M18" i="9"/>
  <c r="O14" i="9"/>
  <c r="M14" i="9"/>
  <c r="O10" i="9"/>
  <c r="M10" i="9"/>
  <c r="O6" i="9"/>
  <c r="M6" i="9"/>
  <c r="O33" i="10"/>
  <c r="M33" i="10"/>
  <c r="O29" i="10"/>
  <c r="M29" i="10"/>
  <c r="O25" i="10"/>
  <c r="M25" i="10"/>
  <c r="O21" i="10"/>
  <c r="M21" i="10"/>
  <c r="O17" i="10"/>
  <c r="M17" i="10"/>
  <c r="O13" i="10"/>
  <c r="M13" i="10"/>
  <c r="O9" i="10"/>
  <c r="M9" i="10"/>
  <c r="O5" i="10"/>
  <c r="M5" i="10"/>
  <c r="O33" i="11"/>
  <c r="M33" i="11"/>
  <c r="O29" i="11"/>
  <c r="M29" i="11"/>
  <c r="O25" i="11"/>
  <c r="M25" i="11"/>
  <c r="O21" i="11"/>
  <c r="M21" i="11"/>
  <c r="O17" i="11"/>
  <c r="M17" i="11"/>
  <c r="O13" i="11"/>
  <c r="M13" i="11"/>
  <c r="O9" i="11"/>
  <c r="M9" i="11"/>
  <c r="O5" i="11"/>
  <c r="M5" i="11"/>
  <c r="O31" i="12"/>
  <c r="M31" i="12"/>
  <c r="O27" i="12"/>
  <c r="M27" i="12"/>
  <c r="O23" i="12"/>
  <c r="M23" i="12"/>
  <c r="O19" i="12"/>
  <c r="M19" i="12"/>
  <c r="O15" i="12"/>
  <c r="M15" i="12"/>
  <c r="O11" i="12"/>
  <c r="M11" i="12"/>
  <c r="O7" i="12"/>
  <c r="M7" i="12"/>
  <c r="K30" i="6"/>
  <c r="K26" i="6"/>
  <c r="K22" i="6"/>
  <c r="K18" i="6"/>
  <c r="K14" i="6"/>
  <c r="K10" i="6"/>
  <c r="K6" i="6"/>
  <c r="O34" i="6"/>
  <c r="O4" i="18" s="1"/>
  <c r="M34" i="6"/>
  <c r="O30" i="6"/>
  <c r="M30" i="6"/>
  <c r="O26" i="6"/>
  <c r="M26" i="6"/>
  <c r="O22" i="6"/>
  <c r="M22" i="6"/>
  <c r="O18" i="6"/>
  <c r="M18" i="6"/>
  <c r="O14" i="6"/>
  <c r="M14" i="6"/>
  <c r="O10" i="6"/>
  <c r="M10" i="6"/>
  <c r="O6" i="6"/>
  <c r="M6" i="6"/>
  <c r="O4" i="16"/>
  <c r="M4" i="16"/>
  <c r="O5" i="16"/>
  <c r="M5" i="16"/>
  <c r="O6" i="16"/>
  <c r="M6" i="16"/>
  <c r="O7" i="16"/>
  <c r="M7" i="16"/>
  <c r="O8" i="16"/>
  <c r="M8" i="16"/>
  <c r="O9" i="16"/>
  <c r="M9" i="16"/>
  <c r="O10" i="16"/>
  <c r="M10" i="16"/>
  <c r="O11" i="16"/>
  <c r="M11" i="16"/>
  <c r="O12" i="16"/>
  <c r="M12" i="16"/>
  <c r="O13" i="16"/>
  <c r="M13" i="16"/>
  <c r="O14" i="16"/>
  <c r="M14" i="16"/>
  <c r="O15" i="16"/>
  <c r="M15" i="16"/>
  <c r="O16" i="16"/>
  <c r="M16" i="16"/>
  <c r="O17" i="16"/>
  <c r="M17" i="16"/>
  <c r="O18" i="16"/>
  <c r="M18" i="16"/>
  <c r="O16" i="18"/>
  <c r="M16" i="18"/>
  <c r="O4" i="4"/>
  <c r="M4" i="4"/>
  <c r="O4" i="12"/>
  <c r="M4" i="12"/>
  <c r="O29" i="1"/>
  <c r="M29" i="1"/>
  <c r="O21" i="1"/>
  <c r="M21" i="1"/>
  <c r="O17" i="1"/>
  <c r="M17" i="1"/>
  <c r="O5" i="1"/>
  <c r="M5" i="1"/>
  <c r="L13" i="3"/>
  <c r="L5" i="3"/>
  <c r="O29" i="3"/>
  <c r="M29" i="3"/>
  <c r="O9" i="3"/>
  <c r="M9" i="3"/>
  <c r="O9" i="4"/>
  <c r="M9" i="4"/>
  <c r="K4" i="3"/>
  <c r="K4" i="10"/>
  <c r="O20" i="1"/>
  <c r="M20" i="1"/>
  <c r="O16" i="1"/>
  <c r="M16" i="1"/>
  <c r="O12" i="1"/>
  <c r="M12" i="1"/>
  <c r="O8" i="1"/>
  <c r="M8" i="1"/>
  <c r="O32" i="3"/>
  <c r="M32" i="3"/>
  <c r="O28" i="3"/>
  <c r="M28" i="3"/>
  <c r="O16" i="3"/>
  <c r="M16" i="3"/>
  <c r="O32" i="4"/>
  <c r="M32" i="4"/>
  <c r="O24" i="4"/>
  <c r="M24" i="4"/>
  <c r="O16" i="4"/>
  <c r="M16" i="4"/>
  <c r="O8" i="4"/>
  <c r="M8" i="4"/>
  <c r="O25" i="9"/>
  <c r="M25" i="9"/>
  <c r="O17" i="9"/>
  <c r="M17" i="9"/>
  <c r="O9" i="9"/>
  <c r="M9" i="9"/>
  <c r="K31" i="10"/>
  <c r="K23" i="10"/>
  <c r="K15" i="10"/>
  <c r="K11" i="10"/>
  <c r="K7" i="10"/>
  <c r="O32" i="10"/>
  <c r="M32" i="10"/>
  <c r="O24" i="10"/>
  <c r="M24" i="10"/>
  <c r="O16" i="10"/>
  <c r="M16" i="10"/>
  <c r="O8" i="10"/>
  <c r="M8" i="10"/>
  <c r="O32" i="11"/>
  <c r="M32" i="11"/>
  <c r="O28" i="11"/>
  <c r="M28" i="11"/>
  <c r="O24" i="11"/>
  <c r="M24" i="11"/>
  <c r="O20" i="11"/>
  <c r="M20" i="11"/>
  <c r="O16" i="11"/>
  <c r="M16" i="11"/>
  <c r="O12" i="11"/>
  <c r="M12" i="11"/>
  <c r="O8" i="11"/>
  <c r="M8" i="11"/>
  <c r="O30" i="12"/>
  <c r="M30" i="12"/>
  <c r="O26" i="12"/>
  <c r="M26" i="12"/>
  <c r="O22" i="12"/>
  <c r="M22" i="12"/>
  <c r="O18" i="12"/>
  <c r="M18" i="12"/>
  <c r="O14" i="12"/>
  <c r="M14" i="12"/>
  <c r="O10" i="12"/>
  <c r="M10" i="12"/>
  <c r="O6" i="12"/>
  <c r="M6" i="12"/>
  <c r="K33" i="6"/>
  <c r="K29" i="6"/>
  <c r="K25" i="6"/>
  <c r="K21" i="6"/>
  <c r="K17" i="6"/>
  <c r="K13" i="6"/>
  <c r="K9" i="6"/>
  <c r="K5" i="6"/>
  <c r="O33" i="6"/>
  <c r="M33" i="6"/>
  <c r="O29" i="6"/>
  <c r="M29" i="6"/>
  <c r="O25" i="6"/>
  <c r="M25" i="6"/>
  <c r="O21" i="6"/>
  <c r="M21" i="6"/>
  <c r="O17" i="6"/>
  <c r="M17" i="6"/>
  <c r="O13" i="6"/>
  <c r="M13" i="6"/>
  <c r="O9" i="6"/>
  <c r="M9" i="6"/>
  <c r="P9" i="6" s="1"/>
  <c r="O5" i="6"/>
  <c r="M5" i="6"/>
  <c r="K4" i="16"/>
  <c r="K5" i="16"/>
  <c r="K6" i="16"/>
  <c r="K7" i="16"/>
  <c r="K8" i="16"/>
  <c r="K9" i="16"/>
  <c r="K10" i="16"/>
  <c r="K11" i="16"/>
  <c r="K12" i="16"/>
  <c r="K13" i="16"/>
  <c r="K14" i="16"/>
  <c r="K15" i="16"/>
  <c r="K16" i="16"/>
  <c r="K17" i="16"/>
  <c r="K18" i="16"/>
  <c r="O15" i="18"/>
  <c r="L17" i="18"/>
  <c r="K17" i="18"/>
  <c r="K5" i="9"/>
  <c r="L31" i="9"/>
  <c r="L27" i="9"/>
  <c r="L23" i="9"/>
  <c r="L19" i="9"/>
  <c r="L15" i="9"/>
  <c r="L11" i="9"/>
  <c r="L7" i="9"/>
  <c r="O31" i="9"/>
  <c r="M31" i="9"/>
  <c r="O27" i="9"/>
  <c r="M27" i="9"/>
  <c r="O23" i="9"/>
  <c r="M23" i="9"/>
  <c r="O19" i="9"/>
  <c r="M19" i="9"/>
  <c r="O15" i="9"/>
  <c r="M15" i="9"/>
  <c r="O11" i="9"/>
  <c r="M11" i="9"/>
  <c r="O7" i="9"/>
  <c r="M7" i="9"/>
  <c r="K33" i="10"/>
  <c r="K29" i="10"/>
  <c r="K25" i="10"/>
  <c r="K21" i="10"/>
  <c r="K17" i="10"/>
  <c r="K13" i="10"/>
  <c r="K9" i="10"/>
  <c r="K5" i="10"/>
  <c r="L30" i="10"/>
  <c r="L26" i="10"/>
  <c r="L22" i="10"/>
  <c r="L18" i="10"/>
  <c r="L14" i="10"/>
  <c r="L10" i="10"/>
  <c r="L6" i="10"/>
  <c r="O34" i="10"/>
  <c r="M34" i="10"/>
  <c r="O30" i="10"/>
  <c r="M30" i="10"/>
  <c r="O26" i="10"/>
  <c r="M26" i="10"/>
  <c r="O22" i="10"/>
  <c r="M22" i="10"/>
  <c r="O18" i="10"/>
  <c r="M18" i="10"/>
  <c r="O14" i="10"/>
  <c r="M14" i="10"/>
  <c r="O10" i="10"/>
  <c r="M10" i="10"/>
  <c r="O6" i="10"/>
  <c r="M6" i="10"/>
  <c r="K32" i="11"/>
  <c r="K28" i="11"/>
  <c r="K24" i="11"/>
  <c r="K20" i="11"/>
  <c r="K16" i="11"/>
  <c r="K12" i="11"/>
  <c r="K8" i="11"/>
  <c r="O34" i="11"/>
  <c r="M34" i="11"/>
  <c r="O30" i="11"/>
  <c r="M30" i="11"/>
  <c r="O26" i="11"/>
  <c r="M26" i="11"/>
  <c r="O22" i="11"/>
  <c r="M22" i="11"/>
  <c r="O18" i="11"/>
  <c r="M18" i="11"/>
  <c r="O14" i="11"/>
  <c r="M14" i="11"/>
  <c r="O10" i="11"/>
  <c r="M10" i="11"/>
  <c r="O6" i="11"/>
  <c r="M6" i="11"/>
  <c r="K32" i="12"/>
  <c r="K28" i="12"/>
  <c r="K24" i="12"/>
  <c r="K20" i="12"/>
  <c r="K16" i="12"/>
  <c r="K12" i="12"/>
  <c r="K8" i="12"/>
  <c r="O32" i="12"/>
  <c r="M32" i="12"/>
  <c r="O28" i="12"/>
  <c r="M28" i="12"/>
  <c r="O24" i="12"/>
  <c r="M24" i="12"/>
  <c r="O20" i="12"/>
  <c r="M20" i="12"/>
  <c r="O16" i="12"/>
  <c r="M16" i="12"/>
  <c r="O12" i="12"/>
  <c r="M12" i="12"/>
  <c r="O8" i="12"/>
  <c r="M8" i="12"/>
  <c r="K31" i="6"/>
  <c r="K27" i="6"/>
  <c r="K23" i="6"/>
  <c r="K19" i="6"/>
  <c r="K15" i="6"/>
  <c r="K11" i="6"/>
  <c r="K7" i="6"/>
  <c r="O31" i="6"/>
  <c r="M31" i="6"/>
  <c r="O27" i="6"/>
  <c r="M27" i="6"/>
  <c r="O23" i="6"/>
  <c r="M23" i="6"/>
  <c r="O19" i="6"/>
  <c r="M19" i="6"/>
  <c r="O15" i="6"/>
  <c r="M15" i="6"/>
  <c r="O11" i="6"/>
  <c r="M11" i="6"/>
  <c r="O7" i="6"/>
  <c r="M7" i="6"/>
  <c r="O21" i="16"/>
  <c r="M21" i="16"/>
  <c r="O22" i="16"/>
  <c r="M22" i="16"/>
  <c r="O23" i="16"/>
  <c r="M23" i="16"/>
  <c r="O24" i="16"/>
  <c r="M24" i="16"/>
  <c r="O25" i="16"/>
  <c r="M25" i="16"/>
  <c r="O26" i="16"/>
  <c r="M26" i="16"/>
  <c r="O27" i="16"/>
  <c r="M27" i="16"/>
  <c r="O28" i="16"/>
  <c r="M28" i="16"/>
  <c r="O29" i="16"/>
  <c r="M29" i="16"/>
  <c r="O30" i="16"/>
  <c r="M30" i="16"/>
  <c r="O31" i="16"/>
  <c r="M31" i="16"/>
  <c r="O32" i="16"/>
  <c r="M32" i="16"/>
  <c r="O33" i="16"/>
  <c r="M33" i="16"/>
  <c r="O34" i="16"/>
  <c r="M34" i="16"/>
  <c r="K5" i="18"/>
  <c r="K6" i="18"/>
  <c r="K7" i="18"/>
  <c r="K8" i="18"/>
  <c r="K9" i="18"/>
  <c r="K10" i="18"/>
  <c r="K11" i="18"/>
  <c r="K12" i="18"/>
  <c r="K13" i="18"/>
  <c r="K14" i="18"/>
  <c r="L15" i="18"/>
  <c r="K15" i="18"/>
  <c r="O17" i="18"/>
  <c r="M17" i="18"/>
  <c r="O18" i="18"/>
  <c r="O19" i="18"/>
  <c r="M19" i="18"/>
  <c r="O20" i="18"/>
  <c r="M20" i="18"/>
  <c r="O21" i="18"/>
  <c r="M21" i="18"/>
  <c r="O22" i="18"/>
  <c r="M22" i="18"/>
  <c r="O23" i="18"/>
  <c r="M23" i="18"/>
  <c r="O24" i="18"/>
  <c r="M24" i="18"/>
  <c r="O25" i="18"/>
  <c r="M25" i="18"/>
  <c r="O26" i="18"/>
  <c r="M26" i="18"/>
  <c r="O27" i="18"/>
  <c r="M27" i="18"/>
  <c r="O28" i="18"/>
  <c r="M28" i="18"/>
  <c r="O29" i="18"/>
  <c r="M29" i="18"/>
  <c r="O30" i="18"/>
  <c r="M30" i="18"/>
  <c r="O31" i="18"/>
  <c r="M31" i="18"/>
  <c r="O32" i="18"/>
  <c r="M32" i="18"/>
  <c r="O33" i="18"/>
  <c r="M33" i="18"/>
  <c r="O34" i="18"/>
  <c r="M34" i="18"/>
  <c r="L4" i="1"/>
  <c r="K4" i="1"/>
  <c r="L4" i="3"/>
  <c r="L4" i="4"/>
  <c r="P4" i="4" s="1"/>
  <c r="K4" i="6"/>
  <c r="L4" i="9"/>
  <c r="L4" i="10"/>
  <c r="L4" i="12"/>
  <c r="K33" i="1"/>
  <c r="K29" i="1"/>
  <c r="K25" i="1"/>
  <c r="K21" i="1"/>
  <c r="K17" i="1"/>
  <c r="K13" i="1"/>
  <c r="K9" i="1"/>
  <c r="K5" i="1"/>
  <c r="L31" i="1"/>
  <c r="L27" i="1"/>
  <c r="L23" i="1"/>
  <c r="L19" i="1"/>
  <c r="L15" i="1"/>
  <c r="L11" i="1"/>
  <c r="L7" i="1"/>
  <c r="O31" i="1"/>
  <c r="M31" i="1"/>
  <c r="O27" i="1"/>
  <c r="M27" i="1"/>
  <c r="O23" i="1"/>
  <c r="M23" i="1"/>
  <c r="O19" i="1"/>
  <c r="M19" i="1"/>
  <c r="O15" i="1"/>
  <c r="M15" i="1"/>
  <c r="O11" i="1"/>
  <c r="M11" i="1"/>
  <c r="O7" i="1"/>
  <c r="M7" i="1"/>
  <c r="K33" i="3"/>
  <c r="K29" i="3"/>
  <c r="K25" i="3"/>
  <c r="K21" i="3"/>
  <c r="K17" i="3"/>
  <c r="K13" i="3"/>
  <c r="K9" i="3"/>
  <c r="K5" i="3"/>
  <c r="L31" i="3"/>
  <c r="L19" i="3"/>
  <c r="L15" i="3"/>
  <c r="O31" i="3"/>
  <c r="M31" i="3"/>
  <c r="O27" i="3"/>
  <c r="M27" i="3"/>
  <c r="O23" i="3"/>
  <c r="M23" i="3"/>
  <c r="O19" i="3"/>
  <c r="M19" i="3"/>
  <c r="O15" i="3"/>
  <c r="M15" i="3"/>
  <c r="O11" i="3"/>
  <c r="M11" i="3"/>
  <c r="O7" i="3"/>
  <c r="M7" i="3"/>
  <c r="K33" i="4"/>
  <c r="K29" i="4"/>
  <c r="K25" i="4"/>
  <c r="K21" i="4"/>
  <c r="K17" i="4"/>
  <c r="K13" i="4"/>
  <c r="K9" i="4"/>
  <c r="K5" i="4"/>
  <c r="L31" i="4"/>
  <c r="L27" i="4"/>
  <c r="L23" i="4"/>
  <c r="L19" i="4"/>
  <c r="L15" i="4"/>
  <c r="L11" i="4"/>
  <c r="L7" i="4"/>
  <c r="O31" i="4"/>
  <c r="M31" i="4"/>
  <c r="O27" i="4"/>
  <c r="M27" i="4"/>
  <c r="O23" i="4"/>
  <c r="M23" i="4"/>
  <c r="O19" i="4"/>
  <c r="M19" i="4"/>
  <c r="O15" i="4"/>
  <c r="M15" i="4"/>
  <c r="O11" i="4"/>
  <c r="M11" i="4"/>
  <c r="O7" i="4"/>
  <c r="M7" i="4"/>
  <c r="L32" i="6"/>
  <c r="L28" i="6"/>
  <c r="L24" i="6"/>
  <c r="L20" i="6"/>
  <c r="L16" i="6"/>
  <c r="L12" i="6"/>
  <c r="L8" i="6"/>
  <c r="K34" i="9"/>
  <c r="K30" i="9"/>
  <c r="K26" i="9"/>
  <c r="K22" i="9"/>
  <c r="K18" i="9"/>
  <c r="K14" i="9"/>
  <c r="K10" i="9"/>
  <c r="K6" i="9"/>
  <c r="L32" i="9"/>
  <c r="L28" i="9"/>
  <c r="L24" i="9"/>
  <c r="L20" i="9"/>
  <c r="L16" i="9"/>
  <c r="L12" i="9"/>
  <c r="L8" i="9"/>
  <c r="O32" i="9"/>
  <c r="M32" i="9"/>
  <c r="O28" i="9"/>
  <c r="M28" i="9"/>
  <c r="O24" i="9"/>
  <c r="M24" i="9"/>
  <c r="O20" i="9"/>
  <c r="M20" i="9"/>
  <c r="O16" i="9"/>
  <c r="M16" i="9"/>
  <c r="O12" i="9"/>
  <c r="M12" i="9"/>
  <c r="O8" i="9"/>
  <c r="M8" i="9"/>
  <c r="K34" i="10"/>
  <c r="K30" i="10"/>
  <c r="K26" i="10"/>
  <c r="K22" i="10"/>
  <c r="K18" i="10"/>
  <c r="K14" i="10"/>
  <c r="K10" i="10"/>
  <c r="K6" i="10"/>
  <c r="L31" i="10"/>
  <c r="L27" i="10"/>
  <c r="L23" i="10"/>
  <c r="L19" i="10"/>
  <c r="L15" i="10"/>
  <c r="L11" i="10"/>
  <c r="L7" i="10"/>
  <c r="O31" i="10"/>
  <c r="M31" i="10"/>
  <c r="O27" i="10"/>
  <c r="M27" i="10"/>
  <c r="O23" i="10"/>
  <c r="M23" i="10"/>
  <c r="O19" i="10"/>
  <c r="M19" i="10"/>
  <c r="O15" i="10"/>
  <c r="M15" i="10"/>
  <c r="O11" i="10"/>
  <c r="M11" i="10"/>
  <c r="O7" i="10"/>
  <c r="M7" i="10"/>
  <c r="K33" i="11"/>
  <c r="K29" i="11"/>
  <c r="K25" i="11"/>
  <c r="K21" i="11"/>
  <c r="K17" i="11"/>
  <c r="K13" i="11"/>
  <c r="K9" i="11"/>
  <c r="K5" i="11"/>
  <c r="O31" i="11"/>
  <c r="M31" i="11"/>
  <c r="O27" i="11"/>
  <c r="M27" i="11"/>
  <c r="O23" i="11"/>
  <c r="M23" i="11"/>
  <c r="O19" i="11"/>
  <c r="M19" i="11"/>
  <c r="O15" i="11"/>
  <c r="M15" i="11"/>
  <c r="O11" i="11"/>
  <c r="M11" i="11"/>
  <c r="O7" i="11"/>
  <c r="M7" i="11"/>
  <c r="K33" i="12"/>
  <c r="K29" i="12"/>
  <c r="K25" i="12"/>
  <c r="K21" i="12"/>
  <c r="K17" i="12"/>
  <c r="K13" i="12"/>
  <c r="K9" i="12"/>
  <c r="K5" i="12"/>
  <c r="L31" i="12"/>
  <c r="L27" i="12"/>
  <c r="L23" i="12"/>
  <c r="L19" i="12"/>
  <c r="L15" i="12"/>
  <c r="L11" i="12"/>
  <c r="L7" i="12"/>
  <c r="O33" i="12"/>
  <c r="M33" i="12"/>
  <c r="O29" i="12"/>
  <c r="M29" i="12"/>
  <c r="O25" i="12"/>
  <c r="M25" i="12"/>
  <c r="O21" i="12"/>
  <c r="M21" i="12"/>
  <c r="O17" i="12"/>
  <c r="M17" i="12"/>
  <c r="O13" i="12"/>
  <c r="M13" i="12"/>
  <c r="O9" i="12"/>
  <c r="M9" i="12"/>
  <c r="O5" i="12"/>
  <c r="M5" i="12"/>
  <c r="K32" i="6"/>
  <c r="K28" i="6"/>
  <c r="K24" i="6"/>
  <c r="K20" i="6"/>
  <c r="K16" i="6"/>
  <c r="K12" i="6"/>
  <c r="K8" i="6"/>
  <c r="O32" i="6"/>
  <c r="M32" i="6"/>
  <c r="O28" i="6"/>
  <c r="M28" i="6"/>
  <c r="O24" i="6"/>
  <c r="M24" i="6"/>
  <c r="O20" i="6"/>
  <c r="M20" i="6"/>
  <c r="O16" i="6"/>
  <c r="M16" i="6"/>
  <c r="O12" i="6"/>
  <c r="M12" i="6"/>
  <c r="O8" i="6"/>
  <c r="M8" i="6"/>
  <c r="L4" i="16"/>
  <c r="L5" i="16"/>
  <c r="L6" i="16"/>
  <c r="L7" i="16"/>
  <c r="P7" i="16" s="1"/>
  <c r="L8" i="16"/>
  <c r="L9" i="16"/>
  <c r="L10" i="16"/>
  <c r="L11" i="16"/>
  <c r="L12" i="16"/>
  <c r="L13" i="16"/>
  <c r="L14" i="16"/>
  <c r="L15" i="16"/>
  <c r="P15" i="16" s="1"/>
  <c r="L16" i="16"/>
  <c r="L17" i="16"/>
  <c r="L18" i="16"/>
  <c r="L20" i="16"/>
  <c r="O5" i="18"/>
  <c r="M5" i="18"/>
  <c r="O6" i="18"/>
  <c r="M6" i="18"/>
  <c r="O7" i="18"/>
  <c r="M7" i="18"/>
  <c r="O8" i="18"/>
  <c r="M8" i="18"/>
  <c r="O9" i="18"/>
  <c r="M9" i="18"/>
  <c r="O10" i="18"/>
  <c r="M10" i="18"/>
  <c r="O11" i="18"/>
  <c r="M11" i="18"/>
  <c r="O12" i="18"/>
  <c r="M12" i="18"/>
  <c r="O13" i="18"/>
  <c r="M13" i="18"/>
  <c r="O14" i="18"/>
  <c r="M14" i="18"/>
  <c r="L16" i="18"/>
  <c r="K16" i="18"/>
  <c r="G33" i="3"/>
  <c r="G34" i="3"/>
  <c r="Q34" i="3" s="1"/>
  <c r="T20" i="16"/>
  <c r="U20" i="16" s="1"/>
  <c r="W20" i="16" s="1"/>
  <c r="J21" i="16"/>
  <c r="G23" i="16"/>
  <c r="G27" i="16"/>
  <c r="J25" i="16"/>
  <c r="J29" i="16"/>
  <c r="J33" i="16"/>
  <c r="G27" i="6"/>
  <c r="G15" i="6"/>
  <c r="G11" i="6"/>
  <c r="J23" i="6"/>
  <c r="J7" i="12"/>
  <c r="J33" i="12"/>
  <c r="J29" i="12"/>
  <c r="J25" i="12"/>
  <c r="J21" i="12"/>
  <c r="J17" i="12"/>
  <c r="J13" i="12"/>
  <c r="J9" i="12"/>
  <c r="J5" i="12"/>
  <c r="J25" i="6"/>
  <c r="J5" i="16"/>
  <c r="G11" i="16"/>
  <c r="J13" i="16"/>
  <c r="G15" i="16"/>
  <c r="G20" i="16"/>
  <c r="J4" i="18"/>
  <c r="J11" i="18"/>
  <c r="J12" i="18"/>
  <c r="J32" i="18"/>
  <c r="J34" i="18"/>
  <c r="J7" i="18"/>
  <c r="G9" i="18"/>
  <c r="G13" i="18"/>
  <c r="J15" i="18"/>
  <c r="G17" i="18"/>
  <c r="J19" i="18"/>
  <c r="J23" i="18"/>
  <c r="G25" i="18"/>
  <c r="J27" i="18"/>
  <c r="G26" i="6"/>
  <c r="G30" i="6"/>
  <c r="G22" i="6"/>
  <c r="G14" i="6"/>
  <c r="G10" i="6"/>
  <c r="G6" i="6"/>
  <c r="J26" i="10"/>
  <c r="T26" i="11"/>
  <c r="U26" i="11" s="1"/>
  <c r="W26" i="11" s="1"/>
  <c r="J18" i="11"/>
  <c r="G32" i="11"/>
  <c r="J28" i="11"/>
  <c r="J31" i="18"/>
  <c r="G33" i="18"/>
  <c r="G29" i="10"/>
  <c r="J28" i="10"/>
  <c r="T15" i="6"/>
  <c r="U15" i="6" s="1"/>
  <c r="W15" i="6" s="1"/>
  <c r="T7" i="6"/>
  <c r="U7" i="6" s="1"/>
  <c r="W7" i="6" s="1"/>
  <c r="G28" i="6"/>
  <c r="G16" i="6"/>
  <c r="T24" i="10"/>
  <c r="J32" i="12"/>
  <c r="J24" i="12"/>
  <c r="J16" i="12"/>
  <c r="J8" i="12"/>
  <c r="J21" i="4"/>
  <c r="G21" i="10"/>
  <c r="G9" i="10"/>
  <c r="J19" i="6"/>
  <c r="J13" i="4"/>
  <c r="J5" i="4"/>
  <c r="T32" i="6"/>
  <c r="U32" i="6" s="1"/>
  <c r="W32" i="6" s="1"/>
  <c r="G34" i="11"/>
  <c r="J34" i="11"/>
  <c r="G23" i="9"/>
  <c r="J19" i="9"/>
  <c r="J29" i="9"/>
  <c r="J21" i="9"/>
  <c r="T30" i="11"/>
  <c r="U30" i="11" s="1"/>
  <c r="W30" i="11" s="1"/>
  <c r="T14" i="11"/>
  <c r="U14" i="11" s="1"/>
  <c r="T20" i="11"/>
  <c r="U20" i="11" s="1"/>
  <c r="W20" i="11" s="1"/>
  <c r="G12" i="11"/>
  <c r="T10" i="11"/>
  <c r="U10" i="11" s="1"/>
  <c r="W10" i="11" s="1"/>
  <c r="J7" i="3"/>
  <c r="J16" i="3"/>
  <c r="J8" i="3"/>
  <c r="T33" i="6"/>
  <c r="U33" i="6" s="1"/>
  <c r="W33" i="6" s="1"/>
  <c r="T29" i="6"/>
  <c r="U29" i="6" s="1"/>
  <c r="W29" i="6" s="1"/>
  <c r="G25" i="6"/>
  <c r="G21" i="6"/>
  <c r="T17" i="6"/>
  <c r="U17" i="6" s="1"/>
  <c r="W17" i="6" s="1"/>
  <c r="T13" i="6"/>
  <c r="U13" i="6" s="1"/>
  <c r="W13" i="6" s="1"/>
  <c r="G9" i="6"/>
  <c r="G5" i="6"/>
  <c r="G31" i="9"/>
  <c r="G15" i="9"/>
  <c r="T29" i="9"/>
  <c r="U29" i="9" s="1"/>
  <c r="W29" i="9" s="1"/>
  <c r="G21" i="9"/>
  <c r="T17" i="9"/>
  <c r="U17" i="9" s="1"/>
  <c r="W17" i="9" s="1"/>
  <c r="T13" i="9"/>
  <c r="U13" i="9" s="1"/>
  <c r="W13" i="9" s="1"/>
  <c r="T9" i="9"/>
  <c r="U9" i="9" s="1"/>
  <c r="W9" i="9" s="1"/>
  <c r="J31" i="9"/>
  <c r="J15" i="9"/>
  <c r="J11" i="9"/>
  <c r="J7" i="9"/>
  <c r="J17" i="9"/>
  <c r="G33" i="10"/>
  <c r="G20" i="10"/>
  <c r="J30" i="10"/>
  <c r="J22" i="10"/>
  <c r="J18" i="10"/>
  <c r="J14" i="10"/>
  <c r="J10" i="10"/>
  <c r="J6" i="10"/>
  <c r="T34" i="11"/>
  <c r="U34" i="11" s="1"/>
  <c r="W34" i="11" s="1"/>
  <c r="G30" i="11"/>
  <c r="G26" i="11"/>
  <c r="G18" i="11"/>
  <c r="G10" i="11"/>
  <c r="T6" i="11"/>
  <c r="U6" i="11" s="1"/>
  <c r="W6" i="11" s="1"/>
  <c r="J30" i="11"/>
  <c r="J26" i="11"/>
  <c r="J22" i="11"/>
  <c r="J14" i="11"/>
  <c r="J10" i="11"/>
  <c r="J6" i="11"/>
  <c r="G30" i="12"/>
  <c r="G26" i="12"/>
  <c r="G22" i="12"/>
  <c r="G18" i="12"/>
  <c r="G14" i="12"/>
  <c r="G6" i="12"/>
  <c r="G29" i="6"/>
  <c r="T25" i="6"/>
  <c r="U25" i="6" s="1"/>
  <c r="W25" i="6" s="1"/>
  <c r="G13" i="9"/>
  <c r="J27" i="1"/>
  <c r="G25" i="3"/>
  <c r="J25" i="3"/>
  <c r="G9" i="4"/>
  <c r="T25" i="1"/>
  <c r="U25" i="1" s="1"/>
  <c r="W25" i="1" s="1"/>
  <c r="G17" i="1"/>
  <c r="T9" i="1"/>
  <c r="U9" i="1" s="1"/>
  <c r="W9" i="1" s="1"/>
  <c r="T31" i="1"/>
  <c r="U31" i="1" s="1"/>
  <c r="W31" i="1" s="1"/>
  <c r="T27" i="1"/>
  <c r="U27" i="1" s="1"/>
  <c r="W27" i="1" s="1"/>
  <c r="T11" i="1"/>
  <c r="U11" i="1" s="1"/>
  <c r="W11" i="1" s="1"/>
  <c r="T7" i="1"/>
  <c r="U7" i="1" s="1"/>
  <c r="W7" i="1" s="1"/>
  <c r="J15" i="1"/>
  <c r="T27" i="3"/>
  <c r="U27" i="3" s="1"/>
  <c r="W27" i="3" s="1"/>
  <c r="G29" i="4"/>
  <c r="G17" i="4"/>
  <c r="G31" i="4"/>
  <c r="T19" i="4"/>
  <c r="U19" i="4" s="1"/>
  <c r="W19" i="4" s="1"/>
  <c r="G15" i="4"/>
  <c r="G11" i="4"/>
  <c r="G7" i="4"/>
  <c r="J31" i="4"/>
  <c r="J19" i="4"/>
  <c r="J7" i="4"/>
  <c r="G32" i="3"/>
  <c r="T24" i="3"/>
  <c r="G8" i="3"/>
  <c r="T6" i="3"/>
  <c r="G16" i="4"/>
  <c r="G12" i="4"/>
  <c r="G8" i="4"/>
  <c r="J32" i="4"/>
  <c r="J28" i="4"/>
  <c r="J24" i="4"/>
  <c r="J20" i="4"/>
  <c r="J8" i="4"/>
  <c r="J25" i="9"/>
  <c r="J13" i="9"/>
  <c r="J5" i="9"/>
  <c r="J16" i="10"/>
  <c r="T32" i="11"/>
  <c r="U32" i="11" s="1"/>
  <c r="W32" i="11" s="1"/>
  <c r="T28" i="11"/>
  <c r="U28" i="11" s="1"/>
  <c r="W28" i="11" s="1"/>
  <c r="T24" i="11"/>
  <c r="G8" i="11"/>
  <c r="J24" i="11"/>
  <c r="J16" i="11"/>
  <c r="G32" i="12"/>
  <c r="G28" i="12"/>
  <c r="G24" i="12"/>
  <c r="Q24" i="12" s="1"/>
  <c r="G20" i="12"/>
  <c r="G12" i="12"/>
  <c r="T8" i="12"/>
  <c r="U8" i="12" s="1"/>
  <c r="W8" i="12" s="1"/>
  <c r="I16" i="15"/>
  <c r="H20" i="15" s="1"/>
  <c r="H22" i="15" s="1"/>
  <c r="T33" i="18"/>
  <c r="U33" i="18" s="1"/>
  <c r="W33" i="18" s="1"/>
  <c r="T34" i="18"/>
  <c r="U34" i="18" s="1"/>
  <c r="W34" i="18" s="1"/>
  <c r="T28" i="10"/>
  <c r="U28" i="10" s="1"/>
  <c r="W28" i="10" s="1"/>
  <c r="G16" i="10"/>
  <c r="G12" i="10"/>
  <c r="J33" i="6"/>
  <c r="J29" i="6"/>
  <c r="J21" i="6"/>
  <c r="J17" i="6"/>
  <c r="J13" i="6"/>
  <c r="J5" i="6"/>
  <c r="J31" i="12"/>
  <c r="J27" i="12"/>
  <c r="J19" i="12"/>
  <c r="J15" i="12"/>
  <c r="J11" i="12"/>
  <c r="G16" i="16"/>
  <c r="G28" i="16"/>
  <c r="H16" i="15"/>
  <c r="M16" i="15"/>
  <c r="L16" i="15"/>
  <c r="N16" i="15"/>
  <c r="J16" i="15"/>
  <c r="J23" i="3"/>
  <c r="J19" i="3"/>
  <c r="J11" i="3"/>
  <c r="T23" i="6"/>
  <c r="U23" i="6" s="1"/>
  <c r="W23" i="6" s="1"/>
  <c r="T11" i="6"/>
  <c r="U11" i="6" s="1"/>
  <c r="W11" i="6" s="1"/>
  <c r="G17" i="3"/>
  <c r="T17" i="1"/>
  <c r="U17" i="1" s="1"/>
  <c r="W17" i="1" s="1"/>
  <c r="T5" i="3"/>
  <c r="U5" i="3" s="1"/>
  <c r="W5" i="3" s="1"/>
  <c r="J27" i="3"/>
  <c r="T8" i="10"/>
  <c r="U8" i="10" s="1"/>
  <c r="W8" i="10" s="1"/>
  <c r="G8" i="10"/>
  <c r="T32" i="10"/>
  <c r="U32" i="10" s="1"/>
  <c r="W32" i="10" s="1"/>
  <c r="J32" i="10"/>
  <c r="G16" i="12"/>
  <c r="Q16" i="12" s="1"/>
  <c r="J27" i="6"/>
  <c r="T21" i="9"/>
  <c r="U21" i="9" s="1"/>
  <c r="W21" i="9" s="1"/>
  <c r="T15" i="9"/>
  <c r="U15" i="9" s="1"/>
  <c r="W15" i="9" s="1"/>
  <c r="G17" i="9"/>
  <c r="G8" i="12"/>
  <c r="Q8" i="12" s="1"/>
  <c r="G6" i="11"/>
  <c r="G19" i="9"/>
  <c r="T24" i="12"/>
  <c r="U24" i="12" s="1"/>
  <c r="W24" i="12" s="1"/>
  <c r="G9" i="1"/>
  <c r="T12" i="10"/>
  <c r="U12" i="10" s="1"/>
  <c r="W12" i="10" s="1"/>
  <c r="T5" i="6"/>
  <c r="U5" i="6" s="1"/>
  <c r="W5" i="6" s="1"/>
  <c r="G33" i="6"/>
  <c r="G21" i="4"/>
  <c r="G22" i="11"/>
  <c r="T20" i="10"/>
  <c r="U20" i="10" s="1"/>
  <c r="W20" i="10" s="1"/>
  <c r="G25" i="9"/>
  <c r="G17" i="6"/>
  <c r="G13" i="6"/>
  <c r="G27" i="9"/>
  <c r="J15" i="6"/>
  <c r="J31" i="6"/>
  <c r="J23" i="12"/>
  <c r="J7" i="6"/>
  <c r="J4" i="11"/>
  <c r="J4" i="12"/>
  <c r="J31" i="3"/>
  <c r="J15" i="3"/>
  <c r="T9" i="6"/>
  <c r="U9" i="6" s="1"/>
  <c r="W9" i="6" s="1"/>
  <c r="T17" i="3"/>
  <c r="U17" i="3" s="1"/>
  <c r="W17" i="3" s="1"/>
  <c r="T25" i="9"/>
  <c r="U25" i="9" s="1"/>
  <c r="W25" i="9" s="1"/>
  <c r="T33" i="4"/>
  <c r="U33" i="4" s="1"/>
  <c r="W33" i="4" s="1"/>
  <c r="G19" i="4"/>
  <c r="G9" i="3"/>
  <c r="T28" i="12"/>
  <c r="U28" i="12" s="1"/>
  <c r="W28" i="12" s="1"/>
  <c r="G14" i="11"/>
  <c r="G16" i="11"/>
  <c r="G24" i="11"/>
  <c r="J24" i="10"/>
  <c r="G9" i="9"/>
  <c r="G28" i="11"/>
  <c r="T22" i="11"/>
  <c r="U22" i="11" s="1"/>
  <c r="W22" i="11" s="1"/>
  <c r="T18" i="11"/>
  <c r="U18" i="11" s="1"/>
  <c r="W18" i="11" s="1"/>
  <c r="G7" i="9"/>
  <c r="T16" i="10"/>
  <c r="U16" i="10" s="1"/>
  <c r="W16" i="10" s="1"/>
  <c r="G22" i="18"/>
  <c r="G26" i="4"/>
  <c r="G22" i="4"/>
  <c r="G18" i="4"/>
  <c r="G6" i="4"/>
  <c r="J26" i="4"/>
  <c r="J22" i="4"/>
  <c r="T14" i="9"/>
  <c r="U14" i="9" s="1"/>
  <c r="W14" i="9" s="1"/>
  <c r="G24" i="9"/>
  <c r="J30" i="9"/>
  <c r="J18" i="9"/>
  <c r="J14" i="9"/>
  <c r="J10" i="9"/>
  <c r="J6" i="9"/>
  <c r="T14" i="10"/>
  <c r="U14" i="10" s="1"/>
  <c r="W14" i="10" s="1"/>
  <c r="T15" i="10"/>
  <c r="U15" i="10" s="1"/>
  <c r="W15" i="10" s="1"/>
  <c r="J33" i="10"/>
  <c r="J13" i="10"/>
  <c r="J9" i="10"/>
  <c r="J23" i="10"/>
  <c r="J7" i="10"/>
  <c r="T5" i="11"/>
  <c r="U5" i="11" s="1"/>
  <c r="W5" i="11" s="1"/>
  <c r="J33" i="11"/>
  <c r="J29" i="11"/>
  <c r="J25" i="11"/>
  <c r="J21" i="11"/>
  <c r="J17" i="11"/>
  <c r="J13" i="11"/>
  <c r="J9" i="11"/>
  <c r="J5" i="11"/>
  <c r="T31" i="12"/>
  <c r="U31" i="12" s="1"/>
  <c r="W31" i="12" s="1"/>
  <c r="T19" i="12"/>
  <c r="U19" i="12" s="1"/>
  <c r="W19" i="12" s="1"/>
  <c r="J32" i="6"/>
  <c r="J20" i="6"/>
  <c r="J16" i="6"/>
  <c r="J12" i="6"/>
  <c r="G5" i="16"/>
  <c r="G10" i="16"/>
  <c r="T12" i="16"/>
  <c r="U12" i="16" s="1"/>
  <c r="W12" i="16" s="1"/>
  <c r="G13" i="16"/>
  <c r="J23" i="16"/>
  <c r="G29" i="16"/>
  <c r="J5" i="18"/>
  <c r="T16" i="18"/>
  <c r="U16" i="18" s="1"/>
  <c r="W16" i="18" s="1"/>
  <c r="G31" i="18"/>
  <c r="T32" i="18"/>
  <c r="U32" i="18" s="1"/>
  <c r="W32" i="18" s="1"/>
  <c r="J33" i="18"/>
  <c r="T31" i="6"/>
  <c r="U31" i="6" s="1"/>
  <c r="W31" i="6" s="1"/>
  <c r="J24" i="18"/>
  <c r="J31" i="1"/>
  <c r="J23" i="1"/>
  <c r="J19" i="1"/>
  <c r="J11" i="1"/>
  <c r="J7" i="1"/>
  <c r="G27" i="3"/>
  <c r="T11" i="3"/>
  <c r="U11" i="3" s="1"/>
  <c r="W11" i="3" s="1"/>
  <c r="T27" i="4"/>
  <c r="U27" i="4" s="1"/>
  <c r="W27" i="4" s="1"/>
  <c r="G23" i="4"/>
  <c r="T11" i="4"/>
  <c r="U11" i="4" s="1"/>
  <c r="W11" i="4" s="1"/>
  <c r="J27" i="4"/>
  <c r="J23" i="4"/>
  <c r="J15" i="4"/>
  <c r="J11" i="4"/>
  <c r="J33" i="9"/>
  <c r="G32" i="18"/>
  <c r="J29" i="18"/>
  <c r="T6" i="6"/>
  <c r="U6" i="6" s="1"/>
  <c r="T34" i="12"/>
  <c r="U34" i="12" s="1"/>
  <c r="W34" i="12" s="1"/>
  <c r="T10" i="12"/>
  <c r="U10" i="12" s="1"/>
  <c r="W10" i="12" s="1"/>
  <c r="G25" i="1"/>
  <c r="G13" i="1"/>
  <c r="G5" i="1"/>
  <c r="J29" i="1"/>
  <c r="J13" i="1"/>
  <c r="J9" i="1"/>
  <c r="T25" i="3"/>
  <c r="U25" i="3" s="1"/>
  <c r="W25" i="3" s="1"/>
  <c r="T9" i="3"/>
  <c r="U9" i="3" s="1"/>
  <c r="W9" i="3" s="1"/>
  <c r="G5" i="3"/>
  <c r="G25" i="4"/>
  <c r="T21" i="4"/>
  <c r="U21" i="4" s="1"/>
  <c r="W21" i="4" s="1"/>
  <c r="T17" i="4"/>
  <c r="U17" i="4" s="1"/>
  <c r="W17" i="4" s="1"/>
  <c r="T9" i="4"/>
  <c r="U9" i="4" s="1"/>
  <c r="W9" i="4" s="1"/>
  <c r="T5" i="4"/>
  <c r="U5" i="4" s="1"/>
  <c r="W5" i="4" s="1"/>
  <c r="J33" i="4"/>
  <c r="T31" i="9"/>
  <c r="U31" i="9" s="1"/>
  <c r="W31" i="9" s="1"/>
  <c r="T19" i="9"/>
  <c r="G11" i="9"/>
  <c r="T7" i="9"/>
  <c r="U7" i="9" s="1"/>
  <c r="W7" i="9" s="1"/>
  <c r="J27" i="9"/>
  <c r="G30" i="10"/>
  <c r="T10" i="6"/>
  <c r="U10" i="6" s="1"/>
  <c r="W10" i="6" s="1"/>
  <c r="G25" i="16"/>
  <c r="T24" i="18"/>
  <c r="G24" i="18"/>
  <c r="J25" i="18"/>
  <c r="J26" i="18"/>
  <c r="T26" i="18"/>
  <c r="U26" i="18" s="1"/>
  <c r="W26" i="18" s="1"/>
  <c r="G27" i="18"/>
  <c r="T27" i="18"/>
  <c r="U27" i="18" s="1"/>
  <c r="W27" i="18" s="1"/>
  <c r="T28" i="18"/>
  <c r="U28" i="18" s="1"/>
  <c r="W28" i="18" s="1"/>
  <c r="G28" i="18"/>
  <c r="J30" i="18"/>
  <c r="T31" i="18"/>
  <c r="U31" i="18" s="1"/>
  <c r="W31" i="18" s="1"/>
  <c r="G31" i="1"/>
  <c r="J21" i="1"/>
  <c r="T31" i="3"/>
  <c r="U31" i="3" s="1"/>
  <c r="W31" i="3" s="1"/>
  <c r="G31" i="3"/>
  <c r="G23" i="3"/>
  <c r="T23" i="3"/>
  <c r="U23" i="3" s="1"/>
  <c r="W23" i="3" s="1"/>
  <c r="T15" i="3"/>
  <c r="U15" i="3" s="1"/>
  <c r="W15" i="3" s="1"/>
  <c r="G15" i="3"/>
  <c r="G29" i="3"/>
  <c r="G21" i="3"/>
  <c r="T21" i="3"/>
  <c r="U21" i="3" s="1"/>
  <c r="W21" i="3" s="1"/>
  <c r="G13" i="3"/>
  <c r="J21" i="3"/>
  <c r="J29" i="3"/>
  <c r="J17" i="3"/>
  <c r="J13" i="3"/>
  <c r="J9" i="3"/>
  <c r="J5" i="3"/>
  <c r="G27" i="1"/>
  <c r="G19" i="1"/>
  <c r="G7" i="1"/>
  <c r="T29" i="1"/>
  <c r="U29" i="1" s="1"/>
  <c r="W29" i="1" s="1"/>
  <c r="G29" i="1"/>
  <c r="T21" i="1"/>
  <c r="U21" i="1" s="1"/>
  <c r="W21" i="1" s="1"/>
  <c r="G21" i="1"/>
  <c r="J33" i="1"/>
  <c r="J6" i="12"/>
  <c r="G23" i="1"/>
  <c r="T23" i="1"/>
  <c r="U23" i="1" s="1"/>
  <c r="W23" i="1" s="1"/>
  <c r="G15" i="1"/>
  <c r="T15" i="1"/>
  <c r="U15" i="1" s="1"/>
  <c r="W15" i="1" s="1"/>
  <c r="T33" i="1"/>
  <c r="U33" i="1" s="1"/>
  <c r="W33" i="1" s="1"/>
  <c r="G33" i="1"/>
  <c r="J25" i="1"/>
  <c r="G19" i="3"/>
  <c r="T19" i="3"/>
  <c r="U19" i="3" s="1"/>
  <c r="W19" i="3" s="1"/>
  <c r="J5" i="1"/>
  <c r="G7" i="3"/>
  <c r="G11" i="3"/>
  <c r="T19" i="1"/>
  <c r="U19" i="1" s="1"/>
  <c r="W19" i="1" s="1"/>
  <c r="T30" i="18"/>
  <c r="U30" i="18" s="1"/>
  <c r="W30" i="18" s="1"/>
  <c r="J17" i="1"/>
  <c r="T5" i="1"/>
  <c r="U5" i="1" s="1"/>
  <c r="W5" i="1" s="1"/>
  <c r="G11" i="1"/>
  <c r="T13" i="3"/>
  <c r="U13" i="3" s="1"/>
  <c r="W13" i="3" s="1"/>
  <c r="T7" i="3"/>
  <c r="U7" i="3" s="1"/>
  <c r="W7" i="3" s="1"/>
  <c r="T13" i="1"/>
  <c r="U13" i="1" s="1"/>
  <c r="W13" i="1" s="1"/>
  <c r="G13" i="4"/>
  <c r="T13" i="4"/>
  <c r="U13" i="4" s="1"/>
  <c r="W13" i="4" s="1"/>
  <c r="G19" i="6"/>
  <c r="G33" i="9"/>
  <c r="G29" i="9"/>
  <c r="G5" i="9"/>
  <c r="T23" i="4"/>
  <c r="U23" i="4" s="1"/>
  <c r="W23" i="4" s="1"/>
  <c r="G31" i="6"/>
  <c r="G27" i="4"/>
  <c r="T7" i="4"/>
  <c r="U7" i="4" s="1"/>
  <c r="W7" i="4" s="1"/>
  <c r="T25" i="4"/>
  <c r="U25" i="4" s="1"/>
  <c r="W25" i="4" s="1"/>
  <c r="T21" i="6"/>
  <c r="U21" i="6" s="1"/>
  <c r="W21" i="6" s="1"/>
  <c r="J11" i="6"/>
  <c r="T34" i="6"/>
  <c r="U34" i="6" s="1"/>
  <c r="W34" i="6" s="1"/>
  <c r="T26" i="6"/>
  <c r="U26" i="6" s="1"/>
  <c r="W26" i="6" s="1"/>
  <c r="T22" i="6"/>
  <c r="U22" i="6" s="1"/>
  <c r="W22" i="6" s="1"/>
  <c r="T18" i="6"/>
  <c r="U18" i="6" s="1"/>
  <c r="W18" i="6" s="1"/>
  <c r="J10" i="4"/>
  <c r="G24" i="6"/>
  <c r="T24" i="6"/>
  <c r="T28" i="9"/>
  <c r="U28" i="9" s="1"/>
  <c r="W28" i="9" s="1"/>
  <c r="G28" i="9"/>
  <c r="G16" i="9"/>
  <c r="T16" i="9"/>
  <c r="U16" i="9" s="1"/>
  <c r="W16" i="9" s="1"/>
  <c r="G30" i="4"/>
  <c r="T30" i="4"/>
  <c r="U30" i="4" s="1"/>
  <c r="W30" i="4" s="1"/>
  <c r="G30" i="9"/>
  <c r="T12" i="9"/>
  <c r="U12" i="9" s="1"/>
  <c r="W12" i="9" s="1"/>
  <c r="G12" i="9"/>
  <c r="J8" i="9"/>
  <c r="G22" i="10"/>
  <c r="T31" i="10"/>
  <c r="U31" i="10" s="1"/>
  <c r="W31" i="10" s="1"/>
  <c r="G15" i="10"/>
  <c r="T7" i="10"/>
  <c r="U7" i="10" s="1"/>
  <c r="W7" i="10" s="1"/>
  <c r="G7" i="10"/>
  <c r="Q7" i="10" s="1"/>
  <c r="J25" i="10"/>
  <c r="T25" i="10"/>
  <c r="U25" i="10" s="1"/>
  <c r="W25" i="10" s="1"/>
  <c r="J5" i="10"/>
  <c r="T5" i="10"/>
  <c r="U5" i="10" s="1"/>
  <c r="W5" i="10" s="1"/>
  <c r="J11" i="10"/>
  <c r="G29" i="11"/>
  <c r="T29" i="11"/>
  <c r="U29" i="11" s="1"/>
  <c r="W29" i="11" s="1"/>
  <c r="T13" i="11"/>
  <c r="U13" i="11" s="1"/>
  <c r="W13" i="11" s="1"/>
  <c r="G13" i="11"/>
  <c r="G5" i="11"/>
  <c r="T31" i="11"/>
  <c r="U31" i="11" s="1"/>
  <c r="W31" i="11" s="1"/>
  <c r="G31" i="11"/>
  <c r="T23" i="11"/>
  <c r="U23" i="11" s="1"/>
  <c r="W23" i="11" s="1"/>
  <c r="G23" i="11"/>
  <c r="G19" i="11"/>
  <c r="T15" i="11"/>
  <c r="U15" i="11" s="1"/>
  <c r="W15" i="11" s="1"/>
  <c r="G15" i="11"/>
  <c r="T11" i="11"/>
  <c r="U11" i="11" s="1"/>
  <c r="W11" i="11" s="1"/>
  <c r="G7" i="11"/>
  <c r="J31" i="11"/>
  <c r="J23" i="11"/>
  <c r="J15" i="11"/>
  <c r="J7" i="11"/>
  <c r="G29" i="12"/>
  <c r="T29" i="12"/>
  <c r="U29" i="12" s="1"/>
  <c r="W29" i="12" s="1"/>
  <c r="G13" i="12"/>
  <c r="Q13" i="12" s="1"/>
  <c r="T13" i="12"/>
  <c r="U13" i="12" s="1"/>
  <c r="W13" i="12" s="1"/>
  <c r="T5" i="12"/>
  <c r="U5" i="12" s="1"/>
  <c r="W5" i="12" s="1"/>
  <c r="G5" i="12"/>
  <c r="G19" i="12"/>
  <c r="T11" i="12"/>
  <c r="U11" i="12" s="1"/>
  <c r="W11" i="12" s="1"/>
  <c r="G11" i="12"/>
  <c r="J8" i="16"/>
  <c r="J15" i="16"/>
  <c r="T23" i="16"/>
  <c r="U23" i="16" s="1"/>
  <c r="W23" i="16" s="1"/>
  <c r="J24" i="16"/>
  <c r="T24" i="16"/>
  <c r="J27" i="16"/>
  <c r="G30" i="16"/>
  <c r="J31" i="16"/>
  <c r="T31" i="16"/>
  <c r="U31" i="16" s="1"/>
  <c r="W31" i="16" s="1"/>
  <c r="G33" i="16"/>
  <c r="T33" i="16"/>
  <c r="U33" i="16" s="1"/>
  <c r="W33" i="16" s="1"/>
  <c r="T7" i="18"/>
  <c r="U7" i="18" s="1"/>
  <c r="W7" i="18" s="1"/>
  <c r="G7" i="18"/>
  <c r="J9" i="18"/>
  <c r="T9" i="18"/>
  <c r="U9" i="18" s="1"/>
  <c r="W9" i="18" s="1"/>
  <c r="G11" i="18"/>
  <c r="T11" i="18"/>
  <c r="U11" i="18" s="1"/>
  <c r="W11" i="18" s="1"/>
  <c r="J14" i="18"/>
  <c r="T14" i="18"/>
  <c r="U14" i="18" s="1"/>
  <c r="W14" i="18" s="1"/>
  <c r="G15" i="18"/>
  <c r="T15" i="18"/>
  <c r="U15" i="18" s="1"/>
  <c r="W15" i="18" s="1"/>
  <c r="T18" i="18"/>
  <c r="U18" i="18" s="1"/>
  <c r="W18" i="18" s="1"/>
  <c r="J18" i="18"/>
  <c r="J21" i="18"/>
  <c r="J22" i="18"/>
  <c r="T22" i="18"/>
  <c r="U22" i="18" s="1"/>
  <c r="W22" i="18" s="1"/>
  <c r="T8" i="16"/>
  <c r="U8" i="16" s="1"/>
  <c r="W8" i="16" s="1"/>
  <c r="T21" i="18"/>
  <c r="U21" i="18" s="1"/>
  <c r="W21" i="18" s="1"/>
  <c r="T7" i="11"/>
  <c r="U7" i="11" s="1"/>
  <c r="W7" i="11" s="1"/>
  <c r="J7" i="16"/>
  <c r="T32" i="4"/>
  <c r="U32" i="4" s="1"/>
  <c r="W32" i="4" s="1"/>
  <c r="G32" i="4"/>
  <c r="T10" i="4"/>
  <c r="U10" i="4" s="1"/>
  <c r="W10" i="4" s="1"/>
  <c r="G10" i="4"/>
  <c r="G18" i="9"/>
  <c r="J28" i="9"/>
  <c r="G6" i="10"/>
  <c r="Q6" i="10" s="1"/>
  <c r="T6" i="10"/>
  <c r="U6" i="10" s="1"/>
  <c r="W6" i="10" s="1"/>
  <c r="T23" i="10"/>
  <c r="U23" i="10" s="1"/>
  <c r="W23" i="10" s="1"/>
  <c r="G23" i="10"/>
  <c r="G11" i="10"/>
  <c r="Q11" i="10" s="1"/>
  <c r="T11" i="10"/>
  <c r="U11" i="10" s="1"/>
  <c r="W11" i="10" s="1"/>
  <c r="T21" i="10"/>
  <c r="U21" i="10" s="1"/>
  <c r="W21" i="10" s="1"/>
  <c r="J21" i="10"/>
  <c r="J27" i="10"/>
  <c r="J19" i="10"/>
  <c r="G25" i="11"/>
  <c r="T25" i="11"/>
  <c r="U25" i="11" s="1"/>
  <c r="W25" i="11" s="1"/>
  <c r="T17" i="11"/>
  <c r="U17" i="11" s="1"/>
  <c r="W17" i="11" s="1"/>
  <c r="G17" i="11"/>
  <c r="G9" i="11"/>
  <c r="T9" i="11"/>
  <c r="U9" i="11" s="1"/>
  <c r="W9" i="11" s="1"/>
  <c r="G27" i="11"/>
  <c r="T27" i="11"/>
  <c r="U27" i="11" s="1"/>
  <c r="W27" i="11" s="1"/>
  <c r="J19" i="11"/>
  <c r="J11" i="11"/>
  <c r="T33" i="12"/>
  <c r="U33" i="12" s="1"/>
  <c r="W33" i="12" s="1"/>
  <c r="G33" i="12"/>
  <c r="G25" i="12"/>
  <c r="Q25" i="12" s="1"/>
  <c r="T25" i="12"/>
  <c r="T21" i="12"/>
  <c r="U21" i="12" s="1"/>
  <c r="W21" i="12" s="1"/>
  <c r="G21" i="12"/>
  <c r="T17" i="12"/>
  <c r="U17" i="12" s="1"/>
  <c r="W17" i="12" s="1"/>
  <c r="G17" i="12"/>
  <c r="G9" i="12"/>
  <c r="T9" i="12"/>
  <c r="U9" i="12" s="1"/>
  <c r="W9" i="12" s="1"/>
  <c r="T23" i="12"/>
  <c r="U23" i="12" s="1"/>
  <c r="W23" i="12" s="1"/>
  <c r="G23" i="12"/>
  <c r="T15" i="12"/>
  <c r="U15" i="12" s="1"/>
  <c r="W15" i="12" s="1"/>
  <c r="G15" i="12"/>
  <c r="T7" i="12"/>
  <c r="U7" i="12" s="1"/>
  <c r="W7" i="12" s="1"/>
  <c r="J14" i="6"/>
  <c r="J22" i="12"/>
  <c r="T22" i="12"/>
  <c r="U22" i="12" s="1"/>
  <c r="W22" i="12" s="1"/>
  <c r="T14" i="12"/>
  <c r="U14" i="12" s="1"/>
  <c r="W14" i="12" s="1"/>
  <c r="T6" i="12"/>
  <c r="U6" i="12" s="1"/>
  <c r="W6" i="12" s="1"/>
  <c r="T6" i="16"/>
  <c r="U6" i="16" s="1"/>
  <c r="W6" i="16" s="1"/>
  <c r="G6" i="16"/>
  <c r="G9" i="16"/>
  <c r="T9" i="16"/>
  <c r="U9" i="16" s="1"/>
  <c r="W9" i="16" s="1"/>
  <c r="J11" i="16"/>
  <c r="G14" i="16"/>
  <c r="J20" i="16"/>
  <c r="G21" i="16"/>
  <c r="T21" i="16"/>
  <c r="G26" i="16"/>
  <c r="T26" i="16"/>
  <c r="U26" i="16" s="1"/>
  <c r="W26" i="16" s="1"/>
  <c r="J32" i="16"/>
  <c r="G8" i="18"/>
  <c r="T8" i="18"/>
  <c r="U8" i="18" s="1"/>
  <c r="W8" i="18" s="1"/>
  <c r="J10" i="18"/>
  <c r="T10" i="18"/>
  <c r="U10" i="18" s="1"/>
  <c r="W10" i="18" s="1"/>
  <c r="G12" i="18"/>
  <c r="T12" i="18"/>
  <c r="J13" i="18"/>
  <c r="G16" i="18"/>
  <c r="J17" i="18"/>
  <c r="G20" i="18"/>
  <c r="T23" i="18"/>
  <c r="U23" i="18" s="1"/>
  <c r="W23" i="18" s="1"/>
  <c r="G23" i="18"/>
  <c r="T14" i="6"/>
  <c r="U14" i="6" s="1"/>
  <c r="W14" i="6" s="1"/>
  <c r="J12" i="16"/>
  <c r="J14" i="12"/>
  <c r="T22" i="10"/>
  <c r="U22" i="10" s="1"/>
  <c r="W22" i="10" s="1"/>
  <c r="T16" i="6"/>
  <c r="U16" i="6" s="1"/>
  <c r="W16" i="6" s="1"/>
  <c r="T13" i="18"/>
  <c r="U13" i="18" s="1"/>
  <c r="W13" i="18" s="1"/>
  <c r="G31" i="10"/>
  <c r="G11" i="11"/>
  <c r="T19" i="11"/>
  <c r="U19" i="11" s="1"/>
  <c r="W19" i="11" s="1"/>
  <c r="G26" i="10"/>
  <c r="G10" i="10"/>
  <c r="T10" i="10"/>
  <c r="U10" i="10" s="1"/>
  <c r="W10" i="10" s="1"/>
  <c r="T27" i="10"/>
  <c r="U27" i="10" s="1"/>
  <c r="W27" i="10" s="1"/>
  <c r="G27" i="10"/>
  <c r="G19" i="10"/>
  <c r="T19" i="10"/>
  <c r="U19" i="10" s="1"/>
  <c r="W19" i="10" s="1"/>
  <c r="J29" i="10"/>
  <c r="J17" i="10"/>
  <c r="J31" i="10"/>
  <c r="J15" i="10"/>
  <c r="T33" i="11"/>
  <c r="U33" i="11" s="1"/>
  <c r="W33" i="11" s="1"/>
  <c r="G33" i="11"/>
  <c r="T21" i="11"/>
  <c r="U21" i="11" s="1"/>
  <c r="W21" i="11" s="1"/>
  <c r="G21" i="11"/>
  <c r="G31" i="12"/>
  <c r="G27" i="12"/>
  <c r="T27" i="12"/>
  <c r="U27" i="12" s="1"/>
  <c r="W27" i="12" s="1"/>
  <c r="J30" i="6"/>
  <c r="J4" i="16"/>
  <c r="T10" i="16"/>
  <c r="U10" i="16" s="1"/>
  <c r="W10" i="16" s="1"/>
  <c r="T16" i="16"/>
  <c r="U16" i="16" s="1"/>
  <c r="W16" i="16" s="1"/>
  <c r="G17" i="16"/>
  <c r="T17" i="16"/>
  <c r="U17" i="16" s="1"/>
  <c r="W17" i="16" s="1"/>
  <c r="T18" i="16"/>
  <c r="U18" i="16" s="1"/>
  <c r="W18" i="16" s="1"/>
  <c r="G18" i="16"/>
  <c r="G22" i="16"/>
  <c r="T22" i="16"/>
  <c r="U22" i="16" s="1"/>
  <c r="W22" i="16" s="1"/>
  <c r="J28" i="16"/>
  <c r="T6" i="18"/>
  <c r="U6" i="18" s="1"/>
  <c r="W6" i="18" s="1"/>
  <c r="J6" i="18"/>
  <c r="G19" i="18"/>
  <c r="J30" i="12"/>
  <c r="T30" i="6"/>
  <c r="U30" i="6" s="1"/>
  <c r="W30" i="6" s="1"/>
  <c r="T26" i="12"/>
  <c r="U26" i="12" s="1"/>
  <c r="W26" i="12" s="1"/>
  <c r="T33" i="10"/>
  <c r="U33" i="10" s="1"/>
  <c r="W33" i="10" s="1"/>
  <c r="J16" i="16"/>
  <c r="T18" i="10"/>
  <c r="U18" i="10" s="1"/>
  <c r="W18" i="10" s="1"/>
  <c r="G7" i="12"/>
  <c r="Q7" i="12" s="1"/>
  <c r="G4" i="18"/>
  <c r="T17" i="10"/>
  <c r="U17" i="10" s="1"/>
  <c r="W17" i="10" s="1"/>
  <c r="T13" i="10"/>
  <c r="U13" i="10" s="1"/>
  <c r="W13" i="10" s="1"/>
  <c r="T9" i="10"/>
  <c r="U9" i="10" s="1"/>
  <c r="W9" i="10" s="1"/>
  <c r="G24" i="16"/>
  <c r="G31" i="16"/>
  <c r="G21" i="18"/>
  <c r="G26" i="18"/>
  <c r="J28" i="18"/>
  <c r="T4" i="10"/>
  <c r="J26" i="12"/>
  <c r="J18" i="12"/>
  <c r="J10" i="12"/>
  <c r="J28" i="6"/>
  <c r="J24" i="6"/>
  <c r="J8" i="6"/>
  <c r="J18" i="6"/>
  <c r="J10" i="6"/>
  <c r="T5" i="16"/>
  <c r="U5" i="16" s="1"/>
  <c r="W5" i="16" s="1"/>
  <c r="G7" i="16"/>
  <c r="T11" i="16"/>
  <c r="U11" i="16" s="1"/>
  <c r="T25" i="16"/>
  <c r="U25" i="16" s="1"/>
  <c r="W25" i="16" s="1"/>
  <c r="T27" i="16"/>
  <c r="U27" i="16" s="1"/>
  <c r="W27" i="16" s="1"/>
  <c r="T29" i="16"/>
  <c r="U29" i="16" s="1"/>
  <c r="W29" i="16" s="1"/>
  <c r="T4" i="18"/>
  <c r="T17" i="18"/>
  <c r="U17" i="18" s="1"/>
  <c r="W17" i="18" s="1"/>
  <c r="T19" i="18"/>
  <c r="U19" i="18" s="1"/>
  <c r="W19" i="18" s="1"/>
  <c r="T25" i="18"/>
  <c r="U25" i="18" s="1"/>
  <c r="W25" i="18" s="1"/>
  <c r="T29" i="18"/>
  <c r="U29" i="18" s="1"/>
  <c r="W29" i="18" s="1"/>
  <c r="J30" i="3"/>
  <c r="T34" i="4"/>
  <c r="U34" i="4" s="1"/>
  <c r="W34" i="4" s="1"/>
  <c r="G34" i="4"/>
  <c r="J34" i="4"/>
  <c r="J30" i="4"/>
  <c r="T26" i="9"/>
  <c r="U26" i="9" s="1"/>
  <c r="W26" i="9" s="1"/>
  <c r="G14" i="9"/>
  <c r="G18" i="10"/>
  <c r="G14" i="10"/>
  <c r="T20" i="4"/>
  <c r="U20" i="4" s="1"/>
  <c r="W20" i="4" s="1"/>
  <c r="G20" i="4"/>
  <c r="J14" i="4"/>
  <c r="T28" i="6"/>
  <c r="U28" i="6" s="1"/>
  <c r="W28" i="6" s="1"/>
  <c r="T30" i="9"/>
  <c r="U30" i="9" s="1"/>
  <c r="W30" i="9" s="1"/>
  <c r="T18" i="9"/>
  <c r="U18" i="9" s="1"/>
  <c r="W18" i="9" s="1"/>
  <c r="G10" i="9"/>
  <c r="T10" i="9"/>
  <c r="U10" i="9" s="1"/>
  <c r="W10" i="9" s="1"/>
  <c r="T6" i="9"/>
  <c r="U6" i="9" s="1"/>
  <c r="W6" i="9" s="1"/>
  <c r="G6" i="9"/>
  <c r="G32" i="9"/>
  <c r="G20" i="9"/>
  <c r="T20" i="9"/>
  <c r="U20" i="9" s="1"/>
  <c r="W20" i="9" s="1"/>
  <c r="T8" i="9"/>
  <c r="U8" i="9" s="1"/>
  <c r="W8" i="9" s="1"/>
  <c r="G8" i="9"/>
  <c r="J24" i="9"/>
  <c r="T30" i="10"/>
  <c r="U30" i="10" s="1"/>
  <c r="W30" i="10" s="1"/>
  <c r="G4" i="9"/>
  <c r="T20" i="6"/>
  <c r="U20" i="6" s="1"/>
  <c r="W20" i="6" s="1"/>
  <c r="T16" i="4"/>
  <c r="U16" i="4" s="1"/>
  <c r="W16" i="4" s="1"/>
  <c r="G22" i="9"/>
  <c r="G26" i="9"/>
  <c r="G4" i="3"/>
  <c r="G4" i="10"/>
  <c r="G4" i="11"/>
  <c r="G4" i="12"/>
  <c r="Q4" i="12" s="1"/>
  <c r="G30" i="1"/>
  <c r="G14" i="1"/>
  <c r="G16" i="1"/>
  <c r="J28" i="1"/>
  <c r="J12" i="1"/>
  <c r="G30" i="3"/>
  <c r="G4" i="6"/>
  <c r="T4" i="4"/>
  <c r="T28" i="1"/>
  <c r="U28" i="1" s="1"/>
  <c r="W28" i="1" s="1"/>
  <c r="G20" i="1"/>
  <c r="G34" i="1"/>
  <c r="T22" i="1"/>
  <c r="U22" i="1" s="1"/>
  <c r="W22" i="1" s="1"/>
  <c r="G18" i="1"/>
  <c r="J32" i="1"/>
  <c r="J8" i="1"/>
  <c r="J34" i="1"/>
  <c r="J10" i="1"/>
  <c r="J6" i="1"/>
  <c r="T30" i="3"/>
  <c r="U30" i="3" s="1"/>
  <c r="W30" i="3" s="1"/>
  <c r="G26" i="3"/>
  <c r="G22" i="3"/>
  <c r="T10" i="3"/>
  <c r="U10" i="3" s="1"/>
  <c r="W10" i="3" s="1"/>
  <c r="J18" i="3"/>
  <c r="J10" i="3"/>
  <c r="J6" i="3"/>
  <c r="T32" i="12"/>
  <c r="U32" i="12" s="1"/>
  <c r="W32" i="12" s="1"/>
  <c r="T16" i="12"/>
  <c r="U16" i="12" s="1"/>
  <c r="W16" i="12" s="1"/>
  <c r="G4" i="4"/>
  <c r="J9" i="6"/>
  <c r="T27" i="9"/>
  <c r="U27" i="9" s="1"/>
  <c r="W27" i="9" s="1"/>
  <c r="J9" i="9"/>
  <c r="T26" i="10"/>
  <c r="U26" i="10" s="1"/>
  <c r="W26" i="10" s="1"/>
  <c r="T12" i="6"/>
  <c r="U12" i="6" s="1"/>
  <c r="W12" i="6" s="1"/>
  <c r="J29" i="4"/>
  <c r="J25" i="4"/>
  <c r="T4" i="1"/>
  <c r="T4" i="3"/>
  <c r="J4" i="3"/>
  <c r="J4" i="6"/>
  <c r="T4" i="6"/>
  <c r="T4" i="9"/>
  <c r="J4" i="9"/>
  <c r="T4" i="11"/>
  <c r="J4" i="4"/>
  <c r="J4" i="10"/>
  <c r="T32" i="1"/>
  <c r="U32" i="1" s="1"/>
  <c r="W32" i="1" s="1"/>
  <c r="T14" i="3"/>
  <c r="U14" i="3" s="1"/>
  <c r="W14" i="3" s="1"/>
  <c r="J14" i="3"/>
  <c r="T28" i="4"/>
  <c r="U28" i="4" s="1"/>
  <c r="W28" i="4" s="1"/>
  <c r="G28" i="4"/>
  <c r="T24" i="4"/>
  <c r="T12" i="4"/>
  <c r="U12" i="4" s="1"/>
  <c r="W12" i="4" s="1"/>
  <c r="T14" i="4"/>
  <c r="U14" i="4" s="1"/>
  <c r="W14" i="4" s="1"/>
  <c r="J6" i="6"/>
  <c r="T20" i="12"/>
  <c r="U20" i="12" s="1"/>
  <c r="W20" i="12" s="1"/>
  <c r="J20" i="12"/>
  <c r="T4" i="16"/>
  <c r="J6" i="16"/>
  <c r="J10" i="16"/>
  <c r="G12" i="16"/>
  <c r="J14" i="16"/>
  <c r="T14" i="16"/>
  <c r="U14" i="16" s="1"/>
  <c r="W14" i="16" s="1"/>
  <c r="T15" i="16"/>
  <c r="U15" i="16" s="1"/>
  <c r="W15" i="16" s="1"/>
  <c r="J17" i="16"/>
  <c r="J26" i="16"/>
  <c r="T28" i="16"/>
  <c r="U28" i="16" s="1"/>
  <c r="W28" i="16" s="1"/>
  <c r="J30" i="16"/>
  <c r="T30" i="16"/>
  <c r="U30" i="16" s="1"/>
  <c r="W30" i="16" s="1"/>
  <c r="T32" i="16"/>
  <c r="U32" i="16" s="1"/>
  <c r="W32" i="16" s="1"/>
  <c r="T5" i="18"/>
  <c r="U5" i="18" s="1"/>
  <c r="W5" i="18" s="1"/>
  <c r="G5" i="18"/>
  <c r="G6" i="18"/>
  <c r="G14" i="18"/>
  <c r="J16" i="18"/>
  <c r="G26" i="1"/>
  <c r="T26" i="1"/>
  <c r="U26" i="1" s="1"/>
  <c r="W26" i="1" s="1"/>
  <c r="G16" i="3"/>
  <c r="T24" i="1"/>
  <c r="T12" i="1"/>
  <c r="U12" i="1" s="1"/>
  <c r="W12" i="1" s="1"/>
  <c r="J28" i="12"/>
  <c r="T13" i="16"/>
  <c r="U13" i="16" s="1"/>
  <c r="W13" i="16" s="1"/>
  <c r="J9" i="16"/>
  <c r="G4" i="16"/>
  <c r="G24" i="4"/>
  <c r="T8" i="4"/>
  <c r="U8" i="4" s="1"/>
  <c r="W8" i="4" s="1"/>
  <c r="T18" i="3"/>
  <c r="U18" i="3" s="1"/>
  <c r="W18" i="3" s="1"/>
  <c r="G32" i="16"/>
  <c r="G17" i="10"/>
  <c r="J8" i="18"/>
  <c r="T16" i="1"/>
  <c r="G24" i="3"/>
  <c r="G14" i="3"/>
  <c r="G14" i="4"/>
  <c r="G25" i="10"/>
  <c r="T34" i="10"/>
  <c r="U34" i="10" s="1"/>
  <c r="W34" i="10" s="1"/>
  <c r="T20" i="1"/>
  <c r="U20" i="1" s="1"/>
  <c r="W20" i="1" s="1"/>
  <c r="G10" i="3"/>
  <c r="T7" i="16"/>
  <c r="U7" i="16" s="1"/>
  <c r="W7" i="16" s="1"/>
  <c r="G24" i="1"/>
  <c r="G28" i="3"/>
  <c r="T26" i="4"/>
  <c r="U26" i="4" s="1"/>
  <c r="W26" i="4" s="1"/>
  <c r="G13" i="10"/>
  <c r="G5" i="10"/>
  <c r="Q5" i="10" s="1"/>
  <c r="G34" i="18"/>
  <c r="G29" i="18"/>
  <c r="T20" i="18"/>
  <c r="U20" i="18" s="1"/>
  <c r="W20" i="18" s="1"/>
  <c r="J20" i="18"/>
  <c r="T29" i="3"/>
  <c r="U29" i="3" s="1"/>
  <c r="W29" i="3" s="1"/>
  <c r="G33" i="4"/>
  <c r="G5" i="4"/>
  <c r="G32" i="6"/>
  <c r="G4" i="1"/>
  <c r="T4" i="12"/>
  <c r="U4" i="12" s="1"/>
  <c r="W4" i="12" s="1"/>
  <c r="T34" i="1"/>
  <c r="U34" i="1" s="1"/>
  <c r="W34" i="1" s="1"/>
  <c r="G22" i="1"/>
  <c r="T18" i="1"/>
  <c r="U18" i="1" s="1"/>
  <c r="W18" i="1" s="1"/>
  <c r="T14" i="1"/>
  <c r="U14" i="1" s="1"/>
  <c r="W14" i="1" s="1"/>
  <c r="G10" i="1"/>
  <c r="T6" i="1"/>
  <c r="U6" i="1" s="1"/>
  <c r="W6" i="1" s="1"/>
  <c r="G28" i="1"/>
  <c r="G12" i="1"/>
  <c r="G8" i="1"/>
  <c r="J26" i="1"/>
  <c r="J22" i="1"/>
  <c r="J18" i="1"/>
  <c r="J24" i="1"/>
  <c r="J16" i="1"/>
  <c r="G12" i="3"/>
  <c r="G20" i="6"/>
  <c r="G12" i="6"/>
  <c r="T8" i="6"/>
  <c r="U8" i="6" s="1"/>
  <c r="W8" i="6" s="1"/>
  <c r="T5" i="9"/>
  <c r="U5" i="9" s="1"/>
  <c r="W5" i="9" s="1"/>
  <c r="T12" i="11"/>
  <c r="U12" i="11" s="1"/>
  <c r="W12" i="11" s="1"/>
  <c r="J20" i="9"/>
  <c r="J16" i="9"/>
  <c r="J12" i="9"/>
  <c r="T34" i="9"/>
  <c r="U34" i="9" s="1"/>
  <c r="W34" i="9" s="1"/>
  <c r="T29" i="10"/>
  <c r="U29" i="10" s="1"/>
  <c r="W29" i="10" s="1"/>
  <c r="G7" i="6"/>
  <c r="T10" i="1"/>
  <c r="U10" i="1" s="1"/>
  <c r="W10" i="1" s="1"/>
  <c r="T30" i="1"/>
  <c r="U30" i="1" s="1"/>
  <c r="W30" i="1" s="1"/>
  <c r="G20" i="11"/>
  <c r="J4" i="1"/>
  <c r="J17" i="4"/>
  <c r="T23" i="9"/>
  <c r="U23" i="9" s="1"/>
  <c r="W23" i="9" s="1"/>
  <c r="T11" i="9"/>
  <c r="U11" i="9" s="1"/>
  <c r="W11" i="9" s="1"/>
  <c r="J22" i="6"/>
  <c r="J32" i="9"/>
  <c r="T32" i="9"/>
  <c r="U32" i="9" s="1"/>
  <c r="W32" i="9" s="1"/>
  <c r="T24" i="9"/>
  <c r="J26" i="9"/>
  <c r="T22" i="9"/>
  <c r="U22" i="9" s="1"/>
  <c r="W22" i="9" s="1"/>
  <c r="J22" i="9"/>
  <c r="G24" i="10"/>
  <c r="J16" i="4"/>
  <c r="G8" i="16"/>
  <c r="J22" i="16"/>
  <c r="G30" i="18"/>
  <c r="J18" i="16"/>
  <c r="G18" i="18"/>
  <c r="G10" i="18"/>
  <c r="J12" i="10"/>
  <c r="T27" i="6"/>
  <c r="U27" i="6" s="1"/>
  <c r="W27" i="6" s="1"/>
  <c r="T19" i="6"/>
  <c r="U19" i="6" s="1"/>
  <c r="W19" i="6" s="1"/>
  <c r="J32" i="11"/>
  <c r="J27" i="11"/>
  <c r="G28" i="10"/>
  <c r="Q28" i="10" s="1"/>
  <c r="T16" i="11"/>
  <c r="U16" i="11" s="1"/>
  <c r="W16" i="11" s="1"/>
  <c r="T15" i="4"/>
  <c r="U15" i="4" s="1"/>
  <c r="W15" i="4" s="1"/>
  <c r="J20" i="10"/>
  <c r="T8" i="11"/>
  <c r="U8" i="11" s="1"/>
  <c r="W8" i="11" s="1"/>
  <c r="J12" i="12"/>
  <c r="G32" i="1"/>
  <c r="T8" i="1"/>
  <c r="U8" i="1" s="1"/>
  <c r="W8" i="1" s="1"/>
  <c r="J30" i="1"/>
  <c r="J14" i="1"/>
  <c r="J20" i="1"/>
  <c r="J9" i="4"/>
  <c r="G23" i="6"/>
  <c r="J23" i="9"/>
  <c r="J8" i="10"/>
  <c r="J20" i="11"/>
  <c r="J12" i="11"/>
  <c r="J8" i="11"/>
  <c r="T12" i="12"/>
  <c r="U12" i="12" s="1"/>
  <c r="W12" i="12" s="1"/>
  <c r="J34" i="6"/>
  <c r="S34" i="6" s="1"/>
  <c r="J26" i="6"/>
  <c r="G18" i="6"/>
  <c r="T22" i="4"/>
  <c r="U22" i="4" s="1"/>
  <c r="W22" i="4" s="1"/>
  <c r="J18" i="4"/>
  <c r="T18" i="4"/>
  <c r="U18" i="4" s="1"/>
  <c r="W18" i="4" s="1"/>
  <c r="T6" i="4"/>
  <c r="U6" i="4" s="1"/>
  <c r="W6" i="4" s="1"/>
  <c r="J6" i="4"/>
  <c r="J26" i="3"/>
  <c r="T22" i="3"/>
  <c r="U22" i="3" s="1"/>
  <c r="W22" i="3" s="1"/>
  <c r="J22" i="3"/>
  <c r="J32" i="3"/>
  <c r="J28" i="3"/>
  <c r="J24" i="3"/>
  <c r="J20" i="3"/>
  <c r="T20" i="3"/>
  <c r="U20" i="3" s="1"/>
  <c r="W20" i="3" s="1"/>
  <c r="T16" i="3"/>
  <c r="U16" i="3" s="1"/>
  <c r="W16" i="3" s="1"/>
  <c r="J12" i="3"/>
  <c r="T12" i="3"/>
  <c r="U12" i="3" s="1"/>
  <c r="W12" i="3" s="1"/>
  <c r="T8" i="3"/>
  <c r="T26" i="3"/>
  <c r="U26" i="3" s="1"/>
  <c r="W26" i="3" s="1"/>
  <c r="G18" i="3"/>
  <c r="G6" i="3"/>
  <c r="T32" i="3"/>
  <c r="U32" i="3" s="1"/>
  <c r="W32" i="3" s="1"/>
  <c r="T28" i="3"/>
  <c r="U28" i="3" s="1"/>
  <c r="W28" i="3" s="1"/>
  <c r="G20" i="3"/>
  <c r="J12" i="4"/>
  <c r="G6" i="1"/>
  <c r="T31" i="4"/>
  <c r="U31" i="4" s="1"/>
  <c r="W31" i="4" s="1"/>
  <c r="T29" i="4"/>
  <c r="U29" i="4" s="1"/>
  <c r="G8" i="6"/>
  <c r="T33" i="9"/>
  <c r="U33" i="9" s="1"/>
  <c r="W33" i="9" s="1"/>
  <c r="G32" i="10"/>
  <c r="Q32" i="10" s="1"/>
  <c r="T18" i="12"/>
  <c r="U18" i="12" s="1"/>
  <c r="T30" i="12"/>
  <c r="U30" i="12" s="1"/>
  <c r="W30" i="12" s="1"/>
  <c r="G10" i="12"/>
  <c r="Q10" i="12" s="1"/>
  <c r="P6" i="16" l="1"/>
  <c r="P25" i="9"/>
  <c r="P13" i="9"/>
  <c r="P5" i="9"/>
  <c r="P12" i="4"/>
  <c r="P28" i="4"/>
  <c r="P9" i="9"/>
  <c r="P20" i="10"/>
  <c r="P29" i="6"/>
  <c r="P28" i="1"/>
  <c r="P17" i="16"/>
  <c r="P16" i="4"/>
  <c r="P32" i="4"/>
  <c r="P4" i="3"/>
  <c r="P13" i="3"/>
  <c r="P8" i="11"/>
  <c r="P14" i="16"/>
  <c r="P5" i="12"/>
  <c r="P13" i="12"/>
  <c r="P29" i="12"/>
  <c r="P24" i="9"/>
  <c r="P23" i="4"/>
  <c r="P5" i="6"/>
  <c r="P13" i="6"/>
  <c r="P20" i="11"/>
  <c r="P8" i="10"/>
  <c r="P24" i="10"/>
  <c r="P25" i="3"/>
  <c r="P17" i="3"/>
  <c r="P21" i="12"/>
  <c r="P21" i="6"/>
  <c r="P16" i="10"/>
  <c r="P12" i="9"/>
  <c r="P28" i="9"/>
  <c r="P32" i="6"/>
  <c r="P27" i="4"/>
  <c r="P11" i="3"/>
  <c r="P4" i="12"/>
  <c r="P5" i="3"/>
  <c r="P10" i="4"/>
  <c r="P26" i="4"/>
  <c r="P18" i="1"/>
  <c r="P20" i="4"/>
  <c r="P8" i="3"/>
  <c r="P29" i="16"/>
  <c r="P21" i="16"/>
  <c r="P10" i="12"/>
  <c r="P34" i="9"/>
  <c r="P31" i="11"/>
  <c r="P21" i="11"/>
  <c r="P17" i="12"/>
  <c r="P25" i="6"/>
  <c r="P8" i="4"/>
  <c r="P16" i="3"/>
  <c r="P12" i="1"/>
  <c r="P34" i="4"/>
  <c r="P6" i="3"/>
  <c r="P22" i="3"/>
  <c r="P34" i="3"/>
  <c r="P18" i="16"/>
  <c r="P10" i="16"/>
  <c r="P12" i="11"/>
  <c r="P9" i="16"/>
  <c r="P27" i="12"/>
  <c r="P31" i="10"/>
  <c r="P16" i="6"/>
  <c r="P11" i="4"/>
  <c r="P27" i="3"/>
  <c r="P6" i="10"/>
  <c r="P8" i="1"/>
  <c r="P23" i="6"/>
  <c r="P18" i="3"/>
  <c r="P10" i="3"/>
  <c r="P28" i="10"/>
  <c r="P33" i="9"/>
  <c r="P24" i="1"/>
  <c r="P9" i="3"/>
  <c r="M36" i="1"/>
  <c r="P28" i="18"/>
  <c r="P20" i="18"/>
  <c r="P25" i="16"/>
  <c r="P13" i="18"/>
  <c r="P9" i="18"/>
  <c r="P5" i="18"/>
  <c r="P13" i="10"/>
  <c r="P29" i="10"/>
  <c r="P26" i="12"/>
  <c r="P6" i="6"/>
  <c r="P22" i="6"/>
  <c r="P9" i="4"/>
  <c r="P25" i="4"/>
  <c r="P17" i="1"/>
  <c r="P33" i="1"/>
  <c r="P34" i="6"/>
  <c r="P14" i="11"/>
  <c r="P30" i="11"/>
  <c r="P24" i="3"/>
  <c r="Q33" i="3"/>
  <c r="P33" i="3"/>
  <c r="P28" i="11"/>
  <c r="P13" i="16"/>
  <c r="P5" i="16"/>
  <c r="P11" i="12"/>
  <c r="P15" i="10"/>
  <c r="P15" i="3"/>
  <c r="P19" i="1"/>
  <c r="P15" i="18"/>
  <c r="P22" i="10"/>
  <c r="P28" i="3"/>
  <c r="P16" i="1"/>
  <c r="P7" i="6"/>
  <c r="P26" i="3"/>
  <c r="P34" i="1"/>
  <c r="P12" i="10"/>
  <c r="P20" i="3"/>
  <c r="P32" i="18"/>
  <c r="P24" i="18"/>
  <c r="P33" i="16"/>
  <c r="P9" i="12"/>
  <c r="P25" i="12"/>
  <c r="P33" i="12"/>
  <c r="P17" i="6"/>
  <c r="P33" i="6"/>
  <c r="P16" i="11"/>
  <c r="P24" i="11"/>
  <c r="P32" i="11"/>
  <c r="P21" i="3"/>
  <c r="P4" i="6"/>
  <c r="P7" i="3"/>
  <c r="P23" i="3"/>
  <c r="P17" i="9"/>
  <c r="P24" i="4"/>
  <c r="P32" i="3"/>
  <c r="P20" i="1"/>
  <c r="P29" i="3"/>
  <c r="P29" i="9"/>
  <c r="P12" i="3"/>
  <c r="P5" i="11"/>
  <c r="P33" i="10"/>
  <c r="P20" i="16"/>
  <c r="P11" i="16"/>
  <c r="P19" i="12"/>
  <c r="P7" i="10"/>
  <c r="P23" i="10"/>
  <c r="P8" i="6"/>
  <c r="P24" i="6"/>
  <c r="P19" i="4"/>
  <c r="P31" i="3"/>
  <c r="P11" i="1"/>
  <c r="P27" i="1"/>
  <c r="P4" i="9"/>
  <c r="K36" i="1"/>
  <c r="K37" i="1" s="1"/>
  <c r="P14" i="10"/>
  <c r="P30" i="10"/>
  <c r="P27" i="9"/>
  <c r="P17" i="18"/>
  <c r="P15" i="6"/>
  <c r="P31" i="6"/>
  <c r="P18" i="4"/>
  <c r="P10" i="1"/>
  <c r="P26" i="1"/>
  <c r="P34" i="18"/>
  <c r="P30" i="18"/>
  <c r="P26" i="18"/>
  <c r="P22" i="18"/>
  <c r="P18" i="18"/>
  <c r="P31" i="16"/>
  <c r="P27" i="16"/>
  <c r="P23" i="16"/>
  <c r="P11" i="18"/>
  <c r="P7" i="18"/>
  <c r="P5" i="10"/>
  <c r="P21" i="10"/>
  <c r="P18" i="12"/>
  <c r="P14" i="6"/>
  <c r="P30" i="6"/>
  <c r="P17" i="4"/>
  <c r="P33" i="4"/>
  <c r="P9" i="1"/>
  <c r="P25" i="1"/>
  <c r="P6" i="11"/>
  <c r="P22" i="11"/>
  <c r="P7" i="11"/>
  <c r="P23" i="11"/>
  <c r="P12" i="12"/>
  <c r="P28" i="12"/>
  <c r="P13" i="11"/>
  <c r="P29" i="11"/>
  <c r="P7" i="12"/>
  <c r="P23" i="12"/>
  <c r="P11" i="10"/>
  <c r="P27" i="10"/>
  <c r="P8" i="9"/>
  <c r="P12" i="6"/>
  <c r="P28" i="6"/>
  <c r="P7" i="4"/>
  <c r="P15" i="1"/>
  <c r="P31" i="1"/>
  <c r="P4" i="1"/>
  <c r="L36" i="1"/>
  <c r="P18" i="10"/>
  <c r="P15" i="9"/>
  <c r="P31" i="9"/>
  <c r="P19" i="6"/>
  <c r="P6" i="4"/>
  <c r="P22" i="4"/>
  <c r="P14" i="1"/>
  <c r="P30" i="1"/>
  <c r="N5" i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P33" i="18"/>
  <c r="P29" i="18"/>
  <c r="P25" i="18"/>
  <c r="P21" i="18"/>
  <c r="P34" i="16"/>
  <c r="P30" i="16"/>
  <c r="P26" i="16"/>
  <c r="P22" i="16"/>
  <c r="P14" i="18"/>
  <c r="P10" i="18"/>
  <c r="P6" i="18"/>
  <c r="P32" i="10"/>
  <c r="P9" i="10"/>
  <c r="P25" i="10"/>
  <c r="P14" i="9"/>
  <c r="P6" i="12"/>
  <c r="P22" i="12"/>
  <c r="P30" i="9"/>
  <c r="P18" i="6"/>
  <c r="P5" i="4"/>
  <c r="P21" i="4"/>
  <c r="P13" i="1"/>
  <c r="P29" i="1"/>
  <c r="P10" i="11"/>
  <c r="P26" i="11"/>
  <c r="P11" i="11"/>
  <c r="P27" i="11"/>
  <c r="P16" i="12"/>
  <c r="P32" i="12"/>
  <c r="P17" i="11"/>
  <c r="P33" i="11"/>
  <c r="P4" i="11"/>
  <c r="P15" i="11"/>
  <c r="P20" i="12"/>
  <c r="P4" i="18"/>
  <c r="P16" i="18"/>
  <c r="P16" i="16"/>
  <c r="P12" i="16"/>
  <c r="P8" i="16"/>
  <c r="P4" i="16"/>
  <c r="P15" i="12"/>
  <c r="P31" i="12"/>
  <c r="P19" i="10"/>
  <c r="P16" i="9"/>
  <c r="P32" i="9"/>
  <c r="P20" i="6"/>
  <c r="P15" i="4"/>
  <c r="P31" i="4"/>
  <c r="P19" i="3"/>
  <c r="P7" i="1"/>
  <c r="P23" i="1"/>
  <c r="P4" i="10"/>
  <c r="P10" i="10"/>
  <c r="P26" i="10"/>
  <c r="P23" i="9"/>
  <c r="P11" i="6"/>
  <c r="P27" i="6"/>
  <c r="P14" i="4"/>
  <c r="P30" i="4"/>
  <c r="P30" i="3"/>
  <c r="P6" i="1"/>
  <c r="P22" i="1"/>
  <c r="O36" i="1"/>
  <c r="O37" i="1" s="1"/>
  <c r="P31" i="18"/>
  <c r="P27" i="18"/>
  <c r="P23" i="18"/>
  <c r="P19" i="18"/>
  <c r="P32" i="16"/>
  <c r="P28" i="16"/>
  <c r="P24" i="16"/>
  <c r="P12" i="18"/>
  <c r="P8" i="18"/>
  <c r="P17" i="10"/>
  <c r="P34" i="10"/>
  <c r="P22" i="9"/>
  <c r="P14" i="12"/>
  <c r="P30" i="12"/>
  <c r="P10" i="6"/>
  <c r="P26" i="6"/>
  <c r="P13" i="4"/>
  <c r="P29" i="4"/>
  <c r="P5" i="1"/>
  <c r="P21" i="1"/>
  <c r="P18" i="11"/>
  <c r="P34" i="11"/>
  <c r="P19" i="11"/>
  <c r="P8" i="12"/>
  <c r="P24" i="12"/>
  <c r="P9" i="11"/>
  <c r="P25" i="11"/>
  <c r="P26" i="9"/>
  <c r="P21" i="9"/>
  <c r="P20" i="9"/>
  <c r="P19" i="9"/>
  <c r="P18" i="9"/>
  <c r="P11" i="9"/>
  <c r="P10" i="9"/>
  <c r="P7" i="9"/>
  <c r="P6" i="9"/>
  <c r="Q19" i="10"/>
  <c r="Q14" i="10"/>
  <c r="Q27" i="12"/>
  <c r="Q26" i="10"/>
  <c r="Q18" i="10"/>
  <c r="Q31" i="12"/>
  <c r="Q9" i="12"/>
  <c r="Q17" i="10"/>
  <c r="Q23" i="10"/>
  <c r="Q11" i="12"/>
  <c r="Q29" i="12"/>
  <c r="Q23" i="12"/>
  <c r="Q17" i="12"/>
  <c r="Q22" i="10"/>
  <c r="Q34" i="6"/>
  <c r="Q8" i="10"/>
  <c r="Q32" i="12"/>
  <c r="Q22" i="12"/>
  <c r="Q24" i="10"/>
  <c r="Q13" i="10"/>
  <c r="Q25" i="10"/>
  <c r="Q4" i="10"/>
  <c r="Q27" i="10"/>
  <c r="Q15" i="12"/>
  <c r="Q33" i="12"/>
  <c r="Q16" i="10"/>
  <c r="Q20" i="12"/>
  <c r="Q6" i="12"/>
  <c r="Q26" i="12"/>
  <c r="Q12" i="12"/>
  <c r="Q21" i="12"/>
  <c r="Q19" i="12"/>
  <c r="Q14" i="12"/>
  <c r="Q30" i="12"/>
  <c r="Q5" i="12"/>
  <c r="Q28" i="12"/>
  <c r="Q10" i="10"/>
  <c r="Q31" i="10"/>
  <c r="Q12" i="10"/>
  <c r="Q9" i="10"/>
  <c r="Q15" i="10"/>
  <c r="Q33" i="10"/>
  <c r="Q21" i="10"/>
  <c r="Q29" i="10"/>
  <c r="Q30" i="10"/>
  <c r="O36" i="3"/>
  <c r="O37" i="3" s="1"/>
  <c r="K36" i="4"/>
  <c r="K37" i="4" s="1"/>
  <c r="S23" i="16"/>
  <c r="Q23" i="16" s="1"/>
  <c r="T42" i="1"/>
  <c r="S9" i="18"/>
  <c r="Q9" i="18" s="1"/>
  <c r="S11" i="6"/>
  <c r="Q11" i="6" s="1"/>
  <c r="S25" i="16"/>
  <c r="Q25" i="16" s="1"/>
  <c r="S15" i="18"/>
  <c r="Q15" i="18" s="1"/>
  <c r="S4" i="18"/>
  <c r="Q4" i="18" s="1"/>
  <c r="S25" i="18"/>
  <c r="Q25" i="18" s="1"/>
  <c r="S25" i="6"/>
  <c r="Q25" i="6" s="1"/>
  <c r="S27" i="16"/>
  <c r="Q27" i="16" s="1"/>
  <c r="S21" i="16"/>
  <c r="Q21" i="16" s="1"/>
  <c r="S29" i="16"/>
  <c r="Q29" i="16" s="1"/>
  <c r="L36" i="8"/>
  <c r="L37" i="8" s="1"/>
  <c r="L36" i="3"/>
  <c r="L37" i="3" s="1"/>
  <c r="L36" i="13"/>
  <c r="L37" i="13" s="1"/>
  <c r="K36" i="12"/>
  <c r="K37" i="12" s="1"/>
  <c r="L36" i="12"/>
  <c r="L37" i="12" s="1"/>
  <c r="K36" i="13"/>
  <c r="K37" i="13" s="1"/>
  <c r="U21" i="16"/>
  <c r="W21" i="16" s="1"/>
  <c r="T36" i="13"/>
  <c r="K36" i="3"/>
  <c r="K37" i="3" s="1"/>
  <c r="S18" i="16"/>
  <c r="Q18" i="16" s="1"/>
  <c r="K36" i="8"/>
  <c r="K37" i="8" s="1"/>
  <c r="K36" i="16"/>
  <c r="K37" i="16" s="1"/>
  <c r="L36" i="16"/>
  <c r="L37" i="16" s="1"/>
  <c r="K36" i="18"/>
  <c r="K37" i="18" s="1"/>
  <c r="L36" i="18"/>
  <c r="L37" i="18" s="1"/>
  <c r="L36" i="6"/>
  <c r="L37" i="6" s="1"/>
  <c r="K36" i="6"/>
  <c r="K37" i="6" s="1"/>
  <c r="K36" i="9"/>
  <c r="K37" i="9" s="1"/>
  <c r="U12" i="18"/>
  <c r="W12" i="18" s="1"/>
  <c r="T42" i="18"/>
  <c r="M36" i="16"/>
  <c r="M37" i="16" s="1"/>
  <c r="U6" i="3"/>
  <c r="W6" i="3" s="1"/>
  <c r="T36" i="3"/>
  <c r="V40" i="3" s="1"/>
  <c r="M36" i="3"/>
  <c r="M37" i="3" s="1"/>
  <c r="L37" i="1"/>
  <c r="U16" i="1"/>
  <c r="W16" i="1" s="1"/>
  <c r="L36" i="11"/>
  <c r="L37" i="11" s="1"/>
  <c r="K36" i="11"/>
  <c r="K37" i="11" s="1"/>
  <c r="U19" i="9"/>
  <c r="W19" i="9" s="1"/>
  <c r="T36" i="9"/>
  <c r="L36" i="10"/>
  <c r="L37" i="10" s="1"/>
  <c r="K36" i="10"/>
  <c r="K37" i="10" s="1"/>
  <c r="L36" i="4"/>
  <c r="L37" i="4" s="1"/>
  <c r="T36" i="1"/>
  <c r="S23" i="6"/>
  <c r="Q23" i="6" s="1"/>
  <c r="S33" i="16"/>
  <c r="Q33" i="16" s="1"/>
  <c r="S27" i="6"/>
  <c r="Q27" i="6" s="1"/>
  <c r="S7" i="12"/>
  <c r="S15" i="6"/>
  <c r="Q15" i="6" s="1"/>
  <c r="S17" i="12"/>
  <c r="S22" i="6"/>
  <c r="Q22" i="6" s="1"/>
  <c r="S11" i="18"/>
  <c r="Q11" i="18" s="1"/>
  <c r="S14" i="11"/>
  <c r="Q14" i="11" s="1"/>
  <c r="S9" i="12"/>
  <c r="S32" i="11"/>
  <c r="Q32" i="11" s="1"/>
  <c r="S28" i="6"/>
  <c r="Q28" i="6" s="1"/>
  <c r="S30" i="6"/>
  <c r="Q30" i="6" s="1"/>
  <c r="S29" i="10"/>
  <c r="S6" i="6"/>
  <c r="Q6" i="6" s="1"/>
  <c r="S8" i="10"/>
  <c r="S19" i="18"/>
  <c r="Q19" i="18" s="1"/>
  <c r="S11" i="16"/>
  <c r="Q11" i="16" s="1"/>
  <c r="S21" i="10"/>
  <c r="S32" i="18"/>
  <c r="Q32" i="18" s="1"/>
  <c r="S26" i="6"/>
  <c r="Q26" i="6" s="1"/>
  <c r="S10" i="6"/>
  <c r="Q10" i="6" s="1"/>
  <c r="S33" i="12"/>
  <c r="S27" i="18"/>
  <c r="Q27" i="18" s="1"/>
  <c r="S5" i="16"/>
  <c r="Q5" i="16" s="1"/>
  <c r="S17" i="18"/>
  <c r="Q17" i="18" s="1"/>
  <c r="S29" i="12"/>
  <c r="S13" i="16"/>
  <c r="Q13" i="16" s="1"/>
  <c r="S21" i="12"/>
  <c r="S25" i="12"/>
  <c r="S7" i="18"/>
  <c r="Q7" i="18" s="1"/>
  <c r="S5" i="12"/>
  <c r="S13" i="12"/>
  <c r="U24" i="4"/>
  <c r="W24" i="4" s="1"/>
  <c r="T36" i="16"/>
  <c r="C7" i="15" s="1"/>
  <c r="U4" i="11"/>
  <c r="W4" i="11" s="1"/>
  <c r="T42" i="11"/>
  <c r="U4" i="18"/>
  <c r="W4" i="18" s="1"/>
  <c r="U4" i="16"/>
  <c r="W4" i="16" s="1"/>
  <c r="T42" i="16"/>
  <c r="U4" i="10"/>
  <c r="W4" i="10" s="1"/>
  <c r="T42" i="10"/>
  <c r="U24" i="18"/>
  <c r="W24" i="18" s="1"/>
  <c r="T36" i="8"/>
  <c r="U24" i="11"/>
  <c r="W24" i="11" s="1"/>
  <c r="T36" i="12"/>
  <c r="U24" i="1"/>
  <c r="W24" i="1" s="1"/>
  <c r="U4" i="9"/>
  <c r="W4" i="9" s="1"/>
  <c r="T42" i="9"/>
  <c r="U4" i="3"/>
  <c r="W4" i="3" s="1"/>
  <c r="T42" i="3"/>
  <c r="U24" i="16"/>
  <c r="W24" i="16" s="1"/>
  <c r="T36" i="6"/>
  <c r="W40" i="6" s="1"/>
  <c r="U24" i="3"/>
  <c r="W24" i="3" s="1"/>
  <c r="T36" i="4"/>
  <c r="V40" i="4" s="1"/>
  <c r="U24" i="9"/>
  <c r="W24" i="9" s="1"/>
  <c r="T36" i="10"/>
  <c r="U4" i="6"/>
  <c r="W4" i="6" s="1"/>
  <c r="T42" i="6"/>
  <c r="U4" i="1"/>
  <c r="W4" i="1" s="1"/>
  <c r="U4" i="4"/>
  <c r="W4" i="4" s="1"/>
  <c r="T42" i="4"/>
  <c r="W43" i="4" s="1"/>
  <c r="U24" i="6"/>
  <c r="W24" i="6" s="1"/>
  <c r="T36" i="18"/>
  <c r="W40" i="18" s="1"/>
  <c r="U24" i="10"/>
  <c r="W24" i="10" s="1"/>
  <c r="T36" i="11"/>
  <c r="V40" i="11" s="1"/>
  <c r="U25" i="12"/>
  <c r="W25" i="12" s="1"/>
  <c r="T42" i="12"/>
  <c r="S12" i="18"/>
  <c r="Q12" i="18" s="1"/>
  <c r="S15" i="16"/>
  <c r="Q15" i="16" s="1"/>
  <c r="S23" i="18"/>
  <c r="Q23" i="18" s="1"/>
  <c r="S16" i="6"/>
  <c r="Q16" i="6" s="1"/>
  <c r="S28" i="11"/>
  <c r="Q28" i="11" s="1"/>
  <c r="S32" i="12"/>
  <c r="S28" i="10"/>
  <c r="S26" i="10"/>
  <c r="S13" i="18"/>
  <c r="Q13" i="18" s="1"/>
  <c r="S23" i="1"/>
  <c r="Q23" i="1" s="1"/>
  <c r="S11" i="3"/>
  <c r="Q11" i="3" s="1"/>
  <c r="S30" i="12"/>
  <c r="S23" i="12"/>
  <c r="S25" i="9"/>
  <c r="Q25" i="9" s="1"/>
  <c r="S11" i="1"/>
  <c r="Q11" i="1" s="1"/>
  <c r="S30" i="10"/>
  <c r="S31" i="18"/>
  <c r="Q31" i="18" s="1"/>
  <c r="S15" i="10"/>
  <c r="S7" i="3"/>
  <c r="Q7" i="3" s="1"/>
  <c r="S15" i="1"/>
  <c r="Q15" i="1" s="1"/>
  <c r="S34" i="18"/>
  <c r="Q34" i="18" s="1"/>
  <c r="S23" i="3"/>
  <c r="Q23" i="3" s="1"/>
  <c r="S16" i="11"/>
  <c r="Q16" i="11" s="1"/>
  <c r="D26" i="15"/>
  <c r="D29" i="15" s="1"/>
  <c r="S18" i="11"/>
  <c r="Q18" i="11" s="1"/>
  <c r="S33" i="18"/>
  <c r="Q33" i="18" s="1"/>
  <c r="S14" i="6"/>
  <c r="Q14" i="6" s="1"/>
  <c r="S13" i="4"/>
  <c r="Q13" i="4" s="1"/>
  <c r="S5" i="1"/>
  <c r="Q5" i="1" s="1"/>
  <c r="S23" i="9"/>
  <c r="Q23" i="9" s="1"/>
  <c r="S12" i="10"/>
  <c r="S17" i="4"/>
  <c r="Q17" i="4" s="1"/>
  <c r="S9" i="4"/>
  <c r="Q9" i="4" s="1"/>
  <c r="S14" i="9"/>
  <c r="Q14" i="9" s="1"/>
  <c r="S10" i="18"/>
  <c r="Q10" i="18" s="1"/>
  <c r="S12" i="6"/>
  <c r="Q12" i="6" s="1"/>
  <c r="S12" i="11"/>
  <c r="Q12" i="11" s="1"/>
  <c r="S10" i="12"/>
  <c r="S8" i="11"/>
  <c r="Q8" i="11" s="1"/>
  <c r="S4" i="12"/>
  <c r="S19" i="6"/>
  <c r="Q19" i="6" s="1"/>
  <c r="S15" i="3"/>
  <c r="Q15" i="3" s="1"/>
  <c r="S16" i="12"/>
  <c r="S7" i="6"/>
  <c r="Q7" i="6" s="1"/>
  <c r="S29" i="4"/>
  <c r="Q29" i="4" s="1"/>
  <c r="S18" i="10"/>
  <c r="S24" i="12"/>
  <c r="S5" i="4"/>
  <c r="Q5" i="4" s="1"/>
  <c r="S21" i="6"/>
  <c r="Q21" i="6" s="1"/>
  <c r="S17" i="1"/>
  <c r="Q17" i="1" s="1"/>
  <c r="S17" i="3"/>
  <c r="Q17" i="3" s="1"/>
  <c r="S10" i="11"/>
  <c r="Q10" i="11" s="1"/>
  <c r="S9" i="10"/>
  <c r="S26" i="18"/>
  <c r="Q26" i="18" s="1"/>
  <c r="S14" i="12"/>
  <c r="S32" i="4"/>
  <c r="Q32" i="4" s="1"/>
  <c r="S29" i="9"/>
  <c r="Q29" i="9" s="1"/>
  <c r="S33" i="10"/>
  <c r="S25" i="10"/>
  <c r="S6" i="9"/>
  <c r="Q6" i="9" s="1"/>
  <c r="S21" i="11"/>
  <c r="Q21" i="11" s="1"/>
  <c r="S15" i="12"/>
  <c r="S7" i="11"/>
  <c r="Q7" i="11" s="1"/>
  <c r="S30" i="9"/>
  <c r="Q30" i="9" s="1"/>
  <c r="S21" i="4"/>
  <c r="Q21" i="4" s="1"/>
  <c r="S8" i="12"/>
  <c r="S24" i="10"/>
  <c r="S20" i="6"/>
  <c r="Q20" i="6" s="1"/>
  <c r="S28" i="12"/>
  <c r="S16" i="3"/>
  <c r="Q16" i="3" s="1"/>
  <c r="S10" i="16"/>
  <c r="Q10" i="16" s="1"/>
  <c r="S9" i="6"/>
  <c r="Q9" i="6" s="1"/>
  <c r="S20" i="1"/>
  <c r="Q20" i="1" s="1"/>
  <c r="S32" i="1"/>
  <c r="Q32" i="1" s="1"/>
  <c r="S5" i="11"/>
  <c r="Q5" i="11" s="1"/>
  <c r="S31" i="1"/>
  <c r="Q31" i="1" s="1"/>
  <c r="S13" i="9"/>
  <c r="Q13" i="9" s="1"/>
  <c r="S19" i="9"/>
  <c r="Q19" i="9" s="1"/>
  <c r="S15" i="4"/>
  <c r="Q15" i="4" s="1"/>
  <c r="S25" i="3"/>
  <c r="Q25" i="3" s="1"/>
  <c r="S6" i="12"/>
  <c r="S15" i="9"/>
  <c r="Q15" i="9" s="1"/>
  <c r="S8" i="6"/>
  <c r="Q8" i="6" s="1"/>
  <c r="S22" i="16"/>
  <c r="Q22" i="16" s="1"/>
  <c r="S20" i="12"/>
  <c r="S22" i="12"/>
  <c r="S7" i="9"/>
  <c r="Q7" i="9" s="1"/>
  <c r="S11" i="12"/>
  <c r="S19" i="4"/>
  <c r="Q19" i="4" s="1"/>
  <c r="S30" i="11"/>
  <c r="Q30" i="11" s="1"/>
  <c r="S30" i="18"/>
  <c r="Q30" i="18" s="1"/>
  <c r="S5" i="10"/>
  <c r="S27" i="12"/>
  <c r="S10" i="10"/>
  <c r="S23" i="10"/>
  <c r="S26" i="3"/>
  <c r="Q26" i="3" s="1"/>
  <c r="S18" i="4"/>
  <c r="Q18" i="4" s="1"/>
  <c r="S30" i="16"/>
  <c r="Q30" i="16" s="1"/>
  <c r="S17" i="16"/>
  <c r="Q17" i="16" s="1"/>
  <c r="S12" i="16"/>
  <c r="Q12" i="16" s="1"/>
  <c r="S27" i="4"/>
  <c r="Q27" i="4" s="1"/>
  <c r="S17" i="6"/>
  <c r="Q17" i="6" s="1"/>
  <c r="S21" i="9"/>
  <c r="Q21" i="9" s="1"/>
  <c r="S24" i="3"/>
  <c r="Q24" i="3" s="1"/>
  <c r="S9" i="9"/>
  <c r="Q9" i="9" s="1"/>
  <c r="S33" i="11"/>
  <c r="Q33" i="11" s="1"/>
  <c r="S25" i="1"/>
  <c r="Q25" i="1" s="1"/>
  <c r="S33" i="1"/>
  <c r="Q33" i="1" s="1"/>
  <c r="S5" i="3"/>
  <c r="Q5" i="3" s="1"/>
  <c r="S11" i="9"/>
  <c r="Q11" i="9" s="1"/>
  <c r="S9" i="11"/>
  <c r="Q9" i="11" s="1"/>
  <c r="S9" i="3"/>
  <c r="Q9" i="3" s="1"/>
  <c r="S31" i="6"/>
  <c r="Q31" i="6" s="1"/>
  <c r="S22" i="11"/>
  <c r="Q22" i="11" s="1"/>
  <c r="S19" i="3"/>
  <c r="Q19" i="3" s="1"/>
  <c r="S8" i="4"/>
  <c r="Q8" i="4" s="1"/>
  <c r="S8" i="3"/>
  <c r="Q8" i="3" s="1"/>
  <c r="S31" i="4"/>
  <c r="Q31" i="4" s="1"/>
  <c r="S27" i="1"/>
  <c r="Q27" i="1" s="1"/>
  <c r="S26" i="11"/>
  <c r="Q26" i="11" s="1"/>
  <c r="S31" i="9"/>
  <c r="Q31" i="9" s="1"/>
  <c r="S34" i="11"/>
  <c r="Q34" i="11" s="1"/>
  <c r="S32" i="16"/>
  <c r="Q32" i="16" s="1"/>
  <c r="S22" i="4"/>
  <c r="Q22" i="4" s="1"/>
  <c r="S4" i="11"/>
  <c r="Q4" i="11" s="1"/>
  <c r="S18" i="18"/>
  <c r="Q18" i="18" s="1"/>
  <c r="S4" i="3"/>
  <c r="Q4" i="3" s="1"/>
  <c r="S6" i="10"/>
  <c r="S10" i="4"/>
  <c r="Q10" i="4" s="1"/>
  <c r="S13" i="3"/>
  <c r="Q13" i="3" s="1"/>
  <c r="S27" i="9"/>
  <c r="Q27" i="9" s="1"/>
  <c r="S17" i="9"/>
  <c r="Q17" i="9" s="1"/>
  <c r="S32" i="9"/>
  <c r="Q32" i="9" s="1"/>
  <c r="S18" i="6"/>
  <c r="Q18" i="6" s="1"/>
  <c r="S20" i="10"/>
  <c r="S16" i="4"/>
  <c r="Q16" i="4" s="1"/>
  <c r="S5" i="18"/>
  <c r="Q5" i="18" s="1"/>
  <c r="S14" i="16"/>
  <c r="Q14" i="16" s="1"/>
  <c r="S14" i="10"/>
  <c r="S18" i="12"/>
  <c r="S31" i="12"/>
  <c r="S18" i="9"/>
  <c r="Q18" i="9" s="1"/>
  <c r="S31" i="11"/>
  <c r="Q31" i="11" s="1"/>
  <c r="S22" i="9"/>
  <c r="Q22" i="9" s="1"/>
  <c r="S12" i="9"/>
  <c r="Q12" i="9" s="1"/>
  <c r="S32" i="6"/>
  <c r="Q32" i="6" s="1"/>
  <c r="S29" i="18"/>
  <c r="Q29" i="18" s="1"/>
  <c r="S28" i="4"/>
  <c r="Q28" i="4" s="1"/>
  <c r="S24" i="6"/>
  <c r="Q24" i="6" s="1"/>
  <c r="S26" i="12"/>
  <c r="S28" i="18"/>
  <c r="Q28" i="18" s="1"/>
  <c r="S24" i="16"/>
  <c r="Q24" i="16" s="1"/>
  <c r="S28" i="16"/>
  <c r="Q28" i="16" s="1"/>
  <c r="S22" i="18"/>
  <c r="Q22" i="18" s="1"/>
  <c r="S33" i="9"/>
  <c r="Q33" i="9" s="1"/>
  <c r="S24" i="18"/>
  <c r="Q24" i="18" s="1"/>
  <c r="S27" i="11"/>
  <c r="Q27" i="11" s="1"/>
  <c r="S16" i="9"/>
  <c r="Q16" i="9" s="1"/>
  <c r="S24" i="9"/>
  <c r="Q24" i="9" s="1"/>
  <c r="S25" i="11"/>
  <c r="Q25" i="11" s="1"/>
  <c r="S7" i="10"/>
  <c r="S22" i="10"/>
  <c r="S31" i="3"/>
  <c r="Q31" i="3" s="1"/>
  <c r="S12" i="12"/>
  <c r="S14" i="18"/>
  <c r="Q14" i="18" s="1"/>
  <c r="S25" i="4"/>
  <c r="Q25" i="4" s="1"/>
  <c r="S10" i="9"/>
  <c r="Q10" i="9" s="1"/>
  <c r="S20" i="4"/>
  <c r="Q20" i="4" s="1"/>
  <c r="S30" i="4"/>
  <c r="Q30" i="4" s="1"/>
  <c r="S17" i="11"/>
  <c r="Q17" i="11" s="1"/>
  <c r="S5" i="9"/>
  <c r="Q5" i="9" s="1"/>
  <c r="S13" i="1"/>
  <c r="Q13" i="1" s="1"/>
  <c r="S13" i="6"/>
  <c r="Q13" i="6" s="1"/>
  <c r="S6" i="11"/>
  <c r="Q6" i="11" s="1"/>
  <c r="S29" i="6"/>
  <c r="Q29" i="6" s="1"/>
  <c r="S5" i="6"/>
  <c r="Q5" i="6" s="1"/>
  <c r="S4" i="9"/>
  <c r="Q4" i="9" s="1"/>
  <c r="S26" i="4"/>
  <c r="Q26" i="4" s="1"/>
  <c r="S7" i="1"/>
  <c r="Q7" i="1" s="1"/>
  <c r="S18" i="3"/>
  <c r="Q18" i="3" s="1"/>
  <c r="S22" i="3"/>
  <c r="Q22" i="3" s="1"/>
  <c r="S8" i="9"/>
  <c r="Q8" i="9" s="1"/>
  <c r="S16" i="10"/>
  <c r="S7" i="4"/>
  <c r="Q7" i="4" s="1"/>
  <c r="S30" i="1"/>
  <c r="Q30" i="1" s="1"/>
  <c r="S15" i="11"/>
  <c r="Q15" i="11" s="1"/>
  <c r="S13" i="11"/>
  <c r="Q13" i="11" s="1"/>
  <c r="S21" i="1"/>
  <c r="Q21" i="1" s="1"/>
  <c r="S29" i="11"/>
  <c r="Q29" i="11" s="1"/>
  <c r="S29" i="1"/>
  <c r="Q29" i="1" s="1"/>
  <c r="S30" i="3"/>
  <c r="Q30" i="3" s="1"/>
  <c r="S33" i="6"/>
  <c r="Q33" i="6" s="1"/>
  <c r="S24" i="11"/>
  <c r="Q24" i="11" s="1"/>
  <c r="S11" i="4"/>
  <c r="Q11" i="4" s="1"/>
  <c r="S28" i="3"/>
  <c r="Q28" i="3" s="1"/>
  <c r="S7" i="16"/>
  <c r="Q7" i="16" s="1"/>
  <c r="S31" i="16"/>
  <c r="Q31" i="16" s="1"/>
  <c r="S19" i="1"/>
  <c r="Q19" i="1" s="1"/>
  <c r="S9" i="1"/>
  <c r="Q9" i="1" s="1"/>
  <c r="S27" i="3"/>
  <c r="Q27" i="3" s="1"/>
  <c r="S32" i="10"/>
  <c r="S12" i="4"/>
  <c r="Q12" i="4" s="1"/>
  <c r="S6" i="3"/>
  <c r="Q6" i="3" s="1"/>
  <c r="S6" i="4"/>
  <c r="Q6" i="4" s="1"/>
  <c r="S20" i="16"/>
  <c r="Q20" i="16" s="1"/>
  <c r="S14" i="3"/>
  <c r="Q14" i="3" s="1"/>
  <c r="S26" i="16"/>
  <c r="Q26" i="16" s="1"/>
  <c r="S16" i="16"/>
  <c r="Q16" i="16" s="1"/>
  <c r="S19" i="10"/>
  <c r="S11" i="11"/>
  <c r="Q11" i="11" s="1"/>
  <c r="S32" i="3"/>
  <c r="Q32" i="3" s="1"/>
  <c r="S26" i="9"/>
  <c r="Q26" i="9" s="1"/>
  <c r="S9" i="16"/>
  <c r="Q9" i="16" s="1"/>
  <c r="S19" i="12"/>
  <c r="S8" i="16"/>
  <c r="Q8" i="16" s="1"/>
  <c r="S18" i="1"/>
  <c r="Q18" i="1" s="1"/>
  <c r="S12" i="1"/>
  <c r="Q12" i="1" s="1"/>
  <c r="S33" i="4"/>
  <c r="Q33" i="4" s="1"/>
  <c r="S20" i="18"/>
  <c r="Q20" i="18" s="1"/>
  <c r="S13" i="10"/>
  <c r="S8" i="18"/>
  <c r="Q8" i="18" s="1"/>
  <c r="S24" i="4"/>
  <c r="Q24" i="4" s="1"/>
  <c r="S4" i="10"/>
  <c r="S27" i="10"/>
  <c r="S8" i="1"/>
  <c r="Q8" i="1" s="1"/>
  <c r="S14" i="1"/>
  <c r="Q14" i="1" s="1"/>
  <c r="S20" i="9"/>
  <c r="Q20" i="9" s="1"/>
  <c r="S14" i="4"/>
  <c r="Q14" i="4" s="1"/>
  <c r="S6" i="18"/>
  <c r="Q6" i="18" s="1"/>
  <c r="S6" i="1"/>
  <c r="Q6" i="1" s="1"/>
  <c r="S12" i="3"/>
  <c r="Q12" i="3" s="1"/>
  <c r="S28" i="1"/>
  <c r="Q28" i="1" s="1"/>
  <c r="S17" i="10"/>
  <c r="S4" i="16"/>
  <c r="Q4" i="16" s="1"/>
  <c r="S16" i="18"/>
  <c r="Q16" i="18" s="1"/>
  <c r="S6" i="16"/>
  <c r="Q6" i="16" s="1"/>
  <c r="S31" i="10"/>
  <c r="S34" i="1"/>
  <c r="Q34" i="1" s="1"/>
  <c r="S4" i="4"/>
  <c r="Q4" i="4" s="1"/>
  <c r="S23" i="4"/>
  <c r="Q23" i="4" s="1"/>
  <c r="S10" i="1"/>
  <c r="Q10" i="1" s="1"/>
  <c r="S21" i="18"/>
  <c r="Q21" i="18" s="1"/>
  <c r="S20" i="11"/>
  <c r="Q20" i="11" s="1"/>
  <c r="S16" i="1"/>
  <c r="Q16" i="1" s="1"/>
  <c r="S11" i="10"/>
  <c r="S21" i="3"/>
  <c r="Q21" i="3" s="1"/>
  <c r="S29" i="3"/>
  <c r="Q29" i="3" s="1"/>
  <c r="S4" i="6"/>
  <c r="Q4" i="6" s="1"/>
  <c r="S23" i="11"/>
  <c r="Q23" i="11" s="1"/>
  <c r="S28" i="9"/>
  <c r="Q28" i="9" s="1"/>
  <c r="S19" i="11"/>
  <c r="Q19" i="11" s="1"/>
  <c r="S24" i="1"/>
  <c r="Q24" i="1" s="1"/>
  <c r="S4" i="1"/>
  <c r="Q4" i="1" s="1"/>
  <c r="S10" i="3"/>
  <c r="Q10" i="3" s="1"/>
  <c r="S34" i="4"/>
  <c r="Q34" i="4" s="1"/>
  <c r="S22" i="1"/>
  <c r="Q22" i="1" s="1"/>
  <c r="S26" i="1"/>
  <c r="Q26" i="1" s="1"/>
  <c r="S20" i="3"/>
  <c r="Q20" i="3" s="1"/>
  <c r="W6" i="6"/>
  <c r="U8" i="3"/>
  <c r="W14" i="11"/>
  <c r="W11" i="16"/>
  <c r="W18" i="12"/>
  <c r="W29" i="4"/>
  <c r="N36" i="1" l="1"/>
  <c r="N37" i="1" s="1"/>
  <c r="P36" i="1"/>
  <c r="P37" i="1" s="1"/>
  <c r="Q36" i="1"/>
  <c r="M36" i="8"/>
  <c r="M37" i="8" s="1"/>
  <c r="M36" i="12"/>
  <c r="M37" i="12" s="1"/>
  <c r="P36" i="12"/>
  <c r="P37" i="12" s="1"/>
  <c r="M36" i="13"/>
  <c r="M37" i="13" s="1"/>
  <c r="P36" i="13"/>
  <c r="P37" i="13" s="1"/>
  <c r="M36" i="11"/>
  <c r="M37" i="11" s="1"/>
  <c r="P36" i="11"/>
  <c r="P37" i="11" s="1"/>
  <c r="M36" i="10"/>
  <c r="M37" i="10" s="1"/>
  <c r="P36" i="10"/>
  <c r="P37" i="10" s="1"/>
  <c r="M36" i="9"/>
  <c r="M37" i="9" s="1"/>
  <c r="P36" i="9"/>
  <c r="P37" i="9" s="1"/>
  <c r="M36" i="4"/>
  <c r="M37" i="4" s="1"/>
  <c r="P36" i="16"/>
  <c r="P37" i="16" s="1"/>
  <c r="P36" i="4"/>
  <c r="P37" i="4" s="1"/>
  <c r="M36" i="18"/>
  <c r="M37" i="18" s="1"/>
  <c r="Q36" i="11"/>
  <c r="Q37" i="11" s="1"/>
  <c r="Q36" i="13"/>
  <c r="Q37" i="13" s="1"/>
  <c r="M37" i="1"/>
  <c r="Q36" i="8"/>
  <c r="Q37" i="8" s="1"/>
  <c r="Q36" i="12"/>
  <c r="Q37" i="12" s="1"/>
  <c r="Q36" i="3"/>
  <c r="Q37" i="3" s="1"/>
  <c r="Q36" i="18"/>
  <c r="Q37" i="18" s="1"/>
  <c r="M36" i="6"/>
  <c r="M37" i="6" s="1"/>
  <c r="Q36" i="9"/>
  <c r="Q37" i="9" s="1"/>
  <c r="P36" i="18"/>
  <c r="P37" i="18" s="1"/>
  <c r="Q36" i="16"/>
  <c r="Q37" i="16" s="1"/>
  <c r="Q36" i="4"/>
  <c r="Q37" i="4" s="1"/>
  <c r="P36" i="3"/>
  <c r="P37" i="3" s="1"/>
  <c r="Q36" i="10"/>
  <c r="Q37" i="10" s="1"/>
  <c r="P36" i="8"/>
  <c r="P37" i="8" s="1"/>
  <c r="Q36" i="6"/>
  <c r="Q37" i="6" s="1"/>
  <c r="P36" i="6"/>
  <c r="P37" i="6" s="1"/>
  <c r="N25" i="1"/>
  <c r="N26" i="1" s="1"/>
  <c r="N27" i="1" s="1"/>
  <c r="N28" i="1" s="1"/>
  <c r="N29" i="1" s="1"/>
  <c r="N30" i="1" s="1"/>
  <c r="N31" i="1" s="1"/>
  <c r="N32" i="1" s="1"/>
  <c r="N33" i="1" s="1"/>
  <c r="N34" i="1" s="1"/>
  <c r="N4" i="3" s="1"/>
  <c r="U36" i="16"/>
  <c r="U36" i="6"/>
  <c r="U36" i="12"/>
  <c r="U36" i="9"/>
  <c r="U36" i="4"/>
  <c r="U36" i="1"/>
  <c r="U36" i="18"/>
  <c r="U36" i="11"/>
  <c r="U36" i="10"/>
  <c r="W43" i="3"/>
  <c r="O5" i="15" s="1"/>
  <c r="T43" i="3"/>
  <c r="W43" i="11"/>
  <c r="O13" i="15" s="1"/>
  <c r="T43" i="11"/>
  <c r="T43" i="12"/>
  <c r="W43" i="12"/>
  <c r="O14" i="15" s="1"/>
  <c r="W43" i="1"/>
  <c r="O4" i="15" s="1"/>
  <c r="T43" i="1"/>
  <c r="W43" i="10"/>
  <c r="O12" i="15" s="1"/>
  <c r="T43" i="10"/>
  <c r="V40" i="1"/>
  <c r="W40" i="1"/>
  <c r="T43" i="18"/>
  <c r="W43" i="18"/>
  <c r="O9" i="15" s="1"/>
  <c r="O6" i="15"/>
  <c r="T43" i="4"/>
  <c r="W43" i="6"/>
  <c r="O8" i="15" s="1"/>
  <c r="T43" i="6"/>
  <c r="W43" i="9"/>
  <c r="O11" i="15" s="1"/>
  <c r="T43" i="9"/>
  <c r="V40" i="8"/>
  <c r="W40" i="8"/>
  <c r="W43" i="16"/>
  <c r="O7" i="15" s="1"/>
  <c r="T43" i="16"/>
  <c r="V40" i="13"/>
  <c r="W40" i="13"/>
  <c r="C9" i="15"/>
  <c r="G9" i="15" s="1"/>
  <c r="C10" i="15"/>
  <c r="G10" i="15" s="1"/>
  <c r="V40" i="18"/>
  <c r="C4" i="15"/>
  <c r="G4" i="15" s="1"/>
  <c r="V40" i="16"/>
  <c r="V40" i="6"/>
  <c r="W40" i="16"/>
  <c r="C8" i="15"/>
  <c r="E8" i="15" s="1"/>
  <c r="V40" i="10"/>
  <c r="C12" i="15"/>
  <c r="W40" i="10"/>
  <c r="C13" i="15"/>
  <c r="G13" i="15" s="1"/>
  <c r="W40" i="11"/>
  <c r="W40" i="4"/>
  <c r="W40" i="3"/>
  <c r="C5" i="15"/>
  <c r="W40" i="12"/>
  <c r="C14" i="15"/>
  <c r="V40" i="12"/>
  <c r="V40" i="9"/>
  <c r="C11" i="15"/>
  <c r="W40" i="9"/>
  <c r="C6" i="15"/>
  <c r="G6" i="15" s="1"/>
  <c r="C15" i="15"/>
  <c r="W8" i="3"/>
  <c r="U36" i="3"/>
  <c r="E7" i="15"/>
  <c r="G7" i="15"/>
  <c r="N5" i="3" l="1"/>
  <c r="N6" i="3" s="1"/>
  <c r="N7" i="3" s="1"/>
  <c r="N8" i="3" s="1"/>
  <c r="E9" i="15"/>
  <c r="E10" i="15"/>
  <c r="E13" i="15"/>
  <c r="G8" i="15"/>
  <c r="E4" i="15"/>
  <c r="O16" i="15"/>
  <c r="G12" i="15"/>
  <c r="E12" i="15"/>
  <c r="C16" i="15"/>
  <c r="E6" i="15"/>
  <c r="E5" i="15"/>
  <c r="G5" i="15"/>
  <c r="E11" i="15"/>
  <c r="G11" i="15"/>
  <c r="E14" i="15"/>
  <c r="G14" i="15"/>
  <c r="E15" i="15"/>
  <c r="G15" i="15"/>
  <c r="N9" i="3" l="1"/>
  <c r="N10" i="3" s="1"/>
  <c r="N11" i="3" s="1"/>
  <c r="N12" i="3" s="1"/>
  <c r="N13" i="3" s="1"/>
  <c r="N14" i="3" s="1"/>
  <c r="N15" i="3" s="1"/>
  <c r="N16" i="3" s="1"/>
  <c r="N17" i="3" s="1"/>
  <c r="N18" i="3" s="1"/>
  <c r="N19" i="3" s="1"/>
  <c r="N20" i="3" s="1"/>
  <c r="N21" i="3" s="1"/>
  <c r="N22" i="3" s="1"/>
  <c r="N23" i="3" s="1"/>
  <c r="N24" i="3" s="1"/>
  <c r="N25" i="3" s="1"/>
  <c r="N26" i="3" s="1"/>
  <c r="N27" i="3" s="1"/>
  <c r="N28" i="3" s="1"/>
  <c r="N29" i="3" s="1"/>
  <c r="N30" i="3" s="1"/>
  <c r="N31" i="3" s="1"/>
  <c r="E16" i="15"/>
  <c r="L26" i="15" s="1"/>
  <c r="L29" i="15" s="1"/>
  <c r="G16" i="15"/>
  <c r="N4" i="4" l="1"/>
  <c r="N5" i="4" s="1"/>
  <c r="N6" i="4" s="1"/>
  <c r="N7" i="4" s="1"/>
  <c r="N8" i="4" s="1"/>
  <c r="N9" i="4" s="1"/>
  <c r="N10" i="4" s="1"/>
  <c r="N11" i="4" s="1"/>
  <c r="N12" i="4" s="1"/>
  <c r="N13" i="4" s="1"/>
  <c r="N14" i="4" s="1"/>
  <c r="N15" i="4" s="1"/>
  <c r="N16" i="4" s="1"/>
  <c r="N17" i="4" s="1"/>
  <c r="N18" i="4" s="1"/>
  <c r="N19" i="4" s="1"/>
  <c r="N20" i="4" s="1"/>
  <c r="N21" i="4" s="1"/>
  <c r="N22" i="4" s="1"/>
  <c r="N23" i="4" s="1"/>
  <c r="N24" i="4" s="1"/>
  <c r="N25" i="4" s="1"/>
  <c r="N26" i="4" s="1"/>
  <c r="N27" i="4" s="1"/>
  <c r="N28" i="4" s="1"/>
  <c r="N29" i="4" s="1"/>
  <c r="N30" i="4" s="1"/>
  <c r="N31" i="4" s="1"/>
  <c r="N32" i="4" s="1"/>
  <c r="N33" i="4" s="1"/>
  <c r="N34" i="4" s="1"/>
  <c r="N4" i="16" s="1"/>
  <c r="N5" i="16" s="1"/>
  <c r="N6" i="16" s="1"/>
  <c r="N7" i="16" s="1"/>
  <c r="N8" i="16" s="1"/>
  <c r="N9" i="16" s="1"/>
  <c r="N10" i="16" s="1"/>
  <c r="N11" i="16" s="1"/>
  <c r="N12" i="16" s="1"/>
  <c r="N13" i="16" s="1"/>
  <c r="N14" i="16" s="1"/>
  <c r="N15" i="16" s="1"/>
  <c r="N16" i="16" s="1"/>
  <c r="N17" i="16" s="1"/>
  <c r="N18" i="16" s="1"/>
  <c r="N19" i="16" s="1"/>
  <c r="N20" i="16" s="1"/>
  <c r="N21" i="16" s="1"/>
  <c r="N22" i="16" s="1"/>
  <c r="N23" i="16" s="1"/>
  <c r="N24" i="16" s="1"/>
  <c r="N25" i="16" s="1"/>
  <c r="N26" i="16" s="1"/>
  <c r="N27" i="16" s="1"/>
  <c r="N28" i="16" s="1"/>
  <c r="N29" i="16" s="1"/>
  <c r="N30" i="16" s="1"/>
  <c r="N31" i="16" s="1"/>
  <c r="N32" i="16" s="1"/>
  <c r="N33" i="16" s="1"/>
  <c r="N32" i="3"/>
  <c r="N33" i="3" s="1"/>
  <c r="N34" i="3" s="1"/>
  <c r="N36" i="3"/>
  <c r="N37" i="3" s="1"/>
  <c r="N36" i="4" l="1"/>
  <c r="N37" i="4" s="1"/>
  <c r="O36" i="4"/>
  <c r="O37" i="4" s="1"/>
  <c r="N36" i="16"/>
  <c r="N37" i="16" s="1"/>
  <c r="N34" i="16"/>
  <c r="N4" i="6"/>
  <c r="N5" i="6" s="1"/>
  <c r="N6" i="6" s="1"/>
  <c r="N7" i="6" s="1"/>
  <c r="N8" i="6" s="1"/>
  <c r="N9" i="6" s="1"/>
  <c r="N10" i="6" s="1"/>
  <c r="N11" i="6" s="1"/>
  <c r="N12" i="6" s="1"/>
  <c r="N13" i="6" s="1"/>
  <c r="N14" i="6" s="1"/>
  <c r="N15" i="6" s="1"/>
  <c r="N16" i="6" s="1"/>
  <c r="N17" i="6" s="1"/>
  <c r="N18" i="6" s="1"/>
  <c r="N19" i="6" s="1"/>
  <c r="N20" i="6" s="1"/>
  <c r="N21" i="6" s="1"/>
  <c r="N22" i="6" s="1"/>
  <c r="N23" i="6" s="1"/>
  <c r="N24" i="6" s="1"/>
  <c r="O36" i="16" l="1"/>
  <c r="O37" i="16" s="1"/>
  <c r="N36" i="6"/>
  <c r="N37" i="6" s="1"/>
  <c r="N25" i="6"/>
  <c r="N26" i="6" s="1"/>
  <c r="N27" i="6" s="1"/>
  <c r="N28" i="6" s="1"/>
  <c r="N29" i="6" s="1"/>
  <c r="N30" i="6" s="1"/>
  <c r="N31" i="6" s="1"/>
  <c r="N32" i="6" s="1"/>
  <c r="N33" i="6" s="1"/>
  <c r="N34" i="6" s="1"/>
  <c r="N4" i="18" s="1"/>
  <c r="N5" i="18" s="1"/>
  <c r="N6" i="18" s="1"/>
  <c r="N7" i="18" s="1"/>
  <c r="N8" i="18" s="1"/>
  <c r="N9" i="18" s="1"/>
  <c r="N10" i="18" s="1"/>
  <c r="N11" i="18" s="1"/>
  <c r="N12" i="18" s="1"/>
  <c r="N13" i="18" s="1"/>
  <c r="N14" i="18" s="1"/>
  <c r="N15" i="18" s="1"/>
  <c r="N16" i="18" s="1"/>
  <c r="N17" i="18" s="1"/>
  <c r="N18" i="18" s="1"/>
  <c r="N19" i="18" s="1"/>
  <c r="N20" i="18" s="1"/>
  <c r="N21" i="18" s="1"/>
  <c r="N22" i="18" s="1"/>
  <c r="N23" i="18" s="1"/>
  <c r="N24" i="18" s="1"/>
  <c r="N25" i="18" l="1"/>
  <c r="N26" i="18" s="1"/>
  <c r="N27" i="18" s="1"/>
  <c r="N28" i="18" s="1"/>
  <c r="N29" i="18" s="1"/>
  <c r="N30" i="18" s="1"/>
  <c r="N31" i="18" s="1"/>
  <c r="N32" i="18" s="1"/>
  <c r="N33" i="18" s="1"/>
  <c r="N34" i="18" s="1"/>
  <c r="N36" i="18"/>
  <c r="N37" i="18" s="1"/>
  <c r="O36" i="6" l="1"/>
  <c r="O37" i="6" s="1"/>
  <c r="N36" i="8"/>
  <c r="N37" i="8" s="1"/>
  <c r="N4" i="9"/>
  <c r="N5" i="9" s="1"/>
  <c r="N6" i="9" s="1"/>
  <c r="N7" i="9" s="1"/>
  <c r="N8" i="9" s="1"/>
  <c r="N9" i="9" s="1"/>
  <c r="N10" i="9" s="1"/>
  <c r="N11" i="9" s="1"/>
  <c r="N12" i="9" s="1"/>
  <c r="N13" i="9" s="1"/>
  <c r="N14" i="9" s="1"/>
  <c r="N15" i="9" s="1"/>
  <c r="N16" i="9" s="1"/>
  <c r="N17" i="9" s="1"/>
  <c r="N18" i="9" s="1"/>
  <c r="N19" i="9" s="1"/>
  <c r="O36" i="18" l="1"/>
  <c r="O37" i="18" s="1"/>
  <c r="N20" i="9"/>
  <c r="N21" i="9" s="1"/>
  <c r="N22" i="9" s="1"/>
  <c r="N23" i="9" s="1"/>
  <c r="N24" i="9" s="1"/>
  <c r="N25" i="9" s="1"/>
  <c r="N26" i="9" s="1"/>
  <c r="N27" i="9" s="1"/>
  <c r="N28" i="9" s="1"/>
  <c r="N29" i="9" s="1"/>
  <c r="N30" i="9" s="1"/>
  <c r="N31" i="9" s="1"/>
  <c r="N32" i="9" s="1"/>
  <c r="N33" i="9" s="1"/>
  <c r="N34" i="9" s="1"/>
  <c r="N4" i="10" s="1"/>
  <c r="N36" i="9" l="1"/>
  <c r="N37" i="9" s="1"/>
  <c r="N5" i="10"/>
  <c r="N6" i="10" s="1"/>
  <c r="N7" i="10" s="1"/>
  <c r="N8" i="10" s="1"/>
  <c r="N9" i="10" s="1"/>
  <c r="N10" i="10" s="1"/>
  <c r="N11" i="10" s="1"/>
  <c r="N12" i="10" s="1"/>
  <c r="N13" i="10" s="1"/>
  <c r="N14" i="10" s="1"/>
  <c r="N15" i="10" s="1"/>
  <c r="N16" i="10" s="1"/>
  <c r="N17" i="10" s="1"/>
  <c r="N18" i="10" s="1"/>
  <c r="N19" i="10" s="1"/>
  <c r="N20" i="10" s="1"/>
  <c r="N21" i="10" s="1"/>
  <c r="N22" i="10" s="1"/>
  <c r="N23" i="10" s="1"/>
  <c r="N24" i="10" s="1"/>
  <c r="N25" i="10" s="1"/>
  <c r="N26" i="10" s="1"/>
  <c r="N27" i="10" s="1"/>
  <c r="N28" i="10" s="1"/>
  <c r="N29" i="10" s="1"/>
  <c r="N30" i="10" s="1"/>
  <c r="N31" i="10" s="1"/>
  <c r="N32" i="10" s="1"/>
  <c r="N33" i="10" s="1"/>
  <c r="O36" i="8" l="1"/>
  <c r="O37" i="8" s="1"/>
  <c r="N36" i="10"/>
  <c r="N37" i="10" s="1"/>
  <c r="N34" i="10"/>
  <c r="N4" i="11"/>
  <c r="N5" i="11" s="1"/>
  <c r="L36" i="9" l="1"/>
  <c r="L37" i="9" s="1"/>
  <c r="O36" i="9"/>
  <c r="O37" i="9" s="1"/>
  <c r="N6" i="11"/>
  <c r="N7" i="11" s="1"/>
  <c r="N8" i="11" s="1"/>
  <c r="N9" i="11" s="1"/>
  <c r="N10" i="11" s="1"/>
  <c r="N11" i="11" s="1"/>
  <c r="N12" i="11" s="1"/>
  <c r="N13" i="11" s="1"/>
  <c r="N14" i="11" s="1"/>
  <c r="N15" i="11" s="1"/>
  <c r="N16" i="11" s="1"/>
  <c r="N17" i="11" s="1"/>
  <c r="N18" i="11" s="1"/>
  <c r="N19" i="11" s="1"/>
  <c r="N20" i="11" s="1"/>
  <c r="N21" i="11" s="1"/>
  <c r="N22" i="11" s="1"/>
  <c r="N23" i="11" s="1"/>
  <c r="N24" i="11" s="1"/>
  <c r="O36" i="10" l="1"/>
  <c r="O37" i="10" s="1"/>
  <c r="N25" i="11"/>
  <c r="N26" i="11" s="1"/>
  <c r="N27" i="11" s="1"/>
  <c r="N28" i="11" s="1"/>
  <c r="N29" i="11" s="1"/>
  <c r="N30" i="11" s="1"/>
  <c r="N31" i="11" s="1"/>
  <c r="N32" i="11" s="1"/>
  <c r="N33" i="11" s="1"/>
  <c r="N34" i="11" s="1"/>
  <c r="N4" i="12" s="1"/>
  <c r="N5" i="12" s="1"/>
  <c r="N6" i="12" s="1"/>
  <c r="N7" i="12" s="1"/>
  <c r="N8" i="12" s="1"/>
  <c r="N9" i="12" s="1"/>
  <c r="N10" i="12" s="1"/>
  <c r="N11" i="12" s="1"/>
  <c r="N12" i="12" s="1"/>
  <c r="N13" i="12" s="1"/>
  <c r="N14" i="12" s="1"/>
  <c r="N15" i="12" s="1"/>
  <c r="N16" i="12" s="1"/>
  <c r="N17" i="12" s="1"/>
  <c r="N18" i="12" s="1"/>
  <c r="N19" i="12" s="1"/>
  <c r="N20" i="12" s="1"/>
  <c r="N21" i="12" s="1"/>
  <c r="N22" i="12" s="1"/>
  <c r="N23" i="12" s="1"/>
  <c r="N24" i="12" s="1"/>
  <c r="N36" i="11"/>
  <c r="N37" i="11" s="1"/>
  <c r="N25" i="12" l="1"/>
  <c r="N26" i="12" s="1"/>
  <c r="N27" i="12" s="1"/>
  <c r="N28" i="12" s="1"/>
  <c r="N29" i="12" s="1"/>
  <c r="N30" i="12" s="1"/>
  <c r="N31" i="12" s="1"/>
  <c r="N32" i="12" s="1"/>
  <c r="N33" i="12" s="1"/>
  <c r="N4" i="13" s="1"/>
  <c r="N5" i="13" s="1"/>
  <c r="N6" i="13" s="1"/>
  <c r="N7" i="13" s="1"/>
  <c r="N8" i="13" s="1"/>
  <c r="N9" i="13" s="1"/>
  <c r="N10" i="13" s="1"/>
  <c r="N11" i="13" s="1"/>
  <c r="N12" i="13" s="1"/>
  <c r="N13" i="13" s="1"/>
  <c r="N14" i="13" s="1"/>
  <c r="N15" i="13" s="1"/>
  <c r="N16" i="13" s="1"/>
  <c r="N17" i="13" s="1"/>
  <c r="N18" i="13" s="1"/>
  <c r="N19" i="13" s="1"/>
  <c r="N20" i="13" s="1"/>
  <c r="N21" i="13" s="1"/>
  <c r="N22" i="13" s="1"/>
  <c r="N23" i="13" s="1"/>
  <c r="N24" i="13" s="1"/>
  <c r="N25" i="13" s="1"/>
  <c r="N26" i="13" s="1"/>
  <c r="N27" i="13" s="1"/>
  <c r="N28" i="13" s="1"/>
  <c r="N29" i="13" s="1"/>
  <c r="N30" i="13" s="1"/>
  <c r="N31" i="13" s="1"/>
  <c r="N32" i="13" s="1"/>
  <c r="N33" i="13" s="1"/>
  <c r="N34" i="13" s="1"/>
  <c r="N36" i="12"/>
  <c r="N37" i="12" s="1"/>
  <c r="K11" i="15"/>
  <c r="K16" i="15" s="1"/>
  <c r="D20" i="15" s="1"/>
  <c r="D22" i="15" s="1"/>
  <c r="O36" i="11" l="1"/>
  <c r="O37" i="11" s="1"/>
  <c r="N34" i="12"/>
  <c r="N36" i="13" s="1"/>
  <c r="N37" i="13" s="1"/>
  <c r="O36" i="12" l="1"/>
  <c r="O37" i="12" s="1"/>
  <c r="O34" i="13" l="1"/>
  <c r="O34" i="12"/>
  <c r="O36" i="13" l="1"/>
  <c r="O37" i="13" s="1"/>
  <c r="Q37" i="1"/>
</calcChain>
</file>

<file path=xl/sharedStrings.xml><?xml version="1.0" encoding="utf-8"?>
<sst xmlns="http://schemas.openxmlformats.org/spreadsheetml/2006/main" count="1014" uniqueCount="253">
  <si>
    <t>NOVEMBRE</t>
  </si>
  <si>
    <t>TOTAL</t>
  </si>
  <si>
    <t>Date</t>
  </si>
  <si>
    <t>Service</t>
  </si>
  <si>
    <t>MATIN</t>
  </si>
  <si>
    <t>Temps</t>
  </si>
  <si>
    <t>APRES MIDI</t>
  </si>
  <si>
    <t>Prime nuit</t>
  </si>
  <si>
    <t>PJ1</t>
  </si>
  <si>
    <t>PJ2</t>
  </si>
  <si>
    <t>Dimanche</t>
  </si>
  <si>
    <t>Férié</t>
  </si>
  <si>
    <t>ChècDej</t>
  </si>
  <si>
    <t>Heures</t>
  </si>
  <si>
    <t>Centièmes</t>
  </si>
  <si>
    <t>Kéolis</t>
  </si>
  <si>
    <t>Différence</t>
  </si>
  <si>
    <t>Jours travaillés</t>
  </si>
  <si>
    <t>Horaire mensuel</t>
  </si>
  <si>
    <t>JANVIER</t>
  </si>
  <si>
    <t>Matin</t>
  </si>
  <si>
    <t>Soir</t>
  </si>
  <si>
    <t>Écart</t>
  </si>
  <si>
    <t>DÉCEMBRE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</si>
  <si>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</si>
  <si>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</si>
  <si>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</si>
  <si>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</si>
  <si>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</si>
  <si>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</si>
  <si>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</si>
  <si>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</si>
  <si>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FÉVRIER</t>
  </si>
  <si>
    <t xml:space="preserve">AVRIL </t>
  </si>
  <si>
    <t>HEURES</t>
  </si>
  <si>
    <t>CENTIÈMES</t>
  </si>
  <si>
    <t>MOYENNE</t>
  </si>
  <si>
    <t>RTT acquis</t>
  </si>
  <si>
    <t>RTT pris</t>
  </si>
  <si>
    <t>Valorisation RTT</t>
  </si>
  <si>
    <t>CP acquis</t>
  </si>
  <si>
    <t>CP pris</t>
  </si>
  <si>
    <t>Valorisation CP</t>
  </si>
  <si>
    <t>Horaire de référence</t>
  </si>
  <si>
    <t>Temps de travail</t>
  </si>
  <si>
    <t>RT</t>
  </si>
  <si>
    <t>CC</t>
  </si>
  <si>
    <t>CH</t>
  </si>
  <si>
    <t>RE</t>
  </si>
  <si>
    <t>JourDu</t>
  </si>
  <si>
    <t>CB</t>
  </si>
  <si>
    <t>CP</t>
  </si>
  <si>
    <t>RP</t>
  </si>
  <si>
    <t>FOCO</t>
  </si>
  <si>
    <t>VP</t>
  </si>
  <si>
    <t>Du 21 au 20</t>
  </si>
  <si>
    <t>JourAR</t>
  </si>
  <si>
    <t>NOTES</t>
  </si>
  <si>
    <t>Maladie</t>
  </si>
  <si>
    <t>MaladieP</t>
  </si>
  <si>
    <t>Ampli</t>
  </si>
  <si>
    <t>PrimAmp</t>
  </si>
  <si>
    <t>Jours dus</t>
  </si>
  <si>
    <t>Solde</t>
  </si>
  <si>
    <t>Valorisation J.dus</t>
  </si>
  <si>
    <t>RTpayé</t>
  </si>
  <si>
    <t>CCpayé</t>
  </si>
  <si>
    <t>CHpayé</t>
  </si>
  <si>
    <t>20RE</t>
  </si>
  <si>
    <t>10RE</t>
  </si>
  <si>
    <t>50RE</t>
  </si>
  <si>
    <t>Services</t>
  </si>
  <si>
    <t>201-1</t>
  </si>
  <si>
    <t>838-5</t>
  </si>
  <si>
    <t>v818-2</t>
  </si>
  <si>
    <t>724-3</t>
  </si>
  <si>
    <t>735-4</t>
  </si>
  <si>
    <t>v735-4</t>
  </si>
  <si>
    <t>907-5</t>
  </si>
  <si>
    <t>835-4</t>
  </si>
  <si>
    <t>v874-25</t>
  </si>
  <si>
    <t>s837-4</t>
  </si>
  <si>
    <t>746-7</t>
  </si>
  <si>
    <t>RP-701</t>
  </si>
  <si>
    <t>772-21</t>
  </si>
  <si>
    <t>v307-8</t>
  </si>
  <si>
    <t>906-3</t>
  </si>
  <si>
    <t>s856-11</t>
  </si>
  <si>
    <t>d904-3</t>
  </si>
  <si>
    <t>876-25</t>
  </si>
  <si>
    <t>739-5</t>
  </si>
  <si>
    <t>v739-5</t>
  </si>
  <si>
    <t>s725-5</t>
  </si>
  <si>
    <t>s734-11</t>
  </si>
  <si>
    <t>903-2</t>
  </si>
  <si>
    <t>v832-3</t>
  </si>
  <si>
    <t>837-5</t>
  </si>
  <si>
    <t>703-1</t>
  </si>
  <si>
    <t>725-3</t>
  </si>
  <si>
    <t>v747-9</t>
  </si>
  <si>
    <t>s743-18</t>
  </si>
  <si>
    <t>302-1</t>
  </si>
  <si>
    <t>s866-18</t>
  </si>
  <si>
    <t>d613-5</t>
  </si>
  <si>
    <t>756-11</t>
  </si>
  <si>
    <t>103-5</t>
  </si>
  <si>
    <t>107-8</t>
  </si>
  <si>
    <t>v814-1</t>
  </si>
  <si>
    <t>761-15</t>
  </si>
  <si>
    <t>v752-12</t>
  </si>
  <si>
    <t>s735-12</t>
  </si>
  <si>
    <t>833-4</t>
  </si>
  <si>
    <t>826-3</t>
  </si>
  <si>
    <t>806-1</t>
  </si>
  <si>
    <t>RP-801</t>
  </si>
  <si>
    <t>v113-8</t>
  </si>
  <si>
    <t>772-18</t>
  </si>
  <si>
    <t>729-3</t>
  </si>
  <si>
    <t>v736-5</t>
  </si>
  <si>
    <t>710-1</t>
  </si>
  <si>
    <t>713-1</t>
  </si>
  <si>
    <t>744-7</t>
  </si>
  <si>
    <t>v108-7</t>
  </si>
  <si>
    <t>s106-18</t>
  </si>
  <si>
    <t>114-15</t>
  </si>
  <si>
    <t>871-21</t>
  </si>
  <si>
    <t>v903-2</t>
  </si>
  <si>
    <t>s811-1</t>
  </si>
  <si>
    <t>753-6</t>
  </si>
  <si>
    <t>773-18</t>
  </si>
  <si>
    <t>v733-3</t>
  </si>
  <si>
    <t>v112-7</t>
  </si>
  <si>
    <t>s302-1</t>
  </si>
  <si>
    <t>202-2</t>
  </si>
  <si>
    <t>302-2</t>
  </si>
  <si>
    <t>s817-2</t>
  </si>
  <si>
    <t>d610-3</t>
  </si>
  <si>
    <t>s841-5</t>
  </si>
  <si>
    <t>v843-7</t>
  </si>
  <si>
    <t>v114-8</t>
  </si>
  <si>
    <t>v311-18</t>
  </si>
  <si>
    <t>866-18</t>
  </si>
  <si>
    <t>117-36</t>
  </si>
  <si>
    <t>811-1n</t>
  </si>
  <si>
    <t>820-2n</t>
  </si>
  <si>
    <t>v853-15n</t>
  </si>
  <si>
    <t>Obs.</t>
  </si>
  <si>
    <t>838-4</t>
  </si>
  <si>
    <t>Horaire de base</t>
  </si>
  <si>
    <t>CC-CP</t>
  </si>
  <si>
    <t>CH-CP</t>
  </si>
  <si>
    <t>RT-CP</t>
  </si>
  <si>
    <t>Fériés sur CC CH RT</t>
  </si>
  <si>
    <t>Férié CC-CH</t>
  </si>
  <si>
    <t>738-5h</t>
  </si>
  <si>
    <t>709-1h</t>
  </si>
  <si>
    <t>102-2h</t>
  </si>
  <si>
    <t>109-7h</t>
  </si>
  <si>
    <t>FériéCC</t>
  </si>
  <si>
    <t>FériéCH</t>
  </si>
  <si>
    <t>FériéRT</t>
  </si>
  <si>
    <t>s870-18n</t>
  </si>
  <si>
    <t>s873-18h</t>
  </si>
  <si>
    <t>Échange le 18 avec Thibault PÉRIQUET</t>
  </si>
  <si>
    <t>Rendu</t>
  </si>
  <si>
    <t>Échange</t>
  </si>
  <si>
    <t>v399-18h</t>
  </si>
  <si>
    <t>725-2</t>
  </si>
  <si>
    <t>822-2</t>
  </si>
  <si>
    <t>RP-701b</t>
  </si>
  <si>
    <t>710-1b</t>
  </si>
  <si>
    <t>847-12h</t>
  </si>
  <si>
    <t xml:space="preserve">Rendu du 17-02 à Thibault PÉRIQUET. </t>
  </si>
  <si>
    <t>Échange le 14 mars avec Alain CLÉBANT</t>
  </si>
  <si>
    <t>810-1h</t>
  </si>
  <si>
    <t>725-2h</t>
  </si>
  <si>
    <t>710-1h</t>
  </si>
  <si>
    <t>v82-70h</t>
  </si>
  <si>
    <t>850-11</t>
  </si>
  <si>
    <t>Si H.Sup payées</t>
  </si>
  <si>
    <t>Salaire de base</t>
  </si>
  <si>
    <t>Prime d'ancienneté</t>
  </si>
  <si>
    <t xml:space="preserve">Horaire de base </t>
  </si>
  <si>
    <t>Taux horaire</t>
  </si>
  <si>
    <t xml:space="preserve">Valorisation CC CH </t>
  </si>
  <si>
    <t>837-5a</t>
  </si>
  <si>
    <t>Congex</t>
  </si>
  <si>
    <t>753-6p</t>
  </si>
  <si>
    <t>751-11p</t>
  </si>
  <si>
    <t>v748-12p</t>
  </si>
  <si>
    <t>773-18p</t>
  </si>
  <si>
    <t>726-3p</t>
  </si>
  <si>
    <t>d910-3p</t>
  </si>
  <si>
    <t>s848-7p</t>
  </si>
  <si>
    <t>s733-11p</t>
  </si>
  <si>
    <t>753-12p</t>
  </si>
  <si>
    <t>851-15p</t>
  </si>
  <si>
    <t>v115-70p</t>
  </si>
  <si>
    <t>CaClient</t>
  </si>
  <si>
    <t>Dc Dial</t>
  </si>
  <si>
    <t>848-11</t>
  </si>
  <si>
    <t>Heures réelles</t>
  </si>
  <si>
    <t>DU 21 au 20</t>
  </si>
  <si>
    <t>303-1</t>
  </si>
  <si>
    <t>836-5</t>
  </si>
  <si>
    <t>PJ Férié</t>
  </si>
  <si>
    <t>PJ 1 et 2</t>
  </si>
  <si>
    <t>H Supp</t>
  </si>
  <si>
    <t>201-2</t>
  </si>
  <si>
    <t>818-2</t>
  </si>
  <si>
    <t>879-70</t>
  </si>
  <si>
    <t>108-15e</t>
  </si>
  <si>
    <t>807-1e</t>
  </si>
  <si>
    <t>735-73e</t>
  </si>
  <si>
    <t>729-12e</t>
  </si>
  <si>
    <t>728-7e</t>
  </si>
  <si>
    <t>827-11e</t>
  </si>
  <si>
    <t>812-2e</t>
  </si>
  <si>
    <t>828-12e</t>
  </si>
  <si>
    <t>829-12e</t>
  </si>
  <si>
    <t>832-25e</t>
  </si>
  <si>
    <t>824-5e</t>
  </si>
  <si>
    <t>730-18e</t>
  </si>
  <si>
    <t>907-5e</t>
  </si>
  <si>
    <t>818-3e</t>
  </si>
  <si>
    <t>d610-3e</t>
  </si>
  <si>
    <t>s819-3e</t>
  </si>
  <si>
    <t>s853-25e</t>
  </si>
  <si>
    <t>v819-3e</t>
  </si>
  <si>
    <t>v837-25e</t>
  </si>
  <si>
    <t>s812-1e</t>
  </si>
  <si>
    <t>v824-5e</t>
  </si>
  <si>
    <t>v706-1e</t>
  </si>
  <si>
    <t>s720-5e</t>
  </si>
  <si>
    <t>v828-12e</t>
  </si>
  <si>
    <t>s818-2</t>
  </si>
  <si>
    <t>s818-2e</t>
  </si>
  <si>
    <t>CET</t>
  </si>
  <si>
    <t>RTA</t>
  </si>
  <si>
    <t>RTN</t>
  </si>
  <si>
    <t>RDU</t>
  </si>
  <si>
    <t>Férié CET</t>
  </si>
  <si>
    <t>reste j à travailler</t>
  </si>
  <si>
    <t>Feuille Juin</t>
  </si>
  <si>
    <t>Feuille Juillet</t>
  </si>
  <si>
    <t>Feuille Août</t>
  </si>
  <si>
    <t>Feuille Septembre</t>
  </si>
  <si>
    <t>Feuille Octobre</t>
  </si>
  <si>
    <t>(vides)</t>
  </si>
  <si>
    <t>Juin</t>
  </si>
  <si>
    <t>Suivantes</t>
  </si>
  <si>
    <t>Selon mois</t>
  </si>
  <si>
    <t>Avec les jours de travail renseignés à 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</si>
</sst>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8" formatCode="#,##0.00\ &quot;€&quot;;[Red]\-#,##0.00\ &quot;€&quot;"/>
    <numFmt numFmtId="164" formatCode="[$-F800]dddd\,\ mmmm\ dd\,\ yyyy"/>
    <numFmt numFmtId="165" formatCode="0.00;[Red]0.00"/>
    <numFmt numFmtId="166" formatCode="[$-40C]ddd\ d\ mmm\ yyyy"/>
    <numFmt numFmtId="167" formatCode="[h]:mm;@"/>
    <numFmt numFmtId="168" formatCode="0.000;[Red]0.000"/>
    <numFmt numFmtId="169" formatCode="0.000_ ;[Red]\-0.000\ "/>
    <numFmt numFmtId="170" formatCode="#,##0.00\ &quot;€&quot;"/>
    <numFmt numFmtId="171" formatCode="[h]:mm"/>
    <numFmt numFmtId="172" formatCode="h:mm;@"/>
    <numFmt numFmtId="173" formatCode="0;[Red]0"/>
    <numFmt numFmtId="174" formatCode="0.0;[Red]0.0"/>
    <numFmt numFmtId="175" formatCode="#,##0\ &quot;€&quot;"/>
    <numFmt numFmtId="176" formatCode="0.00_ ;[Red]\-0.00\ "/>
    <numFmt numFmtId="177" formatCode="0.000"/>
  </numFmts>
  <fonts count="71" x14ac:knownFonts="1">
    <font>
      <sz val="12"/>
      <color theme="1"/>
      <name val="Times New Roman"/>
      <family val="2"/>
    </font>
    <font>
      <sz val="12"/>
      <name val="Times New Roman"/>
      <family val="1"/>
    </font>
    <font>
      <b/>
      <sz val="11"/>
      <name val="Times New Roman"/>
      <family val="1"/>
    </font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5"/>
      <name val="Times New Roman"/>
      <family val="1"/>
    </font>
    <font>
      <b/>
      <sz val="11"/>
      <color theme="5" tint="-0.499984740745262"/>
      <name val="Times New Roman"/>
      <family val="1"/>
    </font>
    <font>
      <b/>
      <sz val="11"/>
      <color theme="1"/>
      <name val="Times New Roman"/>
      <family val="1"/>
    </font>
    <font>
      <b/>
      <sz val="12"/>
      <color theme="0" tint="-0.499984740745262"/>
      <name val="Times New Roman"/>
      <family val="1"/>
    </font>
    <font>
      <b/>
      <sz val="11"/>
      <color rgb="FF7030A0"/>
      <name val="Times New Roman"/>
      <family val="1"/>
    </font>
    <font>
      <b/>
      <sz val="12"/>
      <color rgb="FF00B0F0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C00000"/>
      <name val="Times New Roman"/>
      <family val="1"/>
    </font>
    <font>
      <b/>
      <sz val="12"/>
      <color rgb="FF00B050"/>
      <name val="Times New Roman"/>
      <family val="1"/>
    </font>
    <font>
      <b/>
      <sz val="12"/>
      <color theme="5" tint="-0.499984740745262"/>
      <name val="Times New Roman"/>
      <family val="1"/>
    </font>
    <font>
      <sz val="11"/>
      <color theme="1"/>
      <name val="Times New Roman"/>
      <family val="1"/>
    </font>
    <font>
      <b/>
      <sz val="12"/>
      <color rgb="FF7030A0"/>
      <name val="Times New Roman"/>
      <family val="1"/>
    </font>
    <font>
      <b/>
      <sz val="11"/>
      <color rgb="FF00B0F0"/>
      <name val="Times New Roman"/>
      <family val="1"/>
    </font>
    <font>
      <b/>
      <sz val="11"/>
      <color rgb="FFFF0000"/>
      <name val="Times New Roman"/>
      <family val="1"/>
    </font>
    <font>
      <b/>
      <sz val="11"/>
      <color theme="9" tint="-0.249977111117893"/>
      <name val="Times New Roman"/>
      <family val="1"/>
    </font>
    <font>
      <b/>
      <sz val="11"/>
      <color rgb="FF0070C0"/>
      <name val="Times New Roman"/>
      <family val="1"/>
    </font>
    <font>
      <b/>
      <sz val="11"/>
      <color theme="1" tint="0.14999847407452621"/>
      <name val="Times New Roman"/>
      <family val="1"/>
    </font>
    <font>
      <b/>
      <sz val="11"/>
      <color theme="0" tint="-0.499984740745262"/>
      <name val="Times New Roman"/>
      <family val="1"/>
    </font>
    <font>
      <b/>
      <sz val="11"/>
      <color theme="8"/>
      <name val="Times New Roman"/>
      <family val="1"/>
    </font>
    <font>
      <b/>
      <sz val="11"/>
      <color theme="3"/>
      <name val="Times New Roman"/>
      <family val="1"/>
    </font>
    <font>
      <sz val="11"/>
      <color theme="0" tint="-0.499984740745262"/>
      <name val="Times New Roman"/>
      <family val="1"/>
    </font>
    <font>
      <sz val="11"/>
      <color theme="8"/>
      <name val="Calibri"/>
      <family val="2"/>
      <scheme val="minor"/>
    </font>
    <font>
      <b/>
      <sz val="11"/>
      <color rgb="FF00B050"/>
      <name val="Times New Roman"/>
      <family val="1"/>
    </font>
    <font>
      <b/>
      <i/>
      <sz val="11"/>
      <color rgb="FF00B0F0"/>
      <name val="Times New Roman"/>
      <family val="1"/>
    </font>
    <font>
      <sz val="11"/>
      <color theme="5" tint="-0.499984740745262"/>
      <name val="Calibri"/>
      <family val="2"/>
      <scheme val="minor"/>
    </font>
    <font>
      <b/>
      <i/>
      <sz val="11"/>
      <color rgb="FFFF0000"/>
      <name val="Times New Roman"/>
      <family val="1"/>
    </font>
    <font>
      <b/>
      <i/>
      <sz val="11"/>
      <color theme="9" tint="-0.249977111117893"/>
      <name val="Times New Roman"/>
      <family val="1"/>
    </font>
    <font>
      <b/>
      <i/>
      <sz val="11"/>
      <color rgb="FFC00000"/>
      <name val="Times New Roman"/>
      <family val="1"/>
    </font>
    <font>
      <b/>
      <i/>
      <sz val="11"/>
      <color rgb="FF0070C0"/>
      <name val="Times New Roman"/>
      <family val="1"/>
    </font>
    <font>
      <b/>
      <i/>
      <sz val="11"/>
      <color theme="5" tint="-0.499984740745262"/>
      <name val="Times New Roman"/>
      <family val="1"/>
    </font>
    <font>
      <b/>
      <i/>
      <sz val="11"/>
      <color theme="5"/>
      <name val="Times New Roman"/>
      <family val="1"/>
    </font>
    <font>
      <b/>
      <i/>
      <sz val="11"/>
      <color theme="0" tint="-0.499984740745262"/>
      <name val="Times New Roman"/>
      <family val="1"/>
    </font>
    <font>
      <b/>
      <i/>
      <sz val="11"/>
      <color theme="1" tint="0.14999847407452621"/>
      <name val="Times New Roman"/>
      <family val="1"/>
    </font>
    <font>
      <b/>
      <sz val="12"/>
      <color rgb="FFC00000"/>
      <name val="Times New Roman"/>
      <family val="1"/>
    </font>
    <font>
      <b/>
      <i/>
      <sz val="12"/>
      <color theme="1"/>
      <name val="Times New Roman"/>
      <family val="1"/>
    </font>
    <font>
      <b/>
      <sz val="12"/>
      <color theme="5" tint="-0.249977111117893"/>
      <name val="Times New Roman"/>
      <family val="1"/>
    </font>
    <font>
      <b/>
      <sz val="12"/>
      <color theme="7" tint="-0.499984740745262"/>
      <name val="Times New Roman"/>
      <family val="1"/>
    </font>
    <font>
      <b/>
      <sz val="12"/>
      <color theme="4" tint="-0.249977111117893"/>
      <name val="Times New Roman"/>
      <family val="1"/>
    </font>
    <font>
      <sz val="12"/>
      <color rgb="FF00B0F0"/>
      <name val="Times New Roman"/>
      <family val="1"/>
    </font>
    <font>
      <b/>
      <sz val="12"/>
      <color theme="7" tint="-0.249977111117893"/>
      <name val="Times New Roman"/>
      <family val="1"/>
    </font>
    <font>
      <b/>
      <sz val="11"/>
      <color theme="7" tint="-0.249977111117893"/>
      <name val="Calibri"/>
      <family val="2"/>
      <scheme val="minor"/>
    </font>
    <font>
      <b/>
      <sz val="12"/>
      <color theme="9" tint="-0.499984740745262"/>
      <name val="Times New Roman"/>
      <family val="1"/>
    </font>
    <font>
      <b/>
      <sz val="11"/>
      <color theme="9" tint="-0.499984740745262"/>
      <name val="Calibri"/>
      <family val="2"/>
      <scheme val="minor"/>
    </font>
    <font>
      <sz val="12"/>
      <color theme="7" tint="-0.249977111117893"/>
      <name val="Times New Roman"/>
      <family val="1"/>
    </font>
    <font>
      <sz val="12"/>
      <color rgb="FFFF0000"/>
      <name val="Times New Roman"/>
      <family val="1"/>
    </font>
    <font>
      <b/>
      <i/>
      <sz val="11"/>
      <name val="Times New Roman"/>
      <family val="1"/>
    </font>
    <font>
      <b/>
      <i/>
      <sz val="11"/>
      <color theme="9" tint="-0.499984740745262"/>
      <name val="Times New Roman"/>
      <family val="1"/>
    </font>
    <font>
      <sz val="11"/>
      <color rgb="FFC00000"/>
      <name val="Times New Roman"/>
      <family val="1"/>
    </font>
    <font>
      <sz val="11"/>
      <color theme="5"/>
      <name val="Times New Roman"/>
      <family val="1"/>
    </font>
    <font>
      <sz val="11"/>
      <color rgb="FF000000"/>
      <name val="Times New Roman"/>
      <family val="1"/>
    </font>
    <font>
      <b/>
      <i/>
      <sz val="11"/>
      <color rgb="FF7030A0"/>
      <name val="Times New Roman"/>
      <family val="1"/>
    </font>
    <font>
      <sz val="11"/>
      <name val="Times New Roman"/>
      <family val="1"/>
    </font>
    <font>
      <sz val="11"/>
      <color theme="1"/>
      <name val="Times New Roman"/>
      <family val="2"/>
    </font>
    <font>
      <sz val="11"/>
      <color theme="5" tint="-0.499984740745262"/>
      <name val="Times New Roman"/>
      <family val="1"/>
    </font>
    <font>
      <b/>
      <i/>
      <sz val="11"/>
      <color theme="1"/>
      <name val="Times New Roman"/>
      <family val="1"/>
    </font>
    <font>
      <sz val="11"/>
      <color rgb="FF000000"/>
      <name val="Segoe UI"/>
      <family val="2"/>
    </font>
    <font>
      <b/>
      <sz val="11"/>
      <color theme="9" tint="-0.499984740745262"/>
      <name val="Times New Roman"/>
      <family val="1"/>
    </font>
    <font>
      <sz val="11"/>
      <color rgb="FF00B0F0"/>
      <name val="Times New Roman"/>
      <family val="1"/>
    </font>
    <font>
      <sz val="11"/>
      <color rgb="FFFF0000"/>
      <name val="Times New Roman"/>
      <family val="1"/>
    </font>
    <font>
      <sz val="11"/>
      <color theme="1" tint="0.14999847407452621"/>
      <name val="Times New Roman"/>
      <family val="1"/>
    </font>
    <font>
      <b/>
      <i/>
      <sz val="11"/>
      <color theme="9"/>
      <name val="Times New Roman"/>
      <family val="1"/>
    </font>
    <font>
      <b/>
      <sz val="12"/>
      <color rgb="FF0070C0"/>
      <name val="Times New Roman"/>
      <family val="1"/>
    </font>
    <font>
      <b/>
      <sz val="11"/>
      <color rgb="FF000000"/>
      <name val="Times New Roman"/>
      <family val="1"/>
    </font>
    <font>
      <b/>
      <sz val="100"/>
      <color rgb="FFFF0000"/>
      <name val="Times New Roman"/>
      <family val="1"/>
    </font>
    <font>
      <sz val="100"/>
      <color theme="1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1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rgb="FF7030A0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thick">
        <color rgb="FF7030A0"/>
      </top>
      <bottom style="dashed">
        <color indexed="64"/>
      </bottom>
      <diagonal/>
    </border>
    <border>
      <left/>
      <right style="dashed">
        <color indexed="64"/>
      </right>
      <top style="thick">
        <color rgb="FF7030A0"/>
      </top>
      <bottom style="dashed">
        <color indexed="64"/>
      </bottom>
      <diagonal/>
    </border>
    <border>
      <left style="medium">
        <color indexed="64"/>
      </left>
      <right/>
      <top style="thick">
        <color rgb="FF7030A0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thick">
        <color rgb="FF7030A0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thick">
        <color rgb="FF7030A0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thick">
        <color rgb="FF7030A0"/>
      </bottom>
      <diagonal/>
    </border>
    <border>
      <left/>
      <right style="dashed">
        <color indexed="64"/>
      </right>
      <top style="dashed">
        <color indexed="64"/>
      </top>
      <bottom style="thick">
        <color rgb="FF7030A0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thick">
        <color rgb="FFFF0000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thick">
        <color rgb="FFFF0000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thick">
        <color rgb="FFFF0000"/>
      </bottom>
      <diagonal/>
    </border>
    <border>
      <left/>
      <right style="dashed">
        <color indexed="64"/>
      </right>
      <top style="dashed">
        <color indexed="64"/>
      </top>
      <bottom style="thick">
        <color rgb="FFFF0000"/>
      </bottom>
      <diagonal/>
    </border>
    <border>
      <left style="medium">
        <color indexed="64"/>
      </left>
      <right style="dashed">
        <color indexed="64"/>
      </right>
      <top style="thick">
        <color theme="6" tint="-0.499984740745262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thick">
        <color theme="6" tint="-0.499984740745262"/>
      </top>
      <bottom style="dashed">
        <color indexed="64"/>
      </bottom>
      <diagonal/>
    </border>
    <border>
      <left/>
      <right style="dashed">
        <color indexed="64"/>
      </right>
      <top style="thick">
        <color theme="6" tint="-0.499984740745262"/>
      </top>
      <bottom style="dashed">
        <color indexed="64"/>
      </bottom>
      <diagonal/>
    </border>
    <border>
      <left style="medium">
        <color auto="1"/>
      </left>
      <right style="medium">
        <color indexed="64"/>
      </right>
      <top style="dashed">
        <color auto="1"/>
      </top>
      <bottom style="thick">
        <color theme="6" tint="-0.499984740745262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medium">
        <color indexed="64"/>
      </left>
      <right/>
      <top style="mediumDashed">
        <color rgb="FFFF0000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rgb="FFFF0000"/>
      </top>
      <bottom style="dashed">
        <color indexed="64"/>
      </bottom>
      <diagonal/>
    </border>
    <border>
      <left style="medium">
        <color indexed="64"/>
      </left>
      <right/>
      <top style="mediumDashed">
        <color rgb="FFFF0000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Dashed">
        <color rgb="FFFF0000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Dashed">
        <color rgb="FFFF0000"/>
      </top>
      <bottom style="dashed">
        <color indexed="64"/>
      </bottom>
      <diagonal/>
    </border>
    <border>
      <left style="dashed">
        <color indexed="64"/>
      </left>
      <right/>
      <top style="mediumDashed">
        <color rgb="FFFF0000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Dashed">
        <color rgb="FFFF0000"/>
      </bottom>
      <diagonal/>
    </border>
    <border>
      <left style="medium">
        <color indexed="64"/>
      </left>
      <right/>
      <top/>
      <bottom style="mediumDashed">
        <color rgb="FFFF0000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Dashed">
        <color rgb="FFFF0000"/>
      </bottom>
      <diagonal/>
    </border>
    <border>
      <left style="medium">
        <color indexed="64"/>
      </left>
      <right/>
      <top style="dashed">
        <color indexed="64"/>
      </top>
      <bottom style="mediumDashed">
        <color rgb="FFFF0000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Dashed">
        <color rgb="FFFF0000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Dashed">
        <color rgb="FFFF0000"/>
      </bottom>
      <diagonal/>
    </border>
    <border>
      <left style="medium">
        <color indexed="64"/>
      </left>
      <right style="dashed">
        <color indexed="64"/>
      </right>
      <top/>
      <bottom style="mediumDashed">
        <color rgb="FFFF0000"/>
      </bottom>
      <diagonal/>
    </border>
    <border>
      <left style="dashed">
        <color indexed="64"/>
      </left>
      <right/>
      <top style="dashed">
        <color indexed="64"/>
      </top>
      <bottom style="mediumDashed">
        <color rgb="FFFF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Dashed">
        <color rgb="FFFF0000"/>
      </top>
      <bottom style="hair">
        <color indexed="64"/>
      </bottom>
      <diagonal/>
    </border>
    <border>
      <left/>
      <right style="medium">
        <color indexed="64"/>
      </right>
      <top style="mediumDashed">
        <color rgb="FFFF0000"/>
      </top>
      <bottom style="dashed">
        <color auto="1"/>
      </bottom>
      <diagonal/>
    </border>
    <border>
      <left/>
      <right style="medium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 style="thick">
        <color rgb="FF0070C0"/>
      </left>
      <right style="thick">
        <color rgb="FF0070C0"/>
      </right>
      <top style="thick">
        <color rgb="FFFF0000"/>
      </top>
      <bottom style="thick">
        <color rgb="FF0070C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thick">
        <color rgb="FF0070C0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rgb="FF0070C0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thick">
        <color rgb="FF0070C0"/>
      </top>
      <bottom style="dashed">
        <color indexed="64"/>
      </bottom>
      <diagonal/>
    </border>
    <border>
      <left/>
      <right style="dashed">
        <color indexed="64"/>
      </right>
      <top style="thick">
        <color rgb="FF0070C0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thick">
        <color rgb="FF0070C0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thick">
        <color rgb="FF0070C0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thick">
        <color rgb="FF0070C0"/>
      </bottom>
      <diagonal/>
    </border>
    <border>
      <left/>
      <right style="dashed">
        <color indexed="64"/>
      </right>
      <top style="dashed">
        <color indexed="64"/>
      </top>
      <bottom style="thick">
        <color rgb="FF0070C0"/>
      </bottom>
      <diagonal/>
    </border>
  </borders>
  <cellStyleXfs count="2">
    <xf numFmtId="0" fontId="0" fillId="0" borderId="0"/>
    <xf numFmtId="0" fontId="3" fillId="0" borderId="0"/>
  </cellStyleXfs>
  <cellXfs count="677">
    <xf numFmtId="0" fontId="0" fillId="0" borderId="0" xfId="0"/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/>
    </xf>
    <xf numFmtId="20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71" fontId="5" fillId="0" borderId="3" xfId="0" applyNumberFormat="1" applyFont="1" applyBorder="1" applyAlignment="1">
      <alignment horizontal="center"/>
    </xf>
    <xf numFmtId="171" fontId="5" fillId="0" borderId="4" xfId="0" applyNumberFormat="1" applyFont="1" applyBorder="1" applyAlignment="1">
      <alignment horizontal="center"/>
    </xf>
    <xf numFmtId="171" fontId="5" fillId="0" borderId="5" xfId="0" applyNumberFormat="1" applyFont="1" applyBorder="1" applyAlignment="1">
      <alignment horizontal="center"/>
    </xf>
    <xf numFmtId="171" fontId="5" fillId="0" borderId="6" xfId="0" applyNumberFormat="1" applyFont="1" applyBorder="1" applyAlignment="1">
      <alignment horizontal="center"/>
    </xf>
    <xf numFmtId="20" fontId="5" fillId="0" borderId="3" xfId="0" applyNumberFormat="1" applyFont="1" applyBorder="1" applyAlignment="1">
      <alignment horizontal="center"/>
    </xf>
    <xf numFmtId="20" fontId="5" fillId="0" borderId="4" xfId="0" applyNumberFormat="1" applyFont="1" applyBorder="1" applyAlignment="1">
      <alignment horizontal="center"/>
    </xf>
    <xf numFmtId="20" fontId="5" fillId="0" borderId="5" xfId="0" applyNumberFormat="1" applyFont="1" applyBorder="1" applyAlignment="1">
      <alignment horizontal="center"/>
    </xf>
    <xf numFmtId="20" fontId="5" fillId="0" borderId="6" xfId="0" applyNumberFormat="1" applyFont="1" applyBorder="1" applyAlignment="1">
      <alignment horizontal="center"/>
    </xf>
    <xf numFmtId="20" fontId="5" fillId="0" borderId="7" xfId="0" applyNumberFormat="1" applyFont="1" applyBorder="1" applyAlignment="1">
      <alignment horizontal="center"/>
    </xf>
    <xf numFmtId="171" fontId="5" fillId="0" borderId="7" xfId="0" applyNumberFormat="1" applyFont="1" applyBorder="1" applyAlignment="1">
      <alignment horizontal="center"/>
    </xf>
    <xf numFmtId="20" fontId="5" fillId="0" borderId="8" xfId="0" applyNumberFormat="1" applyFont="1" applyBorder="1" applyAlignment="1">
      <alignment horizontal="center"/>
    </xf>
    <xf numFmtId="20" fontId="5" fillId="0" borderId="9" xfId="0" applyNumberFormat="1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20" fontId="5" fillId="0" borderId="11" xfId="0" applyNumberFormat="1" applyFont="1" applyBorder="1" applyAlignment="1">
      <alignment horizontal="center"/>
    </xf>
    <xf numFmtId="20" fontId="5" fillId="0" borderId="12" xfId="0" applyNumberFormat="1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20" fontId="5" fillId="0" borderId="14" xfId="0" applyNumberFormat="1" applyFont="1" applyBorder="1" applyAlignment="1">
      <alignment horizontal="center"/>
    </xf>
    <xf numFmtId="20" fontId="5" fillId="0" borderId="15" xfId="0" applyNumberFormat="1" applyFont="1" applyBorder="1" applyAlignment="1">
      <alignment horizontal="center"/>
    </xf>
    <xf numFmtId="20" fontId="5" fillId="0" borderId="16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167" fontId="6" fillId="0" borderId="19" xfId="0" applyNumberFormat="1" applyFont="1" applyBorder="1" applyAlignment="1" applyProtection="1">
      <alignment horizontal="center"/>
      <protection locked="0"/>
    </xf>
    <xf numFmtId="167" fontId="6" fillId="0" borderId="3" xfId="0" applyNumberFormat="1" applyFont="1" applyBorder="1" applyAlignment="1" applyProtection="1">
      <alignment horizontal="center"/>
      <protection locked="0"/>
    </xf>
    <xf numFmtId="167" fontId="6" fillId="2" borderId="3" xfId="0" applyNumberFormat="1" applyFont="1" applyFill="1" applyBorder="1" applyAlignment="1" applyProtection="1">
      <alignment horizontal="center"/>
      <protection locked="0"/>
    </xf>
    <xf numFmtId="167" fontId="6" fillId="2" borderId="14" xfId="0" applyNumberFormat="1" applyFont="1" applyFill="1" applyBorder="1" applyAlignment="1" applyProtection="1">
      <alignment horizontal="center"/>
      <protection locked="0"/>
    </xf>
    <xf numFmtId="168" fontId="7" fillId="0" borderId="21" xfId="0" applyNumberFormat="1" applyFont="1" applyBorder="1" applyAlignment="1" applyProtection="1">
      <alignment horizontal="center"/>
      <protection locked="0"/>
    </xf>
    <xf numFmtId="167" fontId="10" fillId="0" borderId="11" xfId="0" applyNumberFormat="1" applyFont="1" applyBorder="1" applyAlignment="1" applyProtection="1">
      <alignment horizontal="center"/>
      <protection hidden="1"/>
    </xf>
    <xf numFmtId="167" fontId="10" fillId="0" borderId="14" xfId="0" applyNumberFormat="1" applyFont="1" applyBorder="1" applyAlignment="1" applyProtection="1">
      <alignment horizontal="center"/>
      <protection hidden="1"/>
    </xf>
    <xf numFmtId="1" fontId="13" fillId="2" borderId="17" xfId="0" applyNumberFormat="1" applyFont="1" applyFill="1" applyBorder="1" applyAlignment="1" applyProtection="1">
      <alignment horizontal="center"/>
      <protection hidden="1"/>
    </xf>
    <xf numFmtId="1" fontId="13" fillId="2" borderId="20" xfId="0" applyNumberFormat="1" applyFont="1" applyFill="1" applyBorder="1" applyAlignment="1" applyProtection="1">
      <alignment horizontal="center"/>
      <protection hidden="1"/>
    </xf>
    <xf numFmtId="1" fontId="13" fillId="2" borderId="21" xfId="0" applyNumberFormat="1" applyFont="1" applyFill="1" applyBorder="1" applyAlignment="1" applyProtection="1">
      <alignment horizontal="center"/>
      <protection hidden="1"/>
    </xf>
    <xf numFmtId="167" fontId="10" fillId="0" borderId="23" xfId="0" applyNumberFormat="1" applyFont="1" applyBorder="1" applyAlignment="1" applyProtection="1">
      <alignment horizontal="center"/>
      <protection hidden="1"/>
    </xf>
    <xf numFmtId="0" fontId="16" fillId="0" borderId="0" xfId="0" applyFont="1" applyAlignment="1" applyProtection="1">
      <alignment horizontal="center"/>
      <protection locked="0"/>
    </xf>
    <xf numFmtId="2" fontId="18" fillId="0" borderId="24" xfId="0" applyNumberFormat="1" applyFont="1" applyBorder="1" applyAlignment="1" applyProtection="1">
      <alignment horizontal="center"/>
      <protection locked="0"/>
    </xf>
    <xf numFmtId="0" fontId="19" fillId="0" borderId="24" xfId="0" applyFont="1" applyBorder="1" applyAlignment="1" applyProtection="1">
      <alignment horizont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21" fillId="0" borderId="24" xfId="0" applyFont="1" applyBorder="1" applyAlignment="1" applyProtection="1">
      <alignment horizontal="center"/>
      <protection locked="0"/>
    </xf>
    <xf numFmtId="0" fontId="22" fillId="0" borderId="24" xfId="0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23" fillId="0" borderId="24" xfId="0" applyFont="1" applyBorder="1" applyAlignment="1" applyProtection="1">
      <alignment horizontal="center"/>
      <protection locked="0"/>
    </xf>
    <xf numFmtId="0" fontId="10" fillId="0" borderId="25" xfId="0" applyFont="1" applyBorder="1" applyAlignment="1" applyProtection="1">
      <alignment horizontal="center"/>
      <protection locked="0"/>
    </xf>
    <xf numFmtId="0" fontId="24" fillId="0" borderId="26" xfId="0" applyFont="1" applyBorder="1" applyAlignment="1" applyProtection="1">
      <alignment horizontal="center"/>
      <protection locked="0"/>
    </xf>
    <xf numFmtId="165" fontId="7" fillId="0" borderId="24" xfId="0" applyNumberFormat="1" applyFont="1" applyBorder="1" applyAlignment="1" applyProtection="1">
      <alignment horizontal="center"/>
      <protection locked="0"/>
    </xf>
    <xf numFmtId="165" fontId="19" fillId="0" borderId="27" xfId="0" applyNumberFormat="1" applyFont="1" applyBorder="1" applyAlignment="1" applyProtection="1">
      <alignment horizontal="center"/>
      <protection locked="0"/>
    </xf>
    <xf numFmtId="170" fontId="16" fillId="0" borderId="0" xfId="0" applyNumberFormat="1" applyFont="1" applyAlignment="1" applyProtection="1">
      <alignment horizontal="center"/>
      <protection locked="0"/>
    </xf>
    <xf numFmtId="0" fontId="25" fillId="0" borderId="0" xfId="0" applyFont="1" applyAlignment="1" applyProtection="1">
      <alignment horizontal="center"/>
      <protection locked="0"/>
    </xf>
    <xf numFmtId="0" fontId="26" fillId="0" borderId="0" xfId="0" applyFont="1" applyAlignment="1" applyProtection="1">
      <alignment horizontal="center"/>
      <protection locked="0"/>
    </xf>
    <xf numFmtId="0" fontId="27" fillId="0" borderId="0" xfId="0" applyFont="1" applyAlignment="1" applyProtection="1">
      <alignment horizontal="center"/>
      <protection locked="0"/>
    </xf>
    <xf numFmtId="165" fontId="7" fillId="0" borderId="0" xfId="0" applyNumberFormat="1" applyFont="1" applyAlignment="1" applyProtection="1">
      <alignment horizontal="center"/>
      <protection locked="0"/>
    </xf>
    <xf numFmtId="169" fontId="28" fillId="0" borderId="0" xfId="0" applyNumberFormat="1" applyFont="1" applyBorder="1" applyAlignment="1" applyProtection="1">
      <alignment horizontal="center"/>
      <protection locked="0"/>
    </xf>
    <xf numFmtId="3" fontId="29" fillId="0" borderId="0" xfId="0" applyNumberFormat="1" applyFont="1" applyAlignment="1" applyProtection="1">
      <alignment horizontal="center"/>
      <protection locked="0"/>
    </xf>
    <xf numFmtId="169" fontId="8" fillId="0" borderId="0" xfId="0" applyNumberFormat="1" applyFont="1" applyAlignment="1" applyProtection="1">
      <alignment horizontal="center"/>
      <protection locked="0"/>
    </xf>
    <xf numFmtId="167" fontId="6" fillId="0" borderId="0" xfId="0" applyNumberFormat="1" applyFont="1" applyBorder="1" applyAlignment="1" applyProtection="1">
      <alignment horizontal="center"/>
      <protection locked="0"/>
    </xf>
    <xf numFmtId="2" fontId="8" fillId="0" borderId="0" xfId="0" applyNumberFormat="1" applyFont="1" applyAlignment="1" applyProtection="1">
      <alignment horizontal="center"/>
      <protection locked="0"/>
    </xf>
    <xf numFmtId="167" fontId="24" fillId="0" borderId="0" xfId="0" applyNumberFormat="1" applyFont="1" applyAlignment="1" applyProtection="1">
      <alignment horizontal="center"/>
      <protection locked="0"/>
    </xf>
    <xf numFmtId="168" fontId="7" fillId="0" borderId="0" xfId="0" applyNumberFormat="1" applyFont="1" applyAlignment="1" applyProtection="1">
      <alignment horizontal="center"/>
      <protection locked="0"/>
    </xf>
    <xf numFmtId="3" fontId="18" fillId="0" borderId="0" xfId="0" applyNumberFormat="1" applyFont="1" applyAlignment="1" applyProtection="1">
      <alignment horizontal="center"/>
      <protection locked="0"/>
    </xf>
    <xf numFmtId="3" fontId="20" fillId="0" borderId="0" xfId="0" applyNumberFormat="1" applyFont="1" applyAlignment="1" applyProtection="1">
      <alignment horizontal="center"/>
      <protection locked="0"/>
    </xf>
    <xf numFmtId="3" fontId="13" fillId="0" borderId="0" xfId="0" applyNumberFormat="1" applyFont="1" applyAlignment="1" applyProtection="1">
      <alignment horizontal="center"/>
      <protection locked="0"/>
    </xf>
    <xf numFmtId="3" fontId="28" fillId="0" borderId="0" xfId="0" applyNumberFormat="1" applyFont="1" applyAlignment="1" applyProtection="1">
      <alignment horizontal="center"/>
      <protection locked="0"/>
    </xf>
    <xf numFmtId="1" fontId="22" fillId="0" borderId="0" xfId="0" applyNumberFormat="1" applyFont="1" applyAlignment="1" applyProtection="1">
      <alignment horizontal="center"/>
      <protection locked="0"/>
    </xf>
    <xf numFmtId="165" fontId="8" fillId="0" borderId="0" xfId="0" applyNumberFormat="1" applyFont="1" applyFill="1" applyAlignment="1" applyProtection="1">
      <alignment horizontal="center"/>
      <protection locked="0"/>
    </xf>
    <xf numFmtId="168" fontId="8" fillId="0" borderId="0" xfId="0" applyNumberFormat="1" applyFont="1" applyFill="1" applyAlignment="1" applyProtection="1">
      <alignment horizontal="center"/>
      <protection locked="0"/>
    </xf>
    <xf numFmtId="0" fontId="30" fillId="0" borderId="0" xfId="0" applyFont="1" applyProtection="1">
      <protection locked="0"/>
    </xf>
    <xf numFmtId="3" fontId="29" fillId="0" borderId="0" xfId="0" applyNumberFormat="1" applyFont="1" applyAlignment="1" applyProtection="1">
      <alignment horizontal="center"/>
      <protection hidden="1"/>
    </xf>
    <xf numFmtId="3" fontId="31" fillId="0" borderId="0" xfId="0" applyNumberFormat="1" applyFont="1" applyAlignment="1" applyProtection="1">
      <alignment horizontal="center"/>
      <protection hidden="1"/>
    </xf>
    <xf numFmtId="3" fontId="32" fillId="0" borderId="0" xfId="0" applyNumberFormat="1" applyFont="1" applyAlignment="1" applyProtection="1">
      <alignment horizontal="center"/>
      <protection hidden="1"/>
    </xf>
    <xf numFmtId="3" fontId="33" fillId="0" borderId="0" xfId="0" applyNumberFormat="1" applyFont="1" applyAlignment="1" applyProtection="1">
      <alignment horizontal="center"/>
      <protection hidden="1"/>
    </xf>
    <xf numFmtId="3" fontId="34" fillId="0" borderId="0" xfId="0" applyNumberFormat="1" applyFont="1" applyAlignment="1" applyProtection="1">
      <alignment horizontal="center"/>
      <protection hidden="1"/>
    </xf>
    <xf numFmtId="3" fontId="35" fillId="0" borderId="0" xfId="0" applyNumberFormat="1" applyFont="1" applyAlignment="1" applyProtection="1">
      <alignment horizontal="center"/>
      <protection hidden="1"/>
    </xf>
    <xf numFmtId="2" fontId="37" fillId="0" borderId="0" xfId="0" applyNumberFormat="1" applyFont="1" applyAlignment="1" applyProtection="1">
      <alignment horizontal="center"/>
      <protection hidden="1"/>
    </xf>
    <xf numFmtId="167" fontId="10" fillId="0" borderId="0" xfId="0" applyNumberFormat="1" applyFont="1" applyAlignment="1" applyProtection="1">
      <alignment horizontal="center"/>
      <protection hidden="1"/>
    </xf>
    <xf numFmtId="165" fontId="24" fillId="0" borderId="0" xfId="0" applyNumberFormat="1" applyFont="1" applyAlignment="1" applyProtection="1">
      <alignment horizontal="center"/>
      <protection hidden="1"/>
    </xf>
    <xf numFmtId="165" fontId="8" fillId="5" borderId="0" xfId="0" applyNumberFormat="1" applyFont="1" applyFill="1" applyAlignment="1" applyProtection="1">
      <alignment horizontal="center"/>
      <protection hidden="1"/>
    </xf>
    <xf numFmtId="1" fontId="38" fillId="0" borderId="0" xfId="0" applyNumberFormat="1" applyFont="1" applyAlignment="1" applyProtection="1">
      <alignment horizontal="center"/>
      <protection hidden="1"/>
    </xf>
    <xf numFmtId="0" fontId="3" fillId="0" borderId="0" xfId="1"/>
    <xf numFmtId="0" fontId="4" fillId="0" borderId="17" xfId="1" applyFont="1" applyBorder="1"/>
    <xf numFmtId="0" fontId="4" fillId="0" borderId="20" xfId="1" applyFont="1" applyBorder="1"/>
    <xf numFmtId="0" fontId="5" fillId="0" borderId="19" xfId="1" applyFont="1" applyBorder="1" applyAlignment="1">
      <alignment horizontal="left"/>
    </xf>
    <xf numFmtId="0" fontId="3" fillId="0" borderId="0" xfId="1" applyBorder="1"/>
    <xf numFmtId="0" fontId="4" fillId="0" borderId="0" xfId="1" applyFont="1" applyBorder="1" applyAlignment="1">
      <alignment horizontal="center"/>
    </xf>
    <xf numFmtId="0" fontId="5" fillId="0" borderId="0" xfId="1" applyFont="1" applyBorder="1" applyAlignment="1">
      <alignment horizontal="left"/>
    </xf>
    <xf numFmtId="165" fontId="5" fillId="0" borderId="0" xfId="1" applyNumberFormat="1" applyFont="1" applyBorder="1" applyAlignment="1">
      <alignment horizontal="right"/>
    </xf>
    <xf numFmtId="0" fontId="5" fillId="0" borderId="13" xfId="1" applyFont="1" applyBorder="1" applyAlignment="1">
      <alignment horizontal="left"/>
    </xf>
    <xf numFmtId="0" fontId="39" fillId="0" borderId="0" xfId="1" applyFont="1" applyBorder="1" applyAlignment="1">
      <alignment horizontal="left"/>
    </xf>
    <xf numFmtId="165" fontId="39" fillId="0" borderId="0" xfId="1" applyNumberFormat="1" applyFont="1" applyBorder="1" applyAlignment="1">
      <alignment horizontal="right"/>
    </xf>
    <xf numFmtId="167" fontId="3" fillId="0" borderId="0" xfId="1" applyNumberFormat="1" applyFill="1"/>
    <xf numFmtId="167" fontId="8" fillId="0" borderId="0" xfId="1" applyNumberFormat="1" applyFont="1" applyFill="1" applyAlignment="1">
      <alignment horizontal="center"/>
    </xf>
    <xf numFmtId="172" fontId="3" fillId="0" borderId="0" xfId="1" applyNumberFormat="1" applyFill="1"/>
    <xf numFmtId="0" fontId="3" fillId="0" borderId="0" xfId="1" applyFill="1"/>
    <xf numFmtId="165" fontId="40" fillId="0" borderId="0" xfId="1" applyNumberFormat="1" applyFont="1" applyBorder="1" applyAlignment="1">
      <alignment horizontal="right"/>
    </xf>
    <xf numFmtId="2" fontId="40" fillId="0" borderId="0" xfId="1" applyNumberFormat="1" applyFont="1" applyBorder="1"/>
    <xf numFmtId="0" fontId="5" fillId="0" borderId="18" xfId="1" applyFont="1" applyBorder="1" applyAlignment="1">
      <alignment horizontal="left"/>
    </xf>
    <xf numFmtId="165" fontId="5" fillId="0" borderId="30" xfId="1" applyNumberFormat="1" applyFont="1" applyBorder="1" applyAlignment="1">
      <alignment horizontal="right"/>
    </xf>
    <xf numFmtId="165" fontId="5" fillId="0" borderId="16" xfId="1" applyNumberFormat="1" applyFont="1" applyBorder="1" applyAlignment="1">
      <alignment horizontal="right"/>
    </xf>
    <xf numFmtId="0" fontId="21" fillId="0" borderId="31" xfId="0" applyFont="1" applyBorder="1" applyAlignment="1" applyProtection="1">
      <alignment horizontal="center"/>
      <protection locked="0"/>
    </xf>
    <xf numFmtId="167" fontId="8" fillId="5" borderId="0" xfId="0" applyNumberFormat="1" applyFont="1" applyFill="1" applyAlignment="1" applyProtection="1">
      <alignment horizontal="center"/>
      <protection hidden="1"/>
    </xf>
    <xf numFmtId="0" fontId="4" fillId="0" borderId="35" xfId="1" applyFont="1" applyBorder="1"/>
    <xf numFmtId="0" fontId="4" fillId="6" borderId="24" xfId="1" applyFont="1" applyFill="1" applyBorder="1"/>
    <xf numFmtId="0" fontId="41" fillId="0" borderId="1" xfId="1" applyFont="1" applyBorder="1" applyAlignment="1">
      <alignment horizontal="center"/>
    </xf>
    <xf numFmtId="1" fontId="41" fillId="6" borderId="24" xfId="1" applyNumberFormat="1" applyFont="1" applyFill="1" applyBorder="1" applyAlignment="1">
      <alignment horizontal="center"/>
    </xf>
    <xf numFmtId="0" fontId="17" fillId="0" borderId="24" xfId="1" applyFont="1" applyBorder="1" applyAlignment="1">
      <alignment horizontal="center"/>
    </xf>
    <xf numFmtId="171" fontId="17" fillId="0" borderId="17" xfId="1" applyNumberFormat="1" applyFont="1" applyBorder="1" applyAlignment="1" applyProtection="1">
      <alignment horizontal="center"/>
      <protection hidden="1"/>
    </xf>
    <xf numFmtId="171" fontId="17" fillId="0" borderId="20" xfId="1" applyNumberFormat="1" applyFont="1" applyBorder="1" applyAlignment="1" applyProtection="1">
      <alignment horizontal="center"/>
      <protection hidden="1"/>
    </xf>
    <xf numFmtId="171" fontId="17" fillId="0" borderId="21" xfId="1" applyNumberFormat="1" applyFont="1" applyBorder="1" applyAlignment="1" applyProtection="1">
      <alignment horizontal="center"/>
      <protection hidden="1"/>
    </xf>
    <xf numFmtId="171" fontId="17" fillId="6" borderId="24" xfId="1" applyNumberFormat="1" applyFont="1" applyFill="1" applyBorder="1" applyAlignment="1">
      <alignment horizontal="center"/>
    </xf>
    <xf numFmtId="2" fontId="18" fillId="0" borderId="1" xfId="0" applyNumberFormat="1" applyFont="1" applyBorder="1" applyAlignment="1" applyProtection="1">
      <alignment horizontal="center"/>
      <protection locked="0"/>
    </xf>
    <xf numFmtId="174" fontId="15" fillId="0" borderId="0" xfId="1" applyNumberFormat="1" applyFont="1" applyBorder="1" applyAlignment="1">
      <alignment horizontal="right"/>
    </xf>
    <xf numFmtId="0" fontId="5" fillId="0" borderId="36" xfId="1" applyFont="1" applyBorder="1" applyAlignment="1">
      <alignment horizontal="left"/>
    </xf>
    <xf numFmtId="165" fontId="5" fillId="0" borderId="7" xfId="1" applyNumberFormat="1" applyFont="1" applyBorder="1" applyAlignment="1">
      <alignment horizontal="right"/>
    </xf>
    <xf numFmtId="1" fontId="41" fillId="0" borderId="10" xfId="1" applyNumberFormat="1" applyFont="1" applyBorder="1" applyAlignment="1" applyProtection="1">
      <alignment horizontal="center"/>
      <protection hidden="1"/>
    </xf>
    <xf numFmtId="1" fontId="41" fillId="0" borderId="37" xfId="1" applyNumberFormat="1" applyFont="1" applyBorder="1" applyAlignment="1" applyProtection="1">
      <alignment horizontal="center"/>
      <protection hidden="1"/>
    </xf>
    <xf numFmtId="0" fontId="14" fillId="0" borderId="1" xfId="1" applyFont="1" applyBorder="1" applyAlignment="1">
      <alignment horizontal="center"/>
    </xf>
    <xf numFmtId="0" fontId="14" fillId="0" borderId="10" xfId="1" applyFont="1" applyBorder="1" applyAlignment="1" applyProtection="1">
      <alignment horizontal="center"/>
      <protection hidden="1"/>
    </xf>
    <xf numFmtId="0" fontId="14" fillId="0" borderId="2" xfId="1" applyFont="1" applyBorder="1" applyAlignment="1" applyProtection="1">
      <alignment horizontal="center"/>
      <protection hidden="1"/>
    </xf>
    <xf numFmtId="0" fontId="14" fillId="0" borderId="13" xfId="1" applyFont="1" applyBorder="1" applyAlignment="1" applyProtection="1">
      <alignment horizontal="center"/>
      <protection hidden="1"/>
    </xf>
    <xf numFmtId="1" fontId="14" fillId="6" borderId="24" xfId="1" applyNumberFormat="1" applyFont="1" applyFill="1" applyBorder="1" applyAlignment="1" applyProtection="1">
      <alignment horizontal="center"/>
      <protection hidden="1"/>
    </xf>
    <xf numFmtId="0" fontId="42" fillId="0" borderId="24" xfId="1" applyFont="1" applyBorder="1" applyAlignment="1">
      <alignment horizontal="center"/>
    </xf>
    <xf numFmtId="0" fontId="42" fillId="0" borderId="38" xfId="1" applyFont="1" applyBorder="1" applyAlignment="1" applyProtection="1">
      <alignment horizontal="center"/>
      <protection hidden="1"/>
    </xf>
    <xf numFmtId="0" fontId="42" fillId="0" borderId="20" xfId="1" applyFont="1" applyBorder="1" applyAlignment="1" applyProtection="1">
      <alignment horizontal="center"/>
      <protection hidden="1"/>
    </xf>
    <xf numFmtId="173" fontId="42" fillId="6" borderId="24" xfId="1" applyNumberFormat="1" applyFont="1" applyFill="1" applyBorder="1" applyAlignment="1" applyProtection="1">
      <alignment horizontal="center"/>
      <protection hidden="1"/>
    </xf>
    <xf numFmtId="0" fontId="17" fillId="0" borderId="38" xfId="1" applyFont="1" applyBorder="1" applyAlignment="1" applyProtection="1">
      <alignment horizontal="center"/>
      <protection hidden="1"/>
    </xf>
    <xf numFmtId="173" fontId="17" fillId="6" borderId="24" xfId="1" applyNumberFormat="1" applyFont="1" applyFill="1" applyBorder="1" applyAlignment="1" applyProtection="1">
      <alignment horizontal="center"/>
      <protection hidden="1"/>
    </xf>
    <xf numFmtId="0" fontId="42" fillId="0" borderId="21" xfId="1" applyFont="1" applyBorder="1" applyAlignment="1" applyProtection="1">
      <alignment horizontal="center"/>
      <protection hidden="1"/>
    </xf>
    <xf numFmtId="0" fontId="43" fillId="0" borderId="24" xfId="1" applyFont="1" applyBorder="1" applyAlignment="1">
      <alignment horizontal="center"/>
    </xf>
    <xf numFmtId="0" fontId="43" fillId="0" borderId="38" xfId="1" applyFont="1" applyBorder="1" applyAlignment="1" applyProtection="1">
      <alignment horizontal="center"/>
      <protection hidden="1"/>
    </xf>
    <xf numFmtId="0" fontId="43" fillId="0" borderId="20" xfId="1" applyFont="1" applyBorder="1" applyAlignment="1" applyProtection="1">
      <alignment horizontal="center"/>
      <protection hidden="1"/>
    </xf>
    <xf numFmtId="0" fontId="43" fillId="0" borderId="21" xfId="1" applyFont="1" applyBorder="1" applyAlignment="1" applyProtection="1">
      <alignment horizontal="center"/>
      <protection hidden="1"/>
    </xf>
    <xf numFmtId="173" fontId="43" fillId="6" borderId="24" xfId="1" applyNumberFormat="1" applyFont="1" applyFill="1" applyBorder="1" applyAlignment="1" applyProtection="1">
      <alignment horizontal="center"/>
      <protection hidden="1"/>
    </xf>
    <xf numFmtId="173" fontId="39" fillId="6" borderId="24" xfId="1" applyNumberFormat="1" applyFont="1" applyFill="1" applyBorder="1" applyAlignment="1" applyProtection="1">
      <alignment horizontal="center"/>
      <protection hidden="1"/>
    </xf>
    <xf numFmtId="0" fontId="39" fillId="0" borderId="24" xfId="1" applyFont="1" applyBorder="1" applyAlignment="1">
      <alignment horizontal="center"/>
    </xf>
    <xf numFmtId="0" fontId="39" fillId="0" borderId="38" xfId="1" applyFont="1" applyBorder="1" applyAlignment="1" applyProtection="1">
      <alignment horizontal="center"/>
      <protection hidden="1"/>
    </xf>
    <xf numFmtId="0" fontId="39" fillId="0" borderId="20" xfId="1" applyFont="1" applyBorder="1" applyAlignment="1" applyProtection="1">
      <alignment horizontal="center"/>
      <protection hidden="1"/>
    </xf>
    <xf numFmtId="0" fontId="39" fillId="0" borderId="21" xfId="1" applyFont="1" applyBorder="1" applyAlignment="1" applyProtection="1">
      <alignment horizontal="center"/>
      <protection hidden="1"/>
    </xf>
    <xf numFmtId="1" fontId="2" fillId="3" borderId="0" xfId="0" applyNumberFormat="1" applyFont="1" applyFill="1" applyAlignment="1" applyProtection="1">
      <alignment horizontal="center"/>
      <protection hidden="1"/>
    </xf>
    <xf numFmtId="0" fontId="2" fillId="4" borderId="0" xfId="0" applyFont="1" applyFill="1" applyAlignment="1" applyProtection="1">
      <alignment horizontal="center"/>
      <protection hidden="1"/>
    </xf>
    <xf numFmtId="0" fontId="2" fillId="10" borderId="0" xfId="0" applyFont="1" applyFill="1" applyAlignment="1" applyProtection="1">
      <alignment horizontal="center"/>
      <protection hidden="1"/>
    </xf>
    <xf numFmtId="0" fontId="2" fillId="9" borderId="0" xfId="0" applyFont="1" applyFill="1" applyAlignment="1" applyProtection="1">
      <alignment horizontal="center"/>
      <protection hidden="1"/>
    </xf>
    <xf numFmtId="0" fontId="2" fillId="8" borderId="0" xfId="0" applyFont="1" applyFill="1" applyAlignment="1" applyProtection="1">
      <alignment horizontal="center"/>
      <protection hidden="1"/>
    </xf>
    <xf numFmtId="0" fontId="2" fillId="7" borderId="0" xfId="0" applyFont="1" applyFill="1" applyAlignment="1" applyProtection="1">
      <alignment horizontal="center"/>
      <protection hidden="1"/>
    </xf>
    <xf numFmtId="0" fontId="3" fillId="0" borderId="39" xfId="1" applyBorder="1"/>
    <xf numFmtId="176" fontId="19" fillId="0" borderId="17" xfId="0" applyNumberFormat="1" applyFont="1" applyBorder="1" applyAlignment="1" applyProtection="1">
      <alignment horizontal="center"/>
      <protection hidden="1"/>
    </xf>
    <xf numFmtId="176" fontId="19" fillId="0" borderId="20" xfId="0" applyNumberFormat="1" applyFont="1" applyBorder="1" applyAlignment="1" applyProtection="1">
      <alignment horizontal="center"/>
      <protection hidden="1"/>
    </xf>
    <xf numFmtId="176" fontId="19" fillId="0" borderId="21" xfId="0" applyNumberFormat="1" applyFont="1" applyBorder="1" applyAlignment="1" applyProtection="1">
      <alignment horizontal="center"/>
      <protection hidden="1"/>
    </xf>
    <xf numFmtId="176" fontId="19" fillId="0" borderId="40" xfId="0" applyNumberFormat="1" applyFont="1" applyBorder="1" applyAlignment="1" applyProtection="1">
      <alignment horizontal="center"/>
      <protection hidden="1"/>
    </xf>
    <xf numFmtId="165" fontId="24" fillId="0" borderId="41" xfId="0" applyNumberFormat="1" applyFont="1" applyBorder="1" applyAlignment="1" applyProtection="1">
      <alignment horizontal="center"/>
      <protection hidden="1"/>
    </xf>
    <xf numFmtId="165" fontId="24" fillId="0" borderId="12" xfId="0" applyNumberFormat="1" applyFont="1" applyBorder="1" applyAlignment="1" applyProtection="1">
      <alignment horizontal="center"/>
      <protection hidden="1"/>
    </xf>
    <xf numFmtId="165" fontId="24" fillId="0" borderId="42" xfId="0" applyNumberFormat="1" applyFont="1" applyBorder="1" applyAlignment="1" applyProtection="1">
      <alignment horizontal="center"/>
      <protection hidden="1"/>
    </xf>
    <xf numFmtId="176" fontId="19" fillId="0" borderId="38" xfId="0" applyNumberFormat="1" applyFont="1" applyBorder="1" applyAlignment="1" applyProtection="1">
      <alignment horizontal="center"/>
      <protection hidden="1"/>
    </xf>
    <xf numFmtId="176" fontId="19" fillId="0" borderId="34" xfId="0" applyNumberFormat="1" applyFont="1" applyBorder="1" applyAlignment="1" applyProtection="1">
      <alignment horizontal="center"/>
      <protection hidden="1"/>
    </xf>
    <xf numFmtId="2" fontId="5" fillId="0" borderId="22" xfId="1" applyNumberFormat="1" applyFont="1" applyBorder="1" applyAlignment="1">
      <alignment horizontal="center"/>
    </xf>
    <xf numFmtId="2" fontId="1" fillId="0" borderId="4" xfId="1" applyNumberFormat="1" applyFont="1" applyBorder="1" applyAlignment="1">
      <alignment horizontal="center"/>
    </xf>
    <xf numFmtId="2" fontId="44" fillId="0" borderId="9" xfId="1" applyNumberFormat="1" applyFont="1" applyBorder="1" applyAlignment="1">
      <alignment horizontal="center"/>
    </xf>
    <xf numFmtId="2" fontId="17" fillId="0" borderId="43" xfId="1" applyNumberFormat="1" applyFont="1" applyBorder="1" applyAlignment="1">
      <alignment horizontal="center"/>
    </xf>
    <xf numFmtId="2" fontId="0" fillId="0" borderId="22" xfId="0" applyNumberFormat="1" applyBorder="1" applyAlignment="1"/>
    <xf numFmtId="2" fontId="3" fillId="0" borderId="4" xfId="1" applyNumberFormat="1" applyBorder="1"/>
    <xf numFmtId="2" fontId="3" fillId="0" borderId="9" xfId="1" applyNumberFormat="1" applyBorder="1"/>
    <xf numFmtId="2" fontId="15" fillId="0" borderId="43" xfId="1" applyNumberFormat="1" applyFont="1" applyBorder="1" applyAlignment="1">
      <alignment horizontal="right"/>
    </xf>
    <xf numFmtId="2" fontId="5" fillId="0" borderId="22" xfId="1" applyNumberFormat="1" applyFont="1" applyBorder="1" applyAlignment="1">
      <alignment horizontal="right"/>
    </xf>
    <xf numFmtId="2" fontId="5" fillId="0" borderId="9" xfId="1" applyNumberFormat="1" applyFont="1" applyBorder="1" applyAlignment="1">
      <alignment horizontal="right"/>
    </xf>
    <xf numFmtId="2" fontId="3" fillId="0" borderId="44" xfId="1" applyNumberFormat="1" applyBorder="1" applyAlignment="1">
      <alignment horizontal="right"/>
    </xf>
    <xf numFmtId="2" fontId="12" fillId="0" borderId="43" xfId="1" applyNumberFormat="1" applyFont="1" applyBorder="1" applyAlignment="1">
      <alignment horizontal="right"/>
    </xf>
    <xf numFmtId="2" fontId="39" fillId="0" borderId="43" xfId="1" applyNumberFormat="1" applyFont="1" applyBorder="1" applyAlignment="1">
      <alignment horizontal="center"/>
    </xf>
    <xf numFmtId="0" fontId="9" fillId="0" borderId="24" xfId="1" applyFont="1" applyBorder="1" applyAlignment="1">
      <alignment horizontal="center"/>
    </xf>
    <xf numFmtId="49" fontId="9" fillId="0" borderId="38" xfId="1" applyNumberFormat="1" applyFont="1" applyBorder="1" applyAlignment="1" applyProtection="1">
      <alignment horizontal="center"/>
      <protection hidden="1"/>
    </xf>
    <xf numFmtId="0" fontId="9" fillId="0" borderId="38" xfId="1" applyNumberFormat="1" applyFont="1" applyBorder="1" applyAlignment="1" applyProtection="1">
      <alignment horizontal="center"/>
      <protection hidden="1"/>
    </xf>
    <xf numFmtId="0" fontId="9" fillId="6" borderId="24" xfId="1" applyNumberFormat="1" applyFont="1" applyFill="1" applyBorder="1" applyAlignment="1" applyProtection="1">
      <alignment horizontal="center"/>
      <protection hidden="1"/>
    </xf>
    <xf numFmtId="0" fontId="5" fillId="0" borderId="37" xfId="0" applyFont="1" applyBorder="1" applyAlignment="1">
      <alignment horizontal="center"/>
    </xf>
    <xf numFmtId="171" fontId="5" fillId="0" borderId="8" xfId="0" applyNumberFormat="1" applyFont="1" applyBorder="1" applyAlignment="1">
      <alignment horizontal="center"/>
    </xf>
    <xf numFmtId="171" fontId="5" fillId="0" borderId="9" xfId="0" applyNumberFormat="1" applyFont="1" applyBorder="1" applyAlignment="1">
      <alignment horizontal="center"/>
    </xf>
    <xf numFmtId="171" fontId="5" fillId="0" borderId="45" xfId="0" applyNumberFormat="1" applyFont="1" applyBorder="1" applyAlignment="1">
      <alignment horizontal="center"/>
    </xf>
    <xf numFmtId="171" fontId="5" fillId="0" borderId="46" xfId="0" applyNumberFormat="1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20" fontId="12" fillId="0" borderId="2" xfId="0" applyNumberFormat="1" applyFont="1" applyBorder="1" applyAlignment="1">
      <alignment horizontal="center"/>
    </xf>
    <xf numFmtId="0" fontId="12" fillId="0" borderId="66" xfId="0" applyFont="1" applyBorder="1" applyAlignment="1">
      <alignment horizontal="center"/>
    </xf>
    <xf numFmtId="0" fontId="12" fillId="0" borderId="67" xfId="0" applyFont="1" applyBorder="1" applyAlignment="1">
      <alignment horizontal="center"/>
    </xf>
    <xf numFmtId="0" fontId="12" fillId="0" borderId="66" xfId="0" applyFont="1" applyFill="1" applyBorder="1" applyAlignment="1">
      <alignment horizontal="center"/>
    </xf>
    <xf numFmtId="0" fontId="12" fillId="0" borderId="10" xfId="0" applyFont="1" applyFill="1" applyBorder="1" applyAlignment="1">
      <alignment horizontal="center"/>
    </xf>
    <xf numFmtId="176" fontId="7" fillId="0" borderId="0" xfId="0" applyNumberFormat="1" applyFont="1" applyBorder="1" applyAlignment="1" applyProtection="1">
      <alignment horizontal="center"/>
      <protection hidden="1"/>
    </xf>
    <xf numFmtId="165" fontId="7" fillId="0" borderId="38" xfId="0" applyNumberFormat="1" applyFont="1" applyBorder="1" applyAlignment="1" applyProtection="1">
      <alignment horizontal="center"/>
      <protection locked="0"/>
    </xf>
    <xf numFmtId="165" fontId="7" fillId="0" borderId="20" xfId="0" applyNumberFormat="1" applyFont="1" applyBorder="1" applyAlignment="1" applyProtection="1">
      <alignment horizontal="center"/>
      <protection locked="0"/>
    </xf>
    <xf numFmtId="165" fontId="7" fillId="0" borderId="21" xfId="0" applyNumberFormat="1" applyFont="1" applyBorder="1" applyAlignment="1" applyProtection="1">
      <alignment horizontal="center"/>
      <protection locked="0"/>
    </xf>
    <xf numFmtId="0" fontId="12" fillId="0" borderId="2" xfId="0" applyFont="1" applyFill="1" applyBorder="1" applyAlignment="1">
      <alignment horizontal="center"/>
    </xf>
    <xf numFmtId="0" fontId="12" fillId="0" borderId="24" xfId="1" applyFont="1" applyBorder="1"/>
    <xf numFmtId="8" fontId="12" fillId="0" borderId="38" xfId="1" applyNumberFormat="1" applyFont="1" applyBorder="1" applyAlignment="1">
      <alignment horizontal="center"/>
    </xf>
    <xf numFmtId="0" fontId="3" fillId="0" borderId="62" xfId="1" applyBorder="1"/>
    <xf numFmtId="0" fontId="3" fillId="0" borderId="18" xfId="1" applyFont="1" applyBorder="1"/>
    <xf numFmtId="0" fontId="3" fillId="0" borderId="30" xfId="1" applyBorder="1"/>
    <xf numFmtId="0" fontId="4" fillId="0" borderId="22" xfId="1" applyFont="1" applyBorder="1" applyAlignment="1">
      <alignment horizontal="center"/>
    </xf>
    <xf numFmtId="0" fontId="3" fillId="0" borderId="3" xfId="1" applyFont="1" applyBorder="1"/>
    <xf numFmtId="2" fontId="4" fillId="0" borderId="4" xfId="1" applyNumberFormat="1" applyFont="1" applyBorder="1" applyAlignment="1">
      <alignment horizontal="center"/>
    </xf>
    <xf numFmtId="2" fontId="5" fillId="0" borderId="22" xfId="1" applyNumberFormat="1" applyFont="1" applyBorder="1"/>
    <xf numFmtId="2" fontId="5" fillId="0" borderId="4" xfId="1" applyNumberFormat="1" applyFont="1" applyBorder="1"/>
    <xf numFmtId="2" fontId="5" fillId="0" borderId="9" xfId="1" applyNumberFormat="1" applyFont="1" applyBorder="1"/>
    <xf numFmtId="0" fontId="3" fillId="0" borderId="8" xfId="1" applyFont="1" applyBorder="1"/>
    <xf numFmtId="0" fontId="3" fillId="0" borderId="61" xfId="1" applyBorder="1"/>
    <xf numFmtId="165" fontId="8" fillId="2" borderId="9" xfId="0" applyNumberFormat="1" applyFont="1" applyFill="1" applyBorder="1" applyAlignment="1" applyProtection="1">
      <alignment horizontal="center"/>
      <protection hidden="1"/>
    </xf>
    <xf numFmtId="0" fontId="3" fillId="0" borderId="1" xfId="1" applyFont="1" applyBorder="1"/>
    <xf numFmtId="0" fontId="3" fillId="0" borderId="71" xfId="1" applyBorder="1"/>
    <xf numFmtId="2" fontId="11" fillId="0" borderId="43" xfId="1" applyNumberFormat="1" applyFont="1" applyBorder="1" applyAlignment="1">
      <alignment horizontal="center"/>
    </xf>
    <xf numFmtId="0" fontId="5" fillId="0" borderId="74" xfId="0" applyFont="1" applyBorder="1" applyAlignment="1">
      <alignment horizontal="center"/>
    </xf>
    <xf numFmtId="171" fontId="5" fillId="0" borderId="75" xfId="0" applyNumberFormat="1" applyFont="1" applyBorder="1" applyAlignment="1">
      <alignment horizontal="center"/>
    </xf>
    <xf numFmtId="171" fontId="5" fillId="0" borderId="76" xfId="0" applyNumberFormat="1" applyFont="1" applyBorder="1" applyAlignment="1">
      <alignment horizontal="center"/>
    </xf>
    <xf numFmtId="171" fontId="5" fillId="0" borderId="77" xfId="0" applyNumberFormat="1" applyFont="1" applyBorder="1" applyAlignment="1">
      <alignment horizontal="center"/>
    </xf>
    <xf numFmtId="1" fontId="35" fillId="0" borderId="0" xfId="0" applyNumberFormat="1" applyFont="1" applyAlignment="1" applyProtection="1">
      <alignment horizontal="center"/>
      <protection hidden="1"/>
    </xf>
    <xf numFmtId="3" fontId="51" fillId="0" borderId="0" xfId="0" applyNumberFormat="1" applyFont="1" applyAlignment="1" applyProtection="1">
      <alignment horizontal="center"/>
      <protection hidden="1"/>
    </xf>
    <xf numFmtId="3" fontId="52" fillId="0" borderId="0" xfId="0" applyNumberFormat="1" applyFont="1" applyAlignment="1" applyProtection="1">
      <alignment horizontal="center"/>
      <protection hidden="1"/>
    </xf>
    <xf numFmtId="0" fontId="12" fillId="0" borderId="20" xfId="0" applyFont="1" applyBorder="1" applyAlignment="1">
      <alignment horizontal="center"/>
    </xf>
    <xf numFmtId="0" fontId="12" fillId="0" borderId="81" xfId="0" applyFont="1" applyBorder="1" applyAlignment="1">
      <alignment horizontal="center"/>
    </xf>
    <xf numFmtId="0" fontId="12" fillId="0" borderId="37" xfId="0" applyFont="1" applyBorder="1" applyAlignment="1">
      <alignment horizontal="center"/>
    </xf>
    <xf numFmtId="0" fontId="12" fillId="0" borderId="38" xfId="0" applyFont="1" applyBorder="1" applyAlignment="1">
      <alignment horizontal="center"/>
    </xf>
    <xf numFmtId="0" fontId="12" fillId="0" borderId="35" xfId="0" applyFont="1" applyBorder="1" applyAlignment="1">
      <alignment horizontal="center"/>
    </xf>
    <xf numFmtId="0" fontId="20" fillId="0" borderId="24" xfId="0" applyFont="1" applyBorder="1" applyAlignment="1" applyProtection="1">
      <alignment horizontal="center"/>
      <protection locked="0"/>
    </xf>
    <xf numFmtId="167" fontId="6" fillId="0" borderId="19" xfId="0" applyNumberFormat="1" applyFont="1" applyFill="1" applyBorder="1" applyAlignment="1" applyProtection="1">
      <alignment horizontal="center"/>
      <protection locked="0"/>
    </xf>
    <xf numFmtId="168" fontId="7" fillId="0" borderId="38" xfId="0" applyNumberFormat="1" applyFont="1" applyBorder="1" applyAlignment="1" applyProtection="1">
      <alignment horizontal="center"/>
      <protection locked="0"/>
    </xf>
    <xf numFmtId="167" fontId="6" fillId="0" borderId="3" xfId="0" applyNumberFormat="1" applyFont="1" applyFill="1" applyBorder="1" applyAlignment="1" applyProtection="1">
      <alignment horizontal="center"/>
      <protection locked="0"/>
    </xf>
    <xf numFmtId="168" fontId="7" fillId="0" borderId="20" xfId="0" applyNumberFormat="1" applyFont="1" applyBorder="1" applyAlignment="1" applyProtection="1">
      <alignment horizontal="center"/>
      <protection locked="0"/>
    </xf>
    <xf numFmtId="167" fontId="10" fillId="2" borderId="11" xfId="0" applyNumberFormat="1" applyFont="1" applyFill="1" applyBorder="1" applyAlignment="1" applyProtection="1">
      <alignment horizontal="center"/>
      <protection hidden="1"/>
    </xf>
    <xf numFmtId="165" fontId="24" fillId="2" borderId="12" xfId="0" applyNumberFormat="1" applyFont="1" applyFill="1" applyBorder="1" applyAlignment="1" applyProtection="1">
      <alignment horizontal="center"/>
      <protection hidden="1"/>
    </xf>
    <xf numFmtId="168" fontId="7" fillId="2" borderId="20" xfId="0" applyNumberFormat="1" applyFont="1" applyFill="1" applyBorder="1" applyAlignment="1" applyProtection="1">
      <alignment horizontal="center"/>
      <protection locked="0"/>
    </xf>
    <xf numFmtId="176" fontId="19" fillId="2" borderId="20" xfId="0" applyNumberFormat="1" applyFont="1" applyFill="1" applyBorder="1" applyAlignment="1" applyProtection="1">
      <alignment horizontal="center"/>
      <protection hidden="1"/>
    </xf>
    <xf numFmtId="1" fontId="10" fillId="2" borderId="21" xfId="0" applyNumberFormat="1" applyFont="1" applyFill="1" applyBorder="1" applyAlignment="1" applyProtection="1">
      <alignment horizontal="center"/>
      <protection hidden="1"/>
    </xf>
    <xf numFmtId="0" fontId="2" fillId="11" borderId="0" xfId="0" applyFont="1" applyFill="1" applyAlignment="1" applyProtection="1">
      <alignment horizontal="center"/>
      <protection hidden="1"/>
    </xf>
    <xf numFmtId="172" fontId="36" fillId="0" borderId="0" xfId="0" applyNumberFormat="1" applyFont="1" applyAlignment="1" applyProtection="1">
      <alignment horizontal="center"/>
      <protection hidden="1"/>
    </xf>
    <xf numFmtId="167" fontId="36" fillId="0" borderId="0" xfId="0" applyNumberFormat="1" applyFont="1" applyAlignment="1" applyProtection="1">
      <alignment horizontal="center"/>
      <protection hidden="1"/>
    </xf>
    <xf numFmtId="167" fontId="6" fillId="2" borderId="8" xfId="0" applyNumberFormat="1" applyFont="1" applyFill="1" applyBorder="1" applyAlignment="1" applyProtection="1">
      <alignment horizontal="center"/>
      <protection locked="0"/>
    </xf>
    <xf numFmtId="167" fontId="10" fillId="0" borderId="82" xfId="0" applyNumberFormat="1" applyFont="1" applyBorder="1" applyAlignment="1" applyProtection="1">
      <alignment horizontal="center"/>
      <protection hidden="1"/>
    </xf>
    <xf numFmtId="165" fontId="24" fillId="0" borderId="83" xfId="0" applyNumberFormat="1" applyFont="1" applyBorder="1" applyAlignment="1" applyProtection="1">
      <alignment horizontal="center"/>
      <protection hidden="1"/>
    </xf>
    <xf numFmtId="165" fontId="7" fillId="0" borderId="35" xfId="0" applyNumberFormat="1" applyFont="1" applyBorder="1" applyAlignment="1" applyProtection="1">
      <alignment horizontal="center"/>
      <protection locked="0"/>
    </xf>
    <xf numFmtId="176" fontId="19" fillId="0" borderId="35" xfId="0" applyNumberFormat="1" applyFont="1" applyBorder="1" applyAlignment="1" applyProtection="1">
      <alignment horizontal="center"/>
      <protection hidden="1"/>
    </xf>
    <xf numFmtId="167" fontId="6" fillId="2" borderId="87" xfId="0" applyNumberFormat="1" applyFont="1" applyFill="1" applyBorder="1" applyAlignment="1" applyProtection="1">
      <alignment horizontal="center"/>
      <protection locked="0"/>
    </xf>
    <xf numFmtId="167" fontId="10" fillId="0" borderId="87" xfId="0" applyNumberFormat="1" applyFont="1" applyBorder="1" applyAlignment="1" applyProtection="1">
      <alignment horizontal="center"/>
      <protection hidden="1"/>
    </xf>
    <xf numFmtId="165" fontId="24" fillId="0" borderId="89" xfId="0" applyNumberFormat="1" applyFont="1" applyBorder="1" applyAlignment="1" applyProtection="1">
      <alignment horizontal="center"/>
      <protection hidden="1"/>
    </xf>
    <xf numFmtId="165" fontId="7" fillId="0" borderId="85" xfId="0" applyNumberFormat="1" applyFont="1" applyBorder="1" applyAlignment="1" applyProtection="1">
      <alignment horizontal="center"/>
      <protection locked="0"/>
    </xf>
    <xf numFmtId="176" fontId="19" fillId="0" borderId="85" xfId="0" applyNumberFormat="1" applyFont="1" applyBorder="1" applyAlignment="1" applyProtection="1">
      <alignment horizontal="center"/>
      <protection hidden="1"/>
    </xf>
    <xf numFmtId="1" fontId="13" fillId="2" borderId="38" xfId="0" applyNumberFormat="1" applyFont="1" applyFill="1" applyBorder="1" applyAlignment="1" applyProtection="1">
      <alignment horizontal="center"/>
      <protection hidden="1"/>
    </xf>
    <xf numFmtId="167" fontId="6" fillId="2" borderId="11" xfId="0" applyNumberFormat="1" applyFont="1" applyFill="1" applyBorder="1" applyAlignment="1" applyProtection="1">
      <alignment horizontal="center"/>
      <protection locked="0"/>
    </xf>
    <xf numFmtId="1" fontId="13" fillId="2" borderId="92" xfId="0" applyNumberFormat="1" applyFont="1" applyFill="1" applyBorder="1" applyAlignment="1" applyProtection="1">
      <alignment horizontal="center"/>
      <protection hidden="1"/>
    </xf>
    <xf numFmtId="167" fontId="6" fillId="2" borderId="94" xfId="0" applyNumberFormat="1" applyFont="1" applyFill="1" applyBorder="1" applyAlignment="1" applyProtection="1">
      <alignment horizontal="center"/>
      <protection locked="0"/>
    </xf>
    <xf numFmtId="167" fontId="10" fillId="0" borderId="96" xfId="0" applyNumberFormat="1" applyFont="1" applyBorder="1" applyAlignment="1" applyProtection="1">
      <alignment horizontal="center"/>
      <protection hidden="1"/>
    </xf>
    <xf numFmtId="165" fontId="24" fillId="0" borderId="97" xfId="0" applyNumberFormat="1" applyFont="1" applyBorder="1" applyAlignment="1" applyProtection="1">
      <alignment horizontal="center"/>
      <protection hidden="1"/>
    </xf>
    <xf numFmtId="165" fontId="7" fillId="0" borderId="92" xfId="0" applyNumberFormat="1" applyFont="1" applyBorder="1" applyAlignment="1" applyProtection="1">
      <alignment horizontal="center"/>
      <protection locked="0"/>
    </xf>
    <xf numFmtId="176" fontId="19" fillId="0" borderId="92" xfId="0" applyNumberFormat="1" applyFont="1" applyBorder="1" applyAlignment="1" applyProtection="1">
      <alignment horizontal="center"/>
      <protection hidden="1"/>
    </xf>
    <xf numFmtId="176" fontId="19" fillId="0" borderId="98" xfId="0" applyNumberFormat="1" applyFont="1" applyBorder="1" applyAlignment="1" applyProtection="1">
      <alignment horizontal="center"/>
      <protection hidden="1"/>
    </xf>
    <xf numFmtId="176" fontId="19" fillId="0" borderId="90" xfId="0" applyNumberFormat="1" applyFont="1" applyBorder="1" applyAlignment="1" applyProtection="1">
      <alignment horizontal="center"/>
      <protection hidden="1"/>
    </xf>
    <xf numFmtId="168" fontId="7" fillId="0" borderId="35" xfId="0" applyNumberFormat="1" applyFont="1" applyBorder="1" applyAlignment="1" applyProtection="1">
      <alignment horizontal="center"/>
      <protection locked="0"/>
    </xf>
    <xf numFmtId="168" fontId="7" fillId="0" borderId="85" xfId="0" applyNumberFormat="1" applyFont="1" applyBorder="1" applyAlignment="1" applyProtection="1">
      <alignment horizontal="center"/>
      <protection locked="0"/>
    </xf>
    <xf numFmtId="176" fontId="19" fillId="0" borderId="100" xfId="0" applyNumberFormat="1" applyFont="1" applyBorder="1" applyAlignment="1" applyProtection="1">
      <alignment horizontal="center"/>
      <protection hidden="1"/>
    </xf>
    <xf numFmtId="176" fontId="19" fillId="0" borderId="101" xfId="0" applyNumberFormat="1" applyFont="1" applyBorder="1" applyAlignment="1" applyProtection="1">
      <alignment horizontal="center"/>
      <protection hidden="1"/>
    </xf>
    <xf numFmtId="2" fontId="21" fillId="0" borderId="104" xfId="0" applyNumberFormat="1" applyFont="1" applyBorder="1" applyAlignment="1" applyProtection="1">
      <alignment horizontal="center"/>
      <protection locked="0"/>
    </xf>
    <xf numFmtId="2" fontId="8" fillId="5" borderId="0" xfId="0" applyNumberFormat="1" applyFont="1" applyFill="1" applyAlignment="1" applyProtection="1">
      <alignment horizontal="center"/>
      <protection hidden="1"/>
    </xf>
    <xf numFmtId="171" fontId="2" fillId="5" borderId="0" xfId="0" applyNumberFormat="1" applyFont="1" applyFill="1" applyAlignment="1" applyProtection="1">
      <alignment horizontal="center"/>
      <protection hidden="1"/>
    </xf>
    <xf numFmtId="8" fontId="12" fillId="6" borderId="24" xfId="1" applyNumberFormat="1" applyFont="1" applyFill="1" applyBorder="1" applyAlignment="1">
      <alignment horizontal="center"/>
    </xf>
    <xf numFmtId="0" fontId="12" fillId="0" borderId="36" xfId="0" applyFont="1" applyBorder="1" applyAlignment="1">
      <alignment horizontal="center"/>
    </xf>
    <xf numFmtId="20" fontId="12" fillId="0" borderId="3" xfId="0" applyNumberFormat="1" applyFont="1" applyBorder="1" applyAlignment="1">
      <alignment horizontal="center"/>
    </xf>
    <xf numFmtId="20" fontId="12" fillId="0" borderId="4" xfId="0" applyNumberFormat="1" applyFont="1" applyBorder="1" applyAlignment="1">
      <alignment horizontal="center"/>
    </xf>
    <xf numFmtId="20" fontId="12" fillId="0" borderId="7" xfId="0" applyNumberFormat="1" applyFont="1" applyBorder="1" applyAlignment="1">
      <alignment horizontal="center"/>
    </xf>
    <xf numFmtId="20" fontId="12" fillId="0" borderId="68" xfId="0" applyNumberFormat="1" applyFont="1" applyBorder="1" applyAlignment="1">
      <alignment horizontal="center"/>
    </xf>
    <xf numFmtId="20" fontId="12" fillId="0" borderId="69" xfId="0" applyNumberFormat="1" applyFont="1" applyBorder="1" applyAlignment="1">
      <alignment horizontal="center"/>
    </xf>
    <xf numFmtId="20" fontId="12" fillId="0" borderId="70" xfId="0" applyNumberFormat="1" applyFont="1" applyBorder="1" applyAlignment="1">
      <alignment horizontal="center"/>
    </xf>
    <xf numFmtId="20" fontId="12" fillId="0" borderId="63" xfId="0" applyNumberFormat="1" applyFont="1" applyFill="1" applyBorder="1" applyAlignment="1">
      <alignment horizontal="center"/>
    </xf>
    <xf numFmtId="20" fontId="12" fillId="0" borderId="64" xfId="0" applyNumberFormat="1" applyFont="1" applyFill="1" applyBorder="1" applyAlignment="1">
      <alignment horizontal="center"/>
    </xf>
    <xf numFmtId="20" fontId="12" fillId="0" borderId="65" xfId="0" applyNumberFormat="1" applyFont="1" applyFill="1" applyBorder="1" applyAlignment="1">
      <alignment horizontal="center"/>
    </xf>
    <xf numFmtId="20" fontId="12" fillId="0" borderId="11" xfId="0" applyNumberFormat="1" applyFont="1" applyFill="1" applyBorder="1" applyAlignment="1">
      <alignment horizontal="center"/>
    </xf>
    <xf numFmtId="20" fontId="12" fillId="0" borderId="6" xfId="0" applyNumberFormat="1" applyFont="1" applyFill="1" applyBorder="1" applyAlignment="1">
      <alignment horizontal="center"/>
    </xf>
    <xf numFmtId="20" fontId="12" fillId="0" borderId="5" xfId="0" applyNumberFormat="1" applyFont="1" applyFill="1" applyBorder="1" applyAlignment="1">
      <alignment horizontal="center"/>
    </xf>
    <xf numFmtId="20" fontId="12" fillId="0" borderId="3" xfId="0" applyNumberFormat="1" applyFont="1" applyFill="1" applyBorder="1" applyAlignment="1">
      <alignment horizontal="center"/>
    </xf>
    <xf numFmtId="20" fontId="12" fillId="0" borderId="4" xfId="0" applyNumberFormat="1" applyFont="1" applyFill="1" applyBorder="1" applyAlignment="1">
      <alignment horizontal="center"/>
    </xf>
    <xf numFmtId="20" fontId="12" fillId="0" borderId="7" xfId="0" applyNumberFormat="1" applyFont="1" applyFill="1" applyBorder="1" applyAlignment="1">
      <alignment horizontal="center"/>
    </xf>
    <xf numFmtId="20" fontId="12" fillId="0" borderId="11" xfId="0" applyNumberFormat="1" applyFont="1" applyBorder="1" applyAlignment="1">
      <alignment horizontal="center"/>
    </xf>
    <xf numFmtId="20" fontId="12" fillId="0" borderId="6" xfId="0" applyNumberFormat="1" applyFont="1" applyBorder="1" applyAlignment="1">
      <alignment horizontal="center"/>
    </xf>
    <xf numFmtId="20" fontId="12" fillId="0" borderId="5" xfId="0" applyNumberFormat="1" applyFont="1" applyBorder="1" applyAlignment="1">
      <alignment horizontal="center"/>
    </xf>
    <xf numFmtId="20" fontId="12" fillId="0" borderId="8" xfId="0" applyNumberFormat="1" applyFont="1" applyBorder="1" applyAlignment="1">
      <alignment horizontal="center"/>
    </xf>
    <xf numFmtId="20" fontId="12" fillId="0" borderId="9" xfId="0" applyNumberFormat="1" applyFont="1" applyBorder="1" applyAlignment="1">
      <alignment horizontal="center"/>
    </xf>
    <xf numFmtId="20" fontId="12" fillId="0" borderId="47" xfId="0" applyNumberFormat="1" applyFont="1" applyBorder="1" applyAlignment="1">
      <alignment horizontal="center"/>
    </xf>
    <xf numFmtId="20" fontId="12" fillId="0" borderId="63" xfId="0" applyNumberFormat="1" applyFont="1" applyBorder="1" applyAlignment="1">
      <alignment horizontal="center"/>
    </xf>
    <xf numFmtId="20" fontId="12" fillId="0" borderId="64" xfId="0" applyNumberFormat="1" applyFont="1" applyBorder="1" applyAlignment="1">
      <alignment horizontal="center"/>
    </xf>
    <xf numFmtId="20" fontId="12" fillId="0" borderId="65" xfId="0" applyNumberFormat="1" applyFont="1" applyBorder="1" applyAlignment="1">
      <alignment horizontal="center"/>
    </xf>
    <xf numFmtId="20" fontId="12" fillId="0" borderId="78" xfId="0" applyNumberFormat="1" applyFont="1" applyBorder="1" applyAlignment="1">
      <alignment horizontal="center"/>
    </xf>
    <xf numFmtId="20" fontId="12" fillId="0" borderId="79" xfId="0" applyNumberFormat="1" applyFont="1" applyBorder="1" applyAlignment="1">
      <alignment horizontal="center"/>
    </xf>
    <xf numFmtId="20" fontId="12" fillId="0" borderId="80" xfId="0" applyNumberFormat="1" applyFont="1" applyBorder="1" applyAlignment="1">
      <alignment horizontal="center"/>
    </xf>
    <xf numFmtId="0" fontId="12" fillId="0" borderId="7" xfId="0" applyNumberFormat="1" applyFont="1" applyBorder="1" applyAlignment="1">
      <alignment horizontal="center"/>
    </xf>
    <xf numFmtId="2" fontId="21" fillId="0" borderId="104" xfId="0" applyNumberFormat="1" applyFont="1" applyBorder="1" applyAlignment="1" applyProtection="1">
      <alignment horizontal="center"/>
      <protection hidden="1"/>
    </xf>
    <xf numFmtId="1" fontId="53" fillId="2" borderId="17" xfId="0" applyNumberFormat="1" applyFont="1" applyFill="1" applyBorder="1" applyAlignment="1" applyProtection="1">
      <alignment horizontal="center"/>
      <protection hidden="1"/>
    </xf>
    <xf numFmtId="167" fontId="54" fillId="0" borderId="19" xfId="0" applyNumberFormat="1" applyFont="1" applyBorder="1" applyAlignment="1" applyProtection="1">
      <alignment horizontal="center"/>
      <protection locked="0"/>
    </xf>
    <xf numFmtId="1" fontId="53" fillId="2" borderId="20" xfId="0" applyNumberFormat="1" applyFont="1" applyFill="1" applyBorder="1" applyAlignment="1" applyProtection="1">
      <alignment horizontal="center"/>
      <protection hidden="1"/>
    </xf>
    <xf numFmtId="167" fontId="54" fillId="0" borderId="3" xfId="0" applyNumberFormat="1" applyFont="1" applyBorder="1" applyAlignment="1" applyProtection="1">
      <alignment horizontal="center"/>
      <protection locked="0"/>
    </xf>
    <xf numFmtId="167" fontId="54" fillId="2" borderId="3" xfId="0" applyNumberFormat="1" applyFont="1" applyFill="1" applyBorder="1" applyAlignment="1" applyProtection="1">
      <alignment horizontal="center"/>
      <protection locked="0"/>
    </xf>
    <xf numFmtId="167" fontId="54" fillId="2" borderId="8" xfId="0" applyNumberFormat="1" applyFont="1" applyFill="1" applyBorder="1" applyAlignment="1" applyProtection="1">
      <alignment horizontal="center"/>
      <protection locked="0"/>
    </xf>
    <xf numFmtId="167" fontId="54" fillId="2" borderId="87" xfId="0" applyNumberFormat="1" applyFont="1" applyFill="1" applyBorder="1" applyAlignment="1" applyProtection="1">
      <alignment horizontal="center"/>
      <protection locked="0"/>
    </xf>
    <xf numFmtId="1" fontId="53" fillId="2" borderId="21" xfId="0" applyNumberFormat="1" applyFont="1" applyFill="1" applyBorder="1" applyAlignment="1" applyProtection="1">
      <alignment horizontal="center"/>
      <protection hidden="1"/>
    </xf>
    <xf numFmtId="167" fontId="54" fillId="2" borderId="14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164" fontId="2" fillId="0" borderId="1" xfId="0" applyNumberFormat="1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10" fillId="0" borderId="24" xfId="0" applyFont="1" applyBorder="1" applyAlignment="1" applyProtection="1">
      <alignment horizontal="center"/>
      <protection locked="0"/>
    </xf>
    <xf numFmtId="166" fontId="16" fillId="0" borderId="28" xfId="0" applyNumberFormat="1" applyFont="1" applyBorder="1" applyAlignment="1" applyProtection="1">
      <alignment horizontal="center"/>
      <protection locked="0"/>
    </xf>
    <xf numFmtId="20" fontId="16" fillId="0" borderId="17" xfId="0" applyNumberFormat="1" applyFont="1" applyBorder="1" applyAlignment="1" applyProtection="1">
      <alignment horizontal="center"/>
      <protection locked="0"/>
    </xf>
    <xf numFmtId="20" fontId="16" fillId="0" borderId="18" xfId="0" applyNumberFormat="1" applyFont="1" applyBorder="1" applyAlignment="1" applyProtection="1">
      <alignment horizontal="center"/>
      <protection locked="0"/>
    </xf>
    <xf numFmtId="20" fontId="55" fillId="0" borderId="19" xfId="0" applyNumberFormat="1" applyFont="1" applyBorder="1" applyAlignment="1" applyProtection="1">
      <alignment horizontal="center" vertical="center"/>
      <protection hidden="1"/>
    </xf>
    <xf numFmtId="20" fontId="55" fillId="0" borderId="22" xfId="0" applyNumberFormat="1" applyFont="1" applyBorder="1" applyAlignment="1" applyProtection="1">
      <alignment horizontal="center" vertical="center"/>
      <protection hidden="1"/>
    </xf>
    <xf numFmtId="20" fontId="56" fillId="0" borderId="17" xfId="0" applyNumberFormat="1" applyFont="1" applyBorder="1" applyAlignment="1" applyProtection="1">
      <alignment horizontal="center"/>
      <protection hidden="1"/>
    </xf>
    <xf numFmtId="20" fontId="55" fillId="0" borderId="3" xfId="0" applyNumberFormat="1" applyFont="1" applyBorder="1" applyAlignment="1" applyProtection="1">
      <alignment horizontal="center" vertical="center"/>
      <protection hidden="1"/>
    </xf>
    <xf numFmtId="20" fontId="55" fillId="0" borderId="4" xfId="0" applyNumberFormat="1" applyFont="1" applyBorder="1" applyAlignment="1" applyProtection="1">
      <alignment horizontal="center" vertical="center"/>
      <protection hidden="1"/>
    </xf>
    <xf numFmtId="1" fontId="18" fillId="0" borderId="17" xfId="0" applyNumberFormat="1" applyFont="1" applyBorder="1" applyAlignment="1" applyProtection="1">
      <alignment horizontal="center" vertical="center"/>
      <protection hidden="1"/>
    </xf>
    <xf numFmtId="1" fontId="19" fillId="0" borderId="17" xfId="0" applyNumberFormat="1" applyFont="1" applyBorder="1" applyAlignment="1" applyProtection="1">
      <alignment horizontal="center" vertical="center"/>
      <protection hidden="1"/>
    </xf>
    <xf numFmtId="0" fontId="20" fillId="0" borderId="17" xfId="0" applyFont="1" applyBorder="1" applyAlignment="1">
      <alignment horizontal="center" vertical="center"/>
    </xf>
    <xf numFmtId="0" fontId="21" fillId="0" borderId="20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7" fillId="0" borderId="17" xfId="0" applyFont="1" applyBorder="1" applyAlignment="1" applyProtection="1">
      <alignment horizontal="center" vertical="center"/>
      <protection hidden="1"/>
    </xf>
    <xf numFmtId="172" fontId="23" fillId="0" borderId="17" xfId="0" applyNumberFormat="1" applyFont="1" applyBorder="1" applyAlignment="1" applyProtection="1">
      <alignment horizontal="center" vertical="center"/>
      <protection hidden="1"/>
    </xf>
    <xf numFmtId="20" fontId="16" fillId="0" borderId="20" xfId="0" applyNumberFormat="1" applyFont="1" applyBorder="1" applyAlignment="1" applyProtection="1">
      <alignment horizontal="center"/>
      <protection locked="0"/>
    </xf>
    <xf numFmtId="20" fontId="16" fillId="0" borderId="2" xfId="0" applyNumberFormat="1" applyFont="1" applyBorder="1" applyAlignment="1" applyProtection="1">
      <alignment horizontal="center"/>
      <protection locked="0"/>
    </xf>
    <xf numFmtId="20" fontId="56" fillId="0" borderId="20" xfId="0" applyNumberFormat="1" applyFont="1" applyBorder="1" applyAlignment="1" applyProtection="1">
      <alignment horizontal="center"/>
      <protection hidden="1"/>
    </xf>
    <xf numFmtId="1" fontId="18" fillId="0" borderId="20" xfId="0" applyNumberFormat="1" applyFont="1" applyBorder="1" applyAlignment="1" applyProtection="1">
      <alignment horizontal="center" vertical="center"/>
      <protection hidden="1"/>
    </xf>
    <xf numFmtId="1" fontId="19" fillId="0" borderId="20" xfId="0" applyNumberFormat="1" applyFont="1" applyBorder="1" applyAlignment="1" applyProtection="1">
      <alignment horizontal="center" vertical="center"/>
      <protection hidden="1"/>
    </xf>
    <xf numFmtId="0" fontId="20" fillId="0" borderId="20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7" fillId="0" borderId="20" xfId="0" applyFont="1" applyBorder="1" applyAlignment="1" applyProtection="1">
      <alignment horizontal="center" vertical="center"/>
      <protection hidden="1"/>
    </xf>
    <xf numFmtId="172" fontId="23" fillId="0" borderId="20" xfId="0" applyNumberFormat="1" applyFont="1" applyBorder="1" applyAlignment="1" applyProtection="1">
      <alignment horizontal="center" vertical="center"/>
      <protection hidden="1"/>
    </xf>
    <xf numFmtId="20" fontId="56" fillId="2" borderId="20" xfId="0" applyNumberFormat="1" applyFont="1" applyFill="1" applyBorder="1" applyAlignment="1" applyProtection="1">
      <alignment horizontal="center"/>
      <protection hidden="1"/>
    </xf>
    <xf numFmtId="20" fontId="16" fillId="2" borderId="20" xfId="0" applyNumberFormat="1" applyFont="1" applyFill="1" applyBorder="1" applyAlignment="1" applyProtection="1">
      <alignment horizontal="center"/>
      <protection locked="0"/>
    </xf>
    <xf numFmtId="20" fontId="16" fillId="2" borderId="2" xfId="0" applyNumberFormat="1" applyFont="1" applyFill="1" applyBorder="1" applyAlignment="1" applyProtection="1">
      <alignment horizontal="center"/>
      <protection locked="0"/>
    </xf>
    <xf numFmtId="20" fontId="57" fillId="2" borderId="20" xfId="0" applyNumberFormat="1" applyFont="1" applyFill="1" applyBorder="1" applyAlignment="1" applyProtection="1">
      <alignment horizontal="center"/>
      <protection locked="0"/>
    </xf>
    <xf numFmtId="20" fontId="57" fillId="2" borderId="2" xfId="0" applyNumberFormat="1" applyFont="1" applyFill="1" applyBorder="1" applyAlignment="1" applyProtection="1">
      <alignment horizontal="center"/>
      <protection locked="0"/>
    </xf>
    <xf numFmtId="20" fontId="19" fillId="0" borderId="2" xfId="0" applyNumberFormat="1" applyFont="1" applyBorder="1" applyAlignment="1" applyProtection="1">
      <alignment horizontal="center"/>
      <protection locked="0"/>
    </xf>
    <xf numFmtId="20" fontId="19" fillId="2" borderId="2" xfId="0" applyNumberFormat="1" applyFont="1" applyFill="1" applyBorder="1" applyAlignment="1" applyProtection="1">
      <alignment horizontal="center"/>
      <protection locked="0"/>
    </xf>
    <xf numFmtId="166" fontId="16" fillId="0" borderId="91" xfId="0" applyNumberFormat="1" applyFont="1" applyBorder="1" applyAlignment="1" applyProtection="1">
      <alignment horizontal="center"/>
      <protection locked="0"/>
    </xf>
    <xf numFmtId="20" fontId="16" fillId="0" borderId="92" xfId="0" applyNumberFormat="1" applyFont="1" applyBorder="1" applyAlignment="1" applyProtection="1">
      <alignment horizontal="center"/>
      <protection locked="0"/>
    </xf>
    <xf numFmtId="20" fontId="16" fillId="0" borderId="93" xfId="0" applyNumberFormat="1" applyFont="1" applyBorder="1" applyAlignment="1" applyProtection="1">
      <alignment horizontal="center"/>
      <protection locked="0"/>
    </xf>
    <xf numFmtId="20" fontId="55" fillId="0" borderId="94" xfId="0" applyNumberFormat="1" applyFont="1" applyBorder="1" applyAlignment="1" applyProtection="1">
      <alignment horizontal="center" vertical="center"/>
      <protection hidden="1"/>
    </xf>
    <xf numFmtId="20" fontId="55" fillId="0" borderId="95" xfId="0" applyNumberFormat="1" applyFont="1" applyBorder="1" applyAlignment="1" applyProtection="1">
      <alignment horizontal="center" vertical="center"/>
      <protection hidden="1"/>
    </xf>
    <xf numFmtId="20" fontId="56" fillId="0" borderId="92" xfId="0" applyNumberFormat="1" applyFont="1" applyBorder="1" applyAlignment="1" applyProtection="1">
      <alignment horizontal="center"/>
      <protection hidden="1"/>
    </xf>
    <xf numFmtId="0" fontId="21" fillId="0" borderId="92" xfId="0" applyFont="1" applyBorder="1" applyAlignment="1">
      <alignment horizontal="center" vertical="center"/>
    </xf>
    <xf numFmtId="0" fontId="8" fillId="0" borderId="92" xfId="0" applyFont="1" applyBorder="1" applyAlignment="1">
      <alignment horizontal="center" vertical="center"/>
    </xf>
    <xf numFmtId="0" fontId="7" fillId="0" borderId="92" xfId="0" applyFont="1" applyBorder="1" applyAlignment="1" applyProtection="1">
      <alignment horizontal="center" vertical="center"/>
      <protection hidden="1"/>
    </xf>
    <xf numFmtId="172" fontId="23" fillId="0" borderId="92" xfId="0" applyNumberFormat="1" applyFont="1" applyBorder="1" applyAlignment="1" applyProtection="1">
      <alignment horizontal="center" vertical="center"/>
      <protection hidden="1"/>
    </xf>
    <xf numFmtId="20" fontId="16" fillId="0" borderId="38" xfId="0" applyNumberFormat="1" applyFont="1" applyBorder="1" applyAlignment="1" applyProtection="1">
      <alignment horizontal="center"/>
      <protection locked="0"/>
    </xf>
    <xf numFmtId="20" fontId="16" fillId="0" borderId="10" xfId="0" applyNumberFormat="1" applyFont="1" applyBorder="1" applyAlignment="1" applyProtection="1">
      <alignment horizontal="center"/>
      <protection locked="0"/>
    </xf>
    <xf numFmtId="20" fontId="55" fillId="0" borderId="11" xfId="0" applyNumberFormat="1" applyFont="1" applyBorder="1" applyAlignment="1" applyProtection="1">
      <alignment horizontal="center" vertical="center"/>
      <protection hidden="1"/>
    </xf>
    <xf numFmtId="20" fontId="55" fillId="0" borderId="6" xfId="0" applyNumberFormat="1" applyFont="1" applyBorder="1" applyAlignment="1" applyProtection="1">
      <alignment horizontal="center" vertical="center"/>
      <protection hidden="1"/>
    </xf>
    <xf numFmtId="20" fontId="56" fillId="0" borderId="38" xfId="0" applyNumberFormat="1" applyFont="1" applyBorder="1" applyAlignment="1" applyProtection="1">
      <alignment horizontal="center"/>
      <protection hidden="1"/>
    </xf>
    <xf numFmtId="0" fontId="21" fillId="0" borderId="38" xfId="0" applyFon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7" fillId="0" borderId="38" xfId="0" applyFont="1" applyBorder="1" applyAlignment="1" applyProtection="1">
      <alignment horizontal="center" vertical="center"/>
      <protection hidden="1"/>
    </xf>
    <xf numFmtId="172" fontId="23" fillId="0" borderId="38" xfId="0" applyNumberFormat="1" applyFont="1" applyBorder="1" applyAlignment="1" applyProtection="1">
      <alignment horizontal="center" vertical="center"/>
      <protection hidden="1"/>
    </xf>
    <xf numFmtId="166" fontId="16" fillId="0" borderId="29" xfId="0" applyNumberFormat="1" applyFont="1" applyBorder="1" applyAlignment="1" applyProtection="1">
      <alignment horizontal="center"/>
      <protection locked="0"/>
    </xf>
    <xf numFmtId="20" fontId="16" fillId="0" borderId="21" xfId="0" applyNumberFormat="1" applyFont="1" applyBorder="1" applyAlignment="1" applyProtection="1">
      <alignment horizontal="center"/>
      <protection locked="0"/>
    </xf>
    <xf numFmtId="20" fontId="16" fillId="0" borderId="13" xfId="0" applyNumberFormat="1" applyFont="1" applyBorder="1" applyAlignment="1" applyProtection="1">
      <alignment horizontal="center"/>
      <protection locked="0"/>
    </xf>
    <xf numFmtId="20" fontId="55" fillId="0" borderId="14" xfId="0" applyNumberFormat="1" applyFont="1" applyBorder="1" applyAlignment="1" applyProtection="1">
      <alignment horizontal="center" vertical="center"/>
      <protection hidden="1"/>
    </xf>
    <xf numFmtId="20" fontId="55" fillId="0" borderId="15" xfId="0" applyNumberFormat="1" applyFont="1" applyBorder="1" applyAlignment="1" applyProtection="1">
      <alignment horizontal="center" vertical="center"/>
      <protection hidden="1"/>
    </xf>
    <xf numFmtId="20" fontId="56" fillId="2" borderId="21" xfId="0" applyNumberFormat="1" applyFont="1" applyFill="1" applyBorder="1" applyAlignment="1" applyProtection="1">
      <alignment horizontal="center"/>
      <protection hidden="1"/>
    </xf>
    <xf numFmtId="1" fontId="18" fillId="0" borderId="21" xfId="0" applyNumberFormat="1" applyFont="1" applyBorder="1" applyAlignment="1" applyProtection="1">
      <alignment horizontal="center" vertical="center"/>
      <protection hidden="1"/>
    </xf>
    <xf numFmtId="1" fontId="19" fillId="0" borderId="21" xfId="0" applyNumberFormat="1" applyFont="1" applyBorder="1" applyAlignment="1" applyProtection="1">
      <alignment horizontal="center" vertical="center"/>
      <protection hidden="1"/>
    </xf>
    <xf numFmtId="0" fontId="20" fillId="0" borderId="21" xfId="0" applyFont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7" fillId="0" borderId="21" xfId="0" applyFont="1" applyBorder="1" applyAlignment="1" applyProtection="1">
      <alignment horizontal="center" vertical="center"/>
      <protection hidden="1"/>
    </xf>
    <xf numFmtId="172" fontId="23" fillId="0" borderId="21" xfId="0" applyNumberFormat="1" applyFont="1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/>
      <protection locked="0"/>
    </xf>
    <xf numFmtId="0" fontId="58" fillId="0" borderId="0" xfId="0" applyFont="1" applyAlignment="1" applyProtection="1">
      <protection locked="0"/>
    </xf>
    <xf numFmtId="0" fontId="58" fillId="0" borderId="0" xfId="0" applyFont="1" applyProtection="1">
      <protection locked="0"/>
    </xf>
    <xf numFmtId="14" fontId="16" fillId="0" borderId="0" xfId="0" applyNumberFormat="1" applyFont="1" applyAlignment="1" applyProtection="1">
      <alignment horizontal="center"/>
      <protection locked="0"/>
    </xf>
    <xf numFmtId="170" fontId="58" fillId="0" borderId="0" xfId="0" applyNumberFormat="1" applyFont="1" applyProtection="1">
      <protection locked="0"/>
    </xf>
    <xf numFmtId="0" fontId="59" fillId="0" borderId="0" xfId="0" applyFont="1" applyProtection="1">
      <protection locked="0"/>
    </xf>
    <xf numFmtId="0" fontId="8" fillId="3" borderId="0" xfId="0" applyFont="1" applyFill="1" applyAlignment="1" applyProtection="1">
      <alignment horizontal="left"/>
      <protection locked="0"/>
    </xf>
    <xf numFmtId="0" fontId="8" fillId="4" borderId="0" xfId="0" applyFont="1" applyFill="1" applyProtection="1">
      <protection locked="0"/>
    </xf>
    <xf numFmtId="170" fontId="18" fillId="0" borderId="0" xfId="0" applyNumberFormat="1" applyFont="1" applyAlignment="1" applyProtection="1">
      <alignment horizontal="center"/>
      <protection hidden="1"/>
    </xf>
    <xf numFmtId="170" fontId="19" fillId="0" borderId="0" xfId="0" applyNumberFormat="1" applyFont="1" applyAlignment="1" applyProtection="1">
      <alignment horizontal="center"/>
      <protection hidden="1"/>
    </xf>
    <xf numFmtId="170" fontId="20" fillId="0" borderId="0" xfId="0" applyNumberFormat="1" applyFont="1" applyAlignment="1" applyProtection="1">
      <alignment horizontal="center"/>
      <protection hidden="1"/>
    </xf>
    <xf numFmtId="170" fontId="13" fillId="0" borderId="0" xfId="0" applyNumberFormat="1" applyFont="1" applyAlignment="1" applyProtection="1">
      <alignment horizontal="center"/>
      <protection hidden="1"/>
    </xf>
    <xf numFmtId="170" fontId="21" fillId="0" borderId="0" xfId="0" applyNumberFormat="1" applyFont="1" applyAlignment="1" applyProtection="1">
      <alignment horizontal="center"/>
      <protection hidden="1"/>
    </xf>
    <xf numFmtId="170" fontId="2" fillId="0" borderId="0" xfId="0" applyNumberFormat="1" applyFont="1" applyAlignment="1" applyProtection="1">
      <alignment horizontal="center"/>
      <protection hidden="1"/>
    </xf>
    <xf numFmtId="170" fontId="7" fillId="0" borderId="0" xfId="0" applyNumberFormat="1" applyFont="1" applyAlignment="1" applyProtection="1">
      <alignment horizontal="center"/>
      <protection hidden="1"/>
    </xf>
    <xf numFmtId="4" fontId="6" fillId="0" borderId="0" xfId="0" applyNumberFormat="1" applyFont="1" applyAlignment="1" applyProtection="1">
      <alignment horizontal="center"/>
      <protection hidden="1"/>
    </xf>
    <xf numFmtId="0" fontId="8" fillId="10" borderId="0" xfId="0" applyFont="1" applyFill="1" applyProtection="1">
      <protection locked="0"/>
    </xf>
    <xf numFmtId="0" fontId="28" fillId="0" borderId="72" xfId="0" applyFont="1" applyBorder="1" applyAlignment="1" applyProtection="1">
      <alignment horizontal="center"/>
      <protection locked="0"/>
    </xf>
    <xf numFmtId="0" fontId="8" fillId="9" borderId="0" xfId="0" applyFont="1" applyFill="1" applyProtection="1">
      <protection locked="0"/>
    </xf>
    <xf numFmtId="0" fontId="28" fillId="0" borderId="73" xfId="0" applyFont="1" applyBorder="1" applyAlignment="1" applyProtection="1">
      <alignment horizontal="center"/>
      <protection locked="0"/>
    </xf>
    <xf numFmtId="0" fontId="58" fillId="0" borderId="0" xfId="0" applyFont="1" applyAlignment="1" applyProtection="1">
      <alignment horizontal="center"/>
      <protection locked="0"/>
    </xf>
    <xf numFmtId="0" fontId="58" fillId="0" borderId="0" xfId="0" applyFont="1" applyProtection="1">
      <protection hidden="1"/>
    </xf>
    <xf numFmtId="0" fontId="58" fillId="0" borderId="0" xfId="0" applyFont="1" applyFill="1" applyProtection="1">
      <protection locked="0"/>
    </xf>
    <xf numFmtId="0" fontId="18" fillId="8" borderId="0" xfId="0" applyFont="1" applyFill="1" applyProtection="1">
      <protection locked="0"/>
    </xf>
    <xf numFmtId="171" fontId="8" fillId="6" borderId="0" xfId="0" applyNumberFormat="1" applyFont="1" applyFill="1" applyAlignment="1" applyProtection="1">
      <alignment horizontal="center"/>
      <protection hidden="1"/>
    </xf>
    <xf numFmtId="2" fontId="8" fillId="6" borderId="0" xfId="0" applyNumberFormat="1" applyFont="1" applyFill="1" applyAlignment="1" applyProtection="1">
      <alignment horizontal="center"/>
      <protection hidden="1"/>
    </xf>
    <xf numFmtId="0" fontId="18" fillId="7" borderId="0" xfId="0" applyFont="1" applyFill="1" applyProtection="1">
      <protection locked="0"/>
    </xf>
    <xf numFmtId="0" fontId="8" fillId="11" borderId="0" xfId="0" applyFont="1" applyFill="1" applyAlignment="1" applyProtection="1">
      <protection locked="0"/>
    </xf>
    <xf numFmtId="167" fontId="19" fillId="0" borderId="106" xfId="0" applyNumberFormat="1" applyFont="1" applyBorder="1" applyAlignment="1" applyProtection="1">
      <alignment horizontal="center"/>
      <protection locked="0"/>
    </xf>
    <xf numFmtId="172" fontId="8" fillId="0" borderId="0" xfId="0" applyNumberFormat="1" applyFont="1" applyFill="1" applyAlignment="1" applyProtection="1">
      <alignment horizontal="center"/>
      <protection locked="0"/>
    </xf>
    <xf numFmtId="2" fontId="28" fillId="0" borderId="105" xfId="0" applyNumberFormat="1" applyFont="1" applyBorder="1" applyAlignment="1">
      <alignment horizontal="center" vertical="center"/>
    </xf>
    <xf numFmtId="0" fontId="58" fillId="0" borderId="51" xfId="0" applyFont="1" applyBorder="1" applyAlignment="1" applyProtection="1">
      <alignment vertical="top"/>
      <protection locked="0"/>
    </xf>
    <xf numFmtId="0" fontId="58" fillId="0" borderId="0" xfId="0" applyFont="1" applyBorder="1" applyAlignment="1" applyProtection="1">
      <alignment vertical="top"/>
      <protection locked="0"/>
    </xf>
    <xf numFmtId="0" fontId="58" fillId="0" borderId="52" xfId="0" applyFont="1" applyBorder="1" applyAlignment="1" applyProtection="1">
      <alignment vertical="top"/>
      <protection locked="0"/>
    </xf>
    <xf numFmtId="0" fontId="58" fillId="0" borderId="53" xfId="0" applyFont="1" applyBorder="1" applyAlignment="1" applyProtection="1">
      <alignment vertical="top"/>
      <protection locked="0"/>
    </xf>
    <xf numFmtId="0" fontId="58" fillId="0" borderId="54" xfId="0" applyFont="1" applyBorder="1" applyAlignment="1" applyProtection="1">
      <alignment vertical="top"/>
      <protection locked="0"/>
    </xf>
    <xf numFmtId="0" fontId="58" fillId="0" borderId="55" xfId="0" applyFont="1" applyBorder="1" applyAlignment="1" applyProtection="1">
      <alignment vertical="top"/>
      <protection locked="0"/>
    </xf>
    <xf numFmtId="49" fontId="16" fillId="0" borderId="17" xfId="0" applyNumberFormat="1" applyFont="1" applyBorder="1" applyAlignment="1" applyProtection="1">
      <alignment horizontal="center"/>
      <protection locked="0"/>
    </xf>
    <xf numFmtId="49" fontId="16" fillId="0" borderId="18" xfId="0" applyNumberFormat="1" applyFont="1" applyBorder="1" applyAlignment="1" applyProtection="1">
      <alignment horizontal="center"/>
      <protection locked="0"/>
    </xf>
    <xf numFmtId="1" fontId="19" fillId="0" borderId="17" xfId="0" applyNumberFormat="1" applyFont="1" applyFill="1" applyBorder="1" applyAlignment="1">
      <alignment horizontal="center" vertical="center"/>
    </xf>
    <xf numFmtId="1" fontId="21" fillId="0" borderId="17" xfId="0" applyNumberFormat="1" applyFont="1" applyBorder="1" applyAlignment="1" applyProtection="1">
      <alignment horizontal="center" vertical="center"/>
      <protection hidden="1"/>
    </xf>
    <xf numFmtId="1" fontId="22" fillId="0" borderId="20" xfId="0" applyNumberFormat="1" applyFont="1" applyBorder="1" applyAlignment="1" applyProtection="1">
      <alignment horizontal="center" vertical="center"/>
      <protection hidden="1"/>
    </xf>
    <xf numFmtId="49" fontId="16" fillId="0" borderId="20" xfId="0" applyNumberFormat="1" applyFont="1" applyBorder="1" applyAlignment="1" applyProtection="1">
      <alignment horizontal="center"/>
      <protection locked="0"/>
    </xf>
    <xf numFmtId="49" fontId="16" fillId="0" borderId="2" xfId="0" applyNumberFormat="1" applyFont="1" applyBorder="1" applyAlignment="1" applyProtection="1">
      <alignment horizontal="center"/>
      <protection locked="0"/>
    </xf>
    <xf numFmtId="1" fontId="19" fillId="0" borderId="20" xfId="0" applyNumberFormat="1" applyFont="1" applyFill="1" applyBorder="1" applyAlignment="1">
      <alignment horizontal="center" vertical="center"/>
    </xf>
    <xf numFmtId="1" fontId="21" fillId="0" borderId="20" xfId="0" applyNumberFormat="1" applyFont="1" applyBorder="1" applyAlignment="1" applyProtection="1">
      <alignment horizontal="center" vertical="center"/>
      <protection hidden="1"/>
    </xf>
    <xf numFmtId="49" fontId="57" fillId="2" borderId="20" xfId="0" applyNumberFormat="1" applyFont="1" applyFill="1" applyBorder="1" applyAlignment="1" applyProtection="1">
      <alignment horizontal="center"/>
      <protection locked="0"/>
    </xf>
    <xf numFmtId="49" fontId="57" fillId="2" borderId="2" xfId="0" applyNumberFormat="1" applyFont="1" applyFill="1" applyBorder="1" applyAlignment="1" applyProtection="1">
      <alignment horizontal="center"/>
      <protection locked="0"/>
    </xf>
    <xf numFmtId="49" fontId="16" fillId="2" borderId="20" xfId="0" applyNumberFormat="1" applyFont="1" applyFill="1" applyBorder="1" applyAlignment="1" applyProtection="1">
      <alignment horizontal="center"/>
      <protection locked="0"/>
    </xf>
    <xf numFmtId="49" fontId="16" fillId="2" borderId="2" xfId="0" applyNumberFormat="1" applyFont="1" applyFill="1" applyBorder="1" applyAlignment="1" applyProtection="1">
      <alignment horizontal="center"/>
      <protection locked="0"/>
    </xf>
    <xf numFmtId="166" fontId="16" fillId="0" borderId="37" xfId="0" applyNumberFormat="1" applyFont="1" applyBorder="1" applyAlignment="1" applyProtection="1">
      <alignment horizontal="center"/>
      <protection locked="0"/>
    </xf>
    <xf numFmtId="49" fontId="16" fillId="0" borderId="35" xfId="0" applyNumberFormat="1" applyFont="1" applyBorder="1" applyAlignment="1" applyProtection="1">
      <alignment horizontal="center"/>
      <protection locked="0"/>
    </xf>
    <xf numFmtId="49" fontId="16" fillId="0" borderId="36" xfId="0" applyNumberFormat="1" applyFont="1" applyBorder="1" applyAlignment="1" applyProtection="1">
      <alignment horizontal="center"/>
      <protection locked="0"/>
    </xf>
    <xf numFmtId="20" fontId="55" fillId="0" borderId="8" xfId="0" applyNumberFormat="1" applyFont="1" applyBorder="1" applyAlignment="1" applyProtection="1">
      <alignment horizontal="center" vertical="center"/>
      <protection hidden="1"/>
    </xf>
    <xf numFmtId="20" fontId="55" fillId="0" borderId="9" xfId="0" applyNumberFormat="1" applyFont="1" applyBorder="1" applyAlignment="1" applyProtection="1">
      <alignment horizontal="center" vertical="center"/>
      <protection hidden="1"/>
    </xf>
    <xf numFmtId="20" fontId="56" fillId="0" borderId="35" xfId="0" applyNumberFormat="1" applyFont="1" applyBorder="1" applyAlignment="1" applyProtection="1">
      <alignment horizontal="center"/>
      <protection hidden="1"/>
    </xf>
    <xf numFmtId="1" fontId="21" fillId="0" borderId="92" xfId="0" applyNumberFormat="1" applyFont="1" applyBorder="1" applyAlignment="1" applyProtection="1">
      <alignment horizontal="center" vertical="center"/>
      <protection hidden="1"/>
    </xf>
    <xf numFmtId="1" fontId="22" fillId="0" borderId="92" xfId="0" applyNumberFormat="1" applyFont="1" applyBorder="1" applyAlignment="1" applyProtection="1">
      <alignment horizontal="center" vertical="center"/>
      <protection hidden="1"/>
    </xf>
    <xf numFmtId="172" fontId="23" fillId="0" borderId="35" xfId="0" applyNumberFormat="1" applyFont="1" applyBorder="1" applyAlignment="1" applyProtection="1">
      <alignment horizontal="center" vertical="center"/>
      <protection hidden="1"/>
    </xf>
    <xf numFmtId="166" fontId="16" fillId="0" borderId="84" xfId="0" applyNumberFormat="1" applyFont="1" applyBorder="1" applyAlignment="1" applyProtection="1">
      <alignment horizontal="center"/>
      <protection locked="0"/>
    </xf>
    <xf numFmtId="49" fontId="16" fillId="0" borderId="85" xfId="0" applyNumberFormat="1" applyFont="1" applyBorder="1" applyAlignment="1" applyProtection="1">
      <alignment horizontal="center"/>
      <protection locked="0"/>
    </xf>
    <xf numFmtId="49" fontId="16" fillId="0" borderId="86" xfId="0" applyNumberFormat="1" applyFont="1" applyBorder="1" applyAlignment="1" applyProtection="1">
      <alignment horizontal="center"/>
      <protection locked="0"/>
    </xf>
    <xf numFmtId="20" fontId="55" fillId="0" borderId="87" xfId="0" applyNumberFormat="1" applyFont="1" applyBorder="1" applyAlignment="1" applyProtection="1">
      <alignment horizontal="center" vertical="center"/>
      <protection hidden="1"/>
    </xf>
    <xf numFmtId="20" fontId="55" fillId="0" borderId="88" xfId="0" applyNumberFormat="1" applyFont="1" applyBorder="1" applyAlignment="1" applyProtection="1">
      <alignment horizontal="center" vertical="center"/>
      <protection hidden="1"/>
    </xf>
    <xf numFmtId="20" fontId="56" fillId="0" borderId="85" xfId="0" applyNumberFormat="1" applyFont="1" applyBorder="1" applyAlignment="1" applyProtection="1">
      <alignment horizontal="center"/>
      <protection hidden="1"/>
    </xf>
    <xf numFmtId="1" fontId="21" fillId="0" borderId="38" xfId="0" applyNumberFormat="1" applyFont="1" applyBorder="1" applyAlignment="1" applyProtection="1">
      <alignment horizontal="center" vertical="center"/>
      <protection hidden="1"/>
    </xf>
    <xf numFmtId="1" fontId="22" fillId="0" borderId="38" xfId="0" applyNumberFormat="1" applyFont="1" applyBorder="1" applyAlignment="1" applyProtection="1">
      <alignment horizontal="center" vertical="center"/>
      <protection hidden="1"/>
    </xf>
    <xf numFmtId="172" fontId="23" fillId="0" borderId="85" xfId="0" applyNumberFormat="1" applyFont="1" applyBorder="1" applyAlignment="1" applyProtection="1">
      <alignment horizontal="center" vertical="center"/>
      <protection hidden="1"/>
    </xf>
    <xf numFmtId="167" fontId="58" fillId="0" borderId="0" xfId="0" applyNumberFormat="1" applyFont="1" applyProtection="1">
      <protection locked="0"/>
    </xf>
    <xf numFmtId="49" fontId="16" fillId="0" borderId="21" xfId="0" applyNumberFormat="1" applyFont="1" applyBorder="1" applyAlignment="1" applyProtection="1">
      <alignment horizontal="center"/>
      <protection locked="0"/>
    </xf>
    <xf numFmtId="49" fontId="16" fillId="0" borderId="13" xfId="0" applyNumberFormat="1" applyFont="1" applyBorder="1" applyAlignment="1" applyProtection="1">
      <alignment horizontal="center"/>
      <protection locked="0"/>
    </xf>
    <xf numFmtId="1" fontId="19" fillId="0" borderId="21" xfId="0" applyNumberFormat="1" applyFont="1" applyFill="1" applyBorder="1" applyAlignment="1">
      <alignment horizontal="center" vertical="center"/>
    </xf>
    <xf numFmtId="1" fontId="21" fillId="0" borderId="21" xfId="0" applyNumberFormat="1" applyFont="1" applyBorder="1" applyAlignment="1" applyProtection="1">
      <alignment horizontal="center" vertical="center"/>
      <protection hidden="1"/>
    </xf>
    <xf numFmtId="1" fontId="22" fillId="0" borderId="21" xfId="0" applyNumberFormat="1" applyFont="1" applyBorder="1" applyAlignment="1" applyProtection="1">
      <alignment horizontal="center" vertical="center"/>
      <protection hidden="1"/>
    </xf>
    <xf numFmtId="0" fontId="2" fillId="9" borderId="0" xfId="0" applyFont="1" applyFill="1" applyProtection="1">
      <protection locked="0"/>
    </xf>
    <xf numFmtId="167" fontId="19" fillId="0" borderId="106" xfId="0" applyNumberFormat="1" applyFont="1" applyBorder="1" applyAlignment="1" applyProtection="1">
      <alignment horizontal="center"/>
    </xf>
    <xf numFmtId="165" fontId="28" fillId="0" borderId="105" xfId="0" applyNumberFormat="1" applyFont="1" applyBorder="1" applyAlignment="1">
      <alignment horizontal="center" vertical="center"/>
    </xf>
    <xf numFmtId="0" fontId="58" fillId="0" borderId="48" xfId="0" applyFont="1" applyBorder="1" applyAlignment="1" applyProtection="1">
      <alignment vertical="top"/>
      <protection locked="0"/>
    </xf>
    <xf numFmtId="0" fontId="58" fillId="0" borderId="49" xfId="0" applyFont="1" applyBorder="1" applyAlignment="1" applyProtection="1">
      <alignment vertical="top"/>
      <protection locked="0"/>
    </xf>
    <xf numFmtId="0" fontId="58" fillId="0" borderId="50" xfId="0" applyFont="1" applyBorder="1" applyAlignment="1" applyProtection="1">
      <alignment vertical="top"/>
      <protection locked="0"/>
    </xf>
    <xf numFmtId="0" fontId="10" fillId="0" borderId="17" xfId="0" applyFont="1" applyBorder="1" applyAlignment="1" applyProtection="1">
      <alignment horizontal="center"/>
      <protection locked="0"/>
    </xf>
    <xf numFmtId="0" fontId="18" fillId="0" borderId="17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/>
    </xf>
    <xf numFmtId="0" fontId="21" fillId="0" borderId="17" xfId="0" applyFont="1" applyBorder="1" applyAlignment="1">
      <alignment horizontal="center" vertical="center"/>
    </xf>
    <xf numFmtId="1" fontId="22" fillId="0" borderId="17" xfId="0" applyNumberFormat="1" applyFont="1" applyBorder="1" applyAlignment="1" applyProtection="1">
      <alignment horizontal="center" vertical="center"/>
      <protection hidden="1"/>
    </xf>
    <xf numFmtId="0" fontId="18" fillId="0" borderId="20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/>
    </xf>
    <xf numFmtId="20" fontId="10" fillId="0" borderId="2" xfId="0" applyNumberFormat="1" applyFont="1" applyBorder="1" applyAlignment="1" applyProtection="1">
      <alignment horizontal="center"/>
      <protection locked="0"/>
    </xf>
    <xf numFmtId="20" fontId="16" fillId="0" borderId="35" xfId="0" applyNumberFormat="1" applyFont="1" applyBorder="1" applyAlignment="1" applyProtection="1">
      <alignment horizontal="center"/>
      <protection locked="0"/>
    </xf>
    <xf numFmtId="20" fontId="16" fillId="0" borderId="36" xfId="0" applyNumberFormat="1" applyFont="1" applyBorder="1" applyAlignment="1" applyProtection="1">
      <alignment horizontal="center"/>
      <protection locked="0"/>
    </xf>
    <xf numFmtId="20" fontId="16" fillId="0" borderId="85" xfId="0" applyNumberFormat="1" applyFont="1" applyBorder="1" applyAlignment="1" applyProtection="1">
      <alignment horizontal="center"/>
      <protection locked="0"/>
    </xf>
    <xf numFmtId="20" fontId="16" fillId="0" borderId="86" xfId="0" applyNumberFormat="1" applyFont="1" applyBorder="1" applyAlignment="1" applyProtection="1">
      <alignment horizontal="center"/>
      <protection locked="0"/>
    </xf>
    <xf numFmtId="0" fontId="18" fillId="0" borderId="21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/>
    </xf>
    <xf numFmtId="175" fontId="18" fillId="0" borderId="0" xfId="0" applyNumberFormat="1" applyFont="1" applyAlignment="1" applyProtection="1">
      <alignment horizontal="center"/>
      <protection locked="0"/>
    </xf>
    <xf numFmtId="0" fontId="28" fillId="0" borderId="0" xfId="0" applyFont="1" applyBorder="1" applyAlignment="1" applyProtection="1">
      <alignment horizontal="center"/>
      <protection locked="0"/>
    </xf>
    <xf numFmtId="175" fontId="2" fillId="0" borderId="0" xfId="0" applyNumberFormat="1" applyFont="1" applyAlignment="1" applyProtection="1">
      <alignment horizontal="center"/>
      <protection hidden="1"/>
    </xf>
    <xf numFmtId="175" fontId="58" fillId="0" borderId="0" xfId="0" applyNumberFormat="1" applyFont="1" applyProtection="1">
      <protection locked="0"/>
    </xf>
    <xf numFmtId="0" fontId="58" fillId="0" borderId="0" xfId="0" applyFont="1"/>
    <xf numFmtId="49" fontId="19" fillId="0" borderId="2" xfId="0" applyNumberFormat="1" applyFont="1" applyBorder="1" applyAlignment="1" applyProtection="1">
      <alignment horizontal="center"/>
      <protection locked="0"/>
    </xf>
    <xf numFmtId="49" fontId="16" fillId="0" borderId="92" xfId="0" applyNumberFormat="1" applyFont="1" applyBorder="1" applyAlignment="1" applyProtection="1">
      <alignment horizontal="center"/>
      <protection locked="0"/>
    </xf>
    <xf numFmtId="49" fontId="16" fillId="0" borderId="93" xfId="0" applyNumberFormat="1" applyFont="1" applyBorder="1" applyAlignment="1" applyProtection="1">
      <alignment horizontal="center"/>
      <protection locked="0"/>
    </xf>
    <xf numFmtId="49" fontId="16" fillId="0" borderId="38" xfId="0" applyNumberFormat="1" applyFont="1" applyBorder="1" applyAlignment="1" applyProtection="1">
      <alignment horizontal="center"/>
      <protection locked="0"/>
    </xf>
    <xf numFmtId="49" fontId="16" fillId="0" borderId="10" xfId="0" applyNumberFormat="1" applyFont="1" applyBorder="1" applyAlignment="1" applyProtection="1">
      <alignment horizontal="center"/>
      <protection locked="0"/>
    </xf>
    <xf numFmtId="2" fontId="8" fillId="0" borderId="0" xfId="0" applyNumberFormat="1" applyFont="1" applyAlignment="1">
      <alignment horizontal="center"/>
    </xf>
    <xf numFmtId="20" fontId="56" fillId="0" borderId="21" xfId="0" applyNumberFormat="1" applyFont="1" applyBorder="1" applyAlignment="1" applyProtection="1">
      <alignment horizontal="center"/>
      <protection hidden="1"/>
    </xf>
    <xf numFmtId="166" fontId="16" fillId="0" borderId="32" xfId="0" applyNumberFormat="1" applyFont="1" applyBorder="1" applyAlignment="1" applyProtection="1">
      <alignment horizontal="center"/>
      <protection locked="0"/>
    </xf>
    <xf numFmtId="166" fontId="16" fillId="0" borderId="33" xfId="0" applyNumberFormat="1" applyFont="1" applyBorder="1" applyAlignment="1" applyProtection="1">
      <alignment horizontal="center"/>
      <protection locked="0"/>
    </xf>
    <xf numFmtId="166" fontId="16" fillId="0" borderId="98" xfId="0" applyNumberFormat="1" applyFont="1" applyBorder="1" applyAlignment="1" applyProtection="1">
      <alignment horizontal="center"/>
      <protection locked="0"/>
    </xf>
    <xf numFmtId="166" fontId="16" fillId="0" borderId="99" xfId="0" applyNumberFormat="1" applyFont="1" applyBorder="1" applyAlignment="1" applyProtection="1">
      <alignment horizontal="center"/>
      <protection locked="0"/>
    </xf>
    <xf numFmtId="166" fontId="16" fillId="0" borderId="34" xfId="0" applyNumberFormat="1" applyFont="1" applyBorder="1" applyAlignment="1" applyProtection="1">
      <alignment horizontal="center"/>
      <protection locked="0"/>
    </xf>
    <xf numFmtId="167" fontId="19" fillId="0" borderId="106" xfId="0" applyNumberFormat="1" applyFont="1" applyBorder="1" applyAlignment="1" applyProtection="1">
      <alignment horizontal="center"/>
      <protection hidden="1"/>
    </xf>
    <xf numFmtId="49" fontId="57" fillId="0" borderId="17" xfId="0" applyNumberFormat="1" applyFont="1" applyFill="1" applyBorder="1" applyAlignment="1" applyProtection="1">
      <alignment horizontal="center"/>
      <protection locked="0"/>
    </xf>
    <xf numFmtId="49" fontId="16" fillId="0" borderId="18" xfId="0" applyNumberFormat="1" applyFont="1" applyFill="1" applyBorder="1" applyAlignment="1" applyProtection="1">
      <alignment horizontal="center"/>
      <protection locked="0"/>
    </xf>
    <xf numFmtId="20" fontId="57" fillId="0" borderId="18" xfId="0" applyNumberFormat="1" applyFont="1" applyFill="1" applyBorder="1" applyAlignment="1" applyProtection="1">
      <alignment horizontal="center" vertical="center"/>
      <protection hidden="1"/>
    </xf>
    <xf numFmtId="20" fontId="57" fillId="0" borderId="17" xfId="0" applyNumberFormat="1" applyFont="1" applyFill="1" applyBorder="1" applyAlignment="1" applyProtection="1">
      <alignment horizontal="center" vertical="center"/>
      <protection hidden="1"/>
    </xf>
    <xf numFmtId="20" fontId="56" fillId="0" borderId="17" xfId="0" applyNumberFormat="1" applyFont="1" applyFill="1" applyBorder="1" applyAlignment="1" applyProtection="1">
      <alignment horizontal="center"/>
      <protection hidden="1"/>
    </xf>
    <xf numFmtId="1" fontId="18" fillId="0" borderId="17" xfId="0" applyNumberFormat="1" applyFont="1" applyFill="1" applyBorder="1" applyAlignment="1" applyProtection="1">
      <alignment horizontal="center" vertical="center"/>
      <protection hidden="1"/>
    </xf>
    <xf numFmtId="0" fontId="19" fillId="0" borderId="17" xfId="0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horizontal="center" vertical="center"/>
    </xf>
    <xf numFmtId="1" fontId="22" fillId="0" borderId="17" xfId="0" applyNumberFormat="1" applyFont="1" applyFill="1" applyBorder="1" applyAlignment="1" applyProtection="1">
      <alignment horizontal="center" vertical="center"/>
      <protection hidden="1"/>
    </xf>
    <xf numFmtId="49" fontId="57" fillId="0" borderId="20" xfId="0" applyNumberFormat="1" applyFont="1" applyFill="1" applyBorder="1" applyAlignment="1" applyProtection="1">
      <alignment horizontal="center"/>
      <protection locked="0"/>
    </xf>
    <xf numFmtId="49" fontId="16" fillId="0" borderId="2" xfId="0" applyNumberFormat="1" applyFont="1" applyFill="1" applyBorder="1" applyAlignment="1" applyProtection="1">
      <alignment horizontal="center"/>
      <protection locked="0"/>
    </xf>
    <xf numFmtId="20" fontId="57" fillId="0" borderId="2" xfId="0" applyNumberFormat="1" applyFont="1" applyFill="1" applyBorder="1" applyAlignment="1" applyProtection="1">
      <alignment horizontal="center" vertical="center"/>
      <protection hidden="1"/>
    </xf>
    <xf numFmtId="20" fontId="57" fillId="0" borderId="20" xfId="0" applyNumberFormat="1" applyFont="1" applyFill="1" applyBorder="1" applyAlignment="1" applyProtection="1">
      <alignment horizontal="center" vertical="center"/>
      <protection hidden="1"/>
    </xf>
    <xf numFmtId="20" fontId="56" fillId="0" borderId="20" xfId="0" applyNumberFormat="1" applyFont="1" applyFill="1" applyBorder="1" applyAlignment="1" applyProtection="1">
      <alignment horizontal="center"/>
      <protection hidden="1"/>
    </xf>
    <xf numFmtId="1" fontId="18" fillId="0" borderId="20" xfId="0" applyNumberFormat="1" applyFont="1" applyFill="1" applyBorder="1" applyAlignment="1" applyProtection="1">
      <alignment horizontal="center" vertical="center"/>
      <protection hidden="1"/>
    </xf>
    <xf numFmtId="0" fontId="19" fillId="0" borderId="20" xfId="0" applyFont="1" applyFill="1" applyBorder="1" applyAlignment="1">
      <alignment horizontal="center" vertical="center"/>
    </xf>
    <xf numFmtId="1" fontId="22" fillId="0" borderId="20" xfId="0" applyNumberFormat="1" applyFont="1" applyFill="1" applyBorder="1" applyAlignment="1" applyProtection="1">
      <alignment horizontal="center" vertical="center"/>
      <protection hidden="1"/>
    </xf>
    <xf numFmtId="0" fontId="61" fillId="0" borderId="20" xfId="0" applyFont="1" applyFill="1" applyBorder="1" applyAlignment="1">
      <alignment vertical="center"/>
    </xf>
    <xf numFmtId="0" fontId="16" fillId="2" borderId="0" xfId="0" applyFont="1" applyFill="1" applyAlignment="1" applyProtection="1">
      <alignment horizontal="center"/>
      <protection locked="0"/>
    </xf>
    <xf numFmtId="172" fontId="23" fillId="2" borderId="20" xfId="0" applyNumberFormat="1" applyFont="1" applyFill="1" applyBorder="1" applyAlignment="1" applyProtection="1">
      <alignment horizontal="center" vertical="center"/>
      <protection hidden="1"/>
    </xf>
    <xf numFmtId="49" fontId="57" fillId="0" borderId="2" xfId="0" applyNumberFormat="1" applyFont="1" applyFill="1" applyBorder="1" applyAlignment="1" applyProtection="1">
      <alignment horizontal="center"/>
      <protection locked="0"/>
    </xf>
    <xf numFmtId="49" fontId="57" fillId="0" borderId="35" xfId="0" applyNumberFormat="1" applyFont="1" applyFill="1" applyBorder="1" applyAlignment="1" applyProtection="1">
      <alignment horizontal="center"/>
      <protection locked="0"/>
    </xf>
    <xf numFmtId="20" fontId="57" fillId="0" borderId="93" xfId="0" applyNumberFormat="1" applyFont="1" applyFill="1" applyBorder="1" applyAlignment="1" applyProtection="1">
      <alignment horizontal="center" vertical="center"/>
      <protection hidden="1"/>
    </xf>
    <xf numFmtId="20" fontId="57" fillId="0" borderId="92" xfId="0" applyNumberFormat="1" applyFont="1" applyFill="1" applyBorder="1" applyAlignment="1" applyProtection="1">
      <alignment horizontal="center" vertical="center"/>
      <protection hidden="1"/>
    </xf>
    <xf numFmtId="1" fontId="22" fillId="0" borderId="92" xfId="0" applyNumberFormat="1" applyFont="1" applyFill="1" applyBorder="1" applyAlignment="1" applyProtection="1">
      <alignment horizontal="center" vertical="center"/>
      <protection hidden="1"/>
    </xf>
    <xf numFmtId="49" fontId="57" fillId="0" borderId="85" xfId="0" applyNumberFormat="1" applyFont="1" applyFill="1" applyBorder="1" applyAlignment="1" applyProtection="1">
      <alignment horizontal="center"/>
      <protection locked="0"/>
    </xf>
    <xf numFmtId="20" fontId="57" fillId="0" borderId="10" xfId="0" applyNumberFormat="1" applyFont="1" applyFill="1" applyBorder="1" applyAlignment="1" applyProtection="1">
      <alignment horizontal="center" vertical="center"/>
      <protection hidden="1"/>
    </xf>
    <xf numFmtId="20" fontId="57" fillId="0" borderId="38" xfId="0" applyNumberFormat="1" applyFont="1" applyFill="1" applyBorder="1" applyAlignment="1" applyProtection="1">
      <alignment horizontal="center" vertical="center"/>
      <protection hidden="1"/>
    </xf>
    <xf numFmtId="1" fontId="22" fillId="0" borderId="38" xfId="0" applyNumberFormat="1" applyFont="1" applyFill="1" applyBorder="1" applyAlignment="1" applyProtection="1">
      <alignment horizontal="center" vertical="center"/>
      <protection hidden="1"/>
    </xf>
    <xf numFmtId="49" fontId="57" fillId="0" borderId="21" xfId="0" applyNumberFormat="1" applyFont="1" applyBorder="1" applyAlignment="1" applyProtection="1">
      <alignment horizontal="center"/>
      <protection locked="0"/>
    </xf>
    <xf numFmtId="49" fontId="10" fillId="0" borderId="13" xfId="0" applyNumberFormat="1" applyFont="1" applyBorder="1" applyAlignment="1" applyProtection="1">
      <alignment horizontal="center"/>
      <protection locked="0"/>
    </xf>
    <xf numFmtId="20" fontId="57" fillId="0" borderId="13" xfId="0" applyNumberFormat="1" applyFont="1" applyFill="1" applyBorder="1" applyAlignment="1" applyProtection="1">
      <alignment horizontal="center" vertical="center"/>
      <protection hidden="1"/>
    </xf>
    <xf numFmtId="20" fontId="57" fillId="0" borderId="21" xfId="0" applyNumberFormat="1" applyFont="1" applyFill="1" applyBorder="1" applyAlignment="1" applyProtection="1">
      <alignment horizontal="center" vertical="center"/>
      <protection hidden="1"/>
    </xf>
    <xf numFmtId="1" fontId="18" fillId="0" borderId="21" xfId="0" applyNumberFormat="1" applyFont="1" applyFill="1" applyBorder="1" applyAlignment="1" applyProtection="1">
      <alignment horizontal="center" vertical="center"/>
      <protection hidden="1"/>
    </xf>
    <xf numFmtId="0" fontId="19" fillId="0" borderId="21" xfId="0" applyFont="1" applyFill="1" applyBorder="1" applyAlignment="1">
      <alignment horizontal="center" vertical="center"/>
    </xf>
    <xf numFmtId="1" fontId="22" fillId="0" borderId="21" xfId="0" applyNumberFormat="1" applyFont="1" applyFill="1" applyBorder="1" applyAlignment="1" applyProtection="1">
      <alignment horizontal="center" vertical="center"/>
      <protection hidden="1"/>
    </xf>
    <xf numFmtId="172" fontId="10" fillId="0" borderId="21" xfId="0" applyNumberFormat="1" applyFont="1" applyBorder="1" applyAlignment="1" applyProtection="1">
      <alignment horizontal="center" vertical="center"/>
      <protection hidden="1"/>
    </xf>
    <xf numFmtId="1" fontId="63" fillId="0" borderId="17" xfId="0" applyNumberFormat="1" applyFont="1" applyBorder="1" applyAlignment="1" applyProtection="1">
      <alignment horizontal="center" vertical="center"/>
      <protection hidden="1"/>
    </xf>
    <xf numFmtId="1" fontId="64" fillId="0" borderId="17" xfId="0" applyNumberFormat="1" applyFont="1" applyBorder="1" applyAlignment="1" applyProtection="1">
      <alignment horizontal="center" vertical="center"/>
      <protection hidden="1"/>
    </xf>
    <xf numFmtId="1" fontId="65" fillId="0" borderId="17" xfId="0" applyNumberFormat="1" applyFont="1" applyBorder="1" applyAlignment="1" applyProtection="1">
      <alignment horizontal="center" vertical="center"/>
      <protection hidden="1"/>
    </xf>
    <xf numFmtId="172" fontId="26" fillId="0" borderId="17" xfId="0" applyNumberFormat="1" applyFont="1" applyBorder="1" applyAlignment="1" applyProtection="1">
      <alignment horizontal="center" vertical="center"/>
      <protection hidden="1"/>
    </xf>
    <xf numFmtId="1" fontId="63" fillId="0" borderId="20" xfId="0" applyNumberFormat="1" applyFont="1" applyBorder="1" applyAlignment="1" applyProtection="1">
      <alignment horizontal="center" vertical="center"/>
      <protection hidden="1"/>
    </xf>
    <xf numFmtId="1" fontId="64" fillId="0" borderId="20" xfId="0" applyNumberFormat="1" applyFont="1" applyBorder="1" applyAlignment="1" applyProtection="1">
      <alignment horizontal="center" vertical="center"/>
      <protection hidden="1"/>
    </xf>
    <xf numFmtId="1" fontId="65" fillId="0" borderId="20" xfId="0" applyNumberFormat="1" applyFont="1" applyBorder="1" applyAlignment="1" applyProtection="1">
      <alignment horizontal="center" vertical="center"/>
      <protection hidden="1"/>
    </xf>
    <xf numFmtId="172" fontId="26" fillId="0" borderId="20" xfId="0" applyNumberFormat="1" applyFont="1" applyBorder="1" applyAlignment="1" applyProtection="1">
      <alignment horizontal="center" vertical="center"/>
      <protection hidden="1"/>
    </xf>
    <xf numFmtId="1" fontId="65" fillId="0" borderId="92" xfId="0" applyNumberFormat="1" applyFont="1" applyBorder="1" applyAlignment="1" applyProtection="1">
      <alignment horizontal="center" vertical="center"/>
      <protection hidden="1"/>
    </xf>
    <xf numFmtId="172" fontId="26" fillId="0" borderId="35" xfId="0" applyNumberFormat="1" applyFont="1" applyBorder="1" applyAlignment="1" applyProtection="1">
      <alignment horizontal="center" vertical="center"/>
      <protection hidden="1"/>
    </xf>
    <xf numFmtId="1" fontId="65" fillId="0" borderId="38" xfId="0" applyNumberFormat="1" applyFont="1" applyBorder="1" applyAlignment="1" applyProtection="1">
      <alignment horizontal="center" vertical="center"/>
      <protection hidden="1"/>
    </xf>
    <xf numFmtId="172" fontId="26" fillId="0" borderId="85" xfId="0" applyNumberFormat="1" applyFont="1" applyBorder="1" applyAlignment="1" applyProtection="1">
      <alignment horizontal="center" vertical="center"/>
      <protection hidden="1"/>
    </xf>
    <xf numFmtId="1" fontId="63" fillId="0" borderId="21" xfId="0" applyNumberFormat="1" applyFont="1" applyBorder="1" applyAlignment="1" applyProtection="1">
      <alignment horizontal="center" vertical="center"/>
      <protection hidden="1"/>
    </xf>
    <xf numFmtId="1" fontId="64" fillId="0" borderId="21" xfId="0" applyNumberFormat="1" applyFont="1" applyBorder="1" applyAlignment="1" applyProtection="1">
      <alignment horizontal="center" vertical="center"/>
      <protection hidden="1"/>
    </xf>
    <xf numFmtId="1" fontId="65" fillId="0" borderId="21" xfId="0" applyNumberFormat="1" applyFont="1" applyBorder="1" applyAlignment="1" applyProtection="1">
      <alignment horizontal="center" vertical="center"/>
      <protection hidden="1"/>
    </xf>
    <xf numFmtId="172" fontId="26" fillId="0" borderId="21" xfId="0" applyNumberFormat="1" applyFont="1" applyBorder="1" applyAlignment="1" applyProtection="1">
      <alignment horizontal="center" vertical="center"/>
      <protection hidden="1"/>
    </xf>
    <xf numFmtId="2" fontId="8" fillId="6" borderId="0" xfId="0" applyNumberFormat="1" applyFont="1" applyFill="1" applyAlignment="1">
      <alignment horizontal="center"/>
    </xf>
    <xf numFmtId="1" fontId="18" fillId="0" borderId="38" xfId="0" applyNumberFormat="1" applyFont="1" applyBorder="1" applyAlignment="1" applyProtection="1">
      <alignment horizontal="center" vertical="center"/>
      <protection hidden="1"/>
    </xf>
    <xf numFmtId="1" fontId="19" fillId="0" borderId="38" xfId="0" applyNumberFormat="1" applyFont="1" applyFill="1" applyBorder="1" applyAlignment="1">
      <alignment horizontal="center" vertical="center"/>
    </xf>
    <xf numFmtId="0" fontId="20" fillId="0" borderId="38" xfId="0" applyFont="1" applyBorder="1" applyAlignment="1">
      <alignment horizontal="center" vertical="center"/>
    </xf>
    <xf numFmtId="1" fontId="18" fillId="0" borderId="92" xfId="0" applyNumberFormat="1" applyFont="1" applyBorder="1" applyAlignment="1" applyProtection="1">
      <alignment horizontal="center" vertical="center"/>
      <protection hidden="1"/>
    </xf>
    <xf numFmtId="1" fontId="19" fillId="0" borderId="92" xfId="0" applyNumberFormat="1" applyFont="1" applyFill="1" applyBorder="1" applyAlignment="1">
      <alignment horizontal="center" vertical="center"/>
    </xf>
    <xf numFmtId="0" fontId="20" fillId="0" borderId="92" xfId="0" applyFont="1" applyBorder="1" applyAlignment="1">
      <alignment horizontal="center" vertical="center"/>
    </xf>
    <xf numFmtId="1" fontId="19" fillId="0" borderId="38" xfId="0" applyNumberFormat="1" applyFont="1" applyBorder="1" applyAlignment="1" applyProtection="1">
      <alignment horizontal="center" vertical="center"/>
      <protection hidden="1"/>
    </xf>
    <xf numFmtId="1" fontId="19" fillId="0" borderId="92" xfId="0" applyNumberFormat="1" applyFont="1" applyBorder="1" applyAlignment="1" applyProtection="1">
      <alignment horizontal="center" vertical="center"/>
      <protection hidden="1"/>
    </xf>
    <xf numFmtId="0" fontId="18" fillId="0" borderId="38" xfId="0" applyFont="1" applyBorder="1" applyAlignment="1">
      <alignment horizontal="center" vertical="center"/>
    </xf>
    <xf numFmtId="0" fontId="13" fillId="0" borderId="38" xfId="0" applyFont="1" applyBorder="1" applyAlignment="1">
      <alignment horizontal="center"/>
    </xf>
    <xf numFmtId="0" fontId="18" fillId="0" borderId="92" xfId="0" applyFont="1" applyBorder="1" applyAlignment="1">
      <alignment horizontal="center" vertical="center"/>
    </xf>
    <xf numFmtId="0" fontId="13" fillId="0" borderId="92" xfId="0" applyFont="1" applyBorder="1" applyAlignment="1">
      <alignment horizontal="center"/>
    </xf>
    <xf numFmtId="1" fontId="18" fillId="0" borderId="38" xfId="0" applyNumberFormat="1" applyFont="1" applyFill="1" applyBorder="1" applyAlignment="1" applyProtection="1">
      <alignment horizontal="center" vertical="center"/>
      <protection hidden="1"/>
    </xf>
    <xf numFmtId="0" fontId="19" fillId="0" borderId="38" xfId="0" applyFont="1" applyFill="1" applyBorder="1" applyAlignment="1">
      <alignment horizontal="center" vertical="center"/>
    </xf>
    <xf numFmtId="1" fontId="18" fillId="0" borderId="92" xfId="0" applyNumberFormat="1" applyFont="1" applyFill="1" applyBorder="1" applyAlignment="1" applyProtection="1">
      <alignment horizontal="center" vertical="center"/>
      <protection hidden="1"/>
    </xf>
    <xf numFmtId="0" fontId="19" fillId="0" borderId="92" xfId="0" applyFont="1" applyFill="1" applyBorder="1" applyAlignment="1">
      <alignment horizontal="center" vertical="center"/>
    </xf>
    <xf numFmtId="1" fontId="63" fillId="0" borderId="38" xfId="0" applyNumberFormat="1" applyFont="1" applyBorder="1" applyAlignment="1" applyProtection="1">
      <alignment horizontal="center" vertical="center"/>
      <protection hidden="1"/>
    </xf>
    <xf numFmtId="1" fontId="64" fillId="0" borderId="38" xfId="0" applyNumberFormat="1" applyFont="1" applyBorder="1" applyAlignment="1" applyProtection="1">
      <alignment horizontal="center" vertical="center"/>
      <protection hidden="1"/>
    </xf>
    <xf numFmtId="1" fontId="53" fillId="2" borderId="38" xfId="0" applyNumberFormat="1" applyFont="1" applyFill="1" applyBorder="1" applyAlignment="1" applyProtection="1">
      <alignment horizontal="center"/>
      <protection hidden="1"/>
    </xf>
    <xf numFmtId="1" fontId="63" fillId="0" borderId="92" xfId="0" applyNumberFormat="1" applyFont="1" applyBorder="1" applyAlignment="1" applyProtection="1">
      <alignment horizontal="center" vertical="center"/>
      <protection hidden="1"/>
    </xf>
    <xf numFmtId="1" fontId="64" fillId="0" borderId="92" xfId="0" applyNumberFormat="1" applyFont="1" applyBorder="1" applyAlignment="1" applyProtection="1">
      <alignment horizontal="center" vertical="center"/>
      <protection hidden="1"/>
    </xf>
    <xf numFmtId="1" fontId="53" fillId="2" borderId="92" xfId="0" applyNumberFormat="1" applyFont="1" applyFill="1" applyBorder="1" applyAlignment="1" applyProtection="1">
      <alignment horizontal="center"/>
      <protection hidden="1"/>
    </xf>
    <xf numFmtId="0" fontId="17" fillId="0" borderId="25" xfId="1" applyFont="1" applyBorder="1"/>
    <xf numFmtId="2" fontId="17" fillId="0" borderId="43" xfId="1" applyNumberFormat="1" applyFont="1" applyBorder="1"/>
    <xf numFmtId="0" fontId="47" fillId="0" borderId="25" xfId="1" applyFont="1" applyBorder="1"/>
    <xf numFmtId="177" fontId="47" fillId="0" borderId="43" xfId="1" applyNumberFormat="1" applyFont="1" applyBorder="1"/>
    <xf numFmtId="0" fontId="7" fillId="0" borderId="17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92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3" fontId="66" fillId="0" borderId="0" xfId="0" applyNumberFormat="1" applyFont="1" applyAlignment="1" applyProtection="1">
      <alignment horizontal="center"/>
      <protection hidden="1"/>
    </xf>
    <xf numFmtId="3" fontId="36" fillId="0" borderId="0" xfId="0" applyNumberFormat="1" applyFont="1" applyAlignment="1" applyProtection="1">
      <alignment horizontal="center"/>
      <protection hidden="1"/>
    </xf>
    <xf numFmtId="0" fontId="67" fillId="0" borderId="2" xfId="0" applyFont="1" applyBorder="1" applyAlignment="1">
      <alignment horizontal="center"/>
    </xf>
    <xf numFmtId="20" fontId="67" fillId="0" borderId="3" xfId="0" applyNumberFormat="1" applyFont="1" applyBorder="1" applyAlignment="1">
      <alignment horizontal="center"/>
    </xf>
    <xf numFmtId="20" fontId="67" fillId="0" borderId="4" xfId="0" applyNumberFormat="1" applyFont="1" applyBorder="1" applyAlignment="1">
      <alignment horizontal="center"/>
    </xf>
    <xf numFmtId="20" fontId="67" fillId="0" borderId="7" xfId="0" applyNumberFormat="1" applyFont="1" applyBorder="1" applyAlignment="1">
      <alignment horizontal="center"/>
    </xf>
    <xf numFmtId="0" fontId="67" fillId="0" borderId="108" xfId="0" applyFont="1" applyBorder="1" applyAlignment="1">
      <alignment horizontal="center"/>
    </xf>
    <xf numFmtId="20" fontId="67" fillId="0" borderId="109" xfId="0" applyNumberFormat="1" applyFont="1" applyBorder="1" applyAlignment="1">
      <alignment horizontal="center"/>
    </xf>
    <xf numFmtId="20" fontId="67" fillId="0" borderId="110" xfId="0" applyNumberFormat="1" applyFont="1" applyBorder="1" applyAlignment="1">
      <alignment horizontal="center"/>
    </xf>
    <xf numFmtId="20" fontId="67" fillId="0" borderId="111" xfId="0" applyNumberFormat="1" applyFont="1" applyBorder="1" applyAlignment="1">
      <alignment horizontal="center"/>
    </xf>
    <xf numFmtId="0" fontId="67" fillId="0" borderId="112" xfId="0" applyFont="1" applyBorder="1" applyAlignment="1">
      <alignment horizontal="center"/>
    </xf>
    <xf numFmtId="20" fontId="67" fillId="0" borderId="113" xfId="0" applyNumberFormat="1" applyFont="1" applyBorder="1" applyAlignment="1">
      <alignment horizontal="center"/>
    </xf>
    <xf numFmtId="20" fontId="67" fillId="0" borderId="114" xfId="0" applyNumberFormat="1" applyFont="1" applyBorder="1" applyAlignment="1">
      <alignment horizontal="center"/>
    </xf>
    <xf numFmtId="20" fontId="67" fillId="0" borderId="115" xfId="0" applyNumberFormat="1" applyFont="1" applyBorder="1" applyAlignment="1">
      <alignment horizontal="center"/>
    </xf>
    <xf numFmtId="20" fontId="8" fillId="2" borderId="2" xfId="0" applyNumberFormat="1" applyFont="1" applyFill="1" applyBorder="1" applyAlignment="1" applyProtection="1">
      <alignment horizontal="center"/>
      <protection locked="0"/>
    </xf>
    <xf numFmtId="20" fontId="68" fillId="0" borderId="3" xfId="0" applyNumberFormat="1" applyFont="1" applyBorder="1" applyAlignment="1" applyProtection="1">
      <alignment horizontal="center" vertical="center"/>
      <protection hidden="1"/>
    </xf>
    <xf numFmtId="20" fontId="68" fillId="0" borderId="4" xfId="0" applyNumberFormat="1" applyFont="1" applyBorder="1" applyAlignment="1" applyProtection="1">
      <alignment horizontal="center" vertical="center"/>
      <protection hidden="1"/>
    </xf>
    <xf numFmtId="0" fontId="62" fillId="0" borderId="17" xfId="0" applyFont="1" applyBorder="1" applyAlignment="1">
      <alignment horizontal="center" vertical="center"/>
    </xf>
    <xf numFmtId="0" fontId="62" fillId="0" borderId="20" xfId="0" applyFont="1" applyBorder="1" applyAlignment="1">
      <alignment horizontal="center" vertical="center"/>
    </xf>
    <xf numFmtId="0" fontId="62" fillId="0" borderId="92" xfId="0" applyFont="1" applyBorder="1" applyAlignment="1">
      <alignment horizontal="center" vertical="center"/>
    </xf>
    <xf numFmtId="0" fontId="62" fillId="0" borderId="38" xfId="0" applyFont="1" applyBorder="1" applyAlignment="1">
      <alignment horizontal="center" vertical="center"/>
    </xf>
    <xf numFmtId="0" fontId="62" fillId="0" borderId="21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/>
    </xf>
    <xf numFmtId="171" fontId="12" fillId="0" borderId="3" xfId="0" applyNumberFormat="1" applyFont="1" applyBorder="1" applyAlignment="1">
      <alignment horizontal="center"/>
    </xf>
    <xf numFmtId="171" fontId="12" fillId="0" borderId="4" xfId="0" applyNumberFormat="1" applyFont="1" applyBorder="1" applyAlignment="1">
      <alignment horizontal="center"/>
    </xf>
    <xf numFmtId="171" fontId="12" fillId="0" borderId="7" xfId="0" applyNumberFormat="1" applyFont="1" applyBorder="1" applyAlignment="1">
      <alignment horizontal="center"/>
    </xf>
    <xf numFmtId="0" fontId="8" fillId="13" borderId="0" xfId="0" applyFont="1" applyFill="1" applyProtection="1">
      <protection locked="0"/>
    </xf>
    <xf numFmtId="0" fontId="2" fillId="13" borderId="0" xfId="0" applyFont="1" applyFill="1" applyAlignment="1" applyProtection="1">
      <alignment horizontal="center"/>
      <protection hidden="1"/>
    </xf>
    <xf numFmtId="0" fontId="8" fillId="5" borderId="0" xfId="0" applyFont="1" applyFill="1" applyProtection="1">
      <protection locked="0"/>
    </xf>
    <xf numFmtId="0" fontId="2" fillId="5" borderId="0" xfId="0" applyFont="1" applyFill="1" applyAlignment="1" applyProtection="1">
      <alignment horizontal="center"/>
      <protection hidden="1"/>
    </xf>
    <xf numFmtId="0" fontId="8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center"/>
      <protection hidden="1"/>
    </xf>
    <xf numFmtId="0" fontId="8" fillId="12" borderId="0" xfId="0" applyFont="1" applyFill="1" applyAlignment="1" applyProtection="1">
      <protection locked="0"/>
    </xf>
    <xf numFmtId="0" fontId="2" fillId="12" borderId="0" xfId="0" applyFont="1" applyFill="1" applyAlignment="1" applyProtection="1">
      <alignment horizontal="center"/>
      <protection hidden="1"/>
    </xf>
    <xf numFmtId="0" fontId="12" fillId="0" borderId="0" xfId="0" applyFont="1" applyAlignment="1">
      <alignment horizontal="center"/>
    </xf>
    <xf numFmtId="0" fontId="0" fillId="14" borderId="0" xfId="0" applyFill="1"/>
    <xf numFmtId="0" fontId="4" fillId="0" borderId="1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8" fillId="0" borderId="0" xfId="0" applyFont="1" applyAlignment="1" applyProtection="1">
      <alignment horizontal="center"/>
      <protection locked="0"/>
    </xf>
    <xf numFmtId="0" fontId="58" fillId="0" borderId="0" xfId="0" applyFont="1" applyAlignment="1" applyProtection="1">
      <protection locked="0"/>
    </xf>
    <xf numFmtId="0" fontId="58" fillId="0" borderId="0" xfId="0" applyFont="1" applyAlignment="1"/>
    <xf numFmtId="0" fontId="8" fillId="0" borderId="56" xfId="0" applyFont="1" applyBorder="1" applyAlignment="1" applyProtection="1">
      <alignment horizontal="center"/>
      <protection locked="0"/>
    </xf>
    <xf numFmtId="0" fontId="8" fillId="0" borderId="57" xfId="0" applyFont="1" applyBorder="1" applyAlignment="1" applyProtection="1">
      <alignment horizontal="center"/>
      <protection locked="0"/>
    </xf>
    <xf numFmtId="0" fontId="8" fillId="0" borderId="58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59" xfId="0" applyFont="1" applyBorder="1" applyAlignment="1" applyProtection="1">
      <alignment horizontal="center"/>
      <protection locked="0"/>
    </xf>
    <xf numFmtId="0" fontId="8" fillId="0" borderId="27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27" xfId="0" applyFont="1" applyBorder="1" applyAlignment="1" applyProtection="1">
      <alignment horizontal="center"/>
      <protection locked="0"/>
    </xf>
    <xf numFmtId="0" fontId="60" fillId="0" borderId="0" xfId="0" applyFont="1" applyAlignment="1" applyProtection="1">
      <alignment horizontal="center"/>
      <protection locked="0"/>
    </xf>
    <xf numFmtId="0" fontId="8" fillId="5" borderId="0" xfId="0" applyFont="1" applyFill="1" applyAlignment="1" applyProtection="1">
      <protection locked="0"/>
    </xf>
    <xf numFmtId="0" fontId="8" fillId="6" borderId="0" xfId="0" applyFont="1" applyFill="1" applyAlignment="1" applyProtection="1">
      <protection locked="0"/>
    </xf>
    <xf numFmtId="0" fontId="19" fillId="0" borderId="102" xfId="0" applyFont="1" applyBorder="1" applyAlignment="1" applyProtection="1">
      <protection locked="0"/>
    </xf>
    <xf numFmtId="0" fontId="19" fillId="0" borderId="103" xfId="0" applyFont="1" applyBorder="1" applyAlignment="1"/>
    <xf numFmtId="0" fontId="16" fillId="0" borderId="0" xfId="0" applyFont="1" applyAlignment="1" applyProtection="1">
      <protection locked="0"/>
    </xf>
    <xf numFmtId="0" fontId="16" fillId="0" borderId="0" xfId="0" applyFont="1" applyAlignment="1"/>
    <xf numFmtId="0" fontId="19" fillId="0" borderId="48" xfId="0" applyFont="1" applyBorder="1" applyAlignment="1" applyProtection="1">
      <alignment vertical="top"/>
      <protection locked="0"/>
    </xf>
    <xf numFmtId="0" fontId="19" fillId="0" borderId="49" xfId="0" applyFont="1" applyBorder="1" applyAlignment="1">
      <alignment vertical="top"/>
    </xf>
    <xf numFmtId="0" fontId="19" fillId="0" borderId="50" xfId="0" applyFont="1" applyBorder="1" applyAlignment="1">
      <alignment vertical="top"/>
    </xf>
    <xf numFmtId="0" fontId="19" fillId="0" borderId="107" xfId="0" applyFont="1" applyBorder="1" applyAlignment="1"/>
    <xf numFmtId="0" fontId="10" fillId="0" borderId="51" xfId="0" applyFont="1" applyBorder="1" applyAlignment="1" applyProtection="1">
      <alignment vertical="top"/>
      <protection locked="0"/>
    </xf>
    <xf numFmtId="0" fontId="10" fillId="0" borderId="0" xfId="0" applyFont="1" applyAlignment="1">
      <alignment vertical="top"/>
    </xf>
    <xf numFmtId="0" fontId="10" fillId="0" borderId="52" xfId="0" applyFont="1" applyBorder="1" applyAlignment="1">
      <alignment vertical="top"/>
    </xf>
    <xf numFmtId="0" fontId="58" fillId="0" borderId="51" xfId="0" applyFont="1" applyBorder="1" applyAlignment="1" applyProtection="1">
      <alignment vertical="top"/>
      <protection locked="0"/>
    </xf>
    <xf numFmtId="0" fontId="58" fillId="0" borderId="0" xfId="0" applyFont="1" applyAlignment="1">
      <alignment vertical="top"/>
    </xf>
    <xf numFmtId="0" fontId="58" fillId="0" borderId="52" xfId="0" applyFont="1" applyBorder="1" applyAlignment="1">
      <alignment vertical="top"/>
    </xf>
    <xf numFmtId="0" fontId="58" fillId="0" borderId="49" xfId="0" applyFont="1" applyBorder="1" applyAlignment="1">
      <alignment vertical="top"/>
    </xf>
    <xf numFmtId="0" fontId="58" fillId="0" borderId="50" xfId="0" applyFont="1" applyBorder="1" applyAlignment="1">
      <alignment vertical="top"/>
    </xf>
    <xf numFmtId="0" fontId="58" fillId="0" borderId="53" xfId="0" applyFont="1" applyBorder="1" applyAlignment="1" applyProtection="1">
      <alignment vertical="top"/>
      <protection locked="0"/>
    </xf>
    <xf numFmtId="0" fontId="58" fillId="0" borderId="54" xfId="0" applyFont="1" applyBorder="1" applyAlignment="1">
      <alignment vertical="top"/>
    </xf>
    <xf numFmtId="0" fontId="58" fillId="0" borderId="55" xfId="0" applyFont="1" applyBorder="1" applyAlignment="1">
      <alignment vertical="top"/>
    </xf>
    <xf numFmtId="0" fontId="58" fillId="0" borderId="48" xfId="0" applyFont="1" applyBorder="1" applyAlignment="1" applyProtection="1">
      <alignment vertical="top"/>
      <protection locked="0"/>
    </xf>
    <xf numFmtId="0" fontId="58" fillId="0" borderId="49" xfId="0" applyFont="1" applyBorder="1" applyAlignment="1" applyProtection="1">
      <alignment vertical="top"/>
      <protection locked="0"/>
    </xf>
    <xf numFmtId="0" fontId="58" fillId="0" borderId="50" xfId="0" applyFont="1" applyBorder="1" applyAlignment="1" applyProtection="1">
      <alignment vertical="top"/>
      <protection locked="0"/>
    </xf>
    <xf numFmtId="0" fontId="58" fillId="0" borderId="0" xfId="0" applyFont="1" applyBorder="1" applyAlignment="1" applyProtection="1">
      <alignment vertical="top"/>
      <protection locked="0"/>
    </xf>
    <xf numFmtId="0" fontId="58" fillId="0" borderId="52" xfId="0" applyFont="1" applyBorder="1" applyAlignment="1" applyProtection="1">
      <alignment vertical="top"/>
      <protection locked="0"/>
    </xf>
    <xf numFmtId="0" fontId="58" fillId="0" borderId="54" xfId="0" applyFont="1" applyBorder="1" applyAlignment="1" applyProtection="1">
      <alignment vertical="top"/>
      <protection locked="0"/>
    </xf>
    <xf numFmtId="0" fontId="58" fillId="0" borderId="55" xfId="0" applyFont="1" applyBorder="1" applyAlignment="1" applyProtection="1">
      <alignment vertical="top"/>
      <protection locked="0"/>
    </xf>
    <xf numFmtId="0" fontId="58" fillId="0" borderId="107" xfId="0" applyFont="1" applyBorder="1" applyAlignment="1"/>
    <xf numFmtId="0" fontId="45" fillId="0" borderId="25" xfId="1" applyFont="1" applyBorder="1" applyAlignment="1">
      <alignment horizontal="center"/>
    </xf>
    <xf numFmtId="0" fontId="46" fillId="0" borderId="43" xfId="1" applyFont="1" applyBorder="1" applyAlignment="1">
      <alignment horizontal="center"/>
    </xf>
    <xf numFmtId="0" fontId="47" fillId="0" borderId="1" xfId="1" applyFont="1" applyBorder="1" applyAlignment="1">
      <alignment horizontal="center"/>
    </xf>
    <xf numFmtId="0" fontId="48" fillId="0" borderId="59" xfId="1" applyFont="1" applyBorder="1" applyAlignment="1"/>
    <xf numFmtId="171" fontId="45" fillId="0" borderId="11" xfId="1" applyNumberFormat="1" applyFont="1" applyBorder="1" applyAlignment="1" applyProtection="1">
      <alignment horizontal="center"/>
      <protection hidden="1"/>
    </xf>
    <xf numFmtId="171" fontId="46" fillId="0" borderId="6" xfId="1" applyNumberFormat="1" applyFont="1" applyBorder="1" applyAlignment="1" applyProtection="1">
      <alignment horizontal="center"/>
      <protection hidden="1"/>
    </xf>
    <xf numFmtId="2" fontId="47" fillId="0" borderId="11" xfId="1" applyNumberFormat="1" applyFont="1" applyBorder="1" applyAlignment="1" applyProtection="1">
      <alignment horizontal="center"/>
      <protection hidden="1"/>
    </xf>
    <xf numFmtId="2" fontId="48" fillId="0" borderId="41" xfId="1" applyNumberFormat="1" applyFont="1" applyBorder="1" applyAlignment="1" applyProtection="1">
      <protection hidden="1"/>
    </xf>
    <xf numFmtId="0" fontId="12" fillId="0" borderId="1" xfId="1" applyFont="1" applyBorder="1" applyAlignment="1">
      <alignment horizontal="left"/>
    </xf>
    <xf numFmtId="0" fontId="50" fillId="0" borderId="59" xfId="1" applyFont="1" applyBorder="1" applyAlignment="1"/>
    <xf numFmtId="0" fontId="39" fillId="0" borderId="25" xfId="1" applyFont="1" applyBorder="1" applyAlignment="1">
      <alignment horizontal="left"/>
    </xf>
    <xf numFmtId="0" fontId="0" fillId="0" borderId="60" xfId="0" applyBorder="1" applyAlignment="1"/>
    <xf numFmtId="0" fontId="5" fillId="0" borderId="8" xfId="1" applyFont="1" applyBorder="1" applyAlignment="1">
      <alignment horizontal="left"/>
    </xf>
    <xf numFmtId="0" fontId="0" fillId="0" borderId="61" xfId="0" applyBorder="1" applyAlignment="1"/>
    <xf numFmtId="0" fontId="5" fillId="0" borderId="19" xfId="1" applyFont="1" applyBorder="1" applyAlignment="1">
      <alignment horizontal="left"/>
    </xf>
    <xf numFmtId="0" fontId="0" fillId="0" borderId="39" xfId="0" applyBorder="1" applyAlignment="1"/>
    <xf numFmtId="0" fontId="1" fillId="0" borderId="3" xfId="1" applyFont="1" applyBorder="1" applyAlignment="1">
      <alignment horizontal="left"/>
    </xf>
    <xf numFmtId="0" fontId="0" fillId="0" borderId="62" xfId="0" applyBorder="1" applyAlignment="1"/>
    <xf numFmtId="0" fontId="44" fillId="0" borderId="8" xfId="1" applyFont="1" applyBorder="1" applyAlignment="1">
      <alignment horizontal="left"/>
    </xf>
    <xf numFmtId="0" fontId="15" fillId="0" borderId="25" xfId="1" applyFont="1" applyBorder="1" applyAlignment="1">
      <alignment horizontal="left"/>
    </xf>
    <xf numFmtId="0" fontId="3" fillId="0" borderId="8" xfId="1" applyBorder="1" applyAlignment="1"/>
    <xf numFmtId="0" fontId="3" fillId="0" borderId="3" xfId="1" applyBorder="1" applyAlignment="1"/>
    <xf numFmtId="0" fontId="3" fillId="0" borderId="19" xfId="1" applyBorder="1" applyAlignment="1"/>
    <xf numFmtId="0" fontId="17" fillId="0" borderId="25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4" fillId="0" borderId="0" xfId="1" applyFont="1" applyAlignment="1">
      <alignment horizontal="center"/>
    </xf>
    <xf numFmtId="0" fontId="4" fillId="0" borderId="0" xfId="0" applyFont="1" applyAlignment="1">
      <alignment horizontal="center"/>
    </xf>
    <xf numFmtId="171" fontId="45" fillId="6" borderId="24" xfId="1" applyNumberFormat="1" applyFont="1" applyFill="1" applyBorder="1" applyAlignment="1" applyProtection="1">
      <alignment horizontal="center"/>
      <protection hidden="1"/>
    </xf>
    <xf numFmtId="171" fontId="49" fillId="0" borderId="24" xfId="1" applyNumberFormat="1" applyFont="1" applyBorder="1" applyAlignment="1" applyProtection="1">
      <alignment horizontal="center"/>
      <protection hidden="1"/>
    </xf>
    <xf numFmtId="2" fontId="47" fillId="6" borderId="24" xfId="1" applyNumberFormat="1" applyFont="1" applyFill="1" applyBorder="1" applyAlignment="1" applyProtection="1">
      <alignment horizontal="center"/>
      <protection hidden="1"/>
    </xf>
    <xf numFmtId="2" fontId="5" fillId="6" borderId="24" xfId="1" applyNumberFormat="1" applyFont="1" applyFill="1" applyBorder="1" applyAlignment="1" applyProtection="1">
      <protection hidden="1"/>
    </xf>
    <xf numFmtId="1" fontId="69" fillId="0" borderId="0" xfId="0" applyNumberFormat="1" applyFont="1" applyAlignment="1">
      <alignment horizontal="center" vertical="center"/>
    </xf>
    <xf numFmtId="0" fontId="69" fillId="0" borderId="0" xfId="0" applyFont="1" applyAlignment="1">
      <alignment horizontal="center" vertical="center"/>
    </xf>
    <xf numFmtId="0" fontId="70" fillId="0" borderId="0" xfId="0" applyFont="1" applyAlignment="1"/>
  </cellXfs>
  <cellStyles count="2">
    <cellStyle name="Normal" xfId="0" builtinId="0"/>
    <cellStyle name="Normal 2" xfId="1"/>
  </cellStyles>
  <dxfs count="74"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ont>
        <strike val="0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4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strike val="0"/>
        <color rgb="FFFF000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ont>
        <b/>
        <i val="0"/>
        <color rgb="FFFF000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&#233;compte%20heures\Calcul%20heure%20de%20travail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"/>
      <sheetName val="Novembre"/>
      <sheetName val="Décembre"/>
      <sheetName val="Recap"/>
    </sheetNames>
    <sheetDataSet>
      <sheetData sheetId="0"/>
      <sheetData sheetId="1"/>
      <sheetData sheetId="2">
        <row r="24">
          <cell r="K24" t="str">
            <v/>
          </cell>
          <cell r="L24" t="str">
            <v/>
          </cell>
          <cell r="M24" t="str">
            <v/>
          </cell>
          <cell r="N24" t="str">
            <v/>
          </cell>
          <cell r="O24" t="str">
            <v/>
          </cell>
          <cell r="P24" t="str">
            <v/>
          </cell>
          <cell r="Q24" t="str">
            <v/>
          </cell>
          <cell r="R24">
            <v>0</v>
          </cell>
        </row>
        <row r="25">
          <cell r="K25" t="str">
            <v/>
          </cell>
          <cell r="L25" t="str">
            <v/>
          </cell>
          <cell r="M25" t="str">
            <v/>
          </cell>
          <cell r="N25" t="str">
            <v/>
          </cell>
          <cell r="O25" t="str">
            <v/>
          </cell>
          <cell r="P25" t="str">
            <v/>
          </cell>
          <cell r="Q25" t="str">
            <v/>
          </cell>
          <cell r="R25">
            <v>0</v>
          </cell>
        </row>
        <row r="26">
          <cell r="K26" t="str">
            <v/>
          </cell>
          <cell r="L26" t="str">
            <v/>
          </cell>
          <cell r="M26" t="str">
            <v/>
          </cell>
          <cell r="N26" t="str">
            <v/>
          </cell>
          <cell r="O26" t="str">
            <v/>
          </cell>
          <cell r="P26" t="str">
            <v/>
          </cell>
          <cell r="Q26" t="str">
            <v/>
          </cell>
          <cell r="R26">
            <v>0</v>
          </cell>
        </row>
        <row r="27">
          <cell r="K27" t="str">
            <v/>
          </cell>
          <cell r="L27" t="str">
            <v/>
          </cell>
          <cell r="M27" t="str">
            <v/>
          </cell>
          <cell r="N27" t="str">
            <v/>
          </cell>
          <cell r="O27" t="str">
            <v/>
          </cell>
          <cell r="P27" t="str">
            <v/>
          </cell>
          <cell r="Q27" t="str">
            <v/>
          </cell>
          <cell r="R27">
            <v>0</v>
          </cell>
        </row>
        <row r="28">
          <cell r="K28" t="str">
            <v/>
          </cell>
          <cell r="L28" t="str">
            <v/>
          </cell>
          <cell r="M28" t="str">
            <v/>
          </cell>
          <cell r="N28" t="str">
            <v/>
          </cell>
          <cell r="O28" t="str">
            <v/>
          </cell>
          <cell r="P28" t="str">
            <v/>
          </cell>
          <cell r="Q28" t="str">
            <v/>
          </cell>
          <cell r="R28">
            <v>0</v>
          </cell>
        </row>
        <row r="29">
          <cell r="K29" t="str">
            <v/>
          </cell>
          <cell r="L29" t="str">
            <v/>
          </cell>
          <cell r="M29" t="str">
            <v/>
          </cell>
          <cell r="N29" t="str">
            <v/>
          </cell>
          <cell r="O29" t="str">
            <v/>
          </cell>
          <cell r="P29" t="str">
            <v/>
          </cell>
          <cell r="Q29" t="str">
            <v/>
          </cell>
          <cell r="R29">
            <v>0</v>
          </cell>
        </row>
        <row r="30">
          <cell r="K30" t="str">
            <v/>
          </cell>
          <cell r="L30" t="str">
            <v/>
          </cell>
          <cell r="M30" t="str">
            <v/>
          </cell>
          <cell r="N30" t="str">
            <v/>
          </cell>
          <cell r="O30" t="str">
            <v/>
          </cell>
          <cell r="P30" t="str">
            <v/>
          </cell>
          <cell r="Q30" t="str">
            <v/>
          </cell>
          <cell r="R30">
            <v>0</v>
          </cell>
        </row>
        <row r="31">
          <cell r="K31" t="str">
            <v/>
          </cell>
          <cell r="L31" t="str">
            <v/>
          </cell>
          <cell r="M31" t="str">
            <v/>
          </cell>
          <cell r="N31" t="str">
            <v/>
          </cell>
          <cell r="O31" t="str">
            <v/>
          </cell>
          <cell r="P31" t="str">
            <v/>
          </cell>
          <cell r="Q31" t="str">
            <v/>
          </cell>
          <cell r="R31">
            <v>0</v>
          </cell>
        </row>
        <row r="32">
          <cell r="K32" t="str">
            <v/>
          </cell>
          <cell r="L32" t="str">
            <v/>
          </cell>
          <cell r="M32" t="str">
            <v/>
          </cell>
          <cell r="N32" t="str">
            <v/>
          </cell>
          <cell r="O32" t="str">
            <v/>
          </cell>
          <cell r="P32" t="str">
            <v/>
          </cell>
          <cell r="Q32" t="str">
            <v/>
          </cell>
          <cell r="R32">
            <v>0</v>
          </cell>
        </row>
        <row r="33">
          <cell r="K33" t="str">
            <v/>
          </cell>
          <cell r="L33" t="str">
            <v/>
          </cell>
          <cell r="M33" t="str">
            <v/>
          </cell>
          <cell r="N33" t="str">
            <v/>
          </cell>
          <cell r="O33" t="str">
            <v/>
          </cell>
          <cell r="P33" t="str">
            <v/>
          </cell>
          <cell r="Q33" t="str">
            <v/>
          </cell>
          <cell r="R33">
            <v>0</v>
          </cell>
        </row>
        <row r="34">
          <cell r="K34" t="str">
            <v/>
          </cell>
          <cell r="L34">
            <v>1</v>
          </cell>
          <cell r="M34" t="str">
            <v/>
          </cell>
          <cell r="N34">
            <v>1</v>
          </cell>
          <cell r="O34" t="str">
            <v/>
          </cell>
          <cell r="P34" t="str">
            <v/>
          </cell>
          <cell r="Q34" t="str">
            <v/>
          </cell>
          <cell r="R34">
            <v>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612"/>
  <sheetViews>
    <sheetView topLeftCell="A13" workbookViewId="0">
      <selection activeCell="B36" sqref="B36"/>
    </sheetView>
  </sheetViews>
  <sheetFormatPr baseColWidth="10" defaultColWidth="11" defaultRowHeight="15.6" x14ac:dyDescent="0.3"/>
  <cols>
    <col min="1" max="16384" width="11" style="1"/>
  </cols>
  <sheetData>
    <row r="2" spans="2:6" ht="16.2" thickBot="1" x14ac:dyDescent="0.35"/>
    <row r="3" spans="2:6" ht="16.2" thickBot="1" x14ac:dyDescent="0.35">
      <c r="B3" s="2" t="s">
        <v>3</v>
      </c>
      <c r="C3" s="600" t="s">
        <v>20</v>
      </c>
      <c r="D3" s="601"/>
      <c r="E3" s="600" t="s">
        <v>21</v>
      </c>
      <c r="F3" s="601"/>
    </row>
    <row r="4" spans="2:6" x14ac:dyDescent="0.3">
      <c r="B4" s="4" t="s">
        <v>198</v>
      </c>
      <c r="C4" s="5">
        <v>0.35416666666666669</v>
      </c>
      <c r="D4" s="6">
        <v>0.5</v>
      </c>
      <c r="E4" s="7">
        <v>0.5625</v>
      </c>
      <c r="F4" s="8">
        <v>0.70833333333333337</v>
      </c>
    </row>
    <row r="5" spans="2:6" x14ac:dyDescent="0.3">
      <c r="B5" s="3" t="s">
        <v>50</v>
      </c>
      <c r="C5" s="9">
        <v>0.33333333333333331</v>
      </c>
      <c r="D5" s="10">
        <v>0.5</v>
      </c>
      <c r="E5" s="11">
        <v>0.58333333333333337</v>
      </c>
      <c r="F5" s="12">
        <v>0.73333333333333339</v>
      </c>
    </row>
    <row r="6" spans="2:6" x14ac:dyDescent="0.3">
      <c r="B6" s="3" t="s">
        <v>46</v>
      </c>
      <c r="C6" s="9">
        <v>0</v>
      </c>
      <c r="D6" s="10">
        <v>0</v>
      </c>
      <c r="E6" s="13">
        <v>0</v>
      </c>
      <c r="F6" s="10">
        <v>0</v>
      </c>
    </row>
    <row r="7" spans="2:6" x14ac:dyDescent="0.3">
      <c r="B7" s="3" t="s">
        <v>149</v>
      </c>
      <c r="C7" s="9">
        <v>0</v>
      </c>
      <c r="D7" s="10">
        <v>0</v>
      </c>
      <c r="E7" s="13">
        <v>0</v>
      </c>
      <c r="F7" s="10">
        <v>0</v>
      </c>
    </row>
    <row r="8" spans="2:6" x14ac:dyDescent="0.3">
      <c r="B8" s="3" t="s">
        <v>46</v>
      </c>
      <c r="C8" s="9">
        <v>0</v>
      </c>
      <c r="D8" s="10">
        <v>0</v>
      </c>
      <c r="E8" s="13">
        <v>0</v>
      </c>
      <c r="F8" s="10">
        <v>0</v>
      </c>
    </row>
    <row r="9" spans="2:6" x14ac:dyDescent="0.3">
      <c r="B9" s="3" t="s">
        <v>46</v>
      </c>
      <c r="C9" s="9">
        <v>0</v>
      </c>
      <c r="D9" s="10">
        <v>0</v>
      </c>
      <c r="E9" s="13">
        <v>0</v>
      </c>
      <c r="F9" s="10">
        <v>0</v>
      </c>
    </row>
    <row r="10" spans="2:6" x14ac:dyDescent="0.3">
      <c r="B10" s="3" t="s">
        <v>46</v>
      </c>
      <c r="C10" s="9">
        <v>0</v>
      </c>
      <c r="D10" s="10">
        <v>0</v>
      </c>
      <c r="E10" s="13">
        <v>0</v>
      </c>
      <c r="F10" s="10">
        <v>0</v>
      </c>
    </row>
    <row r="11" spans="2:6" x14ac:dyDescent="0.3">
      <c r="B11" s="3" t="s">
        <v>46</v>
      </c>
      <c r="C11" s="9">
        <v>0</v>
      </c>
      <c r="D11" s="10">
        <v>0</v>
      </c>
      <c r="E11" s="13">
        <v>0</v>
      </c>
      <c r="F11" s="10">
        <v>0</v>
      </c>
    </row>
    <row r="12" spans="2:6" x14ac:dyDescent="0.3">
      <c r="B12" s="3" t="s">
        <v>237</v>
      </c>
      <c r="C12" s="9">
        <v>0</v>
      </c>
      <c r="D12" s="10">
        <v>0</v>
      </c>
      <c r="E12" s="13">
        <v>0</v>
      </c>
      <c r="F12" s="10">
        <v>0</v>
      </c>
    </row>
    <row r="13" spans="2:6" x14ac:dyDescent="0.3">
      <c r="B13" s="3" t="s">
        <v>66</v>
      </c>
      <c r="C13" s="5">
        <v>0.33333333333333331</v>
      </c>
      <c r="D13" s="6">
        <v>0.5</v>
      </c>
      <c r="E13" s="14">
        <v>0.58333333333333337</v>
      </c>
      <c r="F13" s="6">
        <v>0.73333333333333339</v>
      </c>
    </row>
    <row r="14" spans="2:6" x14ac:dyDescent="0.3">
      <c r="B14" s="3" t="s">
        <v>47</v>
      </c>
      <c r="C14" s="9">
        <v>0</v>
      </c>
      <c r="D14" s="10">
        <v>0</v>
      </c>
      <c r="E14" s="13">
        <v>0</v>
      </c>
      <c r="F14" s="10">
        <v>0</v>
      </c>
    </row>
    <row r="15" spans="2:6" x14ac:dyDescent="0.3">
      <c r="B15" s="3" t="s">
        <v>150</v>
      </c>
      <c r="C15" s="9">
        <v>0</v>
      </c>
      <c r="D15" s="10">
        <v>0</v>
      </c>
      <c r="E15" s="13">
        <v>0</v>
      </c>
      <c r="F15" s="10">
        <v>0</v>
      </c>
    </row>
    <row r="16" spans="2:6" x14ac:dyDescent="0.3">
      <c r="B16" s="3" t="s">
        <v>47</v>
      </c>
      <c r="C16" s="9">
        <v>0</v>
      </c>
      <c r="D16" s="10">
        <v>0</v>
      </c>
      <c r="E16" s="13">
        <v>0</v>
      </c>
      <c r="F16" s="10">
        <v>0</v>
      </c>
    </row>
    <row r="17" spans="2:6" x14ac:dyDescent="0.3">
      <c r="B17" s="3" t="s">
        <v>47</v>
      </c>
      <c r="C17" s="9">
        <v>0</v>
      </c>
      <c r="D17" s="10">
        <v>0</v>
      </c>
      <c r="E17" s="13">
        <v>0</v>
      </c>
      <c r="F17" s="10">
        <v>0</v>
      </c>
    </row>
    <row r="18" spans="2:6" x14ac:dyDescent="0.3">
      <c r="B18" s="3" t="s">
        <v>47</v>
      </c>
      <c r="C18" s="9">
        <v>0</v>
      </c>
      <c r="D18" s="10">
        <v>0</v>
      </c>
      <c r="E18" s="13">
        <v>0</v>
      </c>
      <c r="F18" s="10">
        <v>0</v>
      </c>
    </row>
    <row r="19" spans="2:6" x14ac:dyDescent="0.3">
      <c r="B19" s="3" t="s">
        <v>47</v>
      </c>
      <c r="C19" s="9">
        <v>0</v>
      </c>
      <c r="D19" s="10">
        <v>0</v>
      </c>
      <c r="E19" s="13">
        <v>0</v>
      </c>
      <c r="F19" s="10">
        <v>0</v>
      </c>
    </row>
    <row r="20" spans="2:6" x14ac:dyDescent="0.3">
      <c r="B20" s="3" t="s">
        <v>67</v>
      </c>
      <c r="C20" s="5">
        <v>0.33333333333333331</v>
      </c>
      <c r="D20" s="6">
        <v>0.5</v>
      </c>
      <c r="E20" s="7">
        <v>0.58333333333333337</v>
      </c>
      <c r="F20" s="8">
        <v>0.73333333333333339</v>
      </c>
    </row>
    <row r="21" spans="2:6" x14ac:dyDescent="0.3">
      <c r="B21" s="3" t="s">
        <v>186</v>
      </c>
      <c r="C21" s="9">
        <v>0.33333333333333331</v>
      </c>
      <c r="D21" s="10">
        <v>0.5</v>
      </c>
      <c r="E21" s="13">
        <v>0.58333333333333337</v>
      </c>
      <c r="F21" s="10">
        <v>0.73333333333333339</v>
      </c>
    </row>
    <row r="22" spans="2:6" x14ac:dyDescent="0.3">
      <c r="B22" s="3" t="s">
        <v>51</v>
      </c>
      <c r="C22" s="9">
        <v>0</v>
      </c>
      <c r="D22" s="10">
        <v>0</v>
      </c>
      <c r="E22" s="13">
        <v>0</v>
      </c>
      <c r="F22" s="10">
        <v>0</v>
      </c>
    </row>
    <row r="23" spans="2:6" x14ac:dyDescent="0.3">
      <c r="B23" s="3" t="s">
        <v>11</v>
      </c>
      <c r="C23" s="15">
        <v>0</v>
      </c>
      <c r="D23" s="16">
        <v>0</v>
      </c>
      <c r="E23" s="13">
        <v>0</v>
      </c>
      <c r="F23" s="10">
        <v>0</v>
      </c>
    </row>
    <row r="24" spans="2:6" x14ac:dyDescent="0.3">
      <c r="B24" s="175" t="s">
        <v>158</v>
      </c>
      <c r="C24" s="176">
        <v>0</v>
      </c>
      <c r="D24" s="177">
        <v>0</v>
      </c>
      <c r="E24" s="178">
        <v>0</v>
      </c>
      <c r="F24" s="179">
        <v>0</v>
      </c>
    </row>
    <row r="25" spans="2:6" x14ac:dyDescent="0.3">
      <c r="B25" s="4" t="s">
        <v>159</v>
      </c>
      <c r="C25" s="5">
        <v>0</v>
      </c>
      <c r="D25" s="6">
        <v>0</v>
      </c>
      <c r="E25" s="14">
        <v>0</v>
      </c>
      <c r="F25" s="6">
        <v>0</v>
      </c>
    </row>
    <row r="26" spans="2:6" x14ac:dyDescent="0.3">
      <c r="B26" s="4" t="s">
        <v>160</v>
      </c>
      <c r="C26" s="5">
        <v>0</v>
      </c>
      <c r="D26" s="6">
        <v>0</v>
      </c>
      <c r="E26" s="7">
        <v>0</v>
      </c>
      <c r="F26" s="8">
        <v>0</v>
      </c>
    </row>
    <row r="27" spans="2:6" x14ac:dyDescent="0.3">
      <c r="B27" s="3" t="s">
        <v>53</v>
      </c>
      <c r="C27" s="9">
        <v>0.33333333333333331</v>
      </c>
      <c r="D27" s="10">
        <v>0.5</v>
      </c>
      <c r="E27" s="11">
        <v>0.58333333333333337</v>
      </c>
      <c r="F27" s="12">
        <v>0.73333333333333339</v>
      </c>
    </row>
    <row r="28" spans="2:6" x14ac:dyDescent="0.3">
      <c r="B28" s="3" t="s">
        <v>56</v>
      </c>
      <c r="C28" s="9">
        <v>0.33333333333333331</v>
      </c>
      <c r="D28" s="10">
        <v>0.5</v>
      </c>
      <c r="E28" s="13">
        <v>0.58333333333333337</v>
      </c>
      <c r="F28" s="10">
        <v>0.73333333333333339</v>
      </c>
    </row>
    <row r="29" spans="2:6" x14ac:dyDescent="0.3">
      <c r="B29" s="3" t="s">
        <v>49</v>
      </c>
      <c r="C29" s="9">
        <v>0.33333333333333331</v>
      </c>
      <c r="D29" s="10">
        <v>0.5</v>
      </c>
      <c r="E29" s="13">
        <v>0.58333333333333337</v>
      </c>
      <c r="F29" s="10">
        <v>0.73333333333333339</v>
      </c>
    </row>
    <row r="30" spans="2:6" x14ac:dyDescent="0.3">
      <c r="B30" s="3" t="s">
        <v>58</v>
      </c>
      <c r="C30" s="9">
        <v>0</v>
      </c>
      <c r="D30" s="10">
        <v>0</v>
      </c>
      <c r="E30" s="13">
        <v>0</v>
      </c>
      <c r="F30" s="10">
        <v>0</v>
      </c>
    </row>
    <row r="31" spans="2:6" x14ac:dyDescent="0.3">
      <c r="B31" s="3" t="s">
        <v>59</v>
      </c>
      <c r="C31" s="9">
        <v>0.33333333333333331</v>
      </c>
      <c r="D31" s="10">
        <v>0.5</v>
      </c>
      <c r="E31" s="13">
        <v>0.58333333333333337</v>
      </c>
      <c r="F31" s="10">
        <v>0.70150462962962967</v>
      </c>
    </row>
    <row r="32" spans="2:6" x14ac:dyDescent="0.3">
      <c r="B32" s="3" t="s">
        <v>48</v>
      </c>
      <c r="C32" s="9">
        <v>0.33333333333333331</v>
      </c>
      <c r="D32" s="10">
        <v>0.5</v>
      </c>
      <c r="E32" s="13">
        <v>0.58333333333333337</v>
      </c>
      <c r="F32" s="10">
        <v>0.73333333333333339</v>
      </c>
    </row>
    <row r="33" spans="2:6" x14ac:dyDescent="0.3">
      <c r="B33" s="3" t="s">
        <v>52</v>
      </c>
      <c r="C33" s="9">
        <v>0.33333333333333331</v>
      </c>
      <c r="D33" s="10">
        <v>0.5</v>
      </c>
      <c r="E33" s="13">
        <v>0.58333333333333337</v>
      </c>
      <c r="F33" s="10">
        <v>0.73333333333333339</v>
      </c>
    </row>
    <row r="34" spans="2:6" x14ac:dyDescent="0.3">
      <c r="B34" s="3" t="s">
        <v>238</v>
      </c>
      <c r="C34" s="9">
        <v>0</v>
      </c>
      <c r="D34" s="10">
        <v>0</v>
      </c>
      <c r="E34" s="13">
        <v>0</v>
      </c>
      <c r="F34" s="10">
        <v>0</v>
      </c>
    </row>
    <row r="35" spans="2:6" x14ac:dyDescent="0.3">
      <c r="B35" s="3" t="s">
        <v>239</v>
      </c>
      <c r="C35" s="9">
        <v>0</v>
      </c>
      <c r="D35" s="10">
        <v>0</v>
      </c>
      <c r="E35" s="13">
        <v>0</v>
      </c>
      <c r="F35" s="10">
        <v>0</v>
      </c>
    </row>
    <row r="36" spans="2:6" x14ac:dyDescent="0.3">
      <c r="B36" s="3" t="s">
        <v>45</v>
      </c>
      <c r="C36" s="9">
        <v>0</v>
      </c>
      <c r="D36" s="10">
        <v>0</v>
      </c>
      <c r="E36" s="13">
        <v>0</v>
      </c>
      <c r="F36" s="10">
        <v>0</v>
      </c>
    </row>
    <row r="37" spans="2:6" x14ac:dyDescent="0.3">
      <c r="B37" s="3" t="s">
        <v>151</v>
      </c>
      <c r="C37" s="9">
        <v>0</v>
      </c>
      <c r="D37" s="10">
        <v>0</v>
      </c>
      <c r="E37" s="13">
        <v>0</v>
      </c>
      <c r="F37" s="10">
        <v>0</v>
      </c>
    </row>
    <row r="38" spans="2:6" x14ac:dyDescent="0.3">
      <c r="B38" s="3" t="s">
        <v>45</v>
      </c>
      <c r="C38" s="9">
        <v>0</v>
      </c>
      <c r="D38" s="10">
        <v>0</v>
      </c>
      <c r="E38" s="13">
        <v>0</v>
      </c>
      <c r="F38" s="10">
        <v>0</v>
      </c>
    </row>
    <row r="39" spans="2:6" x14ac:dyDescent="0.3">
      <c r="B39" s="3" t="s">
        <v>45</v>
      </c>
      <c r="C39" s="9">
        <v>0</v>
      </c>
      <c r="D39" s="10">
        <v>0</v>
      </c>
      <c r="E39" s="13">
        <v>0</v>
      </c>
      <c r="F39" s="10">
        <v>0</v>
      </c>
    </row>
    <row r="40" spans="2:6" x14ac:dyDescent="0.3">
      <c r="B40" s="3" t="s">
        <v>45</v>
      </c>
      <c r="C40" s="9">
        <v>0</v>
      </c>
      <c r="D40" s="10">
        <v>0</v>
      </c>
      <c r="E40" s="13">
        <v>0</v>
      </c>
      <c r="F40" s="10">
        <v>0</v>
      </c>
    </row>
    <row r="41" spans="2:6" x14ac:dyDescent="0.3">
      <c r="B41" s="3" t="s">
        <v>45</v>
      </c>
      <c r="C41" s="9">
        <v>0</v>
      </c>
      <c r="D41" s="10">
        <v>0</v>
      </c>
      <c r="E41" s="13">
        <v>0</v>
      </c>
      <c r="F41" s="10">
        <v>0</v>
      </c>
    </row>
    <row r="42" spans="2:6" x14ac:dyDescent="0.3">
      <c r="B42" s="3" t="s">
        <v>65</v>
      </c>
      <c r="C42" s="5">
        <v>0.33333333333333331</v>
      </c>
      <c r="D42" s="6">
        <v>0.5</v>
      </c>
      <c r="E42" s="14">
        <v>0.58333333333333337</v>
      </c>
      <c r="F42" s="6">
        <v>0.73333333333333339</v>
      </c>
    </row>
    <row r="43" spans="2:6" x14ac:dyDescent="0.3">
      <c r="B43" s="4" t="s">
        <v>69</v>
      </c>
      <c r="C43" s="5">
        <v>0.33333333333333331</v>
      </c>
      <c r="D43" s="6">
        <v>0.5</v>
      </c>
      <c r="E43" s="7">
        <v>0.58333333333333337</v>
      </c>
      <c r="F43" s="8">
        <v>0.73333333333333339</v>
      </c>
    </row>
    <row r="44" spans="2:6" x14ac:dyDescent="0.3">
      <c r="B44" s="4" t="s">
        <v>68</v>
      </c>
      <c r="C44" s="5">
        <v>0.33333333333333331</v>
      </c>
      <c r="D44" s="6">
        <v>0.5</v>
      </c>
      <c r="E44" s="14">
        <v>0.58333333333333337</v>
      </c>
      <c r="F44" s="6">
        <v>0.73333333333333339</v>
      </c>
    </row>
    <row r="45" spans="2:6" ht="16.2" thickBot="1" x14ac:dyDescent="0.35">
      <c r="B45" s="208" t="s">
        <v>70</v>
      </c>
      <c r="C45" s="209">
        <v>0.33333333333333331</v>
      </c>
      <c r="D45" s="210">
        <v>0.5</v>
      </c>
      <c r="E45" s="211">
        <v>0.58333333333333337</v>
      </c>
      <c r="F45" s="210">
        <v>0.73333333333333339</v>
      </c>
    </row>
    <row r="46" spans="2:6" ht="16.2" thickTop="1" x14ac:dyDescent="0.3">
      <c r="B46" s="586" t="s">
        <v>72</v>
      </c>
      <c r="C46" s="277">
        <v>0.39444444444444443</v>
      </c>
      <c r="D46" s="278">
        <v>0.5444444444444444</v>
      </c>
      <c r="E46" s="279">
        <v>0.6381944444444444</v>
      </c>
      <c r="F46" s="278">
        <v>0.83611111111111114</v>
      </c>
    </row>
    <row r="47" spans="2:6" x14ac:dyDescent="0.3">
      <c r="B47" s="180" t="s">
        <v>101</v>
      </c>
      <c r="C47" s="262">
        <v>0.27847222222222223</v>
      </c>
      <c r="D47" s="263">
        <v>0.4548611111111111</v>
      </c>
      <c r="E47" s="264">
        <v>0.5541666666666667</v>
      </c>
      <c r="F47" s="263">
        <v>0.71458333333333324</v>
      </c>
    </row>
    <row r="48" spans="2:6" x14ac:dyDescent="0.3">
      <c r="B48" s="180" t="s">
        <v>132</v>
      </c>
      <c r="C48" s="262">
        <v>0.31458333333333333</v>
      </c>
      <c r="D48" s="263">
        <v>0.4770833333333333</v>
      </c>
      <c r="E48" s="264">
        <v>0.53402777777777777</v>
      </c>
      <c r="F48" s="263">
        <v>0.68680555555555556</v>
      </c>
    </row>
    <row r="49" spans="2:6" x14ac:dyDescent="0.3">
      <c r="B49" s="180" t="s">
        <v>203</v>
      </c>
      <c r="C49" s="262">
        <v>0.29166666666666669</v>
      </c>
      <c r="D49" s="263">
        <v>0.45347222222222222</v>
      </c>
      <c r="E49" s="264">
        <v>0.51944444444444449</v>
      </c>
      <c r="F49" s="263">
        <v>0.68472222222222223</v>
      </c>
    </row>
    <row r="50" spans="2:6" x14ac:dyDescent="0.3">
      <c r="B50" s="180" t="s">
        <v>97</v>
      </c>
      <c r="C50" s="262">
        <v>0.20277777777777781</v>
      </c>
      <c r="D50" s="263">
        <v>0.52500000000000002</v>
      </c>
      <c r="E50" s="264"/>
      <c r="F50" s="263"/>
    </row>
    <row r="51" spans="2:6" x14ac:dyDescent="0.3">
      <c r="B51" s="180" t="s">
        <v>119</v>
      </c>
      <c r="C51" s="262">
        <v>0.28125</v>
      </c>
      <c r="D51" s="263">
        <v>0.5805555555555556</v>
      </c>
      <c r="E51" s="264"/>
      <c r="F51" s="263"/>
    </row>
    <row r="52" spans="2:6" x14ac:dyDescent="0.3">
      <c r="B52" s="180" t="s">
        <v>170</v>
      </c>
      <c r="C52" s="262">
        <v>0.25972222222222224</v>
      </c>
      <c r="D52" s="263">
        <v>0.5854166666666667</v>
      </c>
      <c r="E52" s="264"/>
      <c r="F52" s="263"/>
    </row>
    <row r="53" spans="2:6" x14ac:dyDescent="0.3">
      <c r="B53" s="180" t="s">
        <v>120</v>
      </c>
      <c r="C53" s="262">
        <v>0.27291666666666664</v>
      </c>
      <c r="D53" s="263">
        <v>0.57430555555555551</v>
      </c>
      <c r="E53" s="264"/>
      <c r="F53" s="263"/>
    </row>
    <row r="54" spans="2:6" x14ac:dyDescent="0.3">
      <c r="B54" s="180" t="s">
        <v>113</v>
      </c>
      <c r="C54" s="262"/>
      <c r="D54" s="263"/>
      <c r="E54" s="264">
        <v>0.52638888888888891</v>
      </c>
      <c r="F54" s="263">
        <v>0.84166666666666667</v>
      </c>
    </row>
    <row r="55" spans="2:6" x14ac:dyDescent="0.3">
      <c r="B55" s="180" t="s">
        <v>127</v>
      </c>
      <c r="C55" s="262"/>
      <c r="D55" s="263"/>
      <c r="E55" s="264">
        <v>0.5444444444444444</v>
      </c>
      <c r="F55" s="263">
        <v>0.87222222222222223</v>
      </c>
    </row>
    <row r="56" spans="2:6" x14ac:dyDescent="0.3">
      <c r="B56" s="180" t="s">
        <v>107</v>
      </c>
      <c r="C56" s="262"/>
      <c r="D56" s="263"/>
      <c r="E56" s="264">
        <v>0.5756944444444444</v>
      </c>
      <c r="F56" s="263">
        <v>0.89513888888888893</v>
      </c>
    </row>
    <row r="57" spans="2:6" x14ac:dyDescent="0.3">
      <c r="B57" s="180" t="s">
        <v>133</v>
      </c>
      <c r="C57" s="262">
        <v>0.47083333333333338</v>
      </c>
      <c r="D57" s="263">
        <v>0.57222222222222219</v>
      </c>
      <c r="E57" s="264">
        <v>0.68888888888888899</v>
      </c>
      <c r="F57" s="263">
        <v>0.92708333333333337</v>
      </c>
    </row>
    <row r="58" spans="2:6" x14ac:dyDescent="0.3">
      <c r="B58" s="180" t="s">
        <v>208</v>
      </c>
      <c r="C58" s="262">
        <v>0.39444444444444443</v>
      </c>
      <c r="D58" s="263">
        <v>0.58124999999999993</v>
      </c>
      <c r="E58" s="264">
        <v>0.69305555555555554</v>
      </c>
      <c r="F58" s="263">
        <v>0.8520833333333333</v>
      </c>
    </row>
    <row r="59" spans="2:6" x14ac:dyDescent="0.3">
      <c r="B59" s="180" t="s">
        <v>134</v>
      </c>
      <c r="C59" s="262">
        <v>0.2590277777777778</v>
      </c>
      <c r="D59" s="263">
        <v>0.43263888888888885</v>
      </c>
      <c r="E59" s="264">
        <v>0.51180555555555551</v>
      </c>
      <c r="F59" s="263">
        <v>0.68263888888888891</v>
      </c>
    </row>
    <row r="60" spans="2:6" x14ac:dyDescent="0.3">
      <c r="B60" s="180" t="s">
        <v>167</v>
      </c>
      <c r="C60" s="262">
        <v>0.28263888888888888</v>
      </c>
      <c r="D60" s="263">
        <v>0.57222222222222219</v>
      </c>
      <c r="E60" s="264"/>
      <c r="F60" s="263"/>
    </row>
    <row r="61" spans="2:6" x14ac:dyDescent="0.3">
      <c r="B61" s="180" t="s">
        <v>135</v>
      </c>
      <c r="C61" s="262"/>
      <c r="D61" s="263"/>
      <c r="E61" s="264">
        <v>0.5</v>
      </c>
      <c r="F61" s="263">
        <v>0.7715277777777777</v>
      </c>
    </row>
    <row r="62" spans="2:6" x14ac:dyDescent="0.3">
      <c r="B62" s="180" t="s">
        <v>209</v>
      </c>
      <c r="C62" s="262"/>
      <c r="D62" s="263"/>
      <c r="E62" s="264">
        <v>0.51666666666666672</v>
      </c>
      <c r="F62" s="263">
        <v>0.78055555555555556</v>
      </c>
    </row>
    <row r="63" spans="2:6" x14ac:dyDescent="0.3">
      <c r="B63" s="180" t="s">
        <v>74</v>
      </c>
      <c r="C63" s="262"/>
      <c r="D63" s="263"/>
      <c r="E63" s="264">
        <v>0.50624999999999998</v>
      </c>
      <c r="F63" s="263">
        <v>0.82638888888888884</v>
      </c>
    </row>
    <row r="64" spans="2:6" x14ac:dyDescent="0.3">
      <c r="B64" s="180" t="s">
        <v>168</v>
      </c>
      <c r="C64" s="587"/>
      <c r="D64" s="588"/>
      <c r="E64" s="589">
        <v>0.54999999999999993</v>
      </c>
      <c r="F64" s="588">
        <v>0.8534722222222223</v>
      </c>
    </row>
    <row r="65" spans="2:6" x14ac:dyDescent="0.3">
      <c r="B65" s="180" t="s">
        <v>94</v>
      </c>
      <c r="C65" s="262"/>
      <c r="D65" s="263"/>
      <c r="E65" s="264">
        <v>0.62777777777777777</v>
      </c>
      <c r="F65" s="263">
        <v>0.94374999999999998</v>
      </c>
    </row>
    <row r="66" spans="2:6" x14ac:dyDescent="0.3">
      <c r="B66" s="180" t="s">
        <v>126</v>
      </c>
      <c r="C66" s="262"/>
      <c r="D66" s="263"/>
      <c r="E66" s="264">
        <v>0.71597222222222223</v>
      </c>
      <c r="F66" s="263">
        <v>1.0374999999999999</v>
      </c>
    </row>
    <row r="67" spans="2:6" x14ac:dyDescent="0.3">
      <c r="B67" s="180" t="s">
        <v>136</v>
      </c>
      <c r="C67" s="262"/>
      <c r="D67" s="263"/>
      <c r="E67" s="264">
        <v>0.50624999999999998</v>
      </c>
      <c r="F67" s="263">
        <v>0.83333333333333337</v>
      </c>
    </row>
    <row r="68" spans="2:6" x14ac:dyDescent="0.3">
      <c r="B68" s="180" t="s">
        <v>75</v>
      </c>
      <c r="C68" s="262">
        <v>0.17291666666666669</v>
      </c>
      <c r="D68" s="263">
        <v>0.49861111111111112</v>
      </c>
      <c r="E68" s="13"/>
      <c r="F68" s="10"/>
    </row>
    <row r="69" spans="2:6" x14ac:dyDescent="0.3">
      <c r="B69" s="180" t="s">
        <v>98</v>
      </c>
      <c r="C69" s="262">
        <v>0.18333333333333335</v>
      </c>
      <c r="D69" s="263">
        <v>0.5131944444444444</v>
      </c>
      <c r="E69" s="264"/>
      <c r="F69" s="263"/>
    </row>
    <row r="70" spans="2:6" x14ac:dyDescent="0.3">
      <c r="B70" s="180" t="s">
        <v>117</v>
      </c>
      <c r="C70" s="262">
        <v>0.24166666666666667</v>
      </c>
      <c r="D70" s="263">
        <v>0.56319444444444444</v>
      </c>
      <c r="E70" s="264"/>
      <c r="F70" s="263"/>
    </row>
    <row r="71" spans="2:6" x14ac:dyDescent="0.3">
      <c r="B71" s="180" t="s">
        <v>130</v>
      </c>
      <c r="C71" s="262">
        <v>0.26250000000000001</v>
      </c>
      <c r="D71" s="263">
        <v>0.5854166666666667</v>
      </c>
      <c r="E71" s="289"/>
      <c r="F71" s="263"/>
    </row>
    <row r="72" spans="2:6" x14ac:dyDescent="0.3">
      <c r="B72" s="180" t="s">
        <v>112</v>
      </c>
      <c r="C72" s="262"/>
      <c r="D72" s="263"/>
      <c r="E72" s="264">
        <v>0.50416666666666665</v>
      </c>
      <c r="F72" s="263">
        <v>0.82500000000000007</v>
      </c>
    </row>
    <row r="73" spans="2:6" x14ac:dyDescent="0.3">
      <c r="B73" s="180" t="s">
        <v>95</v>
      </c>
      <c r="C73" s="262"/>
      <c r="D73" s="263"/>
      <c r="E73" s="264">
        <v>0.59305555555555556</v>
      </c>
      <c r="F73" s="263">
        <v>0.92569444444444438</v>
      </c>
    </row>
    <row r="74" spans="2:6" x14ac:dyDescent="0.3">
      <c r="B74" s="180" t="s">
        <v>88</v>
      </c>
      <c r="C74" s="262"/>
      <c r="D74" s="263"/>
      <c r="E74" s="264">
        <v>0.6958333333333333</v>
      </c>
      <c r="F74" s="263">
        <v>0.94652777777777775</v>
      </c>
    </row>
    <row r="75" spans="2:6" x14ac:dyDescent="0.3">
      <c r="B75" s="181" t="s">
        <v>86</v>
      </c>
      <c r="C75" s="262"/>
      <c r="D75" s="263"/>
      <c r="E75" s="264">
        <v>0.66736111111111107</v>
      </c>
      <c r="F75" s="263">
        <v>0.9458333333333333</v>
      </c>
    </row>
    <row r="76" spans="2:6" x14ac:dyDescent="0.3">
      <c r="B76" s="180" t="s">
        <v>76</v>
      </c>
      <c r="C76" s="262">
        <v>0.20555555555555557</v>
      </c>
      <c r="D76" s="263">
        <v>0.51874999999999993</v>
      </c>
      <c r="E76" s="264"/>
      <c r="F76" s="263"/>
    </row>
    <row r="77" spans="2:6" x14ac:dyDescent="0.3">
      <c r="B77" s="180" t="s">
        <v>77</v>
      </c>
      <c r="C77" s="262">
        <v>0.20555555555555557</v>
      </c>
      <c r="D77" s="263">
        <v>0.52430555555555558</v>
      </c>
      <c r="E77" s="264"/>
      <c r="F77" s="263"/>
    </row>
    <row r="78" spans="2:6" x14ac:dyDescent="0.3">
      <c r="B78" s="180" t="s">
        <v>111</v>
      </c>
      <c r="C78" s="9"/>
      <c r="D78" s="10"/>
      <c r="E78" s="13">
        <v>0.52152777777777781</v>
      </c>
      <c r="F78" s="10">
        <v>0.84791666666666676</v>
      </c>
    </row>
    <row r="79" spans="2:6" x14ac:dyDescent="0.3">
      <c r="B79" s="180" t="s">
        <v>79</v>
      </c>
      <c r="C79" s="262"/>
      <c r="D79" s="263"/>
      <c r="E79" s="264">
        <v>0.58888888888888891</v>
      </c>
      <c r="F79" s="263">
        <v>0.89444444444444438</v>
      </c>
    </row>
    <row r="80" spans="2:6" x14ac:dyDescent="0.3">
      <c r="B80" s="180" t="s">
        <v>81</v>
      </c>
      <c r="C80" s="262"/>
      <c r="D80" s="263"/>
      <c r="E80" s="264">
        <v>0.51458333333333328</v>
      </c>
      <c r="F80" s="263">
        <v>0.83750000000000002</v>
      </c>
    </row>
    <row r="81" spans="2:6" x14ac:dyDescent="0.3">
      <c r="B81" s="180" t="s">
        <v>105</v>
      </c>
      <c r="C81" s="262">
        <v>0.27430555555555552</v>
      </c>
      <c r="D81" s="263">
        <v>0.375</v>
      </c>
      <c r="E81" s="264">
        <v>0.53888888888888886</v>
      </c>
      <c r="F81" s="263">
        <v>0.77222222222222225</v>
      </c>
    </row>
    <row r="82" spans="2:6" x14ac:dyDescent="0.3">
      <c r="B82" s="180" t="s">
        <v>103</v>
      </c>
      <c r="C82" s="262"/>
      <c r="D82" s="263"/>
      <c r="E82" s="264">
        <v>0.51597222222222217</v>
      </c>
      <c r="F82" s="263">
        <v>0.83958333333333324</v>
      </c>
    </row>
    <row r="83" spans="2:6" x14ac:dyDescent="0.3">
      <c r="B83" s="180" t="s">
        <v>92</v>
      </c>
      <c r="C83" s="262">
        <v>0.21180555555555555</v>
      </c>
      <c r="D83" s="263">
        <v>0.53680555555555554</v>
      </c>
      <c r="E83" s="264"/>
      <c r="F83" s="263"/>
    </row>
    <row r="84" spans="2:6" x14ac:dyDescent="0.3">
      <c r="B84" s="180" t="s">
        <v>118</v>
      </c>
      <c r="C84" s="262">
        <v>0.19652777777777777</v>
      </c>
      <c r="D84" s="263">
        <v>0.52986111111111112</v>
      </c>
      <c r="E84" s="264"/>
      <c r="F84" s="263"/>
    </row>
    <row r="85" spans="2:6" x14ac:dyDescent="0.3">
      <c r="B85" s="261" t="s">
        <v>204</v>
      </c>
      <c r="C85" s="280"/>
      <c r="D85" s="281"/>
      <c r="E85" s="282">
        <v>0.54236111111111118</v>
      </c>
      <c r="F85" s="281">
        <v>0.875</v>
      </c>
    </row>
    <row r="86" spans="2:6" x14ac:dyDescent="0.3">
      <c r="B86" s="180" t="s">
        <v>90</v>
      </c>
      <c r="C86" s="262">
        <v>0.22430555555555556</v>
      </c>
      <c r="D86" s="263">
        <v>0.53472222222222221</v>
      </c>
      <c r="E86" s="264"/>
      <c r="F86" s="263"/>
    </row>
    <row r="87" spans="2:6" x14ac:dyDescent="0.3">
      <c r="B87" s="180" t="s">
        <v>91</v>
      </c>
      <c r="C87" s="262">
        <v>0.24374999999999999</v>
      </c>
      <c r="D87" s="263">
        <v>0.56666666666666665</v>
      </c>
      <c r="E87" s="264"/>
      <c r="F87" s="263"/>
    </row>
    <row r="88" spans="2:6" x14ac:dyDescent="0.3">
      <c r="B88" s="180" t="s">
        <v>96</v>
      </c>
      <c r="C88" s="262"/>
      <c r="D88" s="263"/>
      <c r="E88" s="262">
        <v>0.5444444444444444</v>
      </c>
      <c r="F88" s="263">
        <v>0.87361111111111101</v>
      </c>
    </row>
    <row r="89" spans="2:6" x14ac:dyDescent="0.3">
      <c r="B89" s="180" t="s">
        <v>185</v>
      </c>
      <c r="C89" s="262"/>
      <c r="D89" s="263"/>
      <c r="E89" s="264">
        <v>0.5444444444444444</v>
      </c>
      <c r="F89" s="263">
        <v>0.77777777777777779</v>
      </c>
    </row>
    <row r="90" spans="2:6" x14ac:dyDescent="0.3">
      <c r="B90" s="180" t="s">
        <v>73</v>
      </c>
      <c r="C90" s="262"/>
      <c r="D90" s="263"/>
      <c r="E90" s="264">
        <v>0.54791666666666672</v>
      </c>
      <c r="F90" s="263">
        <v>0.8256944444444444</v>
      </c>
    </row>
    <row r="91" spans="2:6" x14ac:dyDescent="0.3">
      <c r="B91" s="180" t="s">
        <v>137</v>
      </c>
      <c r="C91" s="262"/>
      <c r="D91" s="263"/>
      <c r="E91" s="264">
        <v>0.49652777777777773</v>
      </c>
      <c r="F91" s="263">
        <v>0.81041666666666667</v>
      </c>
    </row>
    <row r="92" spans="2:6" x14ac:dyDescent="0.3">
      <c r="B92" s="180" t="s">
        <v>78</v>
      </c>
      <c r="C92" s="262"/>
      <c r="D92" s="263"/>
      <c r="E92" s="264">
        <v>0.66041666666666665</v>
      </c>
      <c r="F92" s="263">
        <v>0.95833333333333337</v>
      </c>
    </row>
    <row r="93" spans="2:6" x14ac:dyDescent="0.3">
      <c r="B93" s="180" t="s">
        <v>128</v>
      </c>
      <c r="C93" s="262">
        <v>0.26041666666666669</v>
      </c>
      <c r="D93" s="263">
        <v>0.5854166666666667</v>
      </c>
      <c r="E93" s="13"/>
      <c r="F93" s="10"/>
    </row>
    <row r="94" spans="2:6" x14ac:dyDescent="0.3">
      <c r="B94" s="180" t="s">
        <v>131</v>
      </c>
      <c r="C94" s="262">
        <v>0.29375000000000001</v>
      </c>
      <c r="D94" s="263">
        <v>0.37708333333333338</v>
      </c>
      <c r="E94" s="264">
        <v>0.62291666666666667</v>
      </c>
      <c r="F94" s="263">
        <v>0.83333333333333337</v>
      </c>
    </row>
    <row r="95" spans="2:6" x14ac:dyDescent="0.3">
      <c r="B95" s="180" t="s">
        <v>121</v>
      </c>
      <c r="C95" s="262">
        <v>0.24652777777777779</v>
      </c>
      <c r="D95" s="263">
        <v>0.57430555555555551</v>
      </c>
      <c r="E95" s="264"/>
      <c r="F95" s="263"/>
    </row>
    <row r="96" spans="2:6" x14ac:dyDescent="0.3">
      <c r="B96" s="180" t="s">
        <v>82</v>
      </c>
      <c r="C96" s="262">
        <v>0.28333333333333333</v>
      </c>
      <c r="D96" s="263">
        <v>0.58472222222222225</v>
      </c>
      <c r="E96" s="264"/>
      <c r="F96" s="263"/>
    </row>
    <row r="97" spans="2:6" x14ac:dyDescent="0.3">
      <c r="B97" s="180" t="s">
        <v>138</v>
      </c>
      <c r="C97" s="262"/>
      <c r="D97" s="263"/>
      <c r="E97" s="264">
        <v>0.64097222222222217</v>
      </c>
      <c r="F97" s="263">
        <v>0.89513888888888893</v>
      </c>
    </row>
    <row r="98" spans="2:6" x14ac:dyDescent="0.3">
      <c r="B98" s="180" t="s">
        <v>106</v>
      </c>
      <c r="C98" s="262">
        <v>0.27083333333333331</v>
      </c>
      <c r="D98" s="263">
        <v>0.40416666666666662</v>
      </c>
      <c r="E98" s="264">
        <v>0.6</v>
      </c>
      <c r="F98" s="263">
        <v>0.7944444444444444</v>
      </c>
    </row>
    <row r="99" spans="2:6" x14ac:dyDescent="0.3">
      <c r="B99" s="180" t="s">
        <v>122</v>
      </c>
      <c r="C99" s="262">
        <v>0.26041666666666669</v>
      </c>
      <c r="D99" s="263">
        <v>0.39097222222222222</v>
      </c>
      <c r="E99" s="264">
        <v>0.56180555555555556</v>
      </c>
      <c r="F99" s="263">
        <v>0.76458333333333339</v>
      </c>
    </row>
    <row r="100" spans="2:6" x14ac:dyDescent="0.3">
      <c r="B100" s="180" t="s">
        <v>115</v>
      </c>
      <c r="C100" s="262">
        <v>0.27083333333333331</v>
      </c>
      <c r="D100" s="263">
        <v>0.40416666666666662</v>
      </c>
      <c r="E100" s="264">
        <v>0.59097222222222223</v>
      </c>
      <c r="F100" s="263">
        <v>0.80763888888888891</v>
      </c>
    </row>
    <row r="101" spans="2:6" x14ac:dyDescent="0.3">
      <c r="B101" s="180" t="s">
        <v>139</v>
      </c>
      <c r="C101" s="262">
        <v>0.2902777777777778</v>
      </c>
      <c r="D101" s="263">
        <v>0.42152777777777778</v>
      </c>
      <c r="E101" s="264">
        <v>0.61597222222222225</v>
      </c>
      <c r="F101" s="263">
        <v>0.82986111111111116</v>
      </c>
    </row>
    <row r="102" spans="2:6" x14ac:dyDescent="0.3">
      <c r="B102" s="180" t="s">
        <v>85</v>
      </c>
      <c r="C102" s="262">
        <v>0.23611111111111113</v>
      </c>
      <c r="D102" s="263">
        <v>0.37361111111111112</v>
      </c>
      <c r="E102" s="264">
        <v>0.49652777777777773</v>
      </c>
      <c r="F102" s="263">
        <v>0.68819444444444444</v>
      </c>
    </row>
    <row r="103" spans="2:6" x14ac:dyDescent="0.3">
      <c r="B103" s="180" t="s">
        <v>99</v>
      </c>
      <c r="C103" s="262">
        <v>0.25138888888888888</v>
      </c>
      <c r="D103" s="263">
        <v>0.57916666666666672</v>
      </c>
      <c r="E103" s="264"/>
      <c r="F103" s="263"/>
    </row>
    <row r="104" spans="2:6" x14ac:dyDescent="0.3">
      <c r="B104" s="180" t="s">
        <v>93</v>
      </c>
      <c r="C104" s="262">
        <v>0.25694444444444448</v>
      </c>
      <c r="D104" s="263">
        <v>0.55555555555555558</v>
      </c>
      <c r="E104" s="264"/>
      <c r="F104" s="263"/>
    </row>
    <row r="105" spans="2:6" x14ac:dyDescent="0.3">
      <c r="B105" s="180" t="s">
        <v>104</v>
      </c>
      <c r="C105" s="262">
        <v>0.25</v>
      </c>
      <c r="D105" s="263">
        <v>0.5756944444444444</v>
      </c>
      <c r="E105" s="264"/>
      <c r="F105" s="263"/>
    </row>
    <row r="106" spans="2:6" x14ac:dyDescent="0.3">
      <c r="B106" s="180" t="s">
        <v>200</v>
      </c>
      <c r="C106" s="262"/>
      <c r="D106" s="263"/>
      <c r="E106" s="264">
        <v>0.50555555555555554</v>
      </c>
      <c r="F106" s="263">
        <v>0.83333333333333337</v>
      </c>
    </row>
    <row r="107" spans="2:6" x14ac:dyDescent="0.3">
      <c r="B107" s="180" t="s">
        <v>178</v>
      </c>
      <c r="C107" s="262"/>
      <c r="D107" s="263"/>
      <c r="E107" s="264">
        <v>0.57013888888888886</v>
      </c>
      <c r="F107" s="263">
        <v>0.89722222222222225</v>
      </c>
    </row>
    <row r="108" spans="2:6" x14ac:dyDescent="0.3">
      <c r="B108" s="180" t="s">
        <v>87</v>
      </c>
      <c r="C108" s="262"/>
      <c r="D108" s="263"/>
      <c r="E108" s="264">
        <v>0.5756944444444444</v>
      </c>
      <c r="F108" s="263">
        <v>0.90277777777777779</v>
      </c>
    </row>
    <row r="109" spans="2:6" x14ac:dyDescent="0.3">
      <c r="B109" s="180" t="s">
        <v>110</v>
      </c>
      <c r="C109" s="262">
        <v>0.26597222222222222</v>
      </c>
      <c r="D109" s="263">
        <v>0.56458333333333333</v>
      </c>
      <c r="E109" s="264"/>
      <c r="F109" s="263"/>
    </row>
    <row r="110" spans="2:6" x14ac:dyDescent="0.3">
      <c r="B110" s="180" t="s">
        <v>109</v>
      </c>
      <c r="C110" s="262">
        <v>0.24583333333333335</v>
      </c>
      <c r="D110" s="263">
        <v>0.56666666666666665</v>
      </c>
      <c r="E110" s="264"/>
      <c r="F110" s="263"/>
    </row>
    <row r="111" spans="2:6" x14ac:dyDescent="0.3">
      <c r="B111" s="180" t="s">
        <v>124</v>
      </c>
      <c r="C111" s="262">
        <v>0.30694444444444441</v>
      </c>
      <c r="D111" s="263">
        <v>0.43263888888888885</v>
      </c>
      <c r="E111" s="264">
        <v>0.62083333333333335</v>
      </c>
      <c r="F111" s="263">
        <v>0.84444444444444444</v>
      </c>
    </row>
    <row r="112" spans="2:6" x14ac:dyDescent="0.3">
      <c r="B112" s="180" t="s">
        <v>108</v>
      </c>
      <c r="C112" s="262">
        <v>0.24652777777777779</v>
      </c>
      <c r="D112" s="263">
        <v>0.5444444444444444</v>
      </c>
      <c r="E112" s="264"/>
      <c r="F112" s="263"/>
    </row>
    <row r="113" spans="2:6" x14ac:dyDescent="0.3">
      <c r="B113" s="180" t="s">
        <v>123</v>
      </c>
      <c r="C113" s="262">
        <v>0.38611111111111113</v>
      </c>
      <c r="D113" s="263">
        <v>0.57222222222222219</v>
      </c>
      <c r="E113" s="264">
        <v>0.76458333333333339</v>
      </c>
      <c r="F113" s="263">
        <v>0.90902777777777777</v>
      </c>
    </row>
    <row r="114" spans="2:6" x14ac:dyDescent="0.3">
      <c r="B114" s="180" t="s">
        <v>140</v>
      </c>
      <c r="C114" s="262">
        <v>0.25</v>
      </c>
      <c r="D114" s="263">
        <v>0.42222222222222222</v>
      </c>
      <c r="E114" s="264">
        <v>0.4909722222222222</v>
      </c>
      <c r="F114" s="263">
        <v>0.64236111111111105</v>
      </c>
    </row>
    <row r="115" spans="2:6" x14ac:dyDescent="0.3">
      <c r="B115" s="180" t="s">
        <v>100</v>
      </c>
      <c r="C115" s="262">
        <v>0.24652777777777779</v>
      </c>
      <c r="D115" s="263">
        <v>0.53402777777777777</v>
      </c>
      <c r="E115" s="264"/>
      <c r="F115" s="263"/>
    </row>
    <row r="116" spans="2:6" x14ac:dyDescent="0.3">
      <c r="B116" s="180" t="s">
        <v>116</v>
      </c>
      <c r="C116" s="262">
        <v>0.21249999999999999</v>
      </c>
      <c r="D116" s="263">
        <v>0.51874999999999993</v>
      </c>
      <c r="E116" s="264"/>
      <c r="F116" s="263"/>
    </row>
    <row r="117" spans="2:6" x14ac:dyDescent="0.3">
      <c r="B117" s="180" t="s">
        <v>129</v>
      </c>
      <c r="C117" s="262">
        <v>0.24652777777777779</v>
      </c>
      <c r="D117" s="263">
        <v>0.57152777777777775</v>
      </c>
      <c r="E117" s="264"/>
      <c r="F117" s="263"/>
    </row>
    <row r="118" spans="2:6" x14ac:dyDescent="0.3">
      <c r="B118" s="180" t="s">
        <v>141</v>
      </c>
      <c r="C118" s="262"/>
      <c r="D118" s="263"/>
      <c r="E118" s="262">
        <v>0.48472222222222222</v>
      </c>
      <c r="F118" s="263">
        <v>0.79999999999999993</v>
      </c>
    </row>
    <row r="119" spans="2:6" x14ac:dyDescent="0.3">
      <c r="B119" s="180" t="s">
        <v>102</v>
      </c>
      <c r="C119" s="262"/>
      <c r="D119" s="263"/>
      <c r="E119" s="264">
        <v>0.54166666666666663</v>
      </c>
      <c r="F119" s="263">
        <v>0.80486111111111114</v>
      </c>
    </row>
    <row r="120" spans="2:6" x14ac:dyDescent="0.3">
      <c r="B120" s="180" t="s">
        <v>84</v>
      </c>
      <c r="C120" s="262">
        <v>0.24861111111111112</v>
      </c>
      <c r="D120" s="263">
        <v>0.56944444444444442</v>
      </c>
      <c r="E120" s="264"/>
      <c r="F120" s="263"/>
    </row>
    <row r="121" spans="2:6" x14ac:dyDescent="0.3">
      <c r="B121" s="180" t="s">
        <v>125</v>
      </c>
      <c r="C121" s="262"/>
      <c r="D121" s="263"/>
      <c r="E121" s="264">
        <v>0.55486111111111114</v>
      </c>
      <c r="F121" s="263">
        <v>0.88541666666666663</v>
      </c>
    </row>
    <row r="122" spans="2:6" x14ac:dyDescent="0.3">
      <c r="B122" s="180" t="s">
        <v>80</v>
      </c>
      <c r="C122" s="262"/>
      <c r="D122" s="263"/>
      <c r="E122" s="264">
        <v>0.51111111111111118</v>
      </c>
      <c r="F122" s="263">
        <v>0.84444444444444444</v>
      </c>
    </row>
    <row r="123" spans="2:6" x14ac:dyDescent="0.3">
      <c r="B123" s="180" t="s">
        <v>89</v>
      </c>
      <c r="C123" s="262"/>
      <c r="D123" s="263"/>
      <c r="E123" s="264">
        <v>0.52777777777777779</v>
      </c>
      <c r="F123" s="263">
        <v>0.85486111111111107</v>
      </c>
    </row>
    <row r="124" spans="2:6" x14ac:dyDescent="0.3">
      <c r="B124" s="180" t="s">
        <v>142</v>
      </c>
      <c r="C124" s="262">
        <v>0.27847222222222223</v>
      </c>
      <c r="D124" s="263">
        <v>0.38958333333333334</v>
      </c>
      <c r="E124" s="264">
        <v>0.6020833333333333</v>
      </c>
      <c r="F124" s="263">
        <v>0.80763888888888891</v>
      </c>
    </row>
    <row r="125" spans="2:6" x14ac:dyDescent="0.3">
      <c r="B125" s="180" t="s">
        <v>210</v>
      </c>
      <c r="C125" s="262"/>
      <c r="D125" s="263"/>
      <c r="E125" s="264">
        <v>0.55486111111111114</v>
      </c>
      <c r="F125" s="263">
        <v>0.87430555555555556</v>
      </c>
    </row>
    <row r="126" spans="2:6" x14ac:dyDescent="0.3">
      <c r="B126" s="180" t="s">
        <v>83</v>
      </c>
      <c r="C126" s="262">
        <v>0.18055555555555555</v>
      </c>
      <c r="D126" s="263">
        <v>0.49722222222222223</v>
      </c>
      <c r="E126" s="264"/>
      <c r="F126" s="263"/>
    </row>
    <row r="127" spans="2:6" x14ac:dyDescent="0.3">
      <c r="B127" s="180" t="s">
        <v>169</v>
      </c>
      <c r="C127" s="262">
        <v>0.18055555555555555</v>
      </c>
      <c r="D127" s="263">
        <v>0.52083333333333337</v>
      </c>
      <c r="E127" s="264"/>
      <c r="F127" s="263"/>
    </row>
    <row r="128" spans="2:6" ht="16.2" thickBot="1" x14ac:dyDescent="0.35">
      <c r="B128" s="261" t="s">
        <v>114</v>
      </c>
      <c r="C128" s="280"/>
      <c r="D128" s="281"/>
      <c r="E128" s="282">
        <v>0.49444444444444446</v>
      </c>
      <c r="F128" s="281">
        <v>0.81111111111111101</v>
      </c>
    </row>
    <row r="129" spans="2:6" ht="16.2" thickTop="1" x14ac:dyDescent="0.3">
      <c r="B129" s="182" t="s">
        <v>143</v>
      </c>
      <c r="C129" s="283"/>
      <c r="D129" s="284"/>
      <c r="E129" s="285">
        <v>0.55555555555555558</v>
      </c>
      <c r="F129" s="284">
        <v>0.88888888888888884</v>
      </c>
    </row>
    <row r="130" spans="2:6" x14ac:dyDescent="0.3">
      <c r="B130" s="180" t="s">
        <v>144</v>
      </c>
      <c r="C130" s="262"/>
      <c r="D130" s="263"/>
      <c r="E130" s="264">
        <v>0.51666666666666672</v>
      </c>
      <c r="F130" s="263">
        <v>0.84861111111111109</v>
      </c>
    </row>
    <row r="131" spans="2:6" x14ac:dyDescent="0.3">
      <c r="B131" s="180" t="s">
        <v>145</v>
      </c>
      <c r="C131" s="262"/>
      <c r="D131" s="263"/>
      <c r="E131" s="264">
        <v>0.53888888888888886</v>
      </c>
      <c r="F131" s="263">
        <v>0.86805555555555547</v>
      </c>
    </row>
    <row r="132" spans="2:6" ht="16.2" thickBot="1" x14ac:dyDescent="0.35">
      <c r="B132" s="183" t="s">
        <v>161</v>
      </c>
      <c r="C132" s="265"/>
      <c r="D132" s="266"/>
      <c r="E132" s="267">
        <v>0.51736111111111105</v>
      </c>
      <c r="F132" s="266">
        <v>0.83888888888888891</v>
      </c>
    </row>
    <row r="133" spans="2:6" ht="16.2" thickTop="1" x14ac:dyDescent="0.3">
      <c r="B133" s="217" t="s">
        <v>89</v>
      </c>
      <c r="C133" s="277"/>
      <c r="D133" s="278"/>
      <c r="E133" s="279">
        <v>0.50624999999999998</v>
      </c>
      <c r="F133" s="278">
        <v>0.85486111111111107</v>
      </c>
    </row>
    <row r="134" spans="2:6" ht="16.2" thickBot="1" x14ac:dyDescent="0.35">
      <c r="B134" s="216" t="s">
        <v>147</v>
      </c>
      <c r="C134" s="280"/>
      <c r="D134" s="281"/>
      <c r="E134" s="282">
        <v>0.53819444444444442</v>
      </c>
      <c r="F134" s="281">
        <v>0.86805555555555547</v>
      </c>
    </row>
    <row r="135" spans="2:6" ht="16.2" thickTop="1" x14ac:dyDescent="0.3">
      <c r="B135" s="218" t="s">
        <v>191</v>
      </c>
      <c r="C135" s="286">
        <v>0.17291666666666669</v>
      </c>
      <c r="D135" s="287">
        <v>0.42430555555555555</v>
      </c>
      <c r="E135" s="288"/>
      <c r="F135" s="287"/>
    </row>
    <row r="136" spans="2:6" x14ac:dyDescent="0.3">
      <c r="B136" s="218" t="s">
        <v>187</v>
      </c>
      <c r="C136" s="277">
        <v>0.26041666666666669</v>
      </c>
      <c r="D136" s="278">
        <v>0.5854166666666667</v>
      </c>
      <c r="E136" s="279"/>
      <c r="F136" s="278"/>
    </row>
    <row r="137" spans="2:6" x14ac:dyDescent="0.3">
      <c r="B137" s="215" t="s">
        <v>192</v>
      </c>
      <c r="C137" s="262"/>
      <c r="D137" s="263"/>
      <c r="E137" s="264">
        <v>0.71250000000000002</v>
      </c>
      <c r="F137" s="263">
        <v>0.96805555555555556</v>
      </c>
    </row>
    <row r="138" spans="2:6" x14ac:dyDescent="0.3">
      <c r="B138" s="218" t="s">
        <v>187</v>
      </c>
      <c r="C138" s="262">
        <v>0.26041666666666669</v>
      </c>
      <c r="D138" s="263">
        <v>0.5854166666666667</v>
      </c>
      <c r="E138" s="264"/>
      <c r="F138" s="263"/>
    </row>
    <row r="139" spans="2:6" x14ac:dyDescent="0.3">
      <c r="B139" s="215" t="s">
        <v>193</v>
      </c>
      <c r="C139" s="262"/>
      <c r="D139" s="263"/>
      <c r="E139" s="264">
        <v>0.5131944444444444</v>
      </c>
      <c r="F139" s="263">
        <v>0.84583333333333333</v>
      </c>
    </row>
    <row r="140" spans="2:6" x14ac:dyDescent="0.3">
      <c r="B140" s="215" t="s">
        <v>194</v>
      </c>
      <c r="C140" s="262">
        <v>0.25</v>
      </c>
      <c r="D140" s="263">
        <v>0.56180555555555556</v>
      </c>
      <c r="E140" s="264"/>
      <c r="F140" s="263"/>
    </row>
    <row r="141" spans="2:6" x14ac:dyDescent="0.3">
      <c r="B141" s="215" t="s">
        <v>188</v>
      </c>
      <c r="C141" s="262">
        <v>0.25</v>
      </c>
      <c r="D141" s="263">
        <v>0.5756944444444444</v>
      </c>
      <c r="E141" s="264"/>
      <c r="F141" s="263"/>
    </row>
    <row r="142" spans="2:6" x14ac:dyDescent="0.3">
      <c r="B142" s="215" t="s">
        <v>195</v>
      </c>
      <c r="C142" s="262">
        <v>0.25625000000000003</v>
      </c>
      <c r="D142" s="263">
        <v>0.58611111111111114</v>
      </c>
      <c r="E142" s="264"/>
      <c r="F142" s="263"/>
    </row>
    <row r="143" spans="2:6" x14ac:dyDescent="0.3">
      <c r="B143" s="215" t="s">
        <v>189</v>
      </c>
      <c r="C143" s="262">
        <v>0.24861111111111112</v>
      </c>
      <c r="D143" s="263">
        <v>0.57222222222222219</v>
      </c>
      <c r="E143" s="264"/>
      <c r="F143" s="263"/>
    </row>
    <row r="144" spans="2:6" x14ac:dyDescent="0.3">
      <c r="B144" s="215" t="s">
        <v>196</v>
      </c>
      <c r="C144" s="262"/>
      <c r="D144" s="263"/>
      <c r="E144" s="264">
        <v>0.49444444444444446</v>
      </c>
      <c r="F144" s="263">
        <v>0.81041666666666667</v>
      </c>
    </row>
    <row r="145" spans="2:6" x14ac:dyDescent="0.3">
      <c r="B145" s="215" t="s">
        <v>190</v>
      </c>
      <c r="C145" s="262">
        <v>0.24652777777777779</v>
      </c>
      <c r="D145" s="263">
        <v>0.57152777777777775</v>
      </c>
      <c r="E145" s="264"/>
      <c r="F145" s="263"/>
    </row>
    <row r="146" spans="2:6" ht="16.2" thickBot="1" x14ac:dyDescent="0.35">
      <c r="B146" s="219" t="s">
        <v>197</v>
      </c>
      <c r="C146" s="280">
        <v>0.25694444444444448</v>
      </c>
      <c r="D146" s="281">
        <v>0.40277777777777773</v>
      </c>
      <c r="E146" s="282">
        <v>0.52847222222222223</v>
      </c>
      <c r="F146" s="281">
        <v>0.73402777777777783</v>
      </c>
    </row>
    <row r="147" spans="2:6" ht="16.2" thickTop="1" x14ac:dyDescent="0.3">
      <c r="B147" s="184" t="s">
        <v>156</v>
      </c>
      <c r="C147" s="268">
        <v>0.37777777777777777</v>
      </c>
      <c r="D147" s="269">
        <v>0.58124999999999993</v>
      </c>
      <c r="E147" s="270">
        <v>0.71666666666666667</v>
      </c>
      <c r="F147" s="269">
        <v>0.85</v>
      </c>
    </row>
    <row r="148" spans="2:6" x14ac:dyDescent="0.3">
      <c r="B148" s="185" t="s">
        <v>157</v>
      </c>
      <c r="C148" s="271">
        <v>0.31458333333333333</v>
      </c>
      <c r="D148" s="272">
        <v>0.40138888888888885</v>
      </c>
      <c r="E148" s="273">
        <v>0.60972222222222217</v>
      </c>
      <c r="F148" s="272">
        <v>0.84791666666666676</v>
      </c>
    </row>
    <row r="149" spans="2:6" x14ac:dyDescent="0.3">
      <c r="B149" s="185" t="s">
        <v>155</v>
      </c>
      <c r="C149" s="271">
        <v>0.26805555555555555</v>
      </c>
      <c r="D149" s="272">
        <v>0.58472222222222225</v>
      </c>
      <c r="E149" s="273"/>
      <c r="F149" s="272"/>
    </row>
    <row r="150" spans="2:6" x14ac:dyDescent="0.3">
      <c r="B150" s="185" t="s">
        <v>176</v>
      </c>
      <c r="C150" s="271">
        <v>0.28125</v>
      </c>
      <c r="D150" s="272">
        <v>0.5805555555555556</v>
      </c>
      <c r="E150" s="273"/>
      <c r="F150" s="272"/>
    </row>
    <row r="151" spans="2:6" x14ac:dyDescent="0.3">
      <c r="B151" s="185" t="s">
        <v>154</v>
      </c>
      <c r="C151" s="271">
        <v>0.19652777777777777</v>
      </c>
      <c r="D151" s="272">
        <v>0.47361111111111115</v>
      </c>
      <c r="E151" s="273"/>
      <c r="F151" s="272"/>
    </row>
    <row r="152" spans="2:6" x14ac:dyDescent="0.3">
      <c r="B152" s="185" t="s">
        <v>175</v>
      </c>
      <c r="C152" s="271">
        <v>0.28263888888888888</v>
      </c>
      <c r="D152" s="272">
        <v>0.57222222222222219</v>
      </c>
      <c r="E152" s="273"/>
      <c r="F152" s="272"/>
    </row>
    <row r="153" spans="2:6" x14ac:dyDescent="0.3">
      <c r="B153" s="180" t="s">
        <v>174</v>
      </c>
      <c r="C153" s="274"/>
      <c r="D153" s="275"/>
      <c r="E153" s="276">
        <v>0.54305555555555551</v>
      </c>
      <c r="F153" s="275">
        <v>0.87222222222222223</v>
      </c>
    </row>
    <row r="154" spans="2:6" x14ac:dyDescent="0.3">
      <c r="B154" s="190" t="s">
        <v>177</v>
      </c>
      <c r="C154" s="262"/>
      <c r="D154" s="263"/>
      <c r="E154" s="264">
        <v>0.66111111111111109</v>
      </c>
      <c r="F154" s="263">
        <v>0.89722222222222225</v>
      </c>
    </row>
    <row r="155" spans="2:6" x14ac:dyDescent="0.3">
      <c r="B155" s="180" t="s">
        <v>171</v>
      </c>
      <c r="C155" s="262"/>
      <c r="D155" s="263"/>
      <c r="E155" s="264">
        <v>0.5444444444444444</v>
      </c>
      <c r="F155" s="263">
        <v>0.8569444444444444</v>
      </c>
    </row>
    <row r="156" spans="2:6" x14ac:dyDescent="0.3">
      <c r="B156" s="185" t="s">
        <v>162</v>
      </c>
      <c r="C156" s="271"/>
      <c r="D156" s="272"/>
      <c r="E156" s="273">
        <v>0.54722222222222217</v>
      </c>
      <c r="F156" s="272">
        <v>0.84305555555555556</v>
      </c>
    </row>
    <row r="157" spans="2:6" ht="16.2" thickBot="1" x14ac:dyDescent="0.35">
      <c r="B157" s="183" t="s">
        <v>166</v>
      </c>
      <c r="C157" s="265">
        <v>0.27986111111111112</v>
      </c>
      <c r="D157" s="266">
        <v>0.4604166666666667</v>
      </c>
      <c r="E157" s="267">
        <v>0.51250000000000007</v>
      </c>
      <c r="F157" s="266">
        <v>0.60347222222222219</v>
      </c>
    </row>
    <row r="158" spans="2:6" ht="16.2" thickTop="1" x14ac:dyDescent="0.3">
      <c r="B158" s="570" t="s">
        <v>211</v>
      </c>
      <c r="C158" s="571">
        <v>0.42777777777777781</v>
      </c>
      <c r="D158" s="572">
        <v>0.56458333333333333</v>
      </c>
      <c r="E158" s="573">
        <v>0.68055555555555547</v>
      </c>
      <c r="F158" s="572">
        <v>0.8930555555555556</v>
      </c>
    </row>
    <row r="159" spans="2:6" x14ac:dyDescent="0.3">
      <c r="B159" s="566" t="s">
        <v>215</v>
      </c>
      <c r="C159" s="567">
        <v>0.24374999999999999</v>
      </c>
      <c r="D159" s="568">
        <v>0.57152777777777775</v>
      </c>
      <c r="E159" s="569"/>
      <c r="F159" s="568"/>
    </row>
    <row r="160" spans="2:6" x14ac:dyDescent="0.3">
      <c r="B160" s="566" t="s">
        <v>214</v>
      </c>
      <c r="C160" s="567">
        <v>0.26597222222222222</v>
      </c>
      <c r="D160" s="568">
        <v>0.56458333333333333</v>
      </c>
      <c r="E160" s="569"/>
      <c r="F160" s="568"/>
    </row>
    <row r="161" spans="2:6" x14ac:dyDescent="0.3">
      <c r="B161" s="566" t="s">
        <v>222</v>
      </c>
      <c r="C161" s="567">
        <v>0.20902777777777778</v>
      </c>
      <c r="D161" s="568">
        <v>0.53402777777777777</v>
      </c>
      <c r="E161" s="569"/>
      <c r="F161" s="568"/>
    </row>
    <row r="162" spans="2:6" x14ac:dyDescent="0.3">
      <c r="B162" s="566" t="s">
        <v>213</v>
      </c>
      <c r="C162" s="567">
        <v>0.19166666666666665</v>
      </c>
      <c r="D162" s="568">
        <v>0.51874999999999993</v>
      </c>
      <c r="E162" s="569"/>
      <c r="F162" s="568"/>
    </row>
    <row r="163" spans="2:6" x14ac:dyDescent="0.3">
      <c r="B163" s="566" t="s">
        <v>212</v>
      </c>
      <c r="C163" s="567"/>
      <c r="D163" s="568"/>
      <c r="E163" s="569">
        <v>0.55625000000000002</v>
      </c>
      <c r="F163" s="568">
        <v>0.88888888888888884</v>
      </c>
    </row>
    <row r="164" spans="2:6" x14ac:dyDescent="0.3">
      <c r="B164" s="566" t="s">
        <v>217</v>
      </c>
      <c r="C164" s="567"/>
      <c r="D164" s="568"/>
      <c r="E164" s="569">
        <v>0.4993055555555555</v>
      </c>
      <c r="F164" s="568">
        <v>0.8305555555555556</v>
      </c>
    </row>
    <row r="165" spans="2:6" x14ac:dyDescent="0.3">
      <c r="B165" s="566" t="s">
        <v>224</v>
      </c>
      <c r="C165" s="567"/>
      <c r="D165" s="568"/>
      <c r="E165" s="569">
        <v>0.54097222222222219</v>
      </c>
      <c r="F165" s="568">
        <v>0.86944444444444446</v>
      </c>
    </row>
    <row r="166" spans="2:6" x14ac:dyDescent="0.3">
      <c r="B166" s="566" t="s">
        <v>221</v>
      </c>
      <c r="C166" s="567"/>
      <c r="D166" s="568"/>
      <c r="E166" s="569">
        <v>0.49722222222222223</v>
      </c>
      <c r="F166" s="568">
        <v>0.82847222222222217</v>
      </c>
    </row>
    <row r="167" spans="2:6" x14ac:dyDescent="0.3">
      <c r="B167" s="566" t="s">
        <v>216</v>
      </c>
      <c r="C167" s="567"/>
      <c r="D167" s="568"/>
      <c r="E167" s="569">
        <v>0.52986111111111112</v>
      </c>
      <c r="F167" s="568">
        <v>0.85902777777777783</v>
      </c>
    </row>
    <row r="168" spans="2:6" x14ac:dyDescent="0.3">
      <c r="B168" s="566" t="s">
        <v>218</v>
      </c>
      <c r="C168" s="567"/>
      <c r="D168" s="568"/>
      <c r="E168" s="569">
        <v>0.55208333333333337</v>
      </c>
      <c r="F168" s="568">
        <v>0.88263888888888886</v>
      </c>
    </row>
    <row r="169" spans="2:6" x14ac:dyDescent="0.3">
      <c r="B169" s="566" t="s">
        <v>219</v>
      </c>
      <c r="C169" s="567"/>
      <c r="D169" s="568"/>
      <c r="E169" s="569">
        <v>0.62847222222222221</v>
      </c>
      <c r="F169" s="568">
        <v>0.90763888888888899</v>
      </c>
    </row>
    <row r="170" spans="2:6" x14ac:dyDescent="0.3">
      <c r="B170" s="566" t="s">
        <v>220</v>
      </c>
      <c r="C170" s="567"/>
      <c r="D170" s="568"/>
      <c r="E170" s="569">
        <v>0.52708333333333335</v>
      </c>
      <c r="F170" s="568">
        <v>0.90763888888888899</v>
      </c>
    </row>
    <row r="171" spans="2:6" x14ac:dyDescent="0.3">
      <c r="B171" s="566" t="s">
        <v>223</v>
      </c>
      <c r="C171" s="567"/>
      <c r="D171" s="568"/>
      <c r="E171" s="569">
        <v>0.62430555555555556</v>
      </c>
      <c r="F171" s="568">
        <v>0.94652777777777775</v>
      </c>
    </row>
    <row r="172" spans="2:6" x14ac:dyDescent="0.3">
      <c r="B172" s="566" t="s">
        <v>225</v>
      </c>
      <c r="C172" s="567"/>
      <c r="D172" s="568"/>
      <c r="E172" s="569">
        <v>0.50624999999999998</v>
      </c>
      <c r="F172" s="568">
        <v>0.83124999999999993</v>
      </c>
    </row>
    <row r="173" spans="2:6" x14ac:dyDescent="0.3">
      <c r="B173" s="566" t="s">
        <v>233</v>
      </c>
      <c r="C173" s="567">
        <v>0.20347222222222219</v>
      </c>
      <c r="D173" s="568">
        <v>0.50902777777777775</v>
      </c>
      <c r="E173" s="569"/>
      <c r="F173" s="568"/>
    </row>
    <row r="174" spans="2:6" x14ac:dyDescent="0.3">
      <c r="B174" s="566" t="s">
        <v>230</v>
      </c>
      <c r="C174" s="567"/>
      <c r="D174" s="568"/>
      <c r="E174" s="569">
        <v>0.60347222222222219</v>
      </c>
      <c r="F174" s="568">
        <v>0.93055555555555547</v>
      </c>
    </row>
    <row r="175" spans="2:6" x14ac:dyDescent="0.3">
      <c r="B175" s="566" t="s">
        <v>235</v>
      </c>
      <c r="C175" s="567"/>
      <c r="D175" s="568"/>
      <c r="E175" s="569">
        <v>0.5493055555555556</v>
      </c>
      <c r="F175" s="568">
        <v>0.8652777777777777</v>
      </c>
    </row>
    <row r="176" spans="2:6" x14ac:dyDescent="0.3">
      <c r="B176" s="566" t="s">
        <v>228</v>
      </c>
      <c r="C176" s="567"/>
      <c r="D176" s="568"/>
      <c r="E176" s="569">
        <v>0.60763888888888895</v>
      </c>
      <c r="F176" s="568">
        <v>0.90972222222222221</v>
      </c>
    </row>
    <row r="177" spans="2:6" x14ac:dyDescent="0.3">
      <c r="B177" s="566" t="s">
        <v>226</v>
      </c>
      <c r="C177" s="567"/>
      <c r="D177" s="568"/>
      <c r="E177" s="569">
        <v>0.50347222222222221</v>
      </c>
      <c r="F177" s="568">
        <v>0.83680555555555547</v>
      </c>
    </row>
    <row r="178" spans="2:6" x14ac:dyDescent="0.3">
      <c r="B178" s="566" t="s">
        <v>227</v>
      </c>
      <c r="C178" s="567"/>
      <c r="D178" s="568"/>
      <c r="E178" s="569">
        <v>0.53333333333333333</v>
      </c>
      <c r="F178" s="568">
        <v>0.83888888888888891</v>
      </c>
    </row>
    <row r="179" spans="2:6" x14ac:dyDescent="0.3">
      <c r="B179" s="566" t="s">
        <v>232</v>
      </c>
      <c r="C179" s="567">
        <v>0.24652777777777779</v>
      </c>
      <c r="D179" s="568">
        <v>0.5708333333333333</v>
      </c>
      <c r="E179" s="569"/>
      <c r="F179" s="568"/>
    </row>
    <row r="180" spans="2:6" x14ac:dyDescent="0.3">
      <c r="B180" s="566" t="s">
        <v>228</v>
      </c>
      <c r="C180" s="567"/>
      <c r="D180" s="568"/>
      <c r="E180" s="569"/>
      <c r="F180" s="568"/>
    </row>
    <row r="181" spans="2:6" x14ac:dyDescent="0.3">
      <c r="B181" s="566" t="s">
        <v>231</v>
      </c>
      <c r="C181" s="567"/>
      <c r="D181" s="568"/>
      <c r="E181" s="569">
        <v>0.49722222222222223</v>
      </c>
      <c r="F181" s="568">
        <v>0.82847222222222217</v>
      </c>
    </row>
    <row r="182" spans="2:6" x14ac:dyDescent="0.3">
      <c r="B182" s="566" t="s">
        <v>234</v>
      </c>
      <c r="C182" s="567"/>
      <c r="D182" s="568"/>
      <c r="E182" s="569">
        <v>0.55208333333333337</v>
      </c>
      <c r="F182" s="568">
        <v>0.88263888888888886</v>
      </c>
    </row>
    <row r="183" spans="2:6" ht="16.2" thickBot="1" x14ac:dyDescent="0.35">
      <c r="B183" s="574" t="s">
        <v>229</v>
      </c>
      <c r="C183" s="575"/>
      <c r="D183" s="576"/>
      <c r="E183" s="577">
        <v>0.57916666666666672</v>
      </c>
      <c r="F183" s="576">
        <v>0.90763888888888899</v>
      </c>
    </row>
    <row r="184" spans="2:6" ht="16.2" thickTop="1" x14ac:dyDescent="0.3">
      <c r="B184" s="17"/>
      <c r="C184" s="18"/>
      <c r="D184" s="12"/>
      <c r="E184" s="11"/>
      <c r="F184" s="12"/>
    </row>
    <row r="185" spans="2:6" x14ac:dyDescent="0.3">
      <c r="B185" s="4"/>
      <c r="C185" s="9"/>
      <c r="D185" s="10"/>
      <c r="E185" s="13"/>
      <c r="F185" s="10"/>
    </row>
    <row r="186" spans="2:6" x14ac:dyDescent="0.3">
      <c r="B186" s="4"/>
      <c r="C186" s="9"/>
      <c r="D186" s="10"/>
      <c r="E186" s="13"/>
      <c r="F186" s="10"/>
    </row>
    <row r="187" spans="2:6" x14ac:dyDescent="0.3">
      <c r="B187" s="4"/>
      <c r="C187" s="9"/>
      <c r="D187" s="10"/>
      <c r="E187" s="13"/>
      <c r="F187" s="10"/>
    </row>
    <row r="188" spans="2:6" x14ac:dyDescent="0.3">
      <c r="B188" s="4"/>
      <c r="C188" s="9"/>
      <c r="D188" s="10"/>
      <c r="E188" s="13"/>
      <c r="F188" s="10"/>
    </row>
    <row r="189" spans="2:6" x14ac:dyDescent="0.3">
      <c r="B189" s="4"/>
      <c r="C189" s="9"/>
      <c r="D189" s="10"/>
      <c r="E189" s="13"/>
      <c r="F189" s="10"/>
    </row>
    <row r="190" spans="2:6" x14ac:dyDescent="0.3">
      <c r="B190" s="4"/>
      <c r="C190" s="9"/>
      <c r="D190" s="10"/>
      <c r="E190" s="13"/>
      <c r="F190" s="10"/>
    </row>
    <row r="191" spans="2:6" x14ac:dyDescent="0.3">
      <c r="B191" s="4"/>
      <c r="C191" s="9"/>
      <c r="D191" s="10"/>
      <c r="E191" s="13"/>
      <c r="F191" s="10"/>
    </row>
    <row r="192" spans="2:6" x14ac:dyDescent="0.3">
      <c r="B192" s="4"/>
      <c r="C192" s="9"/>
      <c r="D192" s="10"/>
      <c r="E192" s="13"/>
      <c r="F192" s="10"/>
    </row>
    <row r="193" spans="2:6" x14ac:dyDescent="0.3">
      <c r="B193" s="4"/>
      <c r="C193" s="9"/>
      <c r="D193" s="10"/>
      <c r="E193" s="13"/>
      <c r="F193" s="10"/>
    </row>
    <row r="194" spans="2:6" x14ac:dyDescent="0.3">
      <c r="B194" s="4"/>
      <c r="C194" s="9"/>
      <c r="D194" s="10"/>
      <c r="E194" s="13"/>
      <c r="F194" s="10"/>
    </row>
    <row r="195" spans="2:6" x14ac:dyDescent="0.3">
      <c r="B195" s="4"/>
      <c r="C195" s="9"/>
      <c r="D195" s="10"/>
      <c r="E195" s="13"/>
      <c r="F195" s="10"/>
    </row>
    <row r="196" spans="2:6" x14ac:dyDescent="0.3">
      <c r="B196" s="4"/>
      <c r="C196" s="9"/>
      <c r="D196" s="10"/>
      <c r="E196" s="13"/>
      <c r="F196" s="10"/>
    </row>
    <row r="197" spans="2:6" x14ac:dyDescent="0.3">
      <c r="B197" s="4"/>
      <c r="C197" s="9"/>
      <c r="D197" s="10"/>
      <c r="E197" s="13"/>
      <c r="F197" s="10"/>
    </row>
    <row r="198" spans="2:6" x14ac:dyDescent="0.3">
      <c r="B198" s="4"/>
      <c r="C198" s="9"/>
      <c r="D198" s="10"/>
      <c r="E198" s="13"/>
      <c r="F198" s="10"/>
    </row>
    <row r="199" spans="2:6" x14ac:dyDescent="0.3">
      <c r="B199" s="4"/>
      <c r="C199" s="9"/>
      <c r="D199" s="10"/>
      <c r="E199" s="13"/>
      <c r="F199" s="10"/>
    </row>
    <row r="200" spans="2:6" x14ac:dyDescent="0.3">
      <c r="B200" s="4"/>
      <c r="C200" s="9"/>
      <c r="D200" s="10"/>
      <c r="E200" s="13"/>
      <c r="F200" s="10"/>
    </row>
    <row r="201" spans="2:6" x14ac:dyDescent="0.3">
      <c r="B201" s="4"/>
      <c r="C201" s="9"/>
      <c r="D201" s="10"/>
      <c r="E201" s="13"/>
      <c r="F201" s="10"/>
    </row>
    <row r="202" spans="2:6" x14ac:dyDescent="0.3">
      <c r="B202" s="4"/>
      <c r="C202" s="9"/>
      <c r="D202" s="10"/>
      <c r="E202" s="13"/>
      <c r="F202" s="10"/>
    </row>
    <row r="203" spans="2:6" x14ac:dyDescent="0.3">
      <c r="B203" s="4"/>
      <c r="C203" s="9"/>
      <c r="D203" s="10"/>
      <c r="E203" s="13"/>
      <c r="F203" s="10"/>
    </row>
    <row r="204" spans="2:6" x14ac:dyDescent="0.3">
      <c r="B204" s="4"/>
      <c r="C204" s="9"/>
      <c r="D204" s="10"/>
      <c r="E204" s="13"/>
      <c r="F204" s="10"/>
    </row>
    <row r="205" spans="2:6" x14ac:dyDescent="0.3">
      <c r="B205" s="4"/>
      <c r="C205" s="9"/>
      <c r="D205" s="10"/>
      <c r="E205" s="13"/>
      <c r="F205" s="10"/>
    </row>
    <row r="206" spans="2:6" x14ac:dyDescent="0.3">
      <c r="B206" s="4"/>
      <c r="C206" s="9"/>
      <c r="D206" s="10"/>
      <c r="E206" s="13"/>
      <c r="F206" s="10"/>
    </row>
    <row r="207" spans="2:6" x14ac:dyDescent="0.3">
      <c r="B207" s="4"/>
      <c r="C207" s="9"/>
      <c r="D207" s="10"/>
      <c r="E207" s="13"/>
      <c r="F207" s="10"/>
    </row>
    <row r="208" spans="2:6" x14ac:dyDescent="0.3">
      <c r="B208" s="4"/>
      <c r="C208" s="9"/>
      <c r="D208" s="10"/>
      <c r="E208" s="13"/>
      <c r="F208" s="10"/>
    </row>
    <row r="209" spans="2:6" x14ac:dyDescent="0.3">
      <c r="B209" s="4"/>
      <c r="C209" s="9"/>
      <c r="D209" s="10"/>
      <c r="E209" s="13"/>
      <c r="F209" s="10"/>
    </row>
    <row r="210" spans="2:6" x14ac:dyDescent="0.3">
      <c r="B210" s="4"/>
      <c r="C210" s="9"/>
      <c r="D210" s="10"/>
      <c r="E210" s="13"/>
      <c r="F210" s="10"/>
    </row>
    <row r="211" spans="2:6" x14ac:dyDescent="0.3">
      <c r="B211" s="4"/>
      <c r="C211" s="9"/>
      <c r="D211" s="10"/>
      <c r="E211" s="13"/>
      <c r="F211" s="10"/>
    </row>
    <row r="212" spans="2:6" x14ac:dyDescent="0.3">
      <c r="B212" s="4"/>
      <c r="C212" s="9"/>
      <c r="D212" s="10"/>
      <c r="E212" s="13"/>
      <c r="F212" s="10"/>
    </row>
    <row r="213" spans="2:6" x14ac:dyDescent="0.3">
      <c r="B213" s="4"/>
      <c r="C213" s="9"/>
      <c r="D213" s="10"/>
      <c r="E213" s="13"/>
      <c r="F213" s="10"/>
    </row>
    <row r="214" spans="2:6" x14ac:dyDescent="0.3">
      <c r="B214" s="4"/>
      <c r="C214" s="9"/>
      <c r="D214" s="10"/>
      <c r="E214" s="13"/>
      <c r="F214" s="10"/>
    </row>
    <row r="215" spans="2:6" x14ac:dyDescent="0.3">
      <c r="B215" s="4"/>
      <c r="C215" s="9"/>
      <c r="D215" s="10"/>
      <c r="E215" s="13"/>
      <c r="F215" s="10"/>
    </row>
    <row r="216" spans="2:6" x14ac:dyDescent="0.3">
      <c r="B216" s="4"/>
      <c r="C216" s="9"/>
      <c r="D216" s="10"/>
      <c r="E216" s="13"/>
      <c r="F216" s="10"/>
    </row>
    <row r="217" spans="2:6" x14ac:dyDescent="0.3">
      <c r="B217" s="4"/>
      <c r="C217" s="9"/>
      <c r="D217" s="10"/>
      <c r="E217" s="13"/>
      <c r="F217" s="10"/>
    </row>
    <row r="218" spans="2:6" x14ac:dyDescent="0.3">
      <c r="B218" s="4"/>
      <c r="C218" s="9"/>
      <c r="D218" s="10"/>
      <c r="E218" s="13"/>
      <c r="F218" s="10"/>
    </row>
    <row r="219" spans="2:6" x14ac:dyDescent="0.3">
      <c r="B219" s="4"/>
      <c r="C219" s="9"/>
      <c r="D219" s="10"/>
      <c r="E219" s="13"/>
      <c r="F219" s="10"/>
    </row>
    <row r="220" spans="2:6" x14ac:dyDescent="0.3">
      <c r="B220" s="4"/>
      <c r="C220" s="9"/>
      <c r="D220" s="10"/>
      <c r="E220" s="13"/>
      <c r="F220" s="10"/>
    </row>
    <row r="221" spans="2:6" x14ac:dyDescent="0.3">
      <c r="B221" s="4"/>
      <c r="C221" s="9"/>
      <c r="D221" s="10"/>
      <c r="E221" s="13"/>
      <c r="F221" s="10"/>
    </row>
    <row r="222" spans="2:6" x14ac:dyDescent="0.3">
      <c r="B222" s="4"/>
      <c r="C222" s="9"/>
      <c r="D222" s="10"/>
      <c r="E222" s="13"/>
      <c r="F222" s="10"/>
    </row>
    <row r="223" spans="2:6" x14ac:dyDescent="0.3">
      <c r="B223" s="4"/>
      <c r="C223" s="9"/>
      <c r="D223" s="10"/>
      <c r="E223" s="13"/>
      <c r="F223" s="10"/>
    </row>
    <row r="224" spans="2:6" x14ac:dyDescent="0.3">
      <c r="B224" s="4"/>
      <c r="C224" s="9"/>
      <c r="D224" s="10"/>
      <c r="E224" s="13"/>
      <c r="F224" s="10"/>
    </row>
    <row r="225" spans="2:6" x14ac:dyDescent="0.3">
      <c r="B225" s="4"/>
      <c r="C225" s="9"/>
      <c r="D225" s="10"/>
      <c r="E225" s="13"/>
      <c r="F225" s="10"/>
    </row>
    <row r="226" spans="2:6" x14ac:dyDescent="0.3">
      <c r="B226" s="4"/>
      <c r="C226" s="9"/>
      <c r="D226" s="10"/>
      <c r="E226" s="13"/>
      <c r="F226" s="10"/>
    </row>
    <row r="227" spans="2:6" x14ac:dyDescent="0.3">
      <c r="B227" s="4"/>
      <c r="C227" s="9"/>
      <c r="D227" s="10"/>
      <c r="E227" s="13"/>
      <c r="F227" s="10"/>
    </row>
    <row r="228" spans="2:6" x14ac:dyDescent="0.3">
      <c r="B228" s="4"/>
      <c r="C228" s="9"/>
      <c r="D228" s="10"/>
      <c r="E228" s="13"/>
      <c r="F228" s="10"/>
    </row>
    <row r="229" spans="2:6" x14ac:dyDescent="0.3">
      <c r="B229" s="4"/>
      <c r="C229" s="9"/>
      <c r="D229" s="10"/>
      <c r="E229" s="13"/>
      <c r="F229" s="10"/>
    </row>
    <row r="230" spans="2:6" x14ac:dyDescent="0.3">
      <c r="B230" s="4"/>
      <c r="C230" s="9"/>
      <c r="D230" s="10"/>
      <c r="E230" s="13"/>
      <c r="F230" s="10"/>
    </row>
    <row r="231" spans="2:6" x14ac:dyDescent="0.3">
      <c r="B231" s="4"/>
      <c r="C231" s="9"/>
      <c r="D231" s="10"/>
      <c r="E231" s="13"/>
      <c r="F231" s="10"/>
    </row>
    <row r="232" spans="2:6" x14ac:dyDescent="0.3">
      <c r="B232" s="4"/>
      <c r="C232" s="9"/>
      <c r="D232" s="10"/>
      <c r="E232" s="13"/>
      <c r="F232" s="10"/>
    </row>
    <row r="233" spans="2:6" x14ac:dyDescent="0.3">
      <c r="B233" s="4"/>
      <c r="C233" s="9"/>
      <c r="D233" s="10"/>
      <c r="E233" s="13"/>
      <c r="F233" s="10"/>
    </row>
    <row r="234" spans="2:6" x14ac:dyDescent="0.3">
      <c r="B234" s="4"/>
      <c r="C234" s="9"/>
      <c r="D234" s="10"/>
      <c r="E234" s="13"/>
      <c r="F234" s="10"/>
    </row>
    <row r="235" spans="2:6" x14ac:dyDescent="0.3">
      <c r="B235" s="4"/>
      <c r="C235" s="9"/>
      <c r="D235" s="10"/>
      <c r="E235" s="13"/>
      <c r="F235" s="10"/>
    </row>
    <row r="236" spans="2:6" x14ac:dyDescent="0.3">
      <c r="B236" s="4"/>
      <c r="C236" s="9"/>
      <c r="D236" s="10"/>
      <c r="E236" s="13"/>
      <c r="F236" s="10"/>
    </row>
    <row r="237" spans="2:6" x14ac:dyDescent="0.3">
      <c r="B237" s="4"/>
      <c r="C237" s="9"/>
      <c r="D237" s="10"/>
      <c r="E237" s="13"/>
      <c r="F237" s="10"/>
    </row>
    <row r="238" spans="2:6" x14ac:dyDescent="0.3">
      <c r="B238" s="4"/>
      <c r="C238" s="9"/>
      <c r="D238" s="10"/>
      <c r="E238" s="13"/>
      <c r="F238" s="10"/>
    </row>
    <row r="239" spans="2:6" x14ac:dyDescent="0.3">
      <c r="B239" s="4"/>
      <c r="C239" s="9"/>
      <c r="D239" s="10"/>
      <c r="E239" s="13"/>
      <c r="F239" s="10"/>
    </row>
    <row r="240" spans="2:6" x14ac:dyDescent="0.3">
      <c r="B240" s="4"/>
      <c r="C240" s="9"/>
      <c r="D240" s="10"/>
      <c r="E240" s="13"/>
      <c r="F240" s="10"/>
    </row>
    <row r="241" spans="2:6" x14ac:dyDescent="0.3">
      <c r="B241" s="4"/>
      <c r="C241" s="9"/>
      <c r="D241" s="10"/>
      <c r="E241" s="13"/>
      <c r="F241" s="10"/>
    </row>
    <row r="242" spans="2:6" x14ac:dyDescent="0.3">
      <c r="B242" s="4"/>
      <c r="C242" s="9"/>
      <c r="D242" s="10"/>
      <c r="E242" s="13"/>
      <c r="F242" s="10"/>
    </row>
    <row r="243" spans="2:6" x14ac:dyDescent="0.3">
      <c r="B243" s="4"/>
      <c r="C243" s="9"/>
      <c r="D243" s="10"/>
      <c r="E243" s="13"/>
      <c r="F243" s="10"/>
    </row>
    <row r="244" spans="2:6" x14ac:dyDescent="0.3">
      <c r="B244" s="4"/>
      <c r="C244" s="9"/>
      <c r="D244" s="10"/>
      <c r="E244" s="13"/>
      <c r="F244" s="10"/>
    </row>
    <row r="245" spans="2:6" x14ac:dyDescent="0.3">
      <c r="B245" s="4"/>
      <c r="C245" s="9"/>
      <c r="D245" s="10"/>
      <c r="E245" s="13"/>
      <c r="F245" s="10"/>
    </row>
    <row r="246" spans="2:6" x14ac:dyDescent="0.3">
      <c r="B246" s="4"/>
      <c r="C246" s="9"/>
      <c r="D246" s="10"/>
      <c r="E246" s="13"/>
      <c r="F246" s="10"/>
    </row>
    <row r="247" spans="2:6" x14ac:dyDescent="0.3">
      <c r="B247" s="4"/>
      <c r="C247" s="9"/>
      <c r="D247" s="10"/>
      <c r="E247" s="13"/>
      <c r="F247" s="10"/>
    </row>
    <row r="248" spans="2:6" x14ac:dyDescent="0.3">
      <c r="B248" s="4"/>
      <c r="C248" s="9"/>
      <c r="D248" s="10"/>
      <c r="E248" s="13"/>
      <c r="F248" s="10"/>
    </row>
    <row r="249" spans="2:6" x14ac:dyDescent="0.3">
      <c r="B249" s="4"/>
      <c r="C249" s="9"/>
      <c r="D249" s="10"/>
      <c r="E249" s="13"/>
      <c r="F249" s="10"/>
    </row>
    <row r="250" spans="2:6" x14ac:dyDescent="0.3">
      <c r="B250" s="4"/>
      <c r="C250" s="9"/>
      <c r="D250" s="10"/>
      <c r="E250" s="13"/>
      <c r="F250" s="10"/>
    </row>
    <row r="251" spans="2:6" x14ac:dyDescent="0.3">
      <c r="B251" s="4"/>
      <c r="C251" s="9"/>
      <c r="D251" s="10"/>
      <c r="E251" s="13"/>
      <c r="F251" s="10"/>
    </row>
    <row r="252" spans="2:6" x14ac:dyDescent="0.3">
      <c r="B252" s="4"/>
      <c r="C252" s="9"/>
      <c r="D252" s="10"/>
      <c r="E252" s="13"/>
      <c r="F252" s="10"/>
    </row>
    <row r="253" spans="2:6" x14ac:dyDescent="0.3">
      <c r="B253" s="4"/>
      <c r="C253" s="9"/>
      <c r="D253" s="10"/>
      <c r="E253" s="13"/>
      <c r="F253" s="10"/>
    </row>
    <row r="254" spans="2:6" x14ac:dyDescent="0.3">
      <c r="B254" s="4"/>
      <c r="C254" s="9"/>
      <c r="D254" s="10"/>
      <c r="E254" s="13"/>
      <c r="F254" s="10"/>
    </row>
    <row r="255" spans="2:6" x14ac:dyDescent="0.3">
      <c r="B255" s="4"/>
      <c r="C255" s="9"/>
      <c r="D255" s="10"/>
      <c r="E255" s="13"/>
      <c r="F255" s="10"/>
    </row>
    <row r="256" spans="2:6" x14ac:dyDescent="0.3">
      <c r="B256" s="4"/>
      <c r="C256" s="9"/>
      <c r="D256" s="10"/>
      <c r="E256" s="13"/>
      <c r="F256" s="10"/>
    </row>
    <row r="257" spans="2:6" x14ac:dyDescent="0.3">
      <c r="B257" s="4"/>
      <c r="C257" s="9"/>
      <c r="D257" s="10"/>
      <c r="E257" s="13"/>
      <c r="F257" s="10"/>
    </row>
    <row r="258" spans="2:6" x14ac:dyDescent="0.3">
      <c r="B258" s="4"/>
      <c r="C258" s="9"/>
      <c r="D258" s="10"/>
      <c r="E258" s="13"/>
      <c r="F258" s="10"/>
    </row>
    <row r="259" spans="2:6" x14ac:dyDescent="0.3">
      <c r="B259" s="4"/>
      <c r="C259" s="9"/>
      <c r="D259" s="10"/>
      <c r="E259" s="13"/>
      <c r="F259" s="10"/>
    </row>
    <row r="260" spans="2:6" x14ac:dyDescent="0.3">
      <c r="B260" s="4"/>
      <c r="C260" s="9"/>
      <c r="D260" s="10"/>
      <c r="E260" s="13"/>
      <c r="F260" s="10"/>
    </row>
    <row r="261" spans="2:6" x14ac:dyDescent="0.3">
      <c r="B261" s="4"/>
      <c r="C261" s="9"/>
      <c r="D261" s="10"/>
      <c r="E261" s="13"/>
      <c r="F261" s="10"/>
    </row>
    <row r="262" spans="2:6" x14ac:dyDescent="0.3">
      <c r="B262" s="4"/>
      <c r="C262" s="9"/>
      <c r="D262" s="10"/>
      <c r="E262" s="13"/>
      <c r="F262" s="10"/>
    </row>
    <row r="263" spans="2:6" x14ac:dyDescent="0.3">
      <c r="B263" s="4"/>
      <c r="C263" s="9"/>
      <c r="D263" s="10"/>
      <c r="E263" s="13"/>
      <c r="F263" s="10"/>
    </row>
    <row r="264" spans="2:6" x14ac:dyDescent="0.3">
      <c r="B264" s="4"/>
      <c r="C264" s="9"/>
      <c r="D264" s="10"/>
      <c r="E264" s="13"/>
      <c r="F264" s="10"/>
    </row>
    <row r="265" spans="2:6" x14ac:dyDescent="0.3">
      <c r="B265" s="4"/>
      <c r="C265" s="9"/>
      <c r="D265" s="10"/>
      <c r="E265" s="13"/>
      <c r="F265" s="10"/>
    </row>
    <row r="266" spans="2:6" x14ac:dyDescent="0.3">
      <c r="B266" s="4"/>
      <c r="C266" s="9"/>
      <c r="D266" s="10"/>
      <c r="E266" s="13"/>
      <c r="F266" s="10"/>
    </row>
    <row r="267" spans="2:6" x14ac:dyDescent="0.3">
      <c r="B267" s="4"/>
      <c r="C267" s="9"/>
      <c r="D267" s="10"/>
      <c r="E267" s="13"/>
      <c r="F267" s="10"/>
    </row>
    <row r="268" spans="2:6" x14ac:dyDescent="0.3">
      <c r="B268" s="4"/>
      <c r="C268" s="9"/>
      <c r="D268" s="10"/>
      <c r="E268" s="13"/>
      <c r="F268" s="10"/>
    </row>
    <row r="269" spans="2:6" x14ac:dyDescent="0.3">
      <c r="B269" s="4"/>
      <c r="C269" s="9"/>
      <c r="D269" s="10"/>
      <c r="E269" s="13"/>
      <c r="F269" s="10"/>
    </row>
    <row r="270" spans="2:6" x14ac:dyDescent="0.3">
      <c r="B270" s="4"/>
      <c r="C270" s="9"/>
      <c r="D270" s="10"/>
      <c r="E270" s="13"/>
      <c r="F270" s="10"/>
    </row>
    <row r="271" spans="2:6" x14ac:dyDescent="0.3">
      <c r="B271" s="4"/>
      <c r="C271" s="9"/>
      <c r="D271" s="10"/>
      <c r="E271" s="13"/>
      <c r="F271" s="10"/>
    </row>
    <row r="272" spans="2:6" x14ac:dyDescent="0.3">
      <c r="B272" s="4"/>
      <c r="C272" s="9"/>
      <c r="D272" s="10"/>
      <c r="E272" s="13"/>
      <c r="F272" s="10"/>
    </row>
    <row r="273" spans="2:6" x14ac:dyDescent="0.3">
      <c r="B273" s="4"/>
      <c r="C273" s="9"/>
      <c r="D273" s="10"/>
      <c r="E273" s="13"/>
      <c r="F273" s="10"/>
    </row>
    <row r="274" spans="2:6" x14ac:dyDescent="0.3">
      <c r="B274" s="4"/>
      <c r="C274" s="9"/>
      <c r="D274" s="10"/>
      <c r="E274" s="13"/>
      <c r="F274" s="10"/>
    </row>
    <row r="275" spans="2:6" x14ac:dyDescent="0.3">
      <c r="B275" s="4"/>
      <c r="C275" s="9"/>
      <c r="D275" s="10"/>
      <c r="E275" s="13"/>
      <c r="F275" s="10"/>
    </row>
    <row r="276" spans="2:6" x14ac:dyDescent="0.3">
      <c r="B276" s="4"/>
      <c r="C276" s="9"/>
      <c r="D276" s="10"/>
      <c r="E276" s="13"/>
      <c r="F276" s="10"/>
    </row>
    <row r="277" spans="2:6" x14ac:dyDescent="0.3">
      <c r="B277" s="4"/>
      <c r="C277" s="9"/>
      <c r="D277" s="10"/>
      <c r="E277" s="13"/>
      <c r="F277" s="10"/>
    </row>
    <row r="278" spans="2:6" x14ac:dyDescent="0.3">
      <c r="B278" s="4"/>
      <c r="C278" s="9"/>
      <c r="D278" s="10"/>
      <c r="E278" s="13"/>
      <c r="F278" s="10"/>
    </row>
    <row r="279" spans="2:6" x14ac:dyDescent="0.3">
      <c r="B279" s="4"/>
      <c r="C279" s="9"/>
      <c r="D279" s="10"/>
      <c r="E279" s="13"/>
      <c r="F279" s="10"/>
    </row>
    <row r="280" spans="2:6" x14ac:dyDescent="0.3">
      <c r="B280" s="4"/>
      <c r="C280" s="9"/>
      <c r="D280" s="10"/>
      <c r="E280" s="13"/>
      <c r="F280" s="10"/>
    </row>
    <row r="281" spans="2:6" x14ac:dyDescent="0.3">
      <c r="B281" s="4"/>
      <c r="C281" s="9"/>
      <c r="D281" s="10"/>
      <c r="E281" s="13"/>
      <c r="F281" s="10"/>
    </row>
    <row r="282" spans="2:6" x14ac:dyDescent="0.3">
      <c r="B282" s="4"/>
      <c r="C282" s="9"/>
      <c r="D282" s="10"/>
      <c r="E282" s="13"/>
      <c r="F282" s="10"/>
    </row>
    <row r="283" spans="2:6" x14ac:dyDescent="0.3">
      <c r="B283" s="4"/>
      <c r="C283" s="9"/>
      <c r="D283" s="10"/>
      <c r="E283" s="13"/>
      <c r="F283" s="10"/>
    </row>
    <row r="284" spans="2:6" x14ac:dyDescent="0.3">
      <c r="B284" s="4"/>
      <c r="C284" s="9"/>
      <c r="D284" s="10"/>
      <c r="E284" s="13"/>
      <c r="F284" s="10"/>
    </row>
    <row r="285" spans="2:6" x14ac:dyDescent="0.3">
      <c r="B285" s="4"/>
      <c r="C285" s="9"/>
      <c r="D285" s="10"/>
      <c r="E285" s="13"/>
      <c r="F285" s="10"/>
    </row>
    <row r="286" spans="2:6" x14ac:dyDescent="0.3">
      <c r="B286" s="4"/>
      <c r="C286" s="9"/>
      <c r="D286" s="10"/>
      <c r="E286" s="13"/>
      <c r="F286" s="10"/>
    </row>
    <row r="287" spans="2:6" x14ac:dyDescent="0.3">
      <c r="B287" s="4"/>
      <c r="C287" s="9"/>
      <c r="D287" s="10"/>
      <c r="E287" s="13"/>
      <c r="F287" s="10"/>
    </row>
    <row r="288" spans="2:6" x14ac:dyDescent="0.3">
      <c r="B288" s="4"/>
      <c r="C288" s="9"/>
      <c r="D288" s="10"/>
      <c r="E288" s="13"/>
      <c r="F288" s="10"/>
    </row>
    <row r="289" spans="2:6" x14ac:dyDescent="0.3">
      <c r="B289" s="4"/>
      <c r="C289" s="9"/>
      <c r="D289" s="10"/>
      <c r="E289" s="13"/>
      <c r="F289" s="10"/>
    </row>
    <row r="290" spans="2:6" x14ac:dyDescent="0.3">
      <c r="B290" s="4"/>
      <c r="C290" s="9"/>
      <c r="D290" s="10"/>
      <c r="E290" s="13"/>
      <c r="F290" s="10"/>
    </row>
    <row r="291" spans="2:6" x14ac:dyDescent="0.3">
      <c r="B291" s="4"/>
      <c r="C291" s="9"/>
      <c r="D291" s="10"/>
      <c r="E291" s="13"/>
      <c r="F291" s="10"/>
    </row>
    <row r="292" spans="2:6" x14ac:dyDescent="0.3">
      <c r="B292" s="4"/>
      <c r="C292" s="9"/>
      <c r="D292" s="10"/>
      <c r="E292" s="13"/>
      <c r="F292" s="10"/>
    </row>
    <row r="293" spans="2:6" x14ac:dyDescent="0.3">
      <c r="B293" s="4"/>
      <c r="C293" s="9"/>
      <c r="D293" s="10"/>
      <c r="E293" s="13"/>
      <c r="F293" s="10"/>
    </row>
    <row r="294" spans="2:6" x14ac:dyDescent="0.3">
      <c r="B294" s="4"/>
      <c r="C294" s="9"/>
      <c r="D294" s="10"/>
      <c r="E294" s="13"/>
      <c r="F294" s="10"/>
    </row>
    <row r="295" spans="2:6" x14ac:dyDescent="0.3">
      <c r="B295" s="4"/>
      <c r="C295" s="9"/>
      <c r="D295" s="10"/>
      <c r="E295" s="13"/>
      <c r="F295" s="10"/>
    </row>
    <row r="296" spans="2:6" x14ac:dyDescent="0.3">
      <c r="B296" s="4"/>
      <c r="C296" s="9"/>
      <c r="D296" s="10"/>
      <c r="E296" s="13"/>
      <c r="F296" s="10"/>
    </row>
    <row r="297" spans="2:6" x14ac:dyDescent="0.3">
      <c r="B297" s="4"/>
      <c r="C297" s="9"/>
      <c r="D297" s="10"/>
      <c r="E297" s="13"/>
      <c r="F297" s="10"/>
    </row>
    <row r="298" spans="2:6" x14ac:dyDescent="0.3">
      <c r="B298" s="4"/>
      <c r="C298" s="9"/>
      <c r="D298" s="10"/>
      <c r="E298" s="13"/>
      <c r="F298" s="10"/>
    </row>
    <row r="299" spans="2:6" x14ac:dyDescent="0.3">
      <c r="B299" s="4"/>
      <c r="C299" s="9"/>
      <c r="D299" s="10"/>
      <c r="E299" s="13"/>
      <c r="F299" s="10"/>
    </row>
    <row r="300" spans="2:6" x14ac:dyDescent="0.3">
      <c r="B300" s="4"/>
      <c r="C300" s="9"/>
      <c r="D300" s="10"/>
      <c r="E300" s="13"/>
      <c r="F300" s="10"/>
    </row>
    <row r="301" spans="2:6" x14ac:dyDescent="0.3">
      <c r="B301" s="4"/>
      <c r="C301" s="9"/>
      <c r="D301" s="10"/>
      <c r="E301" s="13"/>
      <c r="F301" s="10"/>
    </row>
    <row r="302" spans="2:6" x14ac:dyDescent="0.3">
      <c r="B302" s="4"/>
      <c r="C302" s="9"/>
      <c r="D302" s="10"/>
      <c r="E302" s="13"/>
      <c r="F302" s="10"/>
    </row>
    <row r="303" spans="2:6" x14ac:dyDescent="0.3">
      <c r="B303" s="4"/>
      <c r="C303" s="9"/>
      <c r="D303" s="10"/>
      <c r="E303" s="13"/>
      <c r="F303" s="10"/>
    </row>
    <row r="304" spans="2:6" x14ac:dyDescent="0.3">
      <c r="B304" s="4"/>
      <c r="C304" s="9"/>
      <c r="D304" s="10"/>
      <c r="E304" s="13"/>
      <c r="F304" s="10"/>
    </row>
    <row r="305" spans="2:6" x14ac:dyDescent="0.3">
      <c r="B305" s="4"/>
      <c r="C305" s="9"/>
      <c r="D305" s="10"/>
      <c r="E305" s="13"/>
      <c r="F305" s="10"/>
    </row>
    <row r="306" spans="2:6" x14ac:dyDescent="0.3">
      <c r="B306" s="4"/>
      <c r="C306" s="9"/>
      <c r="D306" s="10"/>
      <c r="E306" s="13"/>
      <c r="F306" s="10"/>
    </row>
    <row r="307" spans="2:6" x14ac:dyDescent="0.3">
      <c r="B307" s="4"/>
      <c r="C307" s="9"/>
      <c r="D307" s="10"/>
      <c r="E307" s="13"/>
      <c r="F307" s="10"/>
    </row>
    <row r="308" spans="2:6" x14ac:dyDescent="0.3">
      <c r="B308" s="4"/>
      <c r="C308" s="9"/>
      <c r="D308" s="10"/>
      <c r="E308" s="13"/>
      <c r="F308" s="10"/>
    </row>
    <row r="309" spans="2:6" x14ac:dyDescent="0.3">
      <c r="B309" s="4"/>
      <c r="C309" s="9"/>
      <c r="D309" s="10"/>
      <c r="E309" s="13"/>
      <c r="F309" s="10"/>
    </row>
    <row r="310" spans="2:6" x14ac:dyDescent="0.3">
      <c r="B310" s="4"/>
      <c r="C310" s="9"/>
      <c r="D310" s="10"/>
      <c r="E310" s="13"/>
      <c r="F310" s="10"/>
    </row>
    <row r="311" spans="2:6" x14ac:dyDescent="0.3">
      <c r="B311" s="4"/>
      <c r="C311" s="9"/>
      <c r="D311" s="10"/>
      <c r="E311" s="13"/>
      <c r="F311" s="10"/>
    </row>
    <row r="312" spans="2:6" x14ac:dyDescent="0.3">
      <c r="B312" s="4"/>
      <c r="C312" s="9"/>
      <c r="D312" s="10"/>
      <c r="E312" s="13"/>
      <c r="F312" s="10"/>
    </row>
    <row r="313" spans="2:6" x14ac:dyDescent="0.3">
      <c r="B313" s="4"/>
      <c r="C313" s="9"/>
      <c r="D313" s="10"/>
      <c r="E313" s="13"/>
      <c r="F313" s="10"/>
    </row>
    <row r="314" spans="2:6" x14ac:dyDescent="0.3">
      <c r="B314" s="4"/>
      <c r="C314" s="9"/>
      <c r="D314" s="10"/>
      <c r="E314" s="13"/>
      <c r="F314" s="10"/>
    </row>
    <row r="315" spans="2:6" x14ac:dyDescent="0.3">
      <c r="B315" s="4"/>
      <c r="C315" s="9"/>
      <c r="D315" s="10"/>
      <c r="E315" s="13"/>
      <c r="F315" s="10"/>
    </row>
    <row r="316" spans="2:6" x14ac:dyDescent="0.3">
      <c r="B316" s="4"/>
      <c r="C316" s="9"/>
      <c r="D316" s="10"/>
      <c r="E316" s="13"/>
      <c r="F316" s="10"/>
    </row>
    <row r="317" spans="2:6" x14ac:dyDescent="0.3">
      <c r="B317" s="4"/>
      <c r="C317" s="9"/>
      <c r="D317" s="10"/>
      <c r="E317" s="13"/>
      <c r="F317" s="10"/>
    </row>
    <row r="318" spans="2:6" x14ac:dyDescent="0.3">
      <c r="B318" s="4"/>
      <c r="C318" s="9"/>
      <c r="D318" s="10"/>
      <c r="E318" s="13"/>
      <c r="F318" s="10"/>
    </row>
    <row r="319" spans="2:6" x14ac:dyDescent="0.3">
      <c r="B319" s="4"/>
      <c r="C319" s="9"/>
      <c r="D319" s="10"/>
      <c r="E319" s="13"/>
      <c r="F319" s="10"/>
    </row>
    <row r="320" spans="2:6" x14ac:dyDescent="0.3">
      <c r="B320" s="4"/>
      <c r="C320" s="9"/>
      <c r="D320" s="10"/>
      <c r="E320" s="13"/>
      <c r="F320" s="10"/>
    </row>
    <row r="321" spans="2:6" x14ac:dyDescent="0.3">
      <c r="B321" s="4"/>
      <c r="C321" s="9"/>
      <c r="D321" s="10"/>
      <c r="E321" s="13"/>
      <c r="F321" s="10"/>
    </row>
    <row r="322" spans="2:6" x14ac:dyDescent="0.3">
      <c r="B322" s="4"/>
      <c r="C322" s="9"/>
      <c r="D322" s="10"/>
      <c r="E322" s="13"/>
      <c r="F322" s="10"/>
    </row>
    <row r="323" spans="2:6" x14ac:dyDescent="0.3">
      <c r="B323" s="4"/>
      <c r="C323" s="9"/>
      <c r="D323" s="10"/>
      <c r="E323" s="13"/>
      <c r="F323" s="10"/>
    </row>
    <row r="324" spans="2:6" x14ac:dyDescent="0.3">
      <c r="B324" s="4"/>
      <c r="C324" s="9"/>
      <c r="D324" s="10"/>
      <c r="E324" s="13"/>
      <c r="F324" s="10"/>
    </row>
    <row r="325" spans="2:6" x14ac:dyDescent="0.3">
      <c r="B325" s="4"/>
      <c r="C325" s="9"/>
      <c r="D325" s="10"/>
      <c r="E325" s="13"/>
      <c r="F325" s="10"/>
    </row>
    <row r="326" spans="2:6" x14ac:dyDescent="0.3">
      <c r="B326" s="4"/>
      <c r="C326" s="9"/>
      <c r="D326" s="10"/>
      <c r="E326" s="13"/>
      <c r="F326" s="10"/>
    </row>
    <row r="327" spans="2:6" x14ac:dyDescent="0.3">
      <c r="B327" s="4"/>
      <c r="C327" s="9"/>
      <c r="D327" s="10"/>
      <c r="E327" s="13"/>
      <c r="F327" s="10"/>
    </row>
    <row r="328" spans="2:6" x14ac:dyDescent="0.3">
      <c r="B328" s="4"/>
      <c r="C328" s="9"/>
      <c r="D328" s="10"/>
      <c r="E328" s="13"/>
      <c r="F328" s="10"/>
    </row>
    <row r="329" spans="2:6" x14ac:dyDescent="0.3">
      <c r="B329" s="4"/>
      <c r="C329" s="9"/>
      <c r="D329" s="10"/>
      <c r="E329" s="13"/>
      <c r="F329" s="10"/>
    </row>
    <row r="330" spans="2:6" x14ac:dyDescent="0.3">
      <c r="B330" s="4"/>
      <c r="C330" s="9"/>
      <c r="D330" s="10"/>
      <c r="E330" s="13"/>
      <c r="F330" s="10"/>
    </row>
    <row r="331" spans="2:6" x14ac:dyDescent="0.3">
      <c r="B331" s="4"/>
      <c r="C331" s="9"/>
      <c r="D331" s="10"/>
      <c r="E331" s="13"/>
      <c r="F331" s="10"/>
    </row>
    <row r="332" spans="2:6" x14ac:dyDescent="0.3">
      <c r="B332" s="4"/>
      <c r="C332" s="9"/>
      <c r="D332" s="10"/>
      <c r="E332" s="13"/>
      <c r="F332" s="10"/>
    </row>
    <row r="333" spans="2:6" x14ac:dyDescent="0.3">
      <c r="B333" s="4"/>
      <c r="C333" s="9"/>
      <c r="D333" s="10"/>
      <c r="E333" s="13"/>
      <c r="F333" s="10"/>
    </row>
    <row r="334" spans="2:6" x14ac:dyDescent="0.3">
      <c r="B334" s="4"/>
      <c r="C334" s="9"/>
      <c r="D334" s="10"/>
      <c r="E334" s="13"/>
      <c r="F334" s="10"/>
    </row>
    <row r="335" spans="2:6" x14ac:dyDescent="0.3">
      <c r="B335" s="4"/>
      <c r="C335" s="9"/>
      <c r="D335" s="10"/>
      <c r="E335" s="13"/>
      <c r="F335" s="10"/>
    </row>
    <row r="336" spans="2:6" x14ac:dyDescent="0.3">
      <c r="B336" s="4"/>
      <c r="C336" s="9"/>
      <c r="D336" s="10"/>
      <c r="E336" s="13"/>
      <c r="F336" s="10"/>
    </row>
    <row r="337" spans="2:6" x14ac:dyDescent="0.3">
      <c r="B337" s="4"/>
      <c r="C337" s="9"/>
      <c r="D337" s="10"/>
      <c r="E337" s="13"/>
      <c r="F337" s="10"/>
    </row>
    <row r="338" spans="2:6" x14ac:dyDescent="0.3">
      <c r="B338" s="4"/>
      <c r="C338" s="9"/>
      <c r="D338" s="10"/>
      <c r="E338" s="13"/>
      <c r="F338" s="10"/>
    </row>
    <row r="339" spans="2:6" x14ac:dyDescent="0.3">
      <c r="B339" s="4"/>
      <c r="C339" s="9"/>
      <c r="D339" s="10"/>
      <c r="E339" s="13"/>
      <c r="F339" s="10"/>
    </row>
    <row r="340" spans="2:6" x14ac:dyDescent="0.3">
      <c r="B340" s="4"/>
      <c r="C340" s="9"/>
      <c r="D340" s="10"/>
      <c r="E340" s="13"/>
      <c r="F340" s="10"/>
    </row>
    <row r="341" spans="2:6" x14ac:dyDescent="0.3">
      <c r="B341" s="4"/>
      <c r="C341" s="9"/>
      <c r="D341" s="10"/>
      <c r="E341" s="13"/>
      <c r="F341" s="10"/>
    </row>
    <row r="342" spans="2:6" x14ac:dyDescent="0.3">
      <c r="B342" s="4"/>
      <c r="C342" s="9"/>
      <c r="D342" s="10"/>
      <c r="E342" s="13"/>
      <c r="F342" s="10"/>
    </row>
    <row r="343" spans="2:6" x14ac:dyDescent="0.3">
      <c r="B343" s="4"/>
      <c r="C343" s="9"/>
      <c r="D343" s="10"/>
      <c r="E343" s="13"/>
      <c r="F343" s="10"/>
    </row>
    <row r="344" spans="2:6" x14ac:dyDescent="0.3">
      <c r="B344" s="4"/>
      <c r="C344" s="9"/>
      <c r="D344" s="10"/>
      <c r="E344" s="13"/>
      <c r="F344" s="10"/>
    </row>
    <row r="345" spans="2:6" x14ac:dyDescent="0.3">
      <c r="B345" s="4"/>
      <c r="C345" s="9"/>
      <c r="D345" s="10"/>
      <c r="E345" s="13"/>
      <c r="F345" s="10"/>
    </row>
    <row r="346" spans="2:6" x14ac:dyDescent="0.3">
      <c r="B346" s="4"/>
      <c r="C346" s="9"/>
      <c r="D346" s="10"/>
      <c r="E346" s="13"/>
      <c r="F346" s="10"/>
    </row>
    <row r="347" spans="2:6" x14ac:dyDescent="0.3">
      <c r="B347" s="4"/>
      <c r="C347" s="9"/>
      <c r="D347" s="10"/>
      <c r="E347" s="13"/>
      <c r="F347" s="10"/>
    </row>
    <row r="348" spans="2:6" x14ac:dyDescent="0.3">
      <c r="B348" s="4"/>
      <c r="C348" s="9"/>
      <c r="D348" s="10"/>
      <c r="E348" s="13"/>
      <c r="F348" s="10"/>
    </row>
    <row r="349" spans="2:6" x14ac:dyDescent="0.3">
      <c r="B349" s="4"/>
      <c r="C349" s="9"/>
      <c r="D349" s="10"/>
      <c r="E349" s="13"/>
      <c r="F349" s="10"/>
    </row>
    <row r="350" spans="2:6" x14ac:dyDescent="0.3">
      <c r="B350" s="4"/>
      <c r="C350" s="9"/>
      <c r="D350" s="10"/>
      <c r="E350" s="13"/>
      <c r="F350" s="10"/>
    </row>
    <row r="351" spans="2:6" x14ac:dyDescent="0.3">
      <c r="B351" s="4"/>
      <c r="C351" s="9"/>
      <c r="D351" s="10"/>
      <c r="E351" s="13"/>
      <c r="F351" s="10"/>
    </row>
    <row r="352" spans="2:6" x14ac:dyDescent="0.3">
      <c r="B352" s="4"/>
      <c r="C352" s="9"/>
      <c r="D352" s="10"/>
      <c r="E352" s="13"/>
      <c r="F352" s="10"/>
    </row>
    <row r="353" spans="2:6" x14ac:dyDescent="0.3">
      <c r="B353" s="4"/>
      <c r="C353" s="9"/>
      <c r="D353" s="10"/>
      <c r="E353" s="13"/>
      <c r="F353" s="10"/>
    </row>
    <row r="354" spans="2:6" x14ac:dyDescent="0.3">
      <c r="B354" s="4"/>
      <c r="C354" s="9"/>
      <c r="D354" s="10"/>
      <c r="E354" s="13"/>
      <c r="F354" s="10"/>
    </row>
    <row r="355" spans="2:6" x14ac:dyDescent="0.3">
      <c r="B355" s="4"/>
      <c r="C355" s="9"/>
      <c r="D355" s="10"/>
      <c r="E355" s="13"/>
      <c r="F355" s="10"/>
    </row>
    <row r="356" spans="2:6" x14ac:dyDescent="0.3">
      <c r="B356" s="4"/>
      <c r="C356" s="9"/>
      <c r="D356" s="10"/>
      <c r="E356" s="13"/>
      <c r="F356" s="10"/>
    </row>
    <row r="357" spans="2:6" x14ac:dyDescent="0.3">
      <c r="B357" s="4"/>
      <c r="C357" s="9"/>
      <c r="D357" s="10"/>
      <c r="E357" s="13"/>
      <c r="F357" s="10"/>
    </row>
    <row r="358" spans="2:6" x14ac:dyDescent="0.3">
      <c r="B358" s="4"/>
      <c r="C358" s="9"/>
      <c r="D358" s="10"/>
      <c r="E358" s="13"/>
      <c r="F358" s="10"/>
    </row>
    <row r="359" spans="2:6" x14ac:dyDescent="0.3">
      <c r="B359" s="4"/>
      <c r="C359" s="9"/>
      <c r="D359" s="10"/>
      <c r="E359" s="13"/>
      <c r="F359" s="10"/>
    </row>
    <row r="360" spans="2:6" x14ac:dyDescent="0.3">
      <c r="B360" s="4"/>
      <c r="C360" s="9"/>
      <c r="D360" s="10"/>
      <c r="E360" s="13"/>
      <c r="F360" s="10"/>
    </row>
    <row r="361" spans="2:6" x14ac:dyDescent="0.3">
      <c r="B361" s="4"/>
      <c r="C361" s="9"/>
      <c r="D361" s="10"/>
      <c r="E361" s="13"/>
      <c r="F361" s="10"/>
    </row>
    <row r="362" spans="2:6" x14ac:dyDescent="0.3">
      <c r="B362" s="4"/>
      <c r="C362" s="9"/>
      <c r="D362" s="10"/>
      <c r="E362" s="13"/>
      <c r="F362" s="10"/>
    </row>
    <row r="363" spans="2:6" x14ac:dyDescent="0.3">
      <c r="B363" s="4"/>
      <c r="C363" s="9"/>
      <c r="D363" s="10"/>
      <c r="E363" s="13"/>
      <c r="F363" s="10"/>
    </row>
    <row r="364" spans="2:6" x14ac:dyDescent="0.3">
      <c r="B364" s="4"/>
      <c r="C364" s="9"/>
      <c r="D364" s="10"/>
      <c r="E364" s="13"/>
      <c r="F364" s="10"/>
    </row>
    <row r="365" spans="2:6" x14ac:dyDescent="0.3">
      <c r="B365" s="4"/>
      <c r="C365" s="9"/>
      <c r="D365" s="10"/>
      <c r="E365" s="13"/>
      <c r="F365" s="10"/>
    </row>
    <row r="366" spans="2:6" x14ac:dyDescent="0.3">
      <c r="B366" s="4"/>
      <c r="C366" s="9"/>
      <c r="D366" s="10"/>
      <c r="E366" s="13"/>
      <c r="F366" s="10"/>
    </row>
    <row r="367" spans="2:6" x14ac:dyDescent="0.3">
      <c r="B367" s="4"/>
      <c r="C367" s="9"/>
      <c r="D367" s="10"/>
      <c r="E367" s="13"/>
      <c r="F367" s="10"/>
    </row>
    <row r="368" spans="2:6" x14ac:dyDescent="0.3">
      <c r="B368" s="4"/>
      <c r="C368" s="9"/>
      <c r="D368" s="10"/>
      <c r="E368" s="13"/>
      <c r="F368" s="10"/>
    </row>
    <row r="369" spans="2:6" x14ac:dyDescent="0.3">
      <c r="B369" s="4"/>
      <c r="C369" s="9"/>
      <c r="D369" s="10"/>
      <c r="E369" s="13"/>
      <c r="F369" s="10"/>
    </row>
    <row r="370" spans="2:6" x14ac:dyDescent="0.3">
      <c r="B370" s="4"/>
      <c r="C370" s="9"/>
      <c r="D370" s="10"/>
      <c r="E370" s="13"/>
      <c r="F370" s="10"/>
    </row>
    <row r="371" spans="2:6" x14ac:dyDescent="0.3">
      <c r="B371" s="4"/>
      <c r="C371" s="9"/>
      <c r="D371" s="10"/>
      <c r="E371" s="13"/>
      <c r="F371" s="10"/>
    </row>
    <row r="372" spans="2:6" x14ac:dyDescent="0.3">
      <c r="B372" s="4"/>
      <c r="C372" s="9"/>
      <c r="D372" s="10"/>
      <c r="E372" s="13"/>
      <c r="F372" s="10"/>
    </row>
    <row r="373" spans="2:6" x14ac:dyDescent="0.3">
      <c r="B373" s="4"/>
      <c r="C373" s="9"/>
      <c r="D373" s="10"/>
      <c r="E373" s="13"/>
      <c r="F373" s="10"/>
    </row>
    <row r="374" spans="2:6" x14ac:dyDescent="0.3">
      <c r="B374" s="4"/>
      <c r="C374" s="9"/>
      <c r="D374" s="10"/>
      <c r="E374" s="13"/>
      <c r="F374" s="10"/>
    </row>
    <row r="375" spans="2:6" x14ac:dyDescent="0.3">
      <c r="B375" s="4"/>
      <c r="C375" s="9"/>
      <c r="D375" s="10"/>
      <c r="E375" s="13"/>
      <c r="F375" s="10"/>
    </row>
    <row r="376" spans="2:6" x14ac:dyDescent="0.3">
      <c r="B376" s="4"/>
      <c r="C376" s="9"/>
      <c r="D376" s="10"/>
      <c r="E376" s="13"/>
      <c r="F376" s="10"/>
    </row>
    <row r="377" spans="2:6" x14ac:dyDescent="0.3">
      <c r="B377" s="4"/>
      <c r="C377" s="9"/>
      <c r="D377" s="10"/>
      <c r="E377" s="13"/>
      <c r="F377" s="10"/>
    </row>
    <row r="378" spans="2:6" x14ac:dyDescent="0.3">
      <c r="B378" s="4"/>
      <c r="C378" s="9"/>
      <c r="D378" s="10"/>
      <c r="E378" s="13"/>
      <c r="F378" s="10"/>
    </row>
    <row r="379" spans="2:6" x14ac:dyDescent="0.3">
      <c r="B379" s="4"/>
      <c r="C379" s="9"/>
      <c r="D379" s="10"/>
      <c r="E379" s="13"/>
      <c r="F379" s="10"/>
    </row>
    <row r="380" spans="2:6" x14ac:dyDescent="0.3">
      <c r="B380" s="4"/>
      <c r="C380" s="9"/>
      <c r="D380" s="10"/>
      <c r="E380" s="13"/>
      <c r="F380" s="10"/>
    </row>
    <row r="381" spans="2:6" x14ac:dyDescent="0.3">
      <c r="B381" s="4"/>
      <c r="C381" s="9"/>
      <c r="D381" s="10"/>
      <c r="E381" s="13"/>
      <c r="F381" s="10"/>
    </row>
    <row r="382" spans="2:6" x14ac:dyDescent="0.3">
      <c r="B382" s="4"/>
      <c r="C382" s="9"/>
      <c r="D382" s="10"/>
      <c r="E382" s="13"/>
      <c r="F382" s="10"/>
    </row>
    <row r="383" spans="2:6" x14ac:dyDescent="0.3">
      <c r="B383" s="4"/>
      <c r="C383" s="9"/>
      <c r="D383" s="10"/>
      <c r="E383" s="13"/>
      <c r="F383" s="10"/>
    </row>
    <row r="384" spans="2:6" x14ac:dyDescent="0.3">
      <c r="B384" s="4"/>
      <c r="C384" s="9"/>
      <c r="D384" s="10"/>
      <c r="E384" s="13"/>
      <c r="F384" s="10"/>
    </row>
    <row r="385" spans="2:6" x14ac:dyDescent="0.3">
      <c r="B385" s="4"/>
      <c r="C385" s="9"/>
      <c r="D385" s="10"/>
      <c r="E385" s="13"/>
      <c r="F385" s="10"/>
    </row>
    <row r="386" spans="2:6" x14ac:dyDescent="0.3">
      <c r="B386" s="4"/>
      <c r="C386" s="9"/>
      <c r="D386" s="10"/>
      <c r="E386" s="13"/>
      <c r="F386" s="10"/>
    </row>
    <row r="387" spans="2:6" x14ac:dyDescent="0.3">
      <c r="B387" s="4"/>
      <c r="C387" s="9"/>
      <c r="D387" s="10"/>
      <c r="E387" s="13"/>
      <c r="F387" s="10"/>
    </row>
    <row r="388" spans="2:6" x14ac:dyDescent="0.3">
      <c r="B388" s="4"/>
      <c r="C388" s="9"/>
      <c r="D388" s="10"/>
      <c r="E388" s="13"/>
      <c r="F388" s="10"/>
    </row>
    <row r="389" spans="2:6" x14ac:dyDescent="0.3">
      <c r="B389" s="4"/>
      <c r="C389" s="9"/>
      <c r="D389" s="10"/>
      <c r="E389" s="13"/>
      <c r="F389" s="10"/>
    </row>
    <row r="390" spans="2:6" x14ac:dyDescent="0.3">
      <c r="B390" s="4"/>
      <c r="C390" s="9"/>
      <c r="D390" s="10"/>
      <c r="E390" s="13"/>
      <c r="F390" s="10"/>
    </row>
    <row r="391" spans="2:6" x14ac:dyDescent="0.3">
      <c r="B391" s="4"/>
      <c r="C391" s="9"/>
      <c r="D391" s="10"/>
      <c r="E391" s="13"/>
      <c r="F391" s="10"/>
    </row>
    <row r="392" spans="2:6" x14ac:dyDescent="0.3">
      <c r="B392" s="4"/>
      <c r="C392" s="9"/>
      <c r="D392" s="10"/>
      <c r="E392" s="13"/>
      <c r="F392" s="10"/>
    </row>
    <row r="393" spans="2:6" x14ac:dyDescent="0.3">
      <c r="B393" s="4"/>
      <c r="C393" s="9"/>
      <c r="D393" s="10"/>
      <c r="E393" s="13"/>
      <c r="F393" s="10"/>
    </row>
    <row r="394" spans="2:6" x14ac:dyDescent="0.3">
      <c r="B394" s="4"/>
      <c r="C394" s="9"/>
      <c r="D394" s="10"/>
      <c r="E394" s="13"/>
      <c r="F394" s="10"/>
    </row>
    <row r="395" spans="2:6" x14ac:dyDescent="0.3">
      <c r="B395" s="4"/>
      <c r="C395" s="9"/>
      <c r="D395" s="10"/>
      <c r="E395" s="13"/>
      <c r="F395" s="10"/>
    </row>
    <row r="396" spans="2:6" x14ac:dyDescent="0.3">
      <c r="B396" s="4"/>
      <c r="C396" s="9"/>
      <c r="D396" s="10"/>
      <c r="E396" s="13"/>
      <c r="F396" s="10"/>
    </row>
    <row r="397" spans="2:6" x14ac:dyDescent="0.3">
      <c r="B397" s="4"/>
      <c r="C397" s="9"/>
      <c r="D397" s="10"/>
      <c r="E397" s="13"/>
      <c r="F397" s="10"/>
    </row>
    <row r="398" spans="2:6" x14ac:dyDescent="0.3">
      <c r="B398" s="4"/>
      <c r="C398" s="9"/>
      <c r="D398" s="10"/>
      <c r="E398" s="13"/>
      <c r="F398" s="10"/>
    </row>
    <row r="399" spans="2:6" x14ac:dyDescent="0.3">
      <c r="B399" s="4"/>
      <c r="C399" s="9"/>
      <c r="D399" s="10"/>
      <c r="E399" s="13"/>
      <c r="F399" s="10"/>
    </row>
    <row r="400" spans="2:6" x14ac:dyDescent="0.3">
      <c r="B400" s="4"/>
      <c r="C400" s="9"/>
      <c r="D400" s="10"/>
      <c r="E400" s="13"/>
      <c r="F400" s="10"/>
    </row>
    <row r="401" spans="2:6" x14ac:dyDescent="0.3">
      <c r="B401" s="4"/>
      <c r="C401" s="9"/>
      <c r="D401" s="10"/>
      <c r="E401" s="13"/>
      <c r="F401" s="10"/>
    </row>
    <row r="402" spans="2:6" x14ac:dyDescent="0.3">
      <c r="B402" s="4"/>
      <c r="C402" s="9"/>
      <c r="D402" s="10"/>
      <c r="E402" s="13"/>
      <c r="F402" s="10"/>
    </row>
    <row r="403" spans="2:6" x14ac:dyDescent="0.3">
      <c r="B403" s="4"/>
      <c r="C403" s="9"/>
      <c r="D403" s="10"/>
      <c r="E403" s="13"/>
      <c r="F403" s="10"/>
    </row>
    <row r="404" spans="2:6" x14ac:dyDescent="0.3">
      <c r="B404" s="4"/>
      <c r="C404" s="9"/>
      <c r="D404" s="10"/>
      <c r="E404" s="13"/>
      <c r="F404" s="10"/>
    </row>
    <row r="405" spans="2:6" x14ac:dyDescent="0.3">
      <c r="B405" s="4"/>
      <c r="C405" s="9"/>
      <c r="D405" s="10"/>
      <c r="E405" s="13"/>
      <c r="F405" s="10"/>
    </row>
    <row r="406" spans="2:6" x14ac:dyDescent="0.3">
      <c r="B406" s="4"/>
      <c r="C406" s="9"/>
      <c r="D406" s="19"/>
      <c r="E406" s="9"/>
      <c r="F406" s="10"/>
    </row>
    <row r="407" spans="2:6" x14ac:dyDescent="0.3">
      <c r="B407" s="4"/>
      <c r="C407" s="9"/>
      <c r="D407" s="19"/>
      <c r="E407" s="9"/>
      <c r="F407" s="10"/>
    </row>
    <row r="408" spans="2:6" x14ac:dyDescent="0.3">
      <c r="B408" s="4"/>
      <c r="C408" s="20"/>
      <c r="D408" s="21"/>
      <c r="E408" s="20"/>
      <c r="F408" s="22"/>
    </row>
    <row r="409" spans="2:6" x14ac:dyDescent="0.3">
      <c r="B409" s="4"/>
      <c r="C409" s="20"/>
      <c r="D409" s="22"/>
      <c r="E409" s="23"/>
      <c r="F409" s="22"/>
    </row>
    <row r="410" spans="2:6" x14ac:dyDescent="0.3">
      <c r="B410" s="4"/>
      <c r="C410" s="20"/>
      <c r="D410" s="22"/>
      <c r="E410" s="23"/>
      <c r="F410" s="22"/>
    </row>
    <row r="411" spans="2:6" x14ac:dyDescent="0.3">
      <c r="B411" s="4"/>
      <c r="C411" s="20"/>
      <c r="D411" s="22"/>
      <c r="E411" s="23"/>
      <c r="F411" s="22"/>
    </row>
    <row r="412" spans="2:6" x14ac:dyDescent="0.3">
      <c r="B412" s="4"/>
      <c r="C412" s="20"/>
      <c r="D412" s="22"/>
      <c r="E412" s="23"/>
      <c r="F412" s="22"/>
    </row>
    <row r="413" spans="2:6" x14ac:dyDescent="0.3">
      <c r="B413" s="4"/>
      <c r="C413" s="20"/>
      <c r="D413" s="22"/>
      <c r="E413" s="23"/>
      <c r="F413" s="22"/>
    </row>
    <row r="414" spans="2:6" x14ac:dyDescent="0.3">
      <c r="B414" s="4"/>
      <c r="C414" s="20"/>
      <c r="D414" s="22"/>
      <c r="E414" s="23"/>
      <c r="F414" s="22"/>
    </row>
    <row r="415" spans="2:6" x14ac:dyDescent="0.3">
      <c r="B415" s="4"/>
      <c r="C415" s="20"/>
      <c r="D415" s="22"/>
      <c r="E415" s="23"/>
      <c r="F415" s="22"/>
    </row>
    <row r="416" spans="2:6" x14ac:dyDescent="0.3">
      <c r="B416" s="4"/>
      <c r="C416" s="20"/>
      <c r="D416" s="22"/>
      <c r="E416" s="23"/>
      <c r="F416" s="22"/>
    </row>
    <row r="417" spans="2:6" x14ac:dyDescent="0.3">
      <c r="B417" s="4"/>
      <c r="C417" s="20"/>
      <c r="D417" s="22"/>
      <c r="E417" s="23"/>
      <c r="F417" s="22"/>
    </row>
    <row r="418" spans="2:6" x14ac:dyDescent="0.3">
      <c r="B418" s="4"/>
      <c r="C418" s="20"/>
      <c r="D418" s="22"/>
      <c r="E418" s="23"/>
      <c r="F418" s="22"/>
    </row>
    <row r="419" spans="2:6" x14ac:dyDescent="0.3">
      <c r="B419" s="4"/>
      <c r="C419" s="20"/>
      <c r="D419" s="22"/>
      <c r="E419" s="23"/>
      <c r="F419" s="22"/>
    </row>
    <row r="420" spans="2:6" x14ac:dyDescent="0.3">
      <c r="B420" s="4"/>
      <c r="C420" s="20"/>
      <c r="D420" s="22"/>
      <c r="E420" s="23"/>
      <c r="F420" s="22"/>
    </row>
    <row r="421" spans="2:6" x14ac:dyDescent="0.3">
      <c r="B421" s="4"/>
      <c r="C421" s="20"/>
      <c r="D421" s="22"/>
      <c r="E421" s="23"/>
      <c r="F421" s="22"/>
    </row>
    <row r="422" spans="2:6" x14ac:dyDescent="0.3">
      <c r="B422" s="4"/>
      <c r="C422" s="20"/>
      <c r="D422" s="22"/>
      <c r="E422" s="23"/>
      <c r="F422" s="22"/>
    </row>
    <row r="423" spans="2:6" x14ac:dyDescent="0.3">
      <c r="B423" s="4"/>
      <c r="C423" s="20"/>
      <c r="D423" s="22"/>
      <c r="E423" s="23"/>
      <c r="F423" s="22"/>
    </row>
    <row r="424" spans="2:6" x14ac:dyDescent="0.3">
      <c r="B424" s="4"/>
      <c r="C424" s="20"/>
      <c r="D424" s="22"/>
      <c r="E424" s="23"/>
      <c r="F424" s="22"/>
    </row>
    <row r="425" spans="2:6" x14ac:dyDescent="0.3">
      <c r="B425" s="4"/>
      <c r="C425" s="20"/>
      <c r="D425" s="22"/>
      <c r="E425" s="23"/>
      <c r="F425" s="22"/>
    </row>
    <row r="426" spans="2:6" x14ac:dyDescent="0.3">
      <c r="B426" s="4"/>
      <c r="C426" s="20"/>
      <c r="D426" s="22"/>
      <c r="E426" s="23"/>
      <c r="F426" s="22"/>
    </row>
    <row r="427" spans="2:6" x14ac:dyDescent="0.3">
      <c r="B427" s="4"/>
      <c r="C427" s="20"/>
      <c r="D427" s="22"/>
      <c r="E427" s="23"/>
      <c r="F427" s="22"/>
    </row>
    <row r="428" spans="2:6" x14ac:dyDescent="0.3">
      <c r="B428" s="4"/>
      <c r="C428" s="20"/>
      <c r="D428" s="22"/>
      <c r="E428" s="23"/>
      <c r="F428" s="22"/>
    </row>
    <row r="429" spans="2:6" x14ac:dyDescent="0.3">
      <c r="B429" s="4"/>
      <c r="C429" s="20"/>
      <c r="D429" s="22"/>
      <c r="E429" s="23"/>
      <c r="F429" s="22"/>
    </row>
    <row r="430" spans="2:6" x14ac:dyDescent="0.3">
      <c r="B430" s="4"/>
      <c r="C430" s="20"/>
      <c r="D430" s="22"/>
      <c r="E430" s="23"/>
      <c r="F430" s="22"/>
    </row>
    <row r="431" spans="2:6" x14ac:dyDescent="0.3">
      <c r="B431" s="4"/>
      <c r="C431" s="20"/>
      <c r="D431" s="22"/>
      <c r="E431" s="23"/>
      <c r="F431" s="22"/>
    </row>
    <row r="432" spans="2:6" x14ac:dyDescent="0.3">
      <c r="B432" s="4"/>
      <c r="C432" s="20"/>
      <c r="D432" s="22"/>
      <c r="E432" s="23"/>
      <c r="F432" s="22"/>
    </row>
    <row r="433" spans="2:6" x14ac:dyDescent="0.3">
      <c r="B433" s="4"/>
      <c r="C433" s="20"/>
      <c r="D433" s="22"/>
      <c r="E433" s="23"/>
      <c r="F433" s="22"/>
    </row>
    <row r="434" spans="2:6" x14ac:dyDescent="0.3">
      <c r="B434" s="4"/>
      <c r="C434" s="20"/>
      <c r="D434" s="22"/>
      <c r="E434" s="23"/>
      <c r="F434" s="22"/>
    </row>
    <row r="435" spans="2:6" x14ac:dyDescent="0.3">
      <c r="B435" s="4"/>
      <c r="C435" s="20"/>
      <c r="D435" s="22"/>
      <c r="E435" s="23"/>
      <c r="F435" s="22"/>
    </row>
    <row r="436" spans="2:6" x14ac:dyDescent="0.3">
      <c r="B436" s="4"/>
      <c r="C436" s="20"/>
      <c r="D436" s="22"/>
      <c r="E436" s="23"/>
      <c r="F436" s="22"/>
    </row>
    <row r="437" spans="2:6" x14ac:dyDescent="0.3">
      <c r="B437" s="4"/>
      <c r="C437" s="20"/>
      <c r="D437" s="22"/>
      <c r="E437" s="23"/>
      <c r="F437" s="22"/>
    </row>
    <row r="438" spans="2:6" x14ac:dyDescent="0.3">
      <c r="B438" s="4"/>
      <c r="C438" s="20"/>
      <c r="D438" s="22"/>
      <c r="E438" s="23"/>
      <c r="F438" s="22"/>
    </row>
    <row r="439" spans="2:6" x14ac:dyDescent="0.3">
      <c r="B439" s="4"/>
      <c r="C439" s="20"/>
      <c r="D439" s="22"/>
      <c r="E439" s="23"/>
      <c r="F439" s="22"/>
    </row>
    <row r="440" spans="2:6" x14ac:dyDescent="0.3">
      <c r="B440" s="4"/>
      <c r="C440" s="20"/>
      <c r="D440" s="22"/>
      <c r="E440" s="23"/>
      <c r="F440" s="22"/>
    </row>
    <row r="441" spans="2:6" x14ac:dyDescent="0.3">
      <c r="B441" s="4"/>
      <c r="C441" s="20"/>
      <c r="D441" s="22"/>
      <c r="E441" s="23"/>
      <c r="F441" s="22"/>
    </row>
    <row r="442" spans="2:6" x14ac:dyDescent="0.3">
      <c r="B442" s="4"/>
      <c r="C442" s="20"/>
      <c r="D442" s="22"/>
      <c r="E442" s="23"/>
      <c r="F442" s="22"/>
    </row>
    <row r="443" spans="2:6" x14ac:dyDescent="0.3">
      <c r="B443" s="4"/>
      <c r="C443" s="20"/>
      <c r="D443" s="22"/>
      <c r="E443" s="23"/>
      <c r="F443" s="22"/>
    </row>
    <row r="444" spans="2:6" x14ac:dyDescent="0.3">
      <c r="B444" s="4"/>
      <c r="C444" s="20"/>
      <c r="D444" s="22"/>
      <c r="E444" s="23"/>
      <c r="F444" s="22"/>
    </row>
    <row r="445" spans="2:6" x14ac:dyDescent="0.3">
      <c r="B445" s="4"/>
      <c r="C445" s="20"/>
      <c r="D445" s="22"/>
      <c r="E445" s="23"/>
      <c r="F445" s="22"/>
    </row>
    <row r="446" spans="2:6" x14ac:dyDescent="0.3">
      <c r="B446" s="4"/>
      <c r="C446" s="20"/>
      <c r="D446" s="22"/>
      <c r="E446" s="23"/>
      <c r="F446" s="22"/>
    </row>
    <row r="447" spans="2:6" x14ac:dyDescent="0.3">
      <c r="B447" s="4"/>
      <c r="C447" s="20"/>
      <c r="D447" s="22"/>
      <c r="E447" s="23"/>
      <c r="F447" s="22"/>
    </row>
    <row r="448" spans="2:6" x14ac:dyDescent="0.3">
      <c r="B448" s="4"/>
      <c r="C448" s="20"/>
      <c r="D448" s="22"/>
      <c r="E448" s="23"/>
      <c r="F448" s="22"/>
    </row>
    <row r="449" spans="2:6" x14ac:dyDescent="0.3">
      <c r="B449" s="4"/>
      <c r="C449" s="20"/>
      <c r="D449" s="22"/>
      <c r="E449" s="23"/>
      <c r="F449" s="22"/>
    </row>
    <row r="450" spans="2:6" x14ac:dyDescent="0.3">
      <c r="B450" s="4"/>
      <c r="C450" s="20"/>
      <c r="D450" s="22"/>
      <c r="E450" s="23"/>
      <c r="F450" s="22"/>
    </row>
    <row r="451" spans="2:6" x14ac:dyDescent="0.3">
      <c r="B451" s="4"/>
      <c r="C451" s="20"/>
      <c r="D451" s="22"/>
      <c r="E451" s="23"/>
      <c r="F451" s="22"/>
    </row>
    <row r="452" spans="2:6" x14ac:dyDescent="0.3">
      <c r="B452" s="4"/>
      <c r="C452" s="20"/>
      <c r="D452" s="22"/>
      <c r="E452" s="23"/>
      <c r="F452" s="22"/>
    </row>
    <row r="453" spans="2:6" x14ac:dyDescent="0.3">
      <c r="B453" s="4"/>
      <c r="C453" s="20"/>
      <c r="D453" s="22"/>
      <c r="E453" s="23"/>
      <c r="F453" s="22"/>
    </row>
    <row r="454" spans="2:6" x14ac:dyDescent="0.3">
      <c r="B454" s="4"/>
      <c r="C454" s="20"/>
      <c r="D454" s="22"/>
      <c r="E454" s="23"/>
      <c r="F454" s="22"/>
    </row>
    <row r="455" spans="2:6" x14ac:dyDescent="0.3">
      <c r="B455" s="4"/>
      <c r="C455" s="20"/>
      <c r="D455" s="22"/>
      <c r="E455" s="23"/>
      <c r="F455" s="22"/>
    </row>
    <row r="456" spans="2:6" x14ac:dyDescent="0.3">
      <c r="B456" s="4"/>
      <c r="C456" s="20"/>
      <c r="D456" s="22"/>
      <c r="E456" s="23"/>
      <c r="F456" s="22"/>
    </row>
    <row r="457" spans="2:6" x14ac:dyDescent="0.3">
      <c r="B457" s="4"/>
      <c r="C457" s="20"/>
      <c r="D457" s="22"/>
      <c r="E457" s="23"/>
      <c r="F457" s="22"/>
    </row>
    <row r="458" spans="2:6" x14ac:dyDescent="0.3">
      <c r="B458" s="4"/>
      <c r="C458" s="20"/>
      <c r="D458" s="22"/>
      <c r="E458" s="23"/>
      <c r="F458" s="22"/>
    </row>
    <row r="459" spans="2:6" x14ac:dyDescent="0.3">
      <c r="B459" s="4"/>
      <c r="C459" s="20"/>
      <c r="D459" s="22"/>
      <c r="E459" s="23"/>
      <c r="F459" s="22"/>
    </row>
    <row r="460" spans="2:6" x14ac:dyDescent="0.3">
      <c r="B460" s="4"/>
      <c r="C460" s="20"/>
      <c r="D460" s="22"/>
      <c r="E460" s="23"/>
      <c r="F460" s="22"/>
    </row>
    <row r="461" spans="2:6" x14ac:dyDescent="0.3">
      <c r="B461" s="4"/>
      <c r="C461" s="20"/>
      <c r="D461" s="22"/>
      <c r="E461" s="23"/>
      <c r="F461" s="22"/>
    </row>
    <row r="462" spans="2:6" x14ac:dyDescent="0.3">
      <c r="B462" s="4"/>
      <c r="C462" s="20"/>
      <c r="D462" s="22"/>
      <c r="E462" s="23"/>
      <c r="F462" s="22"/>
    </row>
    <row r="463" spans="2:6" x14ac:dyDescent="0.3">
      <c r="B463" s="4"/>
      <c r="C463" s="20"/>
      <c r="D463" s="22"/>
      <c r="E463" s="23"/>
      <c r="F463" s="22"/>
    </row>
    <row r="464" spans="2:6" x14ac:dyDescent="0.3">
      <c r="B464" s="4"/>
      <c r="C464" s="20"/>
      <c r="D464" s="22"/>
      <c r="E464" s="23"/>
      <c r="F464" s="22"/>
    </row>
    <row r="465" spans="2:6" x14ac:dyDescent="0.3">
      <c r="B465" s="4"/>
      <c r="C465" s="20"/>
      <c r="D465" s="22"/>
      <c r="E465" s="23"/>
      <c r="F465" s="22"/>
    </row>
    <row r="466" spans="2:6" x14ac:dyDescent="0.3">
      <c r="B466" s="4"/>
      <c r="C466" s="20"/>
      <c r="D466" s="22"/>
      <c r="E466" s="23"/>
      <c r="F466" s="22"/>
    </row>
    <row r="467" spans="2:6" x14ac:dyDescent="0.3">
      <c r="B467" s="4"/>
      <c r="C467" s="20"/>
      <c r="D467" s="22"/>
      <c r="E467" s="23"/>
      <c r="F467" s="22"/>
    </row>
    <row r="468" spans="2:6" x14ac:dyDescent="0.3">
      <c r="B468" s="4"/>
      <c r="C468" s="20"/>
      <c r="D468" s="22"/>
      <c r="E468" s="23"/>
      <c r="F468" s="22"/>
    </row>
    <row r="469" spans="2:6" x14ac:dyDescent="0.3">
      <c r="B469" s="4"/>
      <c r="C469" s="20"/>
      <c r="D469" s="22"/>
      <c r="E469" s="23"/>
      <c r="F469" s="22"/>
    </row>
    <row r="470" spans="2:6" x14ac:dyDescent="0.3">
      <c r="B470" s="4"/>
      <c r="C470" s="20"/>
      <c r="D470" s="22"/>
      <c r="E470" s="23"/>
      <c r="F470" s="22"/>
    </row>
    <row r="471" spans="2:6" x14ac:dyDescent="0.3">
      <c r="B471" s="4"/>
      <c r="C471" s="20"/>
      <c r="D471" s="22"/>
      <c r="E471" s="23"/>
      <c r="F471" s="22"/>
    </row>
    <row r="472" spans="2:6" x14ac:dyDescent="0.3">
      <c r="B472" s="4"/>
      <c r="C472" s="20"/>
      <c r="D472" s="22"/>
      <c r="E472" s="23"/>
      <c r="F472" s="22"/>
    </row>
    <row r="473" spans="2:6" x14ac:dyDescent="0.3">
      <c r="B473" s="4"/>
      <c r="C473" s="20"/>
      <c r="D473" s="22"/>
      <c r="E473" s="23"/>
      <c r="F473" s="22"/>
    </row>
    <row r="474" spans="2:6" x14ac:dyDescent="0.3">
      <c r="B474" s="4"/>
      <c r="C474" s="20"/>
      <c r="D474" s="22"/>
      <c r="E474" s="23"/>
      <c r="F474" s="22"/>
    </row>
    <row r="475" spans="2:6" x14ac:dyDescent="0.3">
      <c r="B475" s="4"/>
      <c r="C475" s="20"/>
      <c r="D475" s="22"/>
      <c r="E475" s="23"/>
      <c r="F475" s="22"/>
    </row>
    <row r="476" spans="2:6" x14ac:dyDescent="0.3">
      <c r="B476" s="4"/>
      <c r="C476" s="20"/>
      <c r="D476" s="22"/>
      <c r="E476" s="23"/>
      <c r="F476" s="22"/>
    </row>
    <row r="477" spans="2:6" x14ac:dyDescent="0.3">
      <c r="B477" s="4"/>
      <c r="C477" s="20"/>
      <c r="D477" s="22"/>
      <c r="E477" s="23"/>
      <c r="F477" s="22"/>
    </row>
    <row r="478" spans="2:6" x14ac:dyDescent="0.3">
      <c r="B478" s="4"/>
      <c r="C478" s="20"/>
      <c r="D478" s="22"/>
      <c r="E478" s="23"/>
      <c r="F478" s="22"/>
    </row>
    <row r="479" spans="2:6" x14ac:dyDescent="0.3">
      <c r="B479" s="4"/>
      <c r="C479" s="20"/>
      <c r="D479" s="22"/>
      <c r="E479" s="23"/>
      <c r="F479" s="22"/>
    </row>
    <row r="480" spans="2:6" x14ac:dyDescent="0.3">
      <c r="B480" s="4"/>
      <c r="C480" s="20"/>
      <c r="D480" s="22"/>
      <c r="E480" s="23"/>
      <c r="F480" s="22"/>
    </row>
    <row r="481" spans="2:6" x14ac:dyDescent="0.3">
      <c r="B481" s="4"/>
      <c r="C481" s="20"/>
      <c r="D481" s="22"/>
      <c r="E481" s="23"/>
      <c r="F481" s="22"/>
    </row>
    <row r="482" spans="2:6" x14ac:dyDescent="0.3">
      <c r="B482" s="4"/>
      <c r="C482" s="20"/>
      <c r="D482" s="22"/>
      <c r="E482" s="23"/>
      <c r="F482" s="22"/>
    </row>
    <row r="483" spans="2:6" x14ac:dyDescent="0.3">
      <c r="B483" s="4"/>
      <c r="C483" s="20"/>
      <c r="D483" s="22"/>
      <c r="E483" s="23"/>
      <c r="F483" s="22"/>
    </row>
    <row r="484" spans="2:6" x14ac:dyDescent="0.3">
      <c r="B484" s="4"/>
      <c r="C484" s="20"/>
      <c r="D484" s="22"/>
      <c r="E484" s="23"/>
      <c r="F484" s="22"/>
    </row>
    <row r="485" spans="2:6" x14ac:dyDescent="0.3">
      <c r="B485" s="4"/>
      <c r="C485" s="20"/>
      <c r="D485" s="22"/>
      <c r="E485" s="23"/>
      <c r="F485" s="22"/>
    </row>
    <row r="486" spans="2:6" x14ac:dyDescent="0.3">
      <c r="B486" s="4"/>
      <c r="C486" s="20"/>
      <c r="D486" s="22"/>
      <c r="E486" s="23"/>
      <c r="F486" s="22"/>
    </row>
    <row r="487" spans="2:6" x14ac:dyDescent="0.3">
      <c r="B487" s="4"/>
      <c r="C487" s="20"/>
      <c r="D487" s="22"/>
      <c r="E487" s="23"/>
      <c r="F487" s="22"/>
    </row>
    <row r="488" spans="2:6" x14ac:dyDescent="0.3">
      <c r="B488" s="4"/>
      <c r="C488" s="20"/>
      <c r="D488" s="22"/>
      <c r="E488" s="23"/>
      <c r="F488" s="22"/>
    </row>
    <row r="489" spans="2:6" x14ac:dyDescent="0.3">
      <c r="B489" s="4"/>
      <c r="C489" s="20"/>
      <c r="D489" s="22"/>
      <c r="E489" s="23"/>
      <c r="F489" s="22"/>
    </row>
    <row r="490" spans="2:6" x14ac:dyDescent="0.3">
      <c r="B490" s="4"/>
      <c r="C490" s="20"/>
      <c r="D490" s="22"/>
      <c r="E490" s="23"/>
      <c r="F490" s="22"/>
    </row>
    <row r="491" spans="2:6" x14ac:dyDescent="0.3">
      <c r="B491" s="4"/>
      <c r="C491" s="20"/>
      <c r="D491" s="22"/>
      <c r="E491" s="23"/>
      <c r="F491" s="22"/>
    </row>
    <row r="492" spans="2:6" x14ac:dyDescent="0.3">
      <c r="B492" s="4"/>
      <c r="C492" s="20"/>
      <c r="D492" s="22"/>
      <c r="E492" s="23"/>
      <c r="F492" s="22"/>
    </row>
    <row r="493" spans="2:6" x14ac:dyDescent="0.3">
      <c r="B493" s="4"/>
      <c r="C493" s="20"/>
      <c r="D493" s="22"/>
      <c r="E493" s="23"/>
      <c r="F493" s="22"/>
    </row>
    <row r="494" spans="2:6" x14ac:dyDescent="0.3">
      <c r="B494" s="4"/>
      <c r="C494" s="20"/>
      <c r="D494" s="22"/>
      <c r="E494" s="23"/>
      <c r="F494" s="22"/>
    </row>
    <row r="495" spans="2:6" x14ac:dyDescent="0.3">
      <c r="B495" s="4"/>
      <c r="C495" s="20"/>
      <c r="D495" s="22"/>
      <c r="E495" s="23"/>
      <c r="F495" s="22"/>
    </row>
    <row r="496" spans="2:6" x14ac:dyDescent="0.3">
      <c r="B496" s="4"/>
      <c r="C496" s="20"/>
      <c r="D496" s="22"/>
      <c r="E496" s="23"/>
      <c r="F496" s="22"/>
    </row>
    <row r="497" spans="2:6" x14ac:dyDescent="0.3">
      <c r="B497" s="4"/>
      <c r="C497" s="20"/>
      <c r="D497" s="22"/>
      <c r="E497" s="23"/>
      <c r="F497" s="22"/>
    </row>
    <row r="498" spans="2:6" x14ac:dyDescent="0.3">
      <c r="B498" s="4"/>
      <c r="C498" s="20"/>
      <c r="D498" s="22"/>
      <c r="E498" s="23"/>
      <c r="F498" s="22"/>
    </row>
    <row r="499" spans="2:6" x14ac:dyDescent="0.3">
      <c r="B499" s="4"/>
      <c r="C499" s="20"/>
      <c r="D499" s="22"/>
      <c r="E499" s="23"/>
      <c r="F499" s="22"/>
    </row>
    <row r="500" spans="2:6" x14ac:dyDescent="0.3">
      <c r="B500" s="4"/>
      <c r="C500" s="20"/>
      <c r="D500" s="22"/>
      <c r="E500" s="23"/>
      <c r="F500" s="22"/>
    </row>
    <row r="501" spans="2:6" x14ac:dyDescent="0.3">
      <c r="B501" s="4"/>
      <c r="C501" s="20"/>
      <c r="D501" s="22"/>
      <c r="E501" s="23"/>
      <c r="F501" s="22"/>
    </row>
    <row r="502" spans="2:6" x14ac:dyDescent="0.3">
      <c r="B502" s="4"/>
      <c r="C502" s="20"/>
      <c r="D502" s="22"/>
      <c r="E502" s="23"/>
      <c r="F502" s="22"/>
    </row>
    <row r="503" spans="2:6" x14ac:dyDescent="0.3">
      <c r="B503" s="4"/>
      <c r="C503" s="20"/>
      <c r="D503" s="22"/>
      <c r="E503" s="23"/>
      <c r="F503" s="22"/>
    </row>
    <row r="504" spans="2:6" x14ac:dyDescent="0.3">
      <c r="B504" s="4"/>
      <c r="C504" s="20"/>
      <c r="D504" s="22"/>
      <c r="E504" s="23"/>
      <c r="F504" s="22"/>
    </row>
    <row r="505" spans="2:6" x14ac:dyDescent="0.3">
      <c r="B505" s="4"/>
      <c r="C505" s="20"/>
      <c r="D505" s="22"/>
      <c r="E505" s="23"/>
      <c r="F505" s="22"/>
    </row>
    <row r="506" spans="2:6" x14ac:dyDescent="0.3">
      <c r="B506" s="4"/>
      <c r="C506" s="20"/>
      <c r="D506" s="22"/>
      <c r="E506" s="23"/>
      <c r="F506" s="22"/>
    </row>
    <row r="507" spans="2:6" x14ac:dyDescent="0.3">
      <c r="B507" s="4"/>
      <c r="C507" s="20"/>
      <c r="D507" s="22"/>
      <c r="E507" s="23"/>
      <c r="F507" s="22"/>
    </row>
    <row r="508" spans="2:6" x14ac:dyDescent="0.3">
      <c r="B508" s="4"/>
      <c r="C508" s="20"/>
      <c r="D508" s="22"/>
      <c r="E508" s="23"/>
      <c r="F508" s="22"/>
    </row>
    <row r="509" spans="2:6" x14ac:dyDescent="0.3">
      <c r="B509" s="4"/>
      <c r="C509" s="20"/>
      <c r="D509" s="22"/>
      <c r="E509" s="23"/>
      <c r="F509" s="22"/>
    </row>
    <row r="510" spans="2:6" x14ac:dyDescent="0.3">
      <c r="B510" s="4"/>
      <c r="C510" s="20"/>
      <c r="D510" s="22"/>
      <c r="E510" s="23"/>
      <c r="F510" s="22"/>
    </row>
    <row r="511" spans="2:6" x14ac:dyDescent="0.3">
      <c r="B511" s="4"/>
      <c r="C511" s="20"/>
      <c r="D511" s="22"/>
      <c r="E511" s="23"/>
      <c r="F511" s="22"/>
    </row>
    <row r="512" spans="2:6" x14ac:dyDescent="0.3">
      <c r="B512" s="4"/>
      <c r="C512" s="20"/>
      <c r="D512" s="22"/>
      <c r="E512" s="23"/>
      <c r="F512" s="22"/>
    </row>
    <row r="513" spans="2:6" x14ac:dyDescent="0.3">
      <c r="B513" s="4"/>
      <c r="C513" s="20"/>
      <c r="D513" s="22"/>
      <c r="E513" s="23"/>
      <c r="F513" s="22"/>
    </row>
    <row r="514" spans="2:6" x14ac:dyDescent="0.3">
      <c r="B514" s="4"/>
      <c r="C514" s="20"/>
      <c r="D514" s="22"/>
      <c r="E514" s="23"/>
      <c r="F514" s="22"/>
    </row>
    <row r="515" spans="2:6" x14ac:dyDescent="0.3">
      <c r="B515" s="4"/>
      <c r="C515" s="20"/>
      <c r="D515" s="22"/>
      <c r="E515" s="23"/>
      <c r="F515" s="22"/>
    </row>
    <row r="516" spans="2:6" x14ac:dyDescent="0.3">
      <c r="B516" s="4"/>
      <c r="C516" s="20"/>
      <c r="D516" s="22"/>
      <c r="E516" s="23"/>
      <c r="F516" s="22"/>
    </row>
    <row r="517" spans="2:6" x14ac:dyDescent="0.3">
      <c r="B517" s="4"/>
      <c r="C517" s="20"/>
      <c r="D517" s="22"/>
      <c r="E517" s="23"/>
      <c r="F517" s="22"/>
    </row>
    <row r="518" spans="2:6" x14ac:dyDescent="0.3">
      <c r="B518" s="4"/>
      <c r="C518" s="20"/>
      <c r="D518" s="22"/>
      <c r="E518" s="23"/>
      <c r="F518" s="22"/>
    </row>
    <row r="519" spans="2:6" x14ac:dyDescent="0.3">
      <c r="B519" s="4"/>
      <c r="C519" s="20"/>
      <c r="D519" s="22"/>
      <c r="E519" s="23"/>
      <c r="F519" s="22"/>
    </row>
    <row r="520" spans="2:6" x14ac:dyDescent="0.3">
      <c r="B520" s="4"/>
      <c r="C520" s="20"/>
      <c r="D520" s="22"/>
      <c r="E520" s="23"/>
      <c r="F520" s="22"/>
    </row>
    <row r="521" spans="2:6" x14ac:dyDescent="0.3">
      <c r="B521" s="4"/>
      <c r="C521" s="20"/>
      <c r="D521" s="22"/>
      <c r="E521" s="23"/>
      <c r="F521" s="22"/>
    </row>
    <row r="522" spans="2:6" x14ac:dyDescent="0.3">
      <c r="B522" s="4"/>
      <c r="C522" s="20"/>
      <c r="D522" s="22"/>
      <c r="E522" s="23"/>
      <c r="F522" s="22"/>
    </row>
    <row r="523" spans="2:6" x14ac:dyDescent="0.3">
      <c r="B523" s="4"/>
      <c r="C523" s="20"/>
      <c r="D523" s="22"/>
      <c r="E523" s="23"/>
      <c r="F523" s="22"/>
    </row>
    <row r="524" spans="2:6" x14ac:dyDescent="0.3">
      <c r="B524" s="4"/>
      <c r="C524" s="20"/>
      <c r="D524" s="22"/>
      <c r="E524" s="23"/>
      <c r="F524" s="22"/>
    </row>
    <row r="525" spans="2:6" x14ac:dyDescent="0.3">
      <c r="B525" s="4"/>
      <c r="C525" s="20"/>
      <c r="D525" s="22"/>
      <c r="E525" s="23"/>
      <c r="F525" s="22"/>
    </row>
    <row r="526" spans="2:6" x14ac:dyDescent="0.3">
      <c r="B526" s="4"/>
      <c r="C526" s="20"/>
      <c r="D526" s="22"/>
      <c r="E526" s="23"/>
      <c r="F526" s="22"/>
    </row>
    <row r="527" spans="2:6" x14ac:dyDescent="0.3">
      <c r="B527" s="4"/>
      <c r="C527" s="20"/>
      <c r="D527" s="22"/>
      <c r="E527" s="23"/>
      <c r="F527" s="22"/>
    </row>
    <row r="528" spans="2:6" x14ac:dyDescent="0.3">
      <c r="B528" s="4"/>
      <c r="C528" s="20"/>
      <c r="D528" s="22"/>
      <c r="E528" s="23"/>
      <c r="F528" s="22"/>
    </row>
    <row r="529" spans="2:6" x14ac:dyDescent="0.3">
      <c r="B529" s="4"/>
      <c r="C529" s="20"/>
      <c r="D529" s="22"/>
      <c r="E529" s="23"/>
      <c r="F529" s="22"/>
    </row>
    <row r="530" spans="2:6" x14ac:dyDescent="0.3">
      <c r="B530" s="4"/>
      <c r="C530" s="20"/>
      <c r="D530" s="22"/>
      <c r="E530" s="23"/>
      <c r="F530" s="22"/>
    </row>
    <row r="531" spans="2:6" x14ac:dyDescent="0.3">
      <c r="B531" s="4"/>
      <c r="C531" s="20"/>
      <c r="D531" s="22"/>
      <c r="E531" s="23"/>
      <c r="F531" s="22"/>
    </row>
    <row r="532" spans="2:6" x14ac:dyDescent="0.3">
      <c r="B532" s="4"/>
      <c r="C532" s="20"/>
      <c r="D532" s="22"/>
      <c r="E532" s="23"/>
      <c r="F532" s="22"/>
    </row>
    <row r="533" spans="2:6" x14ac:dyDescent="0.3">
      <c r="B533" s="4"/>
      <c r="C533" s="20"/>
      <c r="D533" s="22"/>
      <c r="E533" s="23"/>
      <c r="F533" s="22"/>
    </row>
    <row r="534" spans="2:6" x14ac:dyDescent="0.3">
      <c r="B534" s="4"/>
      <c r="C534" s="20"/>
      <c r="D534" s="22"/>
      <c r="E534" s="23"/>
      <c r="F534" s="22"/>
    </row>
    <row r="535" spans="2:6" x14ac:dyDescent="0.3">
      <c r="B535" s="4"/>
      <c r="C535" s="20"/>
      <c r="D535" s="22"/>
      <c r="E535" s="23"/>
      <c r="F535" s="22"/>
    </row>
    <row r="536" spans="2:6" x14ac:dyDescent="0.3">
      <c r="B536" s="4"/>
      <c r="C536" s="20"/>
      <c r="D536" s="22"/>
      <c r="E536" s="23"/>
      <c r="F536" s="22"/>
    </row>
    <row r="537" spans="2:6" x14ac:dyDescent="0.3">
      <c r="B537" s="4"/>
      <c r="C537" s="20"/>
      <c r="D537" s="22"/>
      <c r="E537" s="23"/>
      <c r="F537" s="22"/>
    </row>
    <row r="538" spans="2:6" x14ac:dyDescent="0.3">
      <c r="B538" s="4"/>
      <c r="C538" s="20"/>
      <c r="D538" s="22"/>
      <c r="E538" s="23"/>
      <c r="F538" s="22"/>
    </row>
    <row r="539" spans="2:6" x14ac:dyDescent="0.3">
      <c r="B539" s="4"/>
      <c r="C539" s="20"/>
      <c r="D539" s="22"/>
      <c r="E539" s="23"/>
      <c r="F539" s="22"/>
    </row>
    <row r="540" spans="2:6" x14ac:dyDescent="0.3">
      <c r="B540" s="4"/>
      <c r="C540" s="20"/>
      <c r="D540" s="22"/>
      <c r="E540" s="23"/>
      <c r="F540" s="22"/>
    </row>
    <row r="541" spans="2:6" x14ac:dyDescent="0.3">
      <c r="B541" s="4"/>
      <c r="C541" s="20"/>
      <c r="D541" s="22"/>
      <c r="E541" s="23"/>
      <c r="F541" s="22"/>
    </row>
    <row r="542" spans="2:6" x14ac:dyDescent="0.3">
      <c r="B542" s="4"/>
      <c r="C542" s="20"/>
      <c r="D542" s="22"/>
      <c r="E542" s="23"/>
      <c r="F542" s="22"/>
    </row>
    <row r="543" spans="2:6" x14ac:dyDescent="0.3">
      <c r="B543" s="4"/>
      <c r="C543" s="20"/>
      <c r="D543" s="22"/>
      <c r="E543" s="23"/>
      <c r="F543" s="22"/>
    </row>
    <row r="544" spans="2:6" x14ac:dyDescent="0.3">
      <c r="B544" s="4"/>
      <c r="C544" s="20"/>
      <c r="D544" s="22"/>
      <c r="E544" s="23"/>
      <c r="F544" s="22"/>
    </row>
    <row r="545" spans="2:6" x14ac:dyDescent="0.3">
      <c r="B545" s="4"/>
      <c r="C545" s="20"/>
      <c r="D545" s="22"/>
      <c r="E545" s="23"/>
      <c r="F545" s="22"/>
    </row>
    <row r="546" spans="2:6" x14ac:dyDescent="0.3">
      <c r="B546" s="4"/>
      <c r="C546" s="20"/>
      <c r="D546" s="22"/>
      <c r="E546" s="23"/>
      <c r="F546" s="22"/>
    </row>
    <row r="547" spans="2:6" x14ac:dyDescent="0.3">
      <c r="B547" s="4"/>
      <c r="C547" s="20"/>
      <c r="D547" s="22"/>
      <c r="E547" s="23"/>
      <c r="F547" s="22"/>
    </row>
    <row r="548" spans="2:6" x14ac:dyDescent="0.3">
      <c r="B548" s="4"/>
      <c r="C548" s="20"/>
      <c r="D548" s="22"/>
      <c r="E548" s="23"/>
      <c r="F548" s="22"/>
    </row>
    <row r="549" spans="2:6" x14ac:dyDescent="0.3">
      <c r="B549" s="4"/>
      <c r="C549" s="20"/>
      <c r="D549" s="22"/>
      <c r="E549" s="23"/>
      <c r="F549" s="22"/>
    </row>
    <row r="550" spans="2:6" x14ac:dyDescent="0.3">
      <c r="B550" s="4"/>
      <c r="C550" s="20"/>
      <c r="D550" s="22"/>
      <c r="E550" s="23"/>
      <c r="F550" s="22"/>
    </row>
    <row r="551" spans="2:6" x14ac:dyDescent="0.3">
      <c r="B551" s="4"/>
      <c r="C551" s="20"/>
      <c r="D551" s="22"/>
      <c r="E551" s="23"/>
      <c r="F551" s="22"/>
    </row>
    <row r="552" spans="2:6" x14ac:dyDescent="0.3">
      <c r="B552" s="4"/>
      <c r="C552" s="20"/>
      <c r="D552" s="22"/>
      <c r="E552" s="23"/>
      <c r="F552" s="22"/>
    </row>
    <row r="553" spans="2:6" x14ac:dyDescent="0.3">
      <c r="B553" s="4"/>
      <c r="C553" s="20"/>
      <c r="D553" s="22"/>
      <c r="E553" s="23"/>
      <c r="F553" s="22"/>
    </row>
    <row r="554" spans="2:6" x14ac:dyDescent="0.3">
      <c r="B554" s="4"/>
      <c r="C554" s="20"/>
      <c r="D554" s="22"/>
      <c r="E554" s="23"/>
      <c r="F554" s="22"/>
    </row>
    <row r="555" spans="2:6" x14ac:dyDescent="0.3">
      <c r="B555" s="4"/>
      <c r="C555" s="20"/>
      <c r="D555" s="22"/>
      <c r="E555" s="23"/>
      <c r="F555" s="22"/>
    </row>
    <row r="556" spans="2:6" x14ac:dyDescent="0.3">
      <c r="B556" s="4"/>
      <c r="C556" s="20"/>
      <c r="D556" s="22"/>
      <c r="E556" s="23"/>
      <c r="F556" s="22"/>
    </row>
    <row r="557" spans="2:6" x14ac:dyDescent="0.3">
      <c r="B557" s="4"/>
      <c r="C557" s="20"/>
      <c r="D557" s="22"/>
      <c r="E557" s="23"/>
      <c r="F557" s="22"/>
    </row>
    <row r="558" spans="2:6" x14ac:dyDescent="0.3">
      <c r="B558" s="4"/>
      <c r="C558" s="20"/>
      <c r="D558" s="22"/>
      <c r="E558" s="23"/>
      <c r="F558" s="22"/>
    </row>
    <row r="559" spans="2:6" x14ac:dyDescent="0.3">
      <c r="B559" s="4"/>
      <c r="C559" s="20"/>
      <c r="D559" s="22"/>
      <c r="E559" s="23"/>
      <c r="F559" s="22"/>
    </row>
    <row r="560" spans="2:6" x14ac:dyDescent="0.3">
      <c r="B560" s="4"/>
      <c r="C560" s="20"/>
      <c r="D560" s="22"/>
      <c r="E560" s="23"/>
      <c r="F560" s="22"/>
    </row>
    <row r="561" spans="2:6" x14ac:dyDescent="0.3">
      <c r="B561" s="4"/>
      <c r="C561" s="20"/>
      <c r="D561" s="22"/>
      <c r="E561" s="23"/>
      <c r="F561" s="22"/>
    </row>
    <row r="562" spans="2:6" x14ac:dyDescent="0.3">
      <c r="B562" s="4"/>
      <c r="C562" s="20"/>
      <c r="D562" s="22"/>
      <c r="E562" s="23"/>
      <c r="F562" s="22"/>
    </row>
    <row r="563" spans="2:6" x14ac:dyDescent="0.3">
      <c r="B563" s="4"/>
      <c r="C563" s="20"/>
      <c r="D563" s="22"/>
      <c r="E563" s="23"/>
      <c r="F563" s="22"/>
    </row>
    <row r="564" spans="2:6" x14ac:dyDescent="0.3">
      <c r="B564" s="4"/>
      <c r="C564" s="20"/>
      <c r="D564" s="22"/>
      <c r="E564" s="23"/>
      <c r="F564" s="22"/>
    </row>
    <row r="565" spans="2:6" x14ac:dyDescent="0.3">
      <c r="B565" s="4"/>
      <c r="C565" s="20"/>
      <c r="D565" s="22"/>
      <c r="E565" s="23"/>
      <c r="F565" s="22"/>
    </row>
    <row r="566" spans="2:6" x14ac:dyDescent="0.3">
      <c r="B566" s="4"/>
      <c r="C566" s="20"/>
      <c r="D566" s="22"/>
      <c r="E566" s="23"/>
      <c r="F566" s="22"/>
    </row>
    <row r="567" spans="2:6" x14ac:dyDescent="0.3">
      <c r="B567" s="4"/>
      <c r="C567" s="20"/>
      <c r="D567" s="22"/>
      <c r="E567" s="23"/>
      <c r="F567" s="22"/>
    </row>
    <row r="568" spans="2:6" x14ac:dyDescent="0.3">
      <c r="B568" s="4"/>
      <c r="C568" s="20"/>
      <c r="D568" s="22"/>
      <c r="E568" s="23"/>
      <c r="F568" s="22"/>
    </row>
    <row r="569" spans="2:6" x14ac:dyDescent="0.3">
      <c r="B569" s="4"/>
      <c r="C569" s="20"/>
      <c r="D569" s="22"/>
      <c r="E569" s="23"/>
      <c r="F569" s="22"/>
    </row>
    <row r="570" spans="2:6" x14ac:dyDescent="0.3">
      <c r="B570" s="4"/>
      <c r="C570" s="20"/>
      <c r="D570" s="22"/>
      <c r="E570" s="23"/>
      <c r="F570" s="22"/>
    </row>
    <row r="571" spans="2:6" x14ac:dyDescent="0.3">
      <c r="B571" s="4"/>
      <c r="C571" s="20"/>
      <c r="D571" s="22"/>
      <c r="E571" s="23"/>
      <c r="F571" s="22"/>
    </row>
    <row r="572" spans="2:6" x14ac:dyDescent="0.3">
      <c r="B572" s="4"/>
      <c r="C572" s="20"/>
      <c r="D572" s="22"/>
      <c r="E572" s="23"/>
      <c r="F572" s="22"/>
    </row>
    <row r="573" spans="2:6" x14ac:dyDescent="0.3">
      <c r="B573" s="4"/>
      <c r="C573" s="20"/>
      <c r="D573" s="22"/>
      <c r="E573" s="23"/>
      <c r="F573" s="22"/>
    </row>
    <row r="574" spans="2:6" x14ac:dyDescent="0.3">
      <c r="B574" s="4"/>
      <c r="C574" s="20"/>
      <c r="D574" s="22"/>
      <c r="E574" s="23"/>
      <c r="F574" s="22"/>
    </row>
    <row r="575" spans="2:6" x14ac:dyDescent="0.3">
      <c r="B575" s="4"/>
      <c r="C575" s="20"/>
      <c r="D575" s="22"/>
      <c r="E575" s="23"/>
      <c r="F575" s="22"/>
    </row>
    <row r="576" spans="2:6" x14ac:dyDescent="0.3">
      <c r="B576" s="4"/>
      <c r="C576" s="20"/>
      <c r="D576" s="22"/>
      <c r="E576" s="23"/>
      <c r="F576" s="22"/>
    </row>
    <row r="577" spans="2:6" x14ac:dyDescent="0.3">
      <c r="B577" s="4"/>
      <c r="C577" s="20"/>
      <c r="D577" s="22"/>
      <c r="E577" s="23"/>
      <c r="F577" s="22"/>
    </row>
    <row r="578" spans="2:6" x14ac:dyDescent="0.3">
      <c r="B578" s="4"/>
      <c r="C578" s="20"/>
      <c r="D578" s="22"/>
      <c r="E578" s="23"/>
      <c r="F578" s="22"/>
    </row>
    <row r="579" spans="2:6" x14ac:dyDescent="0.3">
      <c r="B579" s="4"/>
      <c r="C579" s="20"/>
      <c r="D579" s="22"/>
      <c r="E579" s="23"/>
      <c r="F579" s="22"/>
    </row>
    <row r="580" spans="2:6" x14ac:dyDescent="0.3">
      <c r="B580" s="4"/>
      <c r="C580" s="20"/>
      <c r="D580" s="22"/>
      <c r="E580" s="23"/>
      <c r="F580" s="22"/>
    </row>
    <row r="581" spans="2:6" x14ac:dyDescent="0.3">
      <c r="B581" s="4"/>
      <c r="C581" s="20"/>
      <c r="D581" s="22"/>
      <c r="E581" s="23"/>
      <c r="F581" s="22"/>
    </row>
    <row r="582" spans="2:6" x14ac:dyDescent="0.3">
      <c r="B582" s="4"/>
      <c r="C582" s="20"/>
      <c r="D582" s="22"/>
      <c r="E582" s="23"/>
      <c r="F582" s="22"/>
    </row>
    <row r="583" spans="2:6" x14ac:dyDescent="0.3">
      <c r="B583" s="4"/>
      <c r="C583" s="20"/>
      <c r="D583" s="22"/>
      <c r="E583" s="23"/>
      <c r="F583" s="22"/>
    </row>
    <row r="584" spans="2:6" x14ac:dyDescent="0.3">
      <c r="B584" s="4"/>
      <c r="C584" s="20"/>
      <c r="D584" s="22"/>
      <c r="E584" s="23"/>
      <c r="F584" s="22"/>
    </row>
    <row r="585" spans="2:6" x14ac:dyDescent="0.3">
      <c r="B585" s="4"/>
      <c r="C585" s="20"/>
      <c r="D585" s="22"/>
      <c r="E585" s="23"/>
      <c r="F585" s="22"/>
    </row>
    <row r="586" spans="2:6" x14ac:dyDescent="0.3">
      <c r="B586" s="4"/>
      <c r="C586" s="20"/>
      <c r="D586" s="22"/>
      <c r="E586" s="23"/>
      <c r="F586" s="22"/>
    </row>
    <row r="587" spans="2:6" x14ac:dyDescent="0.3">
      <c r="B587" s="4"/>
      <c r="C587" s="20"/>
      <c r="D587" s="22"/>
      <c r="E587" s="23"/>
      <c r="F587" s="22"/>
    </row>
    <row r="588" spans="2:6" x14ac:dyDescent="0.3">
      <c r="B588" s="4"/>
      <c r="C588" s="20"/>
      <c r="D588" s="22"/>
      <c r="E588" s="23"/>
      <c r="F588" s="22"/>
    </row>
    <row r="589" spans="2:6" x14ac:dyDescent="0.3">
      <c r="B589" s="4"/>
      <c r="C589" s="20"/>
      <c r="D589" s="22"/>
      <c r="E589" s="23"/>
      <c r="F589" s="22"/>
    </row>
    <row r="590" spans="2:6" x14ac:dyDescent="0.3">
      <c r="B590" s="4"/>
      <c r="C590" s="20"/>
      <c r="D590" s="22"/>
      <c r="E590" s="23"/>
      <c r="F590" s="22"/>
    </row>
    <row r="591" spans="2:6" x14ac:dyDescent="0.3">
      <c r="B591" s="4"/>
      <c r="C591" s="20"/>
      <c r="D591" s="22"/>
      <c r="E591" s="23"/>
      <c r="F591" s="22"/>
    </row>
    <row r="592" spans="2:6" x14ac:dyDescent="0.3">
      <c r="B592" s="4"/>
      <c r="C592" s="20"/>
      <c r="D592" s="22"/>
      <c r="E592" s="23"/>
      <c r="F592" s="22"/>
    </row>
    <row r="593" spans="2:6" x14ac:dyDescent="0.3">
      <c r="B593" s="4"/>
      <c r="C593" s="20"/>
      <c r="D593" s="22"/>
      <c r="E593" s="23"/>
      <c r="F593" s="22"/>
    </row>
    <row r="594" spans="2:6" x14ac:dyDescent="0.3">
      <c r="B594" s="4"/>
      <c r="C594" s="20"/>
      <c r="D594" s="22"/>
      <c r="E594" s="23"/>
      <c r="F594" s="22"/>
    </row>
    <row r="595" spans="2:6" x14ac:dyDescent="0.3">
      <c r="B595" s="4"/>
      <c r="C595" s="20"/>
      <c r="D595" s="22"/>
      <c r="E595" s="23"/>
      <c r="F595" s="22"/>
    </row>
    <row r="596" spans="2:6" x14ac:dyDescent="0.3">
      <c r="B596" s="4"/>
      <c r="C596" s="20"/>
      <c r="D596" s="22"/>
      <c r="E596" s="23"/>
      <c r="F596" s="22"/>
    </row>
    <row r="597" spans="2:6" x14ac:dyDescent="0.3">
      <c r="B597" s="4"/>
      <c r="C597" s="20"/>
      <c r="D597" s="22"/>
      <c r="E597" s="23"/>
      <c r="F597" s="22"/>
    </row>
    <row r="598" spans="2:6" x14ac:dyDescent="0.3">
      <c r="B598" s="4"/>
      <c r="C598" s="20"/>
      <c r="D598" s="22"/>
      <c r="E598" s="23"/>
      <c r="F598" s="22"/>
    </row>
    <row r="599" spans="2:6" x14ac:dyDescent="0.3">
      <c r="B599" s="4"/>
      <c r="C599" s="20"/>
      <c r="D599" s="22"/>
      <c r="E599" s="23"/>
      <c r="F599" s="22"/>
    </row>
    <row r="600" spans="2:6" x14ac:dyDescent="0.3">
      <c r="B600" s="4"/>
      <c r="C600" s="20"/>
      <c r="D600" s="22"/>
      <c r="E600" s="23"/>
      <c r="F600" s="22"/>
    </row>
    <row r="601" spans="2:6" x14ac:dyDescent="0.3">
      <c r="B601" s="4"/>
      <c r="C601" s="20"/>
      <c r="D601" s="22"/>
      <c r="E601" s="23"/>
      <c r="F601" s="22"/>
    </row>
    <row r="602" spans="2:6" x14ac:dyDescent="0.3">
      <c r="B602" s="4"/>
      <c r="C602" s="20"/>
      <c r="D602" s="22"/>
      <c r="E602" s="23"/>
      <c r="F602" s="22"/>
    </row>
    <row r="603" spans="2:6" x14ac:dyDescent="0.3">
      <c r="B603" s="4"/>
      <c r="C603" s="20"/>
      <c r="D603" s="22"/>
      <c r="E603" s="23"/>
      <c r="F603" s="22"/>
    </row>
    <row r="604" spans="2:6" x14ac:dyDescent="0.3">
      <c r="B604" s="4"/>
      <c r="C604" s="20"/>
      <c r="D604" s="22"/>
      <c r="E604" s="23"/>
      <c r="F604" s="22"/>
    </row>
    <row r="605" spans="2:6" x14ac:dyDescent="0.3">
      <c r="B605" s="4"/>
      <c r="C605" s="20"/>
      <c r="D605" s="22"/>
      <c r="E605" s="23"/>
      <c r="F605" s="22"/>
    </row>
    <row r="606" spans="2:6" x14ac:dyDescent="0.3">
      <c r="B606" s="4"/>
      <c r="C606" s="20"/>
      <c r="D606" s="22"/>
      <c r="E606" s="23"/>
      <c r="F606" s="22"/>
    </row>
    <row r="607" spans="2:6" x14ac:dyDescent="0.3">
      <c r="B607" s="4"/>
      <c r="C607" s="20"/>
      <c r="D607" s="22"/>
      <c r="E607" s="23"/>
      <c r="F607" s="22"/>
    </row>
    <row r="608" spans="2:6" x14ac:dyDescent="0.3">
      <c r="B608" s="4"/>
      <c r="C608" s="20"/>
      <c r="D608" s="22"/>
      <c r="E608" s="23"/>
      <c r="F608" s="22"/>
    </row>
    <row r="609" spans="2:6" x14ac:dyDescent="0.3">
      <c r="B609" s="4"/>
      <c r="C609" s="20"/>
      <c r="D609" s="22"/>
      <c r="E609" s="23"/>
      <c r="F609" s="22"/>
    </row>
    <row r="610" spans="2:6" x14ac:dyDescent="0.3">
      <c r="B610" s="4"/>
      <c r="C610" s="20"/>
      <c r="D610" s="22"/>
      <c r="E610" s="23"/>
      <c r="F610" s="22"/>
    </row>
    <row r="611" spans="2:6" x14ac:dyDescent="0.3">
      <c r="B611" s="4"/>
      <c r="C611" s="20"/>
      <c r="D611" s="22"/>
      <c r="E611" s="23"/>
      <c r="F611" s="22"/>
    </row>
    <row r="612" spans="2:6" ht="16.2" thickBot="1" x14ac:dyDescent="0.35">
      <c r="B612" s="24"/>
      <c r="C612" s="25"/>
      <c r="D612" s="26"/>
      <c r="E612" s="27"/>
      <c r="F612" s="28"/>
    </row>
  </sheetData>
  <sortState ref="B182:B206">
    <sortCondition ref="B181"/>
  </sortState>
  <mergeCells count="2">
    <mergeCell ref="E3:F3"/>
    <mergeCell ref="C3:D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0"/>
  <sheetViews>
    <sheetView topLeftCell="A13" workbookViewId="0">
      <selection activeCell="E36" sqref="E36"/>
    </sheetView>
  </sheetViews>
  <sheetFormatPr baseColWidth="10" defaultColWidth="11" defaultRowHeight="13.8" x14ac:dyDescent="0.25"/>
  <cols>
    <col min="1" max="1" width="3.59765625" style="369" customWidth="1"/>
    <col min="2" max="2" width="14.59765625" style="369" customWidth="1"/>
    <col min="3" max="3" width="8.59765625" style="369" customWidth="1"/>
    <col min="4" max="4" width="7.59765625" style="369" customWidth="1"/>
    <col min="5" max="23" width="8.59765625" style="369" customWidth="1"/>
    <col min="24" max="16384" width="11" style="369"/>
  </cols>
  <sheetData>
    <row r="1" spans="1:23" ht="14.4" thickBot="1" x14ac:dyDescent="0.3">
      <c r="A1" s="40"/>
      <c r="B1" s="602" t="s">
        <v>19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 s="603"/>
      <c r="P1" s="603"/>
      <c r="Q1" s="603"/>
      <c r="R1" s="603"/>
      <c r="S1" s="604"/>
      <c r="T1" s="604"/>
      <c r="U1" s="604"/>
      <c r="V1" s="604"/>
      <c r="W1" s="604"/>
    </row>
    <row r="2" spans="1:23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</row>
    <row r="3" spans="1:23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303" t="s">
        <v>5</v>
      </c>
      <c r="H3" s="611" t="s">
        <v>6</v>
      </c>
      <c r="I3" s="612"/>
      <c r="J3" s="303" t="s">
        <v>5</v>
      </c>
      <c r="K3" s="114" t="s">
        <v>7</v>
      </c>
      <c r="L3" s="42" t="s">
        <v>8</v>
      </c>
      <c r="M3" s="220" t="s">
        <v>9</v>
      </c>
      <c r="N3" s="43" t="s">
        <v>10</v>
      </c>
      <c r="O3" s="44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</row>
    <row r="4" spans="1:23" ht="14.4" x14ac:dyDescent="0.3">
      <c r="A4" s="40"/>
      <c r="B4" s="304">
        <v>43101</v>
      </c>
      <c r="C4" s="404" t="s">
        <v>11</v>
      </c>
      <c r="D4" s="405"/>
      <c r="E4" s="307">
        <f>IFERROR(VLOOKUP(C4,TR!$B$2:$F$612,2,0),"")</f>
        <v>0</v>
      </c>
      <c r="F4" s="308">
        <f>IFERROR(VLOOKUP(C4,TR!$B$2:$F$612,3,0),"")</f>
        <v>0</v>
      </c>
      <c r="G4" s="309">
        <f>IF(ISERROR(F4-E4),0,F4-E4)</f>
        <v>0</v>
      </c>
      <c r="H4" s="307">
        <f>IFERROR(VLOOKUP(C4,TR!$B$2:$F$612,4,0),"")</f>
        <v>0</v>
      </c>
      <c r="I4" s="308">
        <f>IFERROR(VLOOKUP(C4,TR!$B$2:$F$612,5,0),"")</f>
        <v>0</v>
      </c>
      <c r="J4" s="309">
        <f>IF(ISERROR(I4-H4),0,(I4-H4))</f>
        <v>0</v>
      </c>
      <c r="K4" s="312" t="str">
        <f t="shared" ref="K4:K34" si="0">IF(COUNTA(E4:F4,H4:I4)=5,1,IF(AND(E4&lt;"5:00"*1,E4&gt;"2:00"*1),1,IF(AND(I4&gt;="22:01"*1,I4&lt;="26:01"*1),1,IF(AND(I4&lt;="22:00"*1,SUM(I4,R4)&gt;="22:01"*1),1,""))))</f>
        <v/>
      </c>
      <c r="L4" s="406" t="str">
        <f t="shared" ref="L4:L34" si="1">IF(AND(F4&gt;="13:15"*1,H4&lt;""),1,IF(AND(H4&gt;="11:00"*1,H4&lt;="12:15"*1),1,IF(AND(F4&lt;="13:15"*1,SUM(F4,R4)&gt;="13:15"*1),1,"")))</f>
        <v/>
      </c>
      <c r="M4" s="314" t="str">
        <f t="shared" ref="M4:M34" si="2">IF(AND(I4&gt;="19:30"*1,1,I4&gt;"21:30"*1,C4&lt;&gt;""),1,IF(AND(I4&lt;="21:30"*1,SUM(I4,R4)&gt;="21:30"*1),1,""))</f>
        <v/>
      </c>
      <c r="N4" s="37" t="str">
        <f t="shared" ref="N4:N34" si="3">IF(AND(LEFT(C4,1)="d",AND(N3&lt;&gt;1)),1,IF(AND(LEFT(C4,1)="s",I4&gt;="24:01"*1),1,IF(AND(I4&lt;&gt;"",I4&lt;="23:59"*1,SUM(I4,R4)&gt;="24:01"*1),1,"")))</f>
        <v/>
      </c>
      <c r="O4" s="407" t="str">
        <f>IF(AND(I4&gt;"24:00"*1,ISNUMBER(FIND("f",C5))),1,IF(AND(OR(ISNUMBER(FIND("FériéCC",C4)),ISNUMBER(FIND("FériéCH",C4)),ISNUMBER(FIND("f",C4)))),1,""))</f>
        <v/>
      </c>
      <c r="P4" s="451" t="str">
        <f>IF(AND(L4="",M4=""),IF(OR(SUMPRODUCT(N(ISNUMBER(FIND({"s";"d";"f"},C4))))&gt;0,G4+J4&lt;0,AND(G4&gt;0,J4&gt;0,I4&gt;"20:30"*1),AND(I4&lt;="20:30"*1,SUM(I4,R4)&gt;="20:31"*1)),1,""),"")</f>
        <v/>
      </c>
      <c r="Q4" s="317" t="str">
        <f>IF(OR(AND(G4&gt;0,AND(J4=0)),OR(G4=0,AND(J4&gt;0)),OR(G4+J4&gt;0)),IF(S4="","",IF(R4+S4&gt;="13:01"*1,1,"")))</f>
        <v/>
      </c>
      <c r="R4" s="29"/>
      <c r="S4" s="318" t="str">
        <f t="shared" ref="S4:S34" si="4">IF(G4=0,IF(J4=0,"",I4-H4),IF(J4=0,F4-E4,I4-E4))</f>
        <v/>
      </c>
      <c r="T4" s="34">
        <f t="shared" ref="T4:T34" si="5">IF(ISERROR((F4-E4)+(I4-H4)),0,(F4-E4)+(I4-H4))</f>
        <v>0</v>
      </c>
      <c r="U4" s="153">
        <f>T4*24</f>
        <v>0</v>
      </c>
      <c r="V4" s="187">
        <v>0</v>
      </c>
      <c r="W4" s="149" t="str">
        <f>IF(U4-V4=0,"0,00",U4-V4)</f>
        <v>0,00</v>
      </c>
    </row>
    <row r="5" spans="1:23" ht="14.4" x14ac:dyDescent="0.3">
      <c r="A5" s="40"/>
      <c r="B5" s="304">
        <v>43102</v>
      </c>
      <c r="C5" s="409" t="s">
        <v>143</v>
      </c>
      <c r="D5" s="410"/>
      <c r="E5" s="310">
        <f>IFERROR(VLOOKUP(C5,TR!$B$2:$F$612,2,0),"")</f>
        <v>0</v>
      </c>
      <c r="F5" s="311">
        <f>IFERROR(VLOOKUP(C5,TR!$B$2:$F$612,3,0),"")</f>
        <v>0</v>
      </c>
      <c r="G5" s="321">
        <f t="shared" ref="G5:G34" si="6">IF(ISERROR(F5-E5),0,F5-E5)</f>
        <v>0</v>
      </c>
      <c r="H5" s="310">
        <f>IFERROR(VLOOKUP(C5,TR!$B$2:$F$612,4,0),"")</f>
        <v>0.55555555555555558</v>
      </c>
      <c r="I5" s="311">
        <f>IFERROR(VLOOKUP(C5,TR!$B$2:$F$612,5,0),"")</f>
        <v>0.88888888888888884</v>
      </c>
      <c r="J5" s="321">
        <f t="shared" ref="J5:J34" si="7">IF(ISERROR(I5-H5),0,(I5-H5))</f>
        <v>0.33333333333333326</v>
      </c>
      <c r="K5" s="322" t="str">
        <f t="shared" si="0"/>
        <v/>
      </c>
      <c r="L5" s="411" t="str">
        <f t="shared" si="1"/>
        <v/>
      </c>
      <c r="M5" s="324" t="str">
        <f t="shared" si="2"/>
        <v/>
      </c>
      <c r="N5" s="37" t="str">
        <f t="shared" si="3"/>
        <v/>
      </c>
      <c r="O5" s="412" t="str">
        <f t="shared" ref="O5:O34" si="8">IF(AND(I5&gt;"24:00"*1,ISNUMBER(FIND("f",C6))),1,IF(AND(OR(ISNUMBER(FIND("FériéCC",C5)),ISNUMBER(FIND("FériéCH",C5)),ISNUMBER(FIND("f",C5)))),1,""))</f>
        <v/>
      </c>
      <c r="P5" s="408" t="str">
        <f>IF(AND(L5="",M5=""),IF(OR(SUMPRODUCT(N(ISNUMBER(FIND({"s";"d";"f"},C5))))&gt;0,G5+J5&lt;0,AND(G5&gt;0,J5&gt;0,I5&gt;"20:30"*1),AND(I5&lt;="20:30"*1,SUM(I5,R5)&gt;="20:31"*1)),1,""),"")</f>
        <v/>
      </c>
      <c r="Q5" s="326" t="str">
        <f t="shared" ref="Q5:Q34" si="9">IF(OR(AND(G5&gt;0,AND(J5=0)),OR(G5=0,AND(J5&gt;0)),OR(G5+J5&gt;0)),IF(S5="","",IF(R5+S5&gt;="13:01"*1,1,"")))</f>
        <v/>
      </c>
      <c r="R5" s="30"/>
      <c r="S5" s="327">
        <f t="shared" si="4"/>
        <v>0.33333333333333326</v>
      </c>
      <c r="T5" s="34">
        <f t="shared" si="5"/>
        <v>0.33333333333333326</v>
      </c>
      <c r="U5" s="154">
        <f>T5*24</f>
        <v>7.9999999999999982</v>
      </c>
      <c r="V5" s="188">
        <v>8</v>
      </c>
      <c r="W5" s="150">
        <f t="shared" ref="W5:W34" si="10">IF(U5-V5=0,"0,00",U5-V5)</f>
        <v>-1.7763568394002505E-15</v>
      </c>
    </row>
    <row r="6" spans="1:23" ht="14.4" x14ac:dyDescent="0.3">
      <c r="A6" s="40"/>
      <c r="B6" s="304">
        <v>43103</v>
      </c>
      <c r="C6" s="409" t="s">
        <v>46</v>
      </c>
      <c r="D6" s="410"/>
      <c r="E6" s="310">
        <f>IFERROR(VLOOKUP(C6,TR!$B$2:$F$612,2,0),"")</f>
        <v>0</v>
      </c>
      <c r="F6" s="311">
        <f>IFERROR(VLOOKUP(C6,TR!$B$2:$F$612,3,0),"")</f>
        <v>0</v>
      </c>
      <c r="G6" s="321">
        <f t="shared" si="6"/>
        <v>0</v>
      </c>
      <c r="H6" s="310">
        <f>IFERROR(VLOOKUP(C6,TR!$B$2:$F$612,4,0),"")</f>
        <v>0</v>
      </c>
      <c r="I6" s="311">
        <f>IFERROR(VLOOKUP(C6,TR!$B$2:$F$612,5,0),"")</f>
        <v>0</v>
      </c>
      <c r="J6" s="321">
        <f t="shared" si="7"/>
        <v>0</v>
      </c>
      <c r="K6" s="322" t="str">
        <f t="shared" si="0"/>
        <v/>
      </c>
      <c r="L6" s="411" t="str">
        <f t="shared" si="1"/>
        <v/>
      </c>
      <c r="M6" s="324" t="str">
        <f t="shared" si="2"/>
        <v/>
      </c>
      <c r="N6" s="37" t="str">
        <f t="shared" si="3"/>
        <v/>
      </c>
      <c r="O6" s="412" t="str">
        <f t="shared" si="8"/>
        <v/>
      </c>
      <c r="P6" s="408" t="str">
        <f>IF(AND(L6="",M6=""),IF(OR(SUMPRODUCT(N(ISNUMBER(FIND({"s";"d";"f"},C6))))&gt;0,G6+J6&lt;0,AND(G6&gt;0,J6&gt;0,I6&gt;"20:30"*1),AND(I6&lt;="20:30"*1,SUM(I6,R6)&gt;="20:31"*1)),1,""),"")</f>
        <v/>
      </c>
      <c r="Q6" s="326" t="str">
        <f t="shared" si="9"/>
        <v/>
      </c>
      <c r="R6" s="30"/>
      <c r="S6" s="327" t="str">
        <f t="shared" si="4"/>
        <v/>
      </c>
      <c r="T6" s="34">
        <f t="shared" si="5"/>
        <v>0</v>
      </c>
      <c r="U6" s="154">
        <f>T6*24</f>
        <v>0</v>
      </c>
      <c r="V6" s="188">
        <v>0</v>
      </c>
      <c r="W6" s="150" t="str">
        <f t="shared" si="10"/>
        <v>0,00</v>
      </c>
    </row>
    <row r="7" spans="1:23" ht="14.4" x14ac:dyDescent="0.3">
      <c r="A7" s="40"/>
      <c r="B7" s="304">
        <v>43104</v>
      </c>
      <c r="C7" s="409" t="s">
        <v>144</v>
      </c>
      <c r="D7" s="410"/>
      <c r="E7" s="310">
        <f>IFERROR(VLOOKUP(C7,TR!$B$2:$F$612,2,0),"")</f>
        <v>0</v>
      </c>
      <c r="F7" s="311">
        <f>IFERROR(VLOOKUP(C7,TR!$B$2:$F$612,3,0),"")</f>
        <v>0</v>
      </c>
      <c r="G7" s="321">
        <f t="shared" si="6"/>
        <v>0</v>
      </c>
      <c r="H7" s="310">
        <f>IFERROR(VLOOKUP(C7,TR!$B$2:$F$612,4,0),"")</f>
        <v>0.51666666666666672</v>
      </c>
      <c r="I7" s="311">
        <f>IFERROR(VLOOKUP(C7,TR!$B$2:$F$612,5,0),"")</f>
        <v>0.84861111111111109</v>
      </c>
      <c r="J7" s="321">
        <f t="shared" si="7"/>
        <v>0.33194444444444438</v>
      </c>
      <c r="K7" s="322" t="str">
        <f t="shared" si="0"/>
        <v/>
      </c>
      <c r="L7" s="411" t="str">
        <f t="shared" si="1"/>
        <v/>
      </c>
      <c r="M7" s="324" t="str">
        <f t="shared" si="2"/>
        <v/>
      </c>
      <c r="N7" s="37" t="str">
        <f t="shared" si="3"/>
        <v/>
      </c>
      <c r="O7" s="412" t="str">
        <f t="shared" si="8"/>
        <v/>
      </c>
      <c r="P7" s="408" t="str">
        <f>IF(AND(L7="",M7=""),IF(OR(SUMPRODUCT(N(ISNUMBER(FIND({"s";"d";"f"},C7))))&gt;0,G7+J7&lt;0,AND(G7&gt;0,J7&gt;0,I7&gt;"20:30"*1),AND(I7&lt;="20:30"*1,SUM(I7,R7)&gt;="20:31"*1)),1,""),"")</f>
        <v/>
      </c>
      <c r="Q7" s="326" t="str">
        <f t="shared" si="9"/>
        <v/>
      </c>
      <c r="R7" s="30"/>
      <c r="S7" s="327">
        <f t="shared" si="4"/>
        <v>0.33194444444444438</v>
      </c>
      <c r="T7" s="34">
        <f t="shared" si="5"/>
        <v>0.33194444444444438</v>
      </c>
      <c r="U7" s="154">
        <f t="shared" ref="U7:U34" si="11">T7*24</f>
        <v>7.966666666666665</v>
      </c>
      <c r="V7" s="188">
        <v>7.97</v>
      </c>
      <c r="W7" s="150">
        <f t="shared" si="10"/>
        <v>-3.3333333333347426E-3</v>
      </c>
    </row>
    <row r="8" spans="1:23" ht="14.4" x14ac:dyDescent="0.3">
      <c r="A8" s="40"/>
      <c r="B8" s="304">
        <v>43105</v>
      </c>
      <c r="C8" s="409" t="s">
        <v>145</v>
      </c>
      <c r="D8" s="410"/>
      <c r="E8" s="310">
        <f>IFERROR(VLOOKUP(C8,TR!$B$2:$F$612,2,0),"")</f>
        <v>0</v>
      </c>
      <c r="F8" s="311">
        <f>IFERROR(VLOOKUP(C8,TR!$B$2:$F$612,3,0),"")</f>
        <v>0</v>
      </c>
      <c r="G8" s="321">
        <f t="shared" si="6"/>
        <v>0</v>
      </c>
      <c r="H8" s="310">
        <f>IFERROR(VLOOKUP(C8,TR!$B$2:$F$612,4,0),"")</f>
        <v>0.53888888888888886</v>
      </c>
      <c r="I8" s="311">
        <f>IFERROR(VLOOKUP(C8,TR!$B$2:$F$612,5,0),"")</f>
        <v>0.86805555555555547</v>
      </c>
      <c r="J8" s="321">
        <f t="shared" si="7"/>
        <v>0.32916666666666661</v>
      </c>
      <c r="K8" s="322" t="str">
        <f t="shared" si="0"/>
        <v/>
      </c>
      <c r="L8" s="411" t="str">
        <f t="shared" si="1"/>
        <v/>
      </c>
      <c r="M8" s="324" t="str">
        <f t="shared" si="2"/>
        <v/>
      </c>
      <c r="N8" s="37" t="str">
        <f t="shared" si="3"/>
        <v/>
      </c>
      <c r="O8" s="412" t="str">
        <f t="shared" si="8"/>
        <v/>
      </c>
      <c r="P8" s="408" t="str">
        <f>IF(AND(L8="",M8=""),IF(OR(SUMPRODUCT(N(ISNUMBER(FIND({"s";"d";"f"},C8))))&gt;0,G8+J8&lt;0,AND(G8&gt;0,J8&gt;0,I8&gt;"20:30"*1),AND(I8&lt;="20:30"*1,SUM(I8,R8)&gt;="20:31"*1)),1,""),"")</f>
        <v/>
      </c>
      <c r="Q8" s="326" t="str">
        <f t="shared" si="9"/>
        <v/>
      </c>
      <c r="R8" s="30"/>
      <c r="S8" s="327">
        <f t="shared" si="4"/>
        <v>0.32916666666666661</v>
      </c>
      <c r="T8" s="34">
        <f t="shared" si="5"/>
        <v>0.32916666666666661</v>
      </c>
      <c r="U8" s="154">
        <f t="shared" si="11"/>
        <v>7.8999999999999986</v>
      </c>
      <c r="V8" s="188">
        <v>7.9</v>
      </c>
      <c r="W8" s="150">
        <f t="shared" si="10"/>
        <v>-1.7763568394002505E-15</v>
      </c>
    </row>
    <row r="9" spans="1:23" ht="14.4" x14ac:dyDescent="0.3">
      <c r="A9" s="40"/>
      <c r="B9" s="304">
        <v>43106</v>
      </c>
      <c r="C9" s="409" t="s">
        <v>161</v>
      </c>
      <c r="D9" s="410"/>
      <c r="E9" s="310">
        <f>IFERROR(VLOOKUP(C9,TR!$B$2:$F$612,2,0),"")</f>
        <v>0</v>
      </c>
      <c r="F9" s="311">
        <f>IFERROR(VLOOKUP(C9,TR!$B$2:$F$612,3,0),"")</f>
        <v>0</v>
      </c>
      <c r="G9" s="321">
        <f t="shared" si="6"/>
        <v>0</v>
      </c>
      <c r="H9" s="310">
        <f>IFERROR(VLOOKUP(C9,TR!$B$2:$F$612,4,0),"")</f>
        <v>0.51736111111111105</v>
      </c>
      <c r="I9" s="311">
        <f>IFERROR(VLOOKUP(C9,TR!$B$2:$F$612,5,0),"")</f>
        <v>0.83888888888888891</v>
      </c>
      <c r="J9" s="321">
        <f t="shared" si="7"/>
        <v>0.32152777777777786</v>
      </c>
      <c r="K9" s="322" t="str">
        <f t="shared" si="0"/>
        <v/>
      </c>
      <c r="L9" s="411" t="str">
        <f t="shared" si="1"/>
        <v/>
      </c>
      <c r="M9" s="324" t="str">
        <f t="shared" si="2"/>
        <v/>
      </c>
      <c r="N9" s="37" t="str">
        <f t="shared" si="3"/>
        <v/>
      </c>
      <c r="O9" s="412" t="str">
        <f t="shared" si="8"/>
        <v/>
      </c>
      <c r="P9" s="408">
        <f>IF(AND(L9="",M9=""),IF(OR(SUMPRODUCT(N(ISNUMBER(FIND({"s";"d";"f"},C9))))&gt;0,G9+J9&lt;0,AND(G9&gt;0,J9&gt;0,I9&gt;"20:30"*1),AND(I9&lt;="20:30"*1,SUM(I9,R9)&gt;="20:31"*1)),1,""),"")</f>
        <v>1</v>
      </c>
      <c r="Q9" s="326" t="str">
        <f t="shared" si="9"/>
        <v/>
      </c>
      <c r="R9" s="30"/>
      <c r="S9" s="327">
        <f t="shared" si="4"/>
        <v>0.32152777777777786</v>
      </c>
      <c r="T9" s="34">
        <f t="shared" si="5"/>
        <v>0.32152777777777786</v>
      </c>
      <c r="U9" s="154">
        <f t="shared" si="11"/>
        <v>7.7166666666666686</v>
      </c>
      <c r="V9" s="188">
        <v>7.72</v>
      </c>
      <c r="W9" s="150">
        <f t="shared" si="10"/>
        <v>-3.3333333333311899E-3</v>
      </c>
    </row>
    <row r="10" spans="1:23" ht="14.4" x14ac:dyDescent="0.3">
      <c r="A10" s="40"/>
      <c r="B10" s="304">
        <v>43107</v>
      </c>
      <c r="C10" s="409" t="s">
        <v>47</v>
      </c>
      <c r="D10" s="410"/>
      <c r="E10" s="310">
        <f>IFERROR(VLOOKUP(C10,TR!$B$2:$F$612,2,0),"")</f>
        <v>0</v>
      </c>
      <c r="F10" s="311">
        <f>IFERROR(VLOOKUP(C10,TR!$B$2:$F$612,3,0),"")</f>
        <v>0</v>
      </c>
      <c r="G10" s="321">
        <f t="shared" si="6"/>
        <v>0</v>
      </c>
      <c r="H10" s="310">
        <f>IFERROR(VLOOKUP(C10,TR!$B$2:$F$612,4,0),"")</f>
        <v>0</v>
      </c>
      <c r="I10" s="311">
        <f>IFERROR(VLOOKUP(C10,TR!$B$2:$F$612,5,0),"")</f>
        <v>0</v>
      </c>
      <c r="J10" s="321">
        <f t="shared" si="7"/>
        <v>0</v>
      </c>
      <c r="K10" s="322" t="str">
        <f t="shared" si="0"/>
        <v/>
      </c>
      <c r="L10" s="411" t="str">
        <f t="shared" si="1"/>
        <v/>
      </c>
      <c r="M10" s="324" t="str">
        <f t="shared" si="2"/>
        <v/>
      </c>
      <c r="N10" s="37" t="str">
        <f t="shared" si="3"/>
        <v/>
      </c>
      <c r="O10" s="412" t="str">
        <f t="shared" si="8"/>
        <v/>
      </c>
      <c r="P10" s="408" t="str">
        <f>IF(AND(L10="",M10=""),IF(OR(SUMPRODUCT(N(ISNUMBER(FIND({"s";"d";"f"},C10))))&gt;0,G10+J10&lt;0,AND(G10&gt;0,J10&gt;0,I10&gt;"20:30"*1),AND(I10&lt;="20:30"*1,SUM(I10,R10)&gt;="20:31"*1)),1,""),"")</f>
        <v/>
      </c>
      <c r="Q10" s="326" t="str">
        <f t="shared" si="9"/>
        <v/>
      </c>
      <c r="R10" s="30"/>
      <c r="S10" s="327" t="str">
        <f t="shared" si="4"/>
        <v/>
      </c>
      <c r="T10" s="34">
        <f t="shared" si="5"/>
        <v>0</v>
      </c>
      <c r="U10" s="154">
        <f t="shared" si="11"/>
        <v>0</v>
      </c>
      <c r="V10" s="188">
        <v>0</v>
      </c>
      <c r="W10" s="150" t="str">
        <f t="shared" si="10"/>
        <v>0,00</v>
      </c>
    </row>
    <row r="11" spans="1:23" ht="14.4" x14ac:dyDescent="0.3">
      <c r="A11" s="40"/>
      <c r="B11" s="304">
        <v>43108</v>
      </c>
      <c r="C11" s="409" t="s">
        <v>89</v>
      </c>
      <c r="D11" s="410"/>
      <c r="E11" s="310">
        <f>IFERROR(VLOOKUP(C11,TR!$B$2:$F$612,2,0),"")</f>
        <v>0</v>
      </c>
      <c r="F11" s="311">
        <f>IFERROR(VLOOKUP(C11,TR!$B$2:$F$612,3,0),"")</f>
        <v>0</v>
      </c>
      <c r="G11" s="328">
        <f t="shared" si="6"/>
        <v>0</v>
      </c>
      <c r="H11" s="310">
        <f>IFERROR(VLOOKUP(C11,TR!$B$2:$F$612,4,0),"")</f>
        <v>0.52777777777777779</v>
      </c>
      <c r="I11" s="311">
        <f>IFERROR(VLOOKUP(C11,TR!$B$2:$F$612,5,0),"")</f>
        <v>0.85486111111111107</v>
      </c>
      <c r="J11" s="328">
        <f t="shared" si="7"/>
        <v>0.32708333333333328</v>
      </c>
      <c r="K11" s="322" t="str">
        <f t="shared" si="0"/>
        <v/>
      </c>
      <c r="L11" s="411" t="str">
        <f t="shared" si="1"/>
        <v/>
      </c>
      <c r="M11" s="324" t="str">
        <f t="shared" si="2"/>
        <v/>
      </c>
      <c r="N11" s="37" t="str">
        <f t="shared" si="3"/>
        <v/>
      </c>
      <c r="O11" s="412" t="str">
        <f t="shared" si="8"/>
        <v/>
      </c>
      <c r="P11" s="408" t="str">
        <f>IF(AND(L11="",M11=""),IF(OR(SUMPRODUCT(N(ISNUMBER(FIND({"s";"d";"f"},C11))))&gt;0,G11+J11&lt;0,AND(G11&gt;0,J11&gt;0,I11&gt;"20:30"*1),AND(I11&lt;="20:30"*1,SUM(I11,R11)&gt;="20:31"*1)),1,""),"")</f>
        <v/>
      </c>
      <c r="Q11" s="326" t="str">
        <f t="shared" si="9"/>
        <v/>
      </c>
      <c r="R11" s="30"/>
      <c r="S11" s="327">
        <f t="shared" si="4"/>
        <v>0.32708333333333328</v>
      </c>
      <c r="T11" s="34">
        <f t="shared" si="5"/>
        <v>0.32708333333333328</v>
      </c>
      <c r="U11" s="154">
        <f t="shared" si="11"/>
        <v>7.8499999999999988</v>
      </c>
      <c r="V11" s="188">
        <v>7.85</v>
      </c>
      <c r="W11" s="150">
        <f t="shared" si="10"/>
        <v>-8.8817841970012523E-16</v>
      </c>
    </row>
    <row r="12" spans="1:23" ht="14.4" x14ac:dyDescent="0.3">
      <c r="A12" s="40"/>
      <c r="B12" s="304">
        <v>43109</v>
      </c>
      <c r="C12" s="409" t="s">
        <v>72</v>
      </c>
      <c r="D12" s="410"/>
      <c r="E12" s="310">
        <f>IFERROR(VLOOKUP(C12,TR!$B$2:$F$612,2,0),"")</f>
        <v>0.39444444444444443</v>
      </c>
      <c r="F12" s="311">
        <f>IFERROR(VLOOKUP(C12,TR!$B$2:$F$612,3,0),"")</f>
        <v>0.5444444444444444</v>
      </c>
      <c r="G12" s="328">
        <f t="shared" si="6"/>
        <v>0.14999999999999997</v>
      </c>
      <c r="H12" s="310">
        <f>IFERROR(VLOOKUP(C12,TR!$B$2:$F$612,4,0),"")</f>
        <v>0.6381944444444444</v>
      </c>
      <c r="I12" s="311">
        <f>IFERROR(VLOOKUP(C12,TR!$B$2:$F$612,5,0),"")</f>
        <v>0.83611111111111114</v>
      </c>
      <c r="J12" s="328">
        <f t="shared" si="7"/>
        <v>0.19791666666666674</v>
      </c>
      <c r="K12" s="322" t="str">
        <f t="shared" si="0"/>
        <v/>
      </c>
      <c r="L12" s="411" t="str">
        <f t="shared" si="1"/>
        <v/>
      </c>
      <c r="M12" s="324" t="str">
        <f t="shared" si="2"/>
        <v/>
      </c>
      <c r="N12" s="37" t="str">
        <f t="shared" si="3"/>
        <v/>
      </c>
      <c r="O12" s="412" t="str">
        <f t="shared" si="8"/>
        <v/>
      </c>
      <c r="P12" s="408" t="str">
        <f>IF(AND(L12="",M12=""),IF(OR(SUMPRODUCT(N(ISNUMBER(FIND({"s";"d";"f"},C12))))&gt;0,G12+J12&lt;0,AND(G12&gt;0,J12&gt;0,I12&gt;"20:30"*1),AND(I12&lt;="20:30"*1,SUM(I12,R12)&gt;="20:31"*1)),1,""),"")</f>
        <v/>
      </c>
      <c r="Q12" s="326" t="str">
        <f t="shared" si="9"/>
        <v/>
      </c>
      <c r="R12" s="30"/>
      <c r="S12" s="327">
        <f t="shared" si="4"/>
        <v>0.44166666666666671</v>
      </c>
      <c r="T12" s="34">
        <f t="shared" si="5"/>
        <v>0.34791666666666671</v>
      </c>
      <c r="U12" s="154">
        <f t="shared" si="11"/>
        <v>8.3500000000000014</v>
      </c>
      <c r="V12" s="188">
        <v>8.35</v>
      </c>
      <c r="W12" s="150">
        <f t="shared" si="10"/>
        <v>1.7763568394002505E-15</v>
      </c>
    </row>
    <row r="13" spans="1:23" ht="14.4" x14ac:dyDescent="0.3">
      <c r="A13" s="40"/>
      <c r="B13" s="304">
        <v>43110</v>
      </c>
      <c r="C13" s="409" t="s">
        <v>147</v>
      </c>
      <c r="D13" s="410"/>
      <c r="E13" s="310">
        <f>IFERROR(VLOOKUP(C13,TR!$B$2:$F$612,2,0),"")</f>
        <v>0</v>
      </c>
      <c r="F13" s="311">
        <f>IFERROR(VLOOKUP(C13,TR!$B$2:$F$612,3,0),"")</f>
        <v>0</v>
      </c>
      <c r="G13" s="328">
        <f t="shared" si="6"/>
        <v>0</v>
      </c>
      <c r="H13" s="310">
        <f>IFERROR(VLOOKUP(C13,TR!$B$2:$F$612,4,0),"")</f>
        <v>0.53819444444444442</v>
      </c>
      <c r="I13" s="311">
        <f>IFERROR(VLOOKUP(C13,TR!$B$2:$F$612,5,0),"")</f>
        <v>0.86805555555555547</v>
      </c>
      <c r="J13" s="328">
        <f t="shared" si="7"/>
        <v>0.32986111111111105</v>
      </c>
      <c r="K13" s="322" t="str">
        <f t="shared" si="0"/>
        <v/>
      </c>
      <c r="L13" s="411" t="str">
        <f t="shared" si="1"/>
        <v/>
      </c>
      <c r="M13" s="324" t="str">
        <f t="shared" si="2"/>
        <v/>
      </c>
      <c r="N13" s="37" t="str">
        <f t="shared" si="3"/>
        <v/>
      </c>
      <c r="O13" s="412" t="str">
        <f t="shared" si="8"/>
        <v/>
      </c>
      <c r="P13" s="408" t="str">
        <f>IF(AND(L13="",M13=""),IF(OR(SUMPRODUCT(N(ISNUMBER(FIND({"s";"d";"f"},C13))))&gt;0,G13+J13&lt;0,AND(G13&gt;0,J13&gt;0,I13&gt;"20:30"*1),AND(I13&lt;="20:30"*1,SUM(I13,R13)&gt;="20:31"*1)),1,""),"")</f>
        <v/>
      </c>
      <c r="Q13" s="326" t="str">
        <f t="shared" si="9"/>
        <v/>
      </c>
      <c r="R13" s="31"/>
      <c r="S13" s="327">
        <f t="shared" si="4"/>
        <v>0.32986111111111105</v>
      </c>
      <c r="T13" s="34">
        <f t="shared" si="5"/>
        <v>0.32986111111111105</v>
      </c>
      <c r="U13" s="154">
        <f t="shared" si="11"/>
        <v>7.9166666666666652</v>
      </c>
      <c r="V13" s="188">
        <v>7.92</v>
      </c>
      <c r="W13" s="150">
        <f t="shared" si="10"/>
        <v>-3.3333333333347426E-3</v>
      </c>
    </row>
    <row r="14" spans="1:23" ht="14.4" x14ac:dyDescent="0.3">
      <c r="A14" s="40"/>
      <c r="B14" s="304">
        <v>43111</v>
      </c>
      <c r="C14" s="413" t="s">
        <v>73</v>
      </c>
      <c r="D14" s="414"/>
      <c r="E14" s="310">
        <f>IFERROR(VLOOKUP(C14,TR!$B$2:$F$612,2,0),"")</f>
        <v>0</v>
      </c>
      <c r="F14" s="311">
        <f>IFERROR(VLOOKUP(C14,TR!$B$2:$F$612,3,0),"")</f>
        <v>0</v>
      </c>
      <c r="G14" s="328">
        <f t="shared" si="6"/>
        <v>0</v>
      </c>
      <c r="H14" s="310">
        <f>IFERROR(VLOOKUP(C14,TR!$B$2:$F$612,4,0),"")</f>
        <v>0.54791666666666672</v>
      </c>
      <c r="I14" s="311">
        <f>IFERROR(VLOOKUP(C14,TR!$B$2:$F$612,5,0),"")</f>
        <v>0.8256944444444444</v>
      </c>
      <c r="J14" s="328">
        <f t="shared" si="7"/>
        <v>0.27777777777777768</v>
      </c>
      <c r="K14" s="322" t="str">
        <f t="shared" si="0"/>
        <v/>
      </c>
      <c r="L14" s="411" t="str">
        <f t="shared" si="1"/>
        <v/>
      </c>
      <c r="M14" s="324" t="str">
        <f t="shared" si="2"/>
        <v/>
      </c>
      <c r="N14" s="37" t="str">
        <f t="shared" si="3"/>
        <v/>
      </c>
      <c r="O14" s="412" t="str">
        <f t="shared" si="8"/>
        <v/>
      </c>
      <c r="P14" s="408" t="str">
        <f>IF(AND(L14="",M14=""),IF(OR(SUMPRODUCT(N(ISNUMBER(FIND({"s";"d";"f"},C14))))&gt;0,G14+J14&lt;0,AND(G14&gt;0,J14&gt;0,I14&gt;"20:30"*1),AND(I14&lt;="20:30"*1,SUM(I14,R14)&gt;="20:31"*1)),1,""),"")</f>
        <v/>
      </c>
      <c r="Q14" s="326" t="str">
        <f t="shared" si="9"/>
        <v/>
      </c>
      <c r="R14" s="31"/>
      <c r="S14" s="327">
        <f t="shared" si="4"/>
        <v>0.27777777777777768</v>
      </c>
      <c r="T14" s="34">
        <f t="shared" si="5"/>
        <v>0.27777777777777768</v>
      </c>
      <c r="U14" s="154">
        <f t="shared" si="11"/>
        <v>6.6666666666666643</v>
      </c>
      <c r="V14" s="188">
        <v>6.67</v>
      </c>
      <c r="W14" s="150">
        <f t="shared" si="10"/>
        <v>-3.3333333333356308E-3</v>
      </c>
    </row>
    <row r="15" spans="1:23" ht="14.4" x14ac:dyDescent="0.3">
      <c r="A15" s="40"/>
      <c r="B15" s="304">
        <v>43112</v>
      </c>
      <c r="C15" s="413" t="s">
        <v>74</v>
      </c>
      <c r="D15" s="414"/>
      <c r="E15" s="310">
        <f>IFERROR(VLOOKUP(C15,TR!$B$2:$F$612,2,0),"")</f>
        <v>0</v>
      </c>
      <c r="F15" s="311">
        <f>IFERROR(VLOOKUP(C15,TR!$B$2:$F$612,3,0),"")</f>
        <v>0</v>
      </c>
      <c r="G15" s="328">
        <f t="shared" si="6"/>
        <v>0</v>
      </c>
      <c r="H15" s="310">
        <f>IFERROR(VLOOKUP(C15,TR!$B$2:$F$612,4,0),"")</f>
        <v>0.50624999999999998</v>
      </c>
      <c r="I15" s="311">
        <f>IFERROR(VLOOKUP(C15,TR!$B$2:$F$612,5,0),"")</f>
        <v>0.82638888888888884</v>
      </c>
      <c r="J15" s="328">
        <f t="shared" si="7"/>
        <v>0.32013888888888886</v>
      </c>
      <c r="K15" s="322" t="str">
        <f t="shared" si="0"/>
        <v/>
      </c>
      <c r="L15" s="411">
        <f t="shared" si="1"/>
        <v>1</v>
      </c>
      <c r="M15" s="324" t="str">
        <f t="shared" si="2"/>
        <v/>
      </c>
      <c r="N15" s="37" t="str">
        <f t="shared" si="3"/>
        <v/>
      </c>
      <c r="O15" s="412" t="str">
        <f t="shared" si="8"/>
        <v/>
      </c>
      <c r="P15" s="408" t="str">
        <f>IF(AND(L15="",M15=""),IF(OR(SUMPRODUCT(N(ISNUMBER(FIND({"s";"d";"f"},C15))))&gt;0,G15+J15&lt;0,AND(G15&gt;0,J15&gt;0,I15&gt;"20:30"*1),AND(I15&lt;="20:30"*1,SUM(I15,R15)&gt;="20:31"*1)),1,""),"")</f>
        <v/>
      </c>
      <c r="Q15" s="326" t="str">
        <f t="shared" si="9"/>
        <v/>
      </c>
      <c r="R15" s="30"/>
      <c r="S15" s="327">
        <f t="shared" si="4"/>
        <v>0.32013888888888886</v>
      </c>
      <c r="T15" s="34">
        <f t="shared" si="5"/>
        <v>0.32013888888888886</v>
      </c>
      <c r="U15" s="154">
        <f t="shared" si="11"/>
        <v>7.6833333333333327</v>
      </c>
      <c r="V15" s="188">
        <v>7.68</v>
      </c>
      <c r="W15" s="150">
        <f t="shared" si="10"/>
        <v>3.3333333333329662E-3</v>
      </c>
    </row>
    <row r="16" spans="1:23" ht="14.4" x14ac:dyDescent="0.3">
      <c r="A16" s="40"/>
      <c r="B16" s="304">
        <v>43113</v>
      </c>
      <c r="C16" s="409" t="s">
        <v>46</v>
      </c>
      <c r="D16" s="410"/>
      <c r="E16" s="310">
        <f>IFERROR(VLOOKUP(C16,TR!$B$2:$F$612,2,0),"")</f>
        <v>0</v>
      </c>
      <c r="F16" s="311">
        <f>IFERROR(VLOOKUP(C16,TR!$B$2:$F$612,3,0),"")</f>
        <v>0</v>
      </c>
      <c r="G16" s="328">
        <f t="shared" si="6"/>
        <v>0</v>
      </c>
      <c r="H16" s="310">
        <f>IFERROR(VLOOKUP(C16,TR!$B$2:$F$612,4,0),"")</f>
        <v>0</v>
      </c>
      <c r="I16" s="311">
        <f>IFERROR(VLOOKUP(C16,TR!$B$2:$F$612,5,0),"")</f>
        <v>0</v>
      </c>
      <c r="J16" s="328">
        <f t="shared" si="7"/>
        <v>0</v>
      </c>
      <c r="K16" s="322" t="str">
        <f t="shared" si="0"/>
        <v/>
      </c>
      <c r="L16" s="411" t="str">
        <f t="shared" si="1"/>
        <v/>
      </c>
      <c r="M16" s="324" t="str">
        <f t="shared" si="2"/>
        <v/>
      </c>
      <c r="N16" s="37" t="str">
        <f t="shared" si="3"/>
        <v/>
      </c>
      <c r="O16" s="412" t="str">
        <f t="shared" si="8"/>
        <v/>
      </c>
      <c r="P16" s="408" t="str">
        <f>IF(AND(L16="",M16=""),IF(OR(SUMPRODUCT(N(ISNUMBER(FIND({"s";"d";"f"},C16))))&gt;0,G16+J16&lt;0,AND(G16&gt;0,J16&gt;0,I16&gt;"20:30"*1),AND(I16&lt;="20:30"*1,SUM(I16,R16)&gt;="20:31"*1)),1,""),"")</f>
        <v/>
      </c>
      <c r="Q16" s="326" t="str">
        <f t="shared" si="9"/>
        <v/>
      </c>
      <c r="R16" s="31"/>
      <c r="S16" s="327" t="str">
        <f t="shared" si="4"/>
        <v/>
      </c>
      <c r="T16" s="34">
        <f t="shared" si="5"/>
        <v>0</v>
      </c>
      <c r="U16" s="154">
        <f t="shared" si="11"/>
        <v>0</v>
      </c>
      <c r="V16" s="188">
        <v>0</v>
      </c>
      <c r="W16" s="150" t="str">
        <f t="shared" si="10"/>
        <v>0,00</v>
      </c>
    </row>
    <row r="17" spans="1:25" ht="14.4" x14ac:dyDescent="0.3">
      <c r="A17" s="40"/>
      <c r="B17" s="304">
        <v>43114</v>
      </c>
      <c r="C17" s="409" t="s">
        <v>47</v>
      </c>
      <c r="D17" s="410"/>
      <c r="E17" s="310">
        <f>IFERROR(VLOOKUP(C17,TR!$B$2:$F$612,2,0),"")</f>
        <v>0</v>
      </c>
      <c r="F17" s="311">
        <f>IFERROR(VLOOKUP(C17,TR!$B$2:$F$612,3,0),"")</f>
        <v>0</v>
      </c>
      <c r="G17" s="321">
        <f t="shared" si="6"/>
        <v>0</v>
      </c>
      <c r="H17" s="310">
        <f>IFERROR(VLOOKUP(C17,TR!$B$2:$F$612,4,0),"")</f>
        <v>0</v>
      </c>
      <c r="I17" s="311">
        <f>IFERROR(VLOOKUP(C17,TR!$B$2:$F$612,5,0),"")</f>
        <v>0</v>
      </c>
      <c r="J17" s="321">
        <f t="shared" si="7"/>
        <v>0</v>
      </c>
      <c r="K17" s="322" t="str">
        <f t="shared" si="0"/>
        <v/>
      </c>
      <c r="L17" s="411" t="str">
        <f t="shared" si="1"/>
        <v/>
      </c>
      <c r="M17" s="324" t="str">
        <f t="shared" si="2"/>
        <v/>
      </c>
      <c r="N17" s="37" t="str">
        <f t="shared" si="3"/>
        <v/>
      </c>
      <c r="O17" s="412" t="str">
        <f t="shared" si="8"/>
        <v/>
      </c>
      <c r="P17" s="408" t="str">
        <f>IF(AND(L17="",M17=""),IF(OR(SUMPRODUCT(N(ISNUMBER(FIND({"s";"d";"f"},C17))))&gt;0,G17+J17&lt;0,AND(G17&gt;0,J17&gt;0,I17&gt;"20:30"*1),AND(I17&lt;="20:30"*1,SUM(I17,R17)&gt;="20:31"*1)),1,""),"")</f>
        <v/>
      </c>
      <c r="Q17" s="326" t="str">
        <f t="shared" si="9"/>
        <v/>
      </c>
      <c r="R17" s="31"/>
      <c r="S17" s="327" t="str">
        <f t="shared" si="4"/>
        <v/>
      </c>
      <c r="T17" s="34">
        <f t="shared" si="5"/>
        <v>0</v>
      </c>
      <c r="U17" s="154">
        <f t="shared" si="11"/>
        <v>0</v>
      </c>
      <c r="V17" s="188">
        <v>0</v>
      </c>
      <c r="W17" s="150" t="str">
        <f t="shared" si="10"/>
        <v>0,00</v>
      </c>
    </row>
    <row r="18" spans="1:25" ht="14.4" x14ac:dyDescent="0.3">
      <c r="A18" s="40"/>
      <c r="B18" s="304">
        <v>43115</v>
      </c>
      <c r="C18" s="409" t="s">
        <v>46</v>
      </c>
      <c r="D18" s="410"/>
      <c r="E18" s="310">
        <f>IFERROR(VLOOKUP(C18,TR!$B$2:$F$612,2,0),"")</f>
        <v>0</v>
      </c>
      <c r="F18" s="311">
        <f>IFERROR(VLOOKUP(C18,TR!$B$2:$F$612,3,0),"")</f>
        <v>0</v>
      </c>
      <c r="G18" s="321">
        <f t="shared" si="6"/>
        <v>0</v>
      </c>
      <c r="H18" s="310">
        <f>IFERROR(VLOOKUP(C18,TR!$B$2:$F$612,4,0),"")</f>
        <v>0</v>
      </c>
      <c r="I18" s="311">
        <f>IFERROR(VLOOKUP(C18,TR!$B$2:$F$612,5,0),"")</f>
        <v>0</v>
      </c>
      <c r="J18" s="321">
        <f t="shared" si="7"/>
        <v>0</v>
      </c>
      <c r="K18" s="322" t="str">
        <f t="shared" si="0"/>
        <v/>
      </c>
      <c r="L18" s="411" t="str">
        <f t="shared" si="1"/>
        <v/>
      </c>
      <c r="M18" s="324" t="str">
        <f t="shared" si="2"/>
        <v/>
      </c>
      <c r="N18" s="37" t="str">
        <f t="shared" si="3"/>
        <v/>
      </c>
      <c r="O18" s="412" t="str">
        <f t="shared" si="8"/>
        <v/>
      </c>
      <c r="P18" s="408" t="str">
        <f>IF(AND(L18="",M18=""),IF(OR(SUMPRODUCT(N(ISNUMBER(FIND({"s";"d";"f"},C18))))&gt;0,G18+J18&lt;0,AND(G18&gt;0,J18&gt;0,I18&gt;"20:30"*1),AND(I18&lt;="20:30"*1,SUM(I18,R18)&gt;="20:31"*1)),1,""),"")</f>
        <v/>
      </c>
      <c r="Q18" s="326" t="str">
        <f t="shared" si="9"/>
        <v/>
      </c>
      <c r="R18" s="31"/>
      <c r="S18" s="327" t="str">
        <f t="shared" si="4"/>
        <v/>
      </c>
      <c r="T18" s="34">
        <f t="shared" si="5"/>
        <v>0</v>
      </c>
      <c r="U18" s="154">
        <f t="shared" si="11"/>
        <v>0</v>
      </c>
      <c r="V18" s="188">
        <v>0</v>
      </c>
      <c r="W18" s="150" t="str">
        <f t="shared" si="10"/>
        <v>0,00</v>
      </c>
    </row>
    <row r="19" spans="1:25" ht="14.4" x14ac:dyDescent="0.3">
      <c r="A19" s="40"/>
      <c r="B19" s="304">
        <v>43116</v>
      </c>
      <c r="C19" s="409" t="s">
        <v>45</v>
      </c>
      <c r="D19" s="410"/>
      <c r="E19" s="310">
        <f>IFERROR(VLOOKUP(C19,TR!$B$2:$F$612,2,0),"")</f>
        <v>0</v>
      </c>
      <c r="F19" s="311">
        <f>IFERROR(VLOOKUP(C19,TR!$B$2:$F$612,3,0),"")</f>
        <v>0</v>
      </c>
      <c r="G19" s="321">
        <f t="shared" si="6"/>
        <v>0</v>
      </c>
      <c r="H19" s="310">
        <f>IFERROR(VLOOKUP(C19,TR!$B$2:$F$612,4,0),"")</f>
        <v>0</v>
      </c>
      <c r="I19" s="311">
        <f>IFERROR(VLOOKUP(C19,TR!$B$2:$F$612,5,0),"")</f>
        <v>0</v>
      </c>
      <c r="J19" s="321">
        <f t="shared" si="7"/>
        <v>0</v>
      </c>
      <c r="K19" s="322" t="str">
        <f t="shared" si="0"/>
        <v/>
      </c>
      <c r="L19" s="411" t="str">
        <f t="shared" si="1"/>
        <v/>
      </c>
      <c r="M19" s="324" t="str">
        <f t="shared" si="2"/>
        <v/>
      </c>
      <c r="N19" s="37" t="str">
        <f t="shared" si="3"/>
        <v/>
      </c>
      <c r="O19" s="412" t="str">
        <f t="shared" si="8"/>
        <v/>
      </c>
      <c r="P19" s="408" t="str">
        <f>IF(AND(L19="",M19=""),IF(OR(SUMPRODUCT(N(ISNUMBER(FIND({"s";"d";"f"},C19))))&gt;0,G19+J19&lt;0,AND(G19&gt;0,J19&gt;0,I19&gt;"20:30"*1),AND(I19&lt;="20:30"*1,SUM(I19,R19)&gt;="20:31"*1)),1,""),"")</f>
        <v/>
      </c>
      <c r="Q19" s="326" t="str">
        <f t="shared" si="9"/>
        <v/>
      </c>
      <c r="R19" s="31"/>
      <c r="S19" s="327" t="str">
        <f t="shared" si="4"/>
        <v/>
      </c>
      <c r="T19" s="34">
        <f t="shared" si="5"/>
        <v>0</v>
      </c>
      <c r="U19" s="154">
        <f t="shared" si="11"/>
        <v>0</v>
      </c>
      <c r="V19" s="188">
        <v>0</v>
      </c>
      <c r="W19" s="150" t="str">
        <f t="shared" si="10"/>
        <v>0,00</v>
      </c>
    </row>
    <row r="20" spans="1:25" ht="14.4" x14ac:dyDescent="0.3">
      <c r="A20" s="40"/>
      <c r="B20" s="304">
        <v>43117</v>
      </c>
      <c r="C20" s="409" t="s">
        <v>75</v>
      </c>
      <c r="D20" s="410"/>
      <c r="E20" s="310">
        <f>IFERROR(VLOOKUP(C20,TR!$B$2:$F$612,2,0),"")</f>
        <v>0.17291666666666669</v>
      </c>
      <c r="F20" s="311">
        <f>IFERROR(VLOOKUP(C20,TR!$B$2:$F$612,3,0),"")</f>
        <v>0.49861111111111112</v>
      </c>
      <c r="G20" s="321">
        <f t="shared" si="6"/>
        <v>0.3256944444444444</v>
      </c>
      <c r="H20" s="310">
        <f>IFERROR(VLOOKUP(C20,TR!$B$2:$F$612,4,0),"")</f>
        <v>0</v>
      </c>
      <c r="I20" s="311">
        <f>IFERROR(VLOOKUP(C20,TR!$B$2:$F$612,5,0),"")</f>
        <v>0</v>
      </c>
      <c r="J20" s="321">
        <f t="shared" si="7"/>
        <v>0</v>
      </c>
      <c r="K20" s="322">
        <f t="shared" si="0"/>
        <v>1</v>
      </c>
      <c r="L20" s="411" t="str">
        <f t="shared" si="1"/>
        <v/>
      </c>
      <c r="M20" s="324" t="str">
        <f t="shared" si="2"/>
        <v/>
      </c>
      <c r="N20" s="37" t="str">
        <f t="shared" si="3"/>
        <v/>
      </c>
      <c r="O20" s="412" t="str">
        <f t="shared" si="8"/>
        <v/>
      </c>
      <c r="P20" s="408" t="str">
        <f>IF(AND(L20="",M20=""),IF(OR(SUMPRODUCT(N(ISNUMBER(FIND({"s";"d";"f"},C20))))&gt;0,G20+J20&lt;0,AND(G20&gt;0,J20&gt;0,I20&gt;"20:30"*1),AND(I20&lt;="20:30"*1,SUM(I20,R20)&gt;="20:31"*1)),1,""),"")</f>
        <v/>
      </c>
      <c r="Q20" s="326" t="str">
        <f t="shared" si="9"/>
        <v/>
      </c>
      <c r="R20" s="31"/>
      <c r="S20" s="327">
        <f t="shared" si="4"/>
        <v>0.3256944444444444</v>
      </c>
      <c r="T20" s="34">
        <f t="shared" si="5"/>
        <v>0.3256944444444444</v>
      </c>
      <c r="U20" s="154">
        <f t="shared" si="11"/>
        <v>7.8166666666666655</v>
      </c>
      <c r="V20" s="188">
        <v>7.82</v>
      </c>
      <c r="W20" s="150">
        <f t="shared" si="10"/>
        <v>-3.3333333333347426E-3</v>
      </c>
    </row>
    <row r="21" spans="1:25" ht="14.4" x14ac:dyDescent="0.3">
      <c r="A21" s="40"/>
      <c r="B21" s="304">
        <v>43118</v>
      </c>
      <c r="C21" s="413" t="s">
        <v>76</v>
      </c>
      <c r="D21" s="414"/>
      <c r="E21" s="310">
        <f>IFERROR(VLOOKUP(C21,TR!$B$2:$F$612,2,0),"")</f>
        <v>0.20555555555555557</v>
      </c>
      <c r="F21" s="311">
        <f>IFERROR(VLOOKUP(C21,TR!$B$2:$F$612,3,0),"")</f>
        <v>0.51874999999999993</v>
      </c>
      <c r="G21" s="328">
        <f t="shared" si="6"/>
        <v>0.31319444444444433</v>
      </c>
      <c r="H21" s="310">
        <f>IFERROR(VLOOKUP(C21,TR!$B$2:$F$612,4,0),"")</f>
        <v>0</v>
      </c>
      <c r="I21" s="311">
        <f>IFERROR(VLOOKUP(C21,TR!$B$2:$F$612,5,0),"")</f>
        <v>0</v>
      </c>
      <c r="J21" s="328">
        <f t="shared" si="7"/>
        <v>0</v>
      </c>
      <c r="K21" s="322">
        <f t="shared" si="0"/>
        <v>1</v>
      </c>
      <c r="L21" s="411" t="str">
        <f t="shared" si="1"/>
        <v/>
      </c>
      <c r="M21" s="324" t="str">
        <f t="shared" si="2"/>
        <v/>
      </c>
      <c r="N21" s="37" t="str">
        <f t="shared" si="3"/>
        <v/>
      </c>
      <c r="O21" s="412" t="str">
        <f t="shared" si="8"/>
        <v/>
      </c>
      <c r="P21" s="408" t="str">
        <f>IF(AND(L21="",M21=""),IF(OR(SUMPRODUCT(N(ISNUMBER(FIND({"s";"d";"f"},C21))))&gt;0,G21+J21&lt;0,AND(G21&gt;0,J21&gt;0,I21&gt;"20:30"*1),AND(I21&lt;="20:30"*1,SUM(I21,R21)&gt;="20:31"*1)),1,""),"")</f>
        <v/>
      </c>
      <c r="Q21" s="326" t="str">
        <f t="shared" si="9"/>
        <v/>
      </c>
      <c r="R21" s="31"/>
      <c r="S21" s="327">
        <f t="shared" si="4"/>
        <v>0.31319444444444433</v>
      </c>
      <c r="T21" s="34">
        <f t="shared" si="5"/>
        <v>0.31319444444444433</v>
      </c>
      <c r="U21" s="154">
        <f t="shared" si="11"/>
        <v>7.5166666666666639</v>
      </c>
      <c r="V21" s="188">
        <v>7.52</v>
      </c>
      <c r="W21" s="150">
        <f t="shared" si="10"/>
        <v>-3.3333333333356308E-3</v>
      </c>
    </row>
    <row r="22" spans="1:25" ht="14.4" x14ac:dyDescent="0.3">
      <c r="A22" s="40"/>
      <c r="B22" s="304">
        <v>43119</v>
      </c>
      <c r="C22" s="415" t="s">
        <v>77</v>
      </c>
      <c r="D22" s="416"/>
      <c r="E22" s="310">
        <f>IFERROR(VLOOKUP(C22,TR!$B$2:$F$612,2,0),"")</f>
        <v>0.20555555555555557</v>
      </c>
      <c r="F22" s="311">
        <f>IFERROR(VLOOKUP(C22,TR!$B$2:$F$612,3,0),"")</f>
        <v>0.52430555555555558</v>
      </c>
      <c r="G22" s="328">
        <f t="shared" si="6"/>
        <v>0.31874999999999998</v>
      </c>
      <c r="H22" s="310">
        <f>IFERROR(VLOOKUP(C22,TR!$B$2:$F$612,4,0),"")</f>
        <v>0</v>
      </c>
      <c r="I22" s="311">
        <f>IFERROR(VLOOKUP(C22,TR!$B$2:$F$612,5,0),"")</f>
        <v>0</v>
      </c>
      <c r="J22" s="328">
        <f t="shared" si="7"/>
        <v>0</v>
      </c>
      <c r="K22" s="322">
        <f t="shared" si="0"/>
        <v>1</v>
      </c>
      <c r="L22" s="411" t="str">
        <f t="shared" si="1"/>
        <v/>
      </c>
      <c r="M22" s="324" t="str">
        <f t="shared" si="2"/>
        <v/>
      </c>
      <c r="N22" s="37" t="str">
        <f t="shared" si="3"/>
        <v/>
      </c>
      <c r="O22" s="412" t="str">
        <f t="shared" si="8"/>
        <v/>
      </c>
      <c r="P22" s="408" t="str">
        <f>IF(AND(L22="",M22=""),IF(OR(SUMPRODUCT(N(ISNUMBER(FIND({"s";"d";"f"},C22))))&gt;0,G22+J22&lt;0,AND(G22&gt;0,J22&gt;0,I22&gt;"20:30"*1),AND(I22&lt;="20:30"*1,SUM(I22,R22)&gt;="20:31"*1)),1,""),"")</f>
        <v/>
      </c>
      <c r="Q22" s="326" t="str">
        <f t="shared" si="9"/>
        <v/>
      </c>
      <c r="R22" s="31"/>
      <c r="S22" s="327">
        <f t="shared" si="4"/>
        <v>0.31874999999999998</v>
      </c>
      <c r="T22" s="34">
        <f t="shared" si="5"/>
        <v>0.31874999999999998</v>
      </c>
      <c r="U22" s="154">
        <f t="shared" si="11"/>
        <v>7.6499999999999995</v>
      </c>
      <c r="V22" s="188">
        <v>7.65</v>
      </c>
      <c r="W22" s="150">
        <f t="shared" si="10"/>
        <v>-8.8817841970012523E-16</v>
      </c>
    </row>
    <row r="23" spans="1:25" ht="15" thickBot="1" x14ac:dyDescent="0.35">
      <c r="A23" s="40"/>
      <c r="B23" s="417">
        <v>43120</v>
      </c>
      <c r="C23" s="418" t="s">
        <v>92</v>
      </c>
      <c r="D23" s="419"/>
      <c r="E23" s="420">
        <f>IFERROR(VLOOKUP(C23,TR!$B$2:$F$612,2,0),"")</f>
        <v>0.21180555555555555</v>
      </c>
      <c r="F23" s="421">
        <f>IFERROR(VLOOKUP(C23,TR!$B$2:$F$612,3,0),"")</f>
        <v>0.53680555555555554</v>
      </c>
      <c r="G23" s="422">
        <f t="shared" si="6"/>
        <v>0.32499999999999996</v>
      </c>
      <c r="H23" s="420">
        <f>IFERROR(VLOOKUP(C23,TR!$B$2:$F$612,4,0),"")</f>
        <v>0</v>
      </c>
      <c r="I23" s="421">
        <f>IFERROR(VLOOKUP(C23,TR!$B$2:$F$612,5,0),"")</f>
        <v>0</v>
      </c>
      <c r="J23" s="422">
        <f t="shared" si="7"/>
        <v>0</v>
      </c>
      <c r="K23" s="536" t="str">
        <f t="shared" si="0"/>
        <v/>
      </c>
      <c r="L23" s="537" t="str">
        <f t="shared" si="1"/>
        <v/>
      </c>
      <c r="M23" s="538" t="str">
        <f t="shared" si="2"/>
        <v/>
      </c>
      <c r="N23" s="245" t="str">
        <f t="shared" si="3"/>
        <v/>
      </c>
      <c r="O23" s="423" t="str">
        <f t="shared" si="8"/>
        <v/>
      </c>
      <c r="P23" s="424">
        <f>IF(AND(L23="",M23=""),IF(OR(SUMPRODUCT(N(ISNUMBER(FIND({"s";"d";"f"},C23))))&gt;0,G23+J23&lt;0,AND(G23&gt;0,J23&gt;0,I23&gt;"20:30"*1),AND(I23&lt;="20:30"*1,SUM(I23,R23)&gt;="20:31"*1)),1,""),"")</f>
        <v>1</v>
      </c>
      <c r="Q23" s="343" t="str">
        <f t="shared" si="9"/>
        <v/>
      </c>
      <c r="R23" s="233"/>
      <c r="S23" s="425">
        <f t="shared" si="4"/>
        <v>0.32499999999999996</v>
      </c>
      <c r="T23" s="234">
        <f t="shared" si="5"/>
        <v>0.32499999999999996</v>
      </c>
      <c r="U23" s="235">
        <f t="shared" si="11"/>
        <v>7.7999999999999989</v>
      </c>
      <c r="V23" s="236">
        <v>7.8</v>
      </c>
      <c r="W23" s="237">
        <f t="shared" si="10"/>
        <v>-8.8817841970012523E-16</v>
      </c>
    </row>
    <row r="24" spans="1:25" ht="14.4" x14ac:dyDescent="0.3">
      <c r="A24" s="40"/>
      <c r="B24" s="426">
        <v>43121</v>
      </c>
      <c r="C24" s="427" t="s">
        <v>47</v>
      </c>
      <c r="D24" s="428"/>
      <c r="E24" s="429">
        <f>IFERROR(VLOOKUP(C24,TR!$B$2:$F$612,2,0),"")</f>
        <v>0</v>
      </c>
      <c r="F24" s="430">
        <f>IFERROR(VLOOKUP(C24,TR!$B$2:$F$612,3,0),"")</f>
        <v>0</v>
      </c>
      <c r="G24" s="431">
        <f t="shared" si="6"/>
        <v>0</v>
      </c>
      <c r="H24" s="429">
        <f>IFERROR(VLOOKUP(C24,TR!$B$2:$F$612,4,0),"")</f>
        <v>0</v>
      </c>
      <c r="I24" s="430">
        <f>IFERROR(VLOOKUP(C24,TR!$B$2:$F$612,5,0),"")</f>
        <v>0</v>
      </c>
      <c r="J24" s="431">
        <f t="shared" si="7"/>
        <v>0</v>
      </c>
      <c r="K24" s="533" t="str">
        <f t="shared" si="0"/>
        <v/>
      </c>
      <c r="L24" s="534" t="str">
        <f t="shared" si="1"/>
        <v/>
      </c>
      <c r="M24" s="535" t="str">
        <f t="shared" si="2"/>
        <v/>
      </c>
      <c r="N24" s="243" t="str">
        <f t="shared" si="3"/>
        <v/>
      </c>
      <c r="O24" s="432" t="str">
        <f t="shared" si="8"/>
        <v/>
      </c>
      <c r="P24" s="433" t="str">
        <f>IF(AND(L24="",M24=""),IF(OR(SUMPRODUCT(N(ISNUMBER(FIND({"s";"d";"f"},C24))))&gt;0,G24+J24&lt;0,AND(G24&gt;0,J24&gt;0,I24&gt;"20:30"*1),AND(I24&lt;="20:30"*1,SUM(I24,R24)&gt;="20:31"*1)),1,""),"")</f>
        <v/>
      </c>
      <c r="Q24" s="352" t="str">
        <f t="shared" si="9"/>
        <v/>
      </c>
      <c r="R24" s="238"/>
      <c r="S24" s="434" t="str">
        <f t="shared" si="4"/>
        <v/>
      </c>
      <c r="T24" s="239">
        <f t="shared" si="5"/>
        <v>0</v>
      </c>
      <c r="U24" s="240">
        <f t="shared" si="11"/>
        <v>0</v>
      </c>
      <c r="V24" s="241">
        <v>0</v>
      </c>
      <c r="W24" s="242" t="str">
        <f t="shared" si="10"/>
        <v>0,00</v>
      </c>
    </row>
    <row r="25" spans="1:25" ht="14.4" x14ac:dyDescent="0.3">
      <c r="A25" s="40"/>
      <c r="B25" s="304">
        <v>43122</v>
      </c>
      <c r="C25" s="415" t="s">
        <v>78</v>
      </c>
      <c r="D25" s="416"/>
      <c r="E25" s="310">
        <f>IFERROR(VLOOKUP(C25,TR!$B$2:$F$612,2,0),"")</f>
        <v>0</v>
      </c>
      <c r="F25" s="311">
        <f>IFERROR(VLOOKUP(C25,TR!$B$2:$F$612,3,0),"")</f>
        <v>0</v>
      </c>
      <c r="G25" s="328">
        <f t="shared" si="6"/>
        <v>0</v>
      </c>
      <c r="H25" s="310">
        <f>IFERROR(VLOOKUP(C25,TR!$B$2:$F$612,4,0),"")</f>
        <v>0.66041666666666665</v>
      </c>
      <c r="I25" s="311">
        <f>IFERROR(VLOOKUP(C25,TR!$B$2:$F$612,5,0),"")</f>
        <v>0.95833333333333337</v>
      </c>
      <c r="J25" s="328">
        <f t="shared" si="7"/>
        <v>0.29791666666666672</v>
      </c>
      <c r="K25" s="322">
        <f t="shared" si="0"/>
        <v>1</v>
      </c>
      <c r="L25" s="411" t="str">
        <f t="shared" si="1"/>
        <v/>
      </c>
      <c r="M25" s="324">
        <f t="shared" si="2"/>
        <v>1</v>
      </c>
      <c r="N25" s="37" t="str">
        <f t="shared" si="3"/>
        <v/>
      </c>
      <c r="O25" s="412" t="str">
        <f t="shared" si="8"/>
        <v/>
      </c>
      <c r="P25" s="408" t="str">
        <f>IF(AND(L25="",M25=""),IF(OR(SUMPRODUCT(N(ISNUMBER(FIND({"s";"d";"f"},C25))))&gt;0,G25+J25&lt;0,AND(G25&gt;0,J25&gt;0,I25&gt;"20:30"*1),AND(I25&lt;="20:30"*1,SUM(I25,R25)&gt;="20:31"*1)),1,""),"")</f>
        <v/>
      </c>
      <c r="Q25" s="326" t="str">
        <f t="shared" si="9"/>
        <v/>
      </c>
      <c r="R25" s="31"/>
      <c r="S25" s="327">
        <f t="shared" si="4"/>
        <v>0.29791666666666672</v>
      </c>
      <c r="T25" s="34">
        <f t="shared" si="5"/>
        <v>0.29791666666666672</v>
      </c>
      <c r="U25" s="154">
        <f t="shared" si="11"/>
        <v>7.1500000000000012</v>
      </c>
      <c r="V25" s="188">
        <v>7.32</v>
      </c>
      <c r="W25" s="150">
        <f t="shared" si="10"/>
        <v>-0.16999999999999904</v>
      </c>
    </row>
    <row r="26" spans="1:25" ht="14.4" x14ac:dyDescent="0.3">
      <c r="A26" s="40"/>
      <c r="B26" s="304">
        <v>43123</v>
      </c>
      <c r="C26" s="409" t="s">
        <v>79</v>
      </c>
      <c r="D26" s="410"/>
      <c r="E26" s="310">
        <f>IFERROR(VLOOKUP(C26,TR!$B$2:$F$612,2,0),"")</f>
        <v>0</v>
      </c>
      <c r="F26" s="311">
        <f>IFERROR(VLOOKUP(C26,TR!$B$2:$F$612,3,0),"")</f>
        <v>0</v>
      </c>
      <c r="G26" s="321">
        <f t="shared" si="6"/>
        <v>0</v>
      </c>
      <c r="H26" s="310">
        <f>IFERROR(VLOOKUP(C26,TR!$B$2:$F$612,4,0),"")</f>
        <v>0.58888888888888891</v>
      </c>
      <c r="I26" s="311">
        <f>IFERROR(VLOOKUP(C26,TR!$B$2:$F$612,5,0),"")</f>
        <v>0.89444444444444438</v>
      </c>
      <c r="J26" s="321">
        <f t="shared" si="7"/>
        <v>0.30555555555555547</v>
      </c>
      <c r="K26" s="322" t="str">
        <f t="shared" si="0"/>
        <v/>
      </c>
      <c r="L26" s="411" t="str">
        <f t="shared" si="1"/>
        <v/>
      </c>
      <c r="M26" s="324" t="str">
        <f t="shared" si="2"/>
        <v/>
      </c>
      <c r="N26" s="37" t="str">
        <f t="shared" si="3"/>
        <v/>
      </c>
      <c r="O26" s="412" t="str">
        <f t="shared" si="8"/>
        <v/>
      </c>
      <c r="P26" s="408" t="str">
        <f>IF(AND(L26="",M26=""),IF(OR(SUMPRODUCT(N(ISNUMBER(FIND({"s";"d";"f"},C26))))&gt;0,G26+J26&lt;0,AND(G26&gt;0,J26&gt;0,I26&gt;"20:30"*1),AND(I26&lt;="20:30"*1,SUM(I26,R26)&gt;="20:31"*1)),1,""),"")</f>
        <v/>
      </c>
      <c r="Q26" s="326" t="str">
        <f t="shared" si="9"/>
        <v/>
      </c>
      <c r="R26" s="31"/>
      <c r="S26" s="327">
        <f t="shared" si="4"/>
        <v>0.30555555555555547</v>
      </c>
      <c r="T26" s="34">
        <f t="shared" si="5"/>
        <v>0.30555555555555547</v>
      </c>
      <c r="U26" s="154">
        <f t="shared" si="11"/>
        <v>7.3333333333333313</v>
      </c>
      <c r="V26" s="188">
        <v>7.33</v>
      </c>
      <c r="W26" s="150">
        <f t="shared" si="10"/>
        <v>3.3333333333311899E-3</v>
      </c>
    </row>
    <row r="27" spans="1:25" ht="14.4" x14ac:dyDescent="0.3">
      <c r="A27" s="40"/>
      <c r="B27" s="304">
        <v>43124</v>
      </c>
      <c r="C27" s="409" t="s">
        <v>141</v>
      </c>
      <c r="D27" s="410"/>
      <c r="E27" s="310">
        <f>IFERROR(VLOOKUP(C27,TR!$B$2:$F$612,2,0),"")</f>
        <v>0</v>
      </c>
      <c r="F27" s="311">
        <f>IFERROR(VLOOKUP(C27,TR!$B$2:$F$612,3,0),"")</f>
        <v>0</v>
      </c>
      <c r="G27" s="321">
        <f t="shared" si="6"/>
        <v>0</v>
      </c>
      <c r="H27" s="310">
        <f>IFERROR(VLOOKUP(C27,TR!$B$2:$F$612,4,0),"")</f>
        <v>0.48472222222222222</v>
      </c>
      <c r="I27" s="311">
        <f>IFERROR(VLOOKUP(C27,TR!$B$2:$F$612,5,0),"")</f>
        <v>0.79999999999999993</v>
      </c>
      <c r="J27" s="321">
        <f t="shared" si="7"/>
        <v>0.31527777777777771</v>
      </c>
      <c r="K27" s="322" t="str">
        <f t="shared" si="0"/>
        <v/>
      </c>
      <c r="L27" s="411">
        <f t="shared" si="1"/>
        <v>1</v>
      </c>
      <c r="M27" s="324" t="str">
        <f t="shared" si="2"/>
        <v/>
      </c>
      <c r="N27" s="37" t="str">
        <f t="shared" si="3"/>
        <v/>
      </c>
      <c r="O27" s="412" t="str">
        <f t="shared" si="8"/>
        <v/>
      </c>
      <c r="P27" s="408" t="str">
        <f>IF(AND(L27="",M27=""),IF(OR(SUMPRODUCT(N(ISNUMBER(FIND({"s";"d";"f"},C27))))&gt;0,G27+J27&lt;0,AND(G27&gt;0,J27&gt;0,I27&gt;"20:30"*1),AND(I27&lt;="20:30"*1,SUM(I27,R27)&gt;="20:31"*1)),1,""),"")</f>
        <v/>
      </c>
      <c r="Q27" s="326" t="str">
        <f t="shared" si="9"/>
        <v/>
      </c>
      <c r="R27" s="31"/>
      <c r="S27" s="327">
        <f t="shared" si="4"/>
        <v>0.31527777777777771</v>
      </c>
      <c r="T27" s="34">
        <f t="shared" si="5"/>
        <v>0.31527777777777771</v>
      </c>
      <c r="U27" s="154">
        <f t="shared" si="11"/>
        <v>7.5666666666666647</v>
      </c>
      <c r="V27" s="188">
        <v>7.57</v>
      </c>
      <c r="W27" s="150">
        <f t="shared" si="10"/>
        <v>-3.3333333333356308E-3</v>
      </c>
    </row>
    <row r="28" spans="1:25" ht="14.4" x14ac:dyDescent="0.3">
      <c r="A28" s="40"/>
      <c r="B28" s="304">
        <v>43125</v>
      </c>
      <c r="C28" s="409" t="s">
        <v>46</v>
      </c>
      <c r="D28" s="410"/>
      <c r="E28" s="310">
        <f>IFERROR(VLOOKUP(C28,TR!$B$2:$F$612,2,0),"")</f>
        <v>0</v>
      </c>
      <c r="F28" s="311">
        <f>IFERROR(VLOOKUP(C28,TR!$B$2:$F$612,3,0),"")</f>
        <v>0</v>
      </c>
      <c r="G28" s="321">
        <f t="shared" si="6"/>
        <v>0</v>
      </c>
      <c r="H28" s="310">
        <f>IFERROR(VLOOKUP(C28,TR!$B$2:$F$612,4,0),"")</f>
        <v>0</v>
      </c>
      <c r="I28" s="311">
        <f>IFERROR(VLOOKUP(C28,TR!$B$2:$F$612,5,0),"")</f>
        <v>0</v>
      </c>
      <c r="J28" s="321">
        <f t="shared" si="7"/>
        <v>0</v>
      </c>
      <c r="K28" s="322" t="str">
        <f t="shared" si="0"/>
        <v/>
      </c>
      <c r="L28" s="411" t="str">
        <f t="shared" si="1"/>
        <v/>
      </c>
      <c r="M28" s="324" t="str">
        <f t="shared" si="2"/>
        <v/>
      </c>
      <c r="N28" s="37" t="str">
        <f t="shared" si="3"/>
        <v/>
      </c>
      <c r="O28" s="412" t="str">
        <f t="shared" si="8"/>
        <v/>
      </c>
      <c r="P28" s="408" t="str">
        <f>IF(AND(L28="",M28=""),IF(OR(SUMPRODUCT(N(ISNUMBER(FIND({"s";"d";"f"},C28))))&gt;0,G28+J28&lt;0,AND(G28&gt;0,J28&gt;0,I28&gt;"20:30"*1),AND(I28&lt;="20:30"*1,SUM(I28,R28)&gt;="20:31"*1)),1,""),"")</f>
        <v/>
      </c>
      <c r="Q28" s="326" t="str">
        <f t="shared" si="9"/>
        <v/>
      </c>
      <c r="R28" s="31"/>
      <c r="S28" s="327" t="str">
        <f t="shared" si="4"/>
        <v/>
      </c>
      <c r="T28" s="34">
        <f t="shared" si="5"/>
        <v>0</v>
      </c>
      <c r="U28" s="154">
        <f t="shared" si="11"/>
        <v>0</v>
      </c>
      <c r="V28" s="188">
        <v>0</v>
      </c>
      <c r="W28" s="150" t="str">
        <f t="shared" si="10"/>
        <v>0,00</v>
      </c>
    </row>
    <row r="29" spans="1:25" ht="14.4" x14ac:dyDescent="0.3">
      <c r="A29" s="40"/>
      <c r="B29" s="304">
        <v>43126</v>
      </c>
      <c r="C29" s="409" t="s">
        <v>80</v>
      </c>
      <c r="D29" s="410"/>
      <c r="E29" s="310">
        <f>IFERROR(VLOOKUP(C29,TR!$B$2:$F$612,2,0),"")</f>
        <v>0</v>
      </c>
      <c r="F29" s="311">
        <f>IFERROR(VLOOKUP(C29,TR!$B$2:$F$612,3,0),"")</f>
        <v>0</v>
      </c>
      <c r="G29" s="321">
        <f t="shared" si="6"/>
        <v>0</v>
      </c>
      <c r="H29" s="310">
        <f>IFERROR(VLOOKUP(C29,TR!$B$2:$F$612,4,0),"")</f>
        <v>0.51111111111111118</v>
      </c>
      <c r="I29" s="311">
        <f>IFERROR(VLOOKUP(C29,TR!$B$2:$F$612,5,0),"")</f>
        <v>0.84444444444444444</v>
      </c>
      <c r="J29" s="321">
        <f t="shared" si="7"/>
        <v>0.33333333333333326</v>
      </c>
      <c r="K29" s="322" t="str">
        <f t="shared" si="0"/>
        <v/>
      </c>
      <c r="L29" s="411" t="str">
        <f t="shared" si="1"/>
        <v/>
      </c>
      <c r="M29" s="324" t="str">
        <f t="shared" si="2"/>
        <v/>
      </c>
      <c r="N29" s="37" t="str">
        <f t="shared" si="3"/>
        <v/>
      </c>
      <c r="O29" s="412" t="str">
        <f t="shared" si="8"/>
        <v/>
      </c>
      <c r="P29" s="408" t="str">
        <f>IF(AND(L29="",M29=""),IF(OR(SUMPRODUCT(N(ISNUMBER(FIND({"s";"d";"f"},C29))))&gt;0,G29+J29&lt;0,AND(G29&gt;0,J29&gt;0,I29&gt;"20:30"*1),AND(I29&lt;="20:30"*1,SUM(I29,R29)&gt;="20:31"*1)),1,""),"")</f>
        <v/>
      </c>
      <c r="Q29" s="326" t="str">
        <f t="shared" si="9"/>
        <v/>
      </c>
      <c r="R29" s="31"/>
      <c r="S29" s="327">
        <f t="shared" si="4"/>
        <v>0.33333333333333326</v>
      </c>
      <c r="T29" s="34">
        <f t="shared" si="5"/>
        <v>0.33333333333333326</v>
      </c>
      <c r="U29" s="154">
        <f t="shared" si="11"/>
        <v>7.9999999999999982</v>
      </c>
      <c r="V29" s="188">
        <v>8</v>
      </c>
      <c r="W29" s="150">
        <f t="shared" si="10"/>
        <v>-1.7763568394002505E-15</v>
      </c>
    </row>
    <row r="30" spans="1:25" ht="14.4" x14ac:dyDescent="0.3">
      <c r="A30" s="40"/>
      <c r="B30" s="304">
        <v>43127</v>
      </c>
      <c r="C30" s="415" t="s">
        <v>81</v>
      </c>
      <c r="D30" s="416"/>
      <c r="E30" s="310">
        <f>IFERROR(VLOOKUP(C30,TR!$B$2:$F$612,2,0),"")</f>
        <v>0</v>
      </c>
      <c r="F30" s="311">
        <f>IFERROR(VLOOKUP(C30,TR!$B$2:$F$612,3,0),"")</f>
        <v>0</v>
      </c>
      <c r="G30" s="328">
        <f t="shared" si="6"/>
        <v>0</v>
      </c>
      <c r="H30" s="310">
        <f>IFERROR(VLOOKUP(C30,TR!$B$2:$F$612,4,0),"")</f>
        <v>0.51458333333333328</v>
      </c>
      <c r="I30" s="311">
        <f>IFERROR(VLOOKUP(C30,TR!$B$2:$F$612,5,0),"")</f>
        <v>0.83750000000000002</v>
      </c>
      <c r="J30" s="328">
        <f t="shared" si="7"/>
        <v>0.32291666666666674</v>
      </c>
      <c r="K30" s="322" t="str">
        <f t="shared" si="0"/>
        <v/>
      </c>
      <c r="L30" s="411" t="str">
        <f t="shared" si="1"/>
        <v/>
      </c>
      <c r="M30" s="324" t="str">
        <f t="shared" si="2"/>
        <v/>
      </c>
      <c r="N30" s="37" t="str">
        <f t="shared" si="3"/>
        <v/>
      </c>
      <c r="O30" s="412" t="str">
        <f t="shared" si="8"/>
        <v/>
      </c>
      <c r="P30" s="408">
        <f>IF(AND(L30="",M30=""),IF(OR(SUMPRODUCT(N(ISNUMBER(FIND({"s";"d";"f"},C30))))&gt;0,G30+J30&lt;0,AND(G30&gt;0,J30&gt;0,I30&gt;"20:30"*1),AND(I30&lt;="20:30"*1,SUM(I30,R30)&gt;="20:31"*1)),1,""),"")</f>
        <v>1</v>
      </c>
      <c r="Q30" s="326" t="str">
        <f t="shared" si="9"/>
        <v/>
      </c>
      <c r="R30" s="31"/>
      <c r="S30" s="327">
        <f t="shared" si="4"/>
        <v>0.32291666666666674</v>
      </c>
      <c r="T30" s="34">
        <f t="shared" si="5"/>
        <v>0.32291666666666674</v>
      </c>
      <c r="U30" s="154">
        <f t="shared" si="11"/>
        <v>7.7500000000000018</v>
      </c>
      <c r="V30" s="188">
        <v>7.83</v>
      </c>
      <c r="W30" s="150">
        <f t="shared" si="10"/>
        <v>-7.9999999999998295E-2</v>
      </c>
    </row>
    <row r="31" spans="1:25" ht="14.4" x14ac:dyDescent="0.3">
      <c r="A31" s="40"/>
      <c r="B31" s="304">
        <v>43128</v>
      </c>
      <c r="C31" s="415" t="s">
        <v>47</v>
      </c>
      <c r="D31" s="416"/>
      <c r="E31" s="310">
        <f>IFERROR(VLOOKUP(C31,TR!$B$2:$F$612,2,0),"")</f>
        <v>0</v>
      </c>
      <c r="F31" s="311">
        <f>IFERROR(VLOOKUP(C31,TR!$B$2:$F$612,3,0),"")</f>
        <v>0</v>
      </c>
      <c r="G31" s="328">
        <f t="shared" si="6"/>
        <v>0</v>
      </c>
      <c r="H31" s="310">
        <f>IFERROR(VLOOKUP(C31,TR!$B$2:$F$612,4,0),"")</f>
        <v>0</v>
      </c>
      <c r="I31" s="311">
        <f>IFERROR(VLOOKUP(C31,TR!$B$2:$F$612,5,0),"")</f>
        <v>0</v>
      </c>
      <c r="J31" s="328">
        <f t="shared" si="7"/>
        <v>0</v>
      </c>
      <c r="K31" s="322" t="str">
        <f t="shared" si="0"/>
        <v/>
      </c>
      <c r="L31" s="411" t="str">
        <f t="shared" si="1"/>
        <v/>
      </c>
      <c r="M31" s="324" t="str">
        <f t="shared" si="2"/>
        <v/>
      </c>
      <c r="N31" s="37" t="str">
        <f t="shared" si="3"/>
        <v/>
      </c>
      <c r="O31" s="412" t="str">
        <f t="shared" si="8"/>
        <v/>
      </c>
      <c r="P31" s="408" t="str">
        <f>IF(AND(L31="",M31=""),IF(OR(SUMPRODUCT(N(ISNUMBER(FIND({"s";"d";"f"},C31))))&gt;0,G31+J31&lt;0,AND(G31&gt;0,J31&gt;0,I31&gt;"20:30"*1),AND(I31&lt;="20:30"*1,SUM(I31,R31)&gt;="20:31"*1)),1,""),"")</f>
        <v/>
      </c>
      <c r="Q31" s="326" t="str">
        <f t="shared" si="9"/>
        <v/>
      </c>
      <c r="R31" s="31"/>
      <c r="S31" s="327" t="str">
        <f t="shared" si="4"/>
        <v/>
      </c>
      <c r="T31" s="34">
        <f t="shared" si="5"/>
        <v>0</v>
      </c>
      <c r="U31" s="154">
        <f t="shared" si="11"/>
        <v>0</v>
      </c>
      <c r="V31" s="188">
        <v>0</v>
      </c>
      <c r="W31" s="150" t="str">
        <f t="shared" si="10"/>
        <v>0,00</v>
      </c>
      <c r="Y31" s="435"/>
    </row>
    <row r="32" spans="1:25" ht="14.4" x14ac:dyDescent="0.3">
      <c r="A32" s="40"/>
      <c r="B32" s="304">
        <v>43129</v>
      </c>
      <c r="C32" s="415" t="s">
        <v>82</v>
      </c>
      <c r="D32" s="416"/>
      <c r="E32" s="310">
        <f>IFERROR(VLOOKUP(C32,TR!$B$2:$F$612,2,0),"")</f>
        <v>0.28333333333333333</v>
      </c>
      <c r="F32" s="311">
        <f>IFERROR(VLOOKUP(C32,TR!$B$2:$F$612,3,0),"")</f>
        <v>0.58472222222222225</v>
      </c>
      <c r="G32" s="328">
        <f t="shared" si="6"/>
        <v>0.30138888888888893</v>
      </c>
      <c r="H32" s="310">
        <f>IFERROR(VLOOKUP(C32,TR!$B$2:$F$612,4,0),"")</f>
        <v>0</v>
      </c>
      <c r="I32" s="311">
        <f>IFERROR(VLOOKUP(C32,TR!$B$2:$F$612,5,0),"")</f>
        <v>0</v>
      </c>
      <c r="J32" s="328">
        <f t="shared" si="7"/>
        <v>0</v>
      </c>
      <c r="K32" s="322" t="str">
        <f t="shared" si="0"/>
        <v/>
      </c>
      <c r="L32" s="411">
        <f t="shared" si="1"/>
        <v>1</v>
      </c>
      <c r="M32" s="324" t="str">
        <f t="shared" si="2"/>
        <v/>
      </c>
      <c r="N32" s="37" t="str">
        <f t="shared" si="3"/>
        <v/>
      </c>
      <c r="O32" s="412" t="str">
        <f t="shared" si="8"/>
        <v/>
      </c>
      <c r="P32" s="408" t="str">
        <f>IF(AND(L32="",M32=""),IF(OR(SUMPRODUCT(N(ISNUMBER(FIND({"s";"d";"f"},C32))))&gt;0,G32+J32&lt;0,AND(G32&gt;0,J32&gt;0,I32&gt;"20:30"*1),AND(I32&lt;="20:30"*1,SUM(I32,R32)&gt;="20:31"*1)),1,""),"")</f>
        <v/>
      </c>
      <c r="Q32" s="326" t="str">
        <f t="shared" si="9"/>
        <v/>
      </c>
      <c r="R32" s="31"/>
      <c r="S32" s="327">
        <f t="shared" si="4"/>
        <v>0.30138888888888893</v>
      </c>
      <c r="T32" s="34">
        <f t="shared" si="5"/>
        <v>0.30138888888888893</v>
      </c>
      <c r="U32" s="154">
        <f t="shared" si="11"/>
        <v>7.2333333333333343</v>
      </c>
      <c r="V32" s="188">
        <v>7.23</v>
      </c>
      <c r="W32" s="150">
        <f t="shared" si="10"/>
        <v>3.3333333333338544E-3</v>
      </c>
    </row>
    <row r="33" spans="1:25" ht="14.4" x14ac:dyDescent="0.3">
      <c r="A33" s="40"/>
      <c r="B33" s="304">
        <v>43130</v>
      </c>
      <c r="C33" s="415" t="s">
        <v>83</v>
      </c>
      <c r="D33" s="416"/>
      <c r="E33" s="310">
        <f>IFERROR(VLOOKUP(C33,TR!$B$2:$F$612,2,0),"")</f>
        <v>0.18055555555555555</v>
      </c>
      <c r="F33" s="311">
        <f>IFERROR(VLOOKUP(C33,TR!$B$2:$F$612,3,0),"")</f>
        <v>0.49722222222222223</v>
      </c>
      <c r="G33" s="328">
        <f t="shared" si="6"/>
        <v>0.31666666666666665</v>
      </c>
      <c r="H33" s="310">
        <f>IFERROR(VLOOKUP(C33,TR!$B$2:$F$612,4,0),"")</f>
        <v>0</v>
      </c>
      <c r="I33" s="311">
        <f>IFERROR(VLOOKUP(C33,TR!$B$2:$F$612,5,0),"")</f>
        <v>0</v>
      </c>
      <c r="J33" s="328">
        <f t="shared" si="7"/>
        <v>0</v>
      </c>
      <c r="K33" s="322">
        <f t="shared" si="0"/>
        <v>1</v>
      </c>
      <c r="L33" s="411" t="str">
        <f t="shared" si="1"/>
        <v/>
      </c>
      <c r="M33" s="324" t="str">
        <f t="shared" si="2"/>
        <v/>
      </c>
      <c r="N33" s="37" t="str">
        <f t="shared" si="3"/>
        <v/>
      </c>
      <c r="O33" s="412" t="str">
        <f t="shared" si="8"/>
        <v/>
      </c>
      <c r="P33" s="408" t="str">
        <f>IF(AND(L33="",M33=""),IF(OR(SUMPRODUCT(N(ISNUMBER(FIND({"s";"d";"f"},C33))))&gt;0,G33+J33&lt;0,AND(G33&gt;0,J33&gt;0,I33&gt;"20:30"*1),AND(I33&lt;="20:30"*1,SUM(I33,R33)&gt;="20:31"*1)),1,""),"")</f>
        <v/>
      </c>
      <c r="Q33" s="326" t="str">
        <f t="shared" si="9"/>
        <v/>
      </c>
      <c r="R33" s="31"/>
      <c r="S33" s="327">
        <f t="shared" si="4"/>
        <v>0.31666666666666665</v>
      </c>
      <c r="T33" s="34">
        <f t="shared" si="5"/>
        <v>0.31666666666666665</v>
      </c>
      <c r="U33" s="154">
        <f t="shared" si="11"/>
        <v>7.6</v>
      </c>
      <c r="V33" s="188">
        <v>7.6</v>
      </c>
      <c r="W33" s="150" t="str">
        <f t="shared" si="10"/>
        <v>0,00</v>
      </c>
    </row>
    <row r="34" spans="1:25" ht="15" thickBot="1" x14ac:dyDescent="0.35">
      <c r="A34" s="40"/>
      <c r="B34" s="354">
        <v>43131</v>
      </c>
      <c r="C34" s="436" t="s">
        <v>169</v>
      </c>
      <c r="D34" s="437"/>
      <c r="E34" s="357">
        <f>IFERROR(VLOOKUP(C34,TR!$B$2:$F$612,2,0),"")</f>
        <v>0.18055555555555555</v>
      </c>
      <c r="F34" s="358">
        <f>IFERROR(VLOOKUP(C34,TR!$B$2:$F$612,3,0),"")</f>
        <v>0.52083333333333337</v>
      </c>
      <c r="G34" s="359">
        <f t="shared" si="6"/>
        <v>0.34027777777777779</v>
      </c>
      <c r="H34" s="357">
        <f>IFERROR(VLOOKUP(C34,TR!$B$2:$F$612,4,0),"")</f>
        <v>0</v>
      </c>
      <c r="I34" s="358">
        <f>IFERROR(VLOOKUP(C34,TR!$B$2:$F$612,5,0),"")</f>
        <v>0</v>
      </c>
      <c r="J34" s="359">
        <f t="shared" si="7"/>
        <v>0</v>
      </c>
      <c r="K34" s="360">
        <f t="shared" si="0"/>
        <v>1</v>
      </c>
      <c r="L34" s="438" t="str">
        <f t="shared" si="1"/>
        <v/>
      </c>
      <c r="M34" s="362" t="str">
        <f t="shared" si="2"/>
        <v/>
      </c>
      <c r="N34" s="38" t="str">
        <f t="shared" si="3"/>
        <v/>
      </c>
      <c r="O34" s="439" t="str">
        <f t="shared" si="8"/>
        <v/>
      </c>
      <c r="P34" s="440" t="str">
        <f>IF(AND(L34="",M34=""),IF(OR(SUMPRODUCT(N(ISNUMBER(FIND({"s";"d";"f"},C34))))&gt;0,G34+J34&lt;0,AND(G34&gt;0,J34&gt;0,I34&gt;"20:30"*1),AND(I34&lt;="20:30"*1,SUM(I34,R34)&gt;="20:31"*1)),1,""),"")</f>
        <v/>
      </c>
      <c r="Q34" s="365" t="str">
        <f t="shared" si="9"/>
        <v/>
      </c>
      <c r="R34" s="32"/>
      <c r="S34" s="366">
        <f t="shared" si="4"/>
        <v>0.34027777777777779</v>
      </c>
      <c r="T34" s="35">
        <f t="shared" si="5"/>
        <v>0.34027777777777779</v>
      </c>
      <c r="U34" s="155">
        <f t="shared" si="11"/>
        <v>8.1666666666666679</v>
      </c>
      <c r="V34" s="189">
        <v>8</v>
      </c>
      <c r="W34" s="151">
        <f t="shared" si="10"/>
        <v>0.16666666666666785</v>
      </c>
    </row>
    <row r="35" spans="1:25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S35" s="54"/>
      <c r="T35" s="55"/>
      <c r="U35" s="56"/>
      <c r="V35" s="57"/>
    </row>
    <row r="36" spans="1:25" ht="14.4" x14ac:dyDescent="0.3">
      <c r="A36" s="40"/>
      <c r="B36" s="373" t="s">
        <v>17</v>
      </c>
      <c r="C36" s="142">
        <f>COUNTIF(C4:C23,"&lt;&gt;")-(COUNTIF(C4:C23,"CH*")+COUNTIF(C4:C23,"RT*")+COUNTIF(C4:C23,"CC*")+COUNTIF(C4:C23,"Mal*")+COUNTIF(C4:C23,"Férié*")+COUNTIF(C4:C23,"CP*"))</f>
        <v>13</v>
      </c>
      <c r="E36" s="370">
        <f>SUMPRODUCT(COUNTIF(C4:C34,B37:B42))</f>
        <v>10</v>
      </c>
      <c r="G36" s="40"/>
      <c r="I36" s="613" t="s">
        <v>55</v>
      </c>
      <c r="J36" s="613"/>
      <c r="K36" s="72">
        <f>SUM([1]Décembre!$K$24:$K$34,K4:K23)</f>
        <v>3</v>
      </c>
      <c r="L36" s="73">
        <f>SUM([1]Décembre!$L$24:$L$34,L4:L23)</f>
        <v>2</v>
      </c>
      <c r="M36" s="564">
        <f>SUM([1]Décembre!$M$24:$M$34,M4:M23)</f>
        <v>0</v>
      </c>
      <c r="N36" s="75">
        <f>SUM([1]Décembre!$N$24:$N$34,N4:N23)</f>
        <v>1</v>
      </c>
      <c r="O36" s="76">
        <f>SUM([1]Décembre!$O$24:$O$34,O4:O23)</f>
        <v>0</v>
      </c>
      <c r="P36" s="213">
        <f>SUM([1]Décembre!$P$24:$P$34,P4:P23)</f>
        <v>2</v>
      </c>
      <c r="Q36" s="77">
        <f>SUM([1]Décembre!$Q$24:$Q$34,Q4:Q23)</f>
        <v>0</v>
      </c>
      <c r="R36" s="565">
        <f>SUM([1]Décembre!$R$24:$R$34,R4:R23)</f>
        <v>0</v>
      </c>
      <c r="S36" s="78"/>
      <c r="T36" s="79">
        <f>SUM(T4:T23)</f>
        <v>4.2013888888888875</v>
      </c>
      <c r="U36" s="80">
        <f>SUM(U4:U34)</f>
        <v>161.63333333333333</v>
      </c>
      <c r="V36" s="186">
        <f>SUM(V4:V34)</f>
        <v>161.72999999999999</v>
      </c>
      <c r="W36" s="59"/>
    </row>
    <row r="37" spans="1:25" ht="14.4" thickBot="1" x14ac:dyDescent="0.3">
      <c r="A37" s="40"/>
      <c r="B37" s="374" t="s">
        <v>51</v>
      </c>
      <c r="C37" s="143">
        <f>COUNTIF(C4:C23,"CP")</f>
        <v>0</v>
      </c>
      <c r="G37" s="40"/>
      <c r="H37" s="40"/>
      <c r="I37" s="40"/>
      <c r="J37" s="40"/>
      <c r="K37" s="375">
        <f>(I39*2)*K36</f>
        <v>53.116799999999998</v>
      </c>
      <c r="L37" s="376">
        <f>Recap!H35*L36</f>
        <v>14.28</v>
      </c>
      <c r="M37" s="377">
        <f>Recap!H35*M36</f>
        <v>0</v>
      </c>
      <c r="N37" s="378">
        <f>(I39*5)*N36</f>
        <v>44.264000000000003</v>
      </c>
      <c r="O37" s="379">
        <f>(Recap!H33)*O36</f>
        <v>0</v>
      </c>
      <c r="P37" s="380">
        <f>7.5*P36</f>
        <v>15</v>
      </c>
      <c r="Q37" s="381">
        <f>(I39*1.5)*Q36</f>
        <v>0</v>
      </c>
      <c r="R37" s="382">
        <f>R36*24</f>
        <v>0</v>
      </c>
      <c r="S37" s="61"/>
      <c r="T37" s="62"/>
      <c r="U37" s="63"/>
      <c r="V37" s="57"/>
      <c r="W37" s="59"/>
    </row>
    <row r="38" spans="1:25" x14ac:dyDescent="0.25">
      <c r="B38" s="383" t="s">
        <v>47</v>
      </c>
      <c r="C38" s="144">
        <f>COUNTIF(C4:C23,"CH")</f>
        <v>2</v>
      </c>
      <c r="F38" s="40"/>
      <c r="G38" s="40"/>
      <c r="H38" s="40"/>
      <c r="I38" s="384" t="s">
        <v>54</v>
      </c>
      <c r="J38" s="40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04"/>
      <c r="V38" s="259">
        <v>6.1749999999999998</v>
      </c>
      <c r="W38" s="258">
        <f>V38*24</f>
        <v>148.19999999999999</v>
      </c>
      <c r="X38" s="69"/>
    </row>
    <row r="39" spans="1:25" ht="14.4" thickBot="1" x14ac:dyDescent="0.3">
      <c r="B39" s="441" t="s">
        <v>45</v>
      </c>
      <c r="C39" s="145">
        <f>COUNTIF(C4:C23,"RT")</f>
        <v>1</v>
      </c>
      <c r="F39" s="40"/>
      <c r="G39" s="40"/>
      <c r="H39" s="40"/>
      <c r="I39" s="386">
        <v>8.8528000000000002</v>
      </c>
      <c r="J39" s="40"/>
      <c r="K39" s="40"/>
      <c r="L39" s="40"/>
      <c r="M39" s="40"/>
      <c r="N39" s="387"/>
      <c r="O39" s="387"/>
      <c r="V39" s="388"/>
      <c r="W39" s="388"/>
      <c r="X39" s="389"/>
    </row>
    <row r="40" spans="1:25" x14ac:dyDescent="0.25">
      <c r="B40" s="390" t="s">
        <v>46</v>
      </c>
      <c r="C40" s="146">
        <f>COUNTIF(C4:C23,"CC")</f>
        <v>3</v>
      </c>
      <c r="T40" s="615" t="s">
        <v>16</v>
      </c>
      <c r="U40" s="604"/>
      <c r="V40" s="391" t="str">
        <f>IF(V38&gt;T36,"-","")&amp;TEXT(ABS(T36-V38),"[h]:mm")</f>
        <v>-47:22</v>
      </c>
      <c r="W40" s="392">
        <f>(T36-V38)*24</f>
        <v>-47.366666666666696</v>
      </c>
      <c r="X40" s="69"/>
      <c r="Y40" s="70"/>
    </row>
    <row r="41" spans="1:25" ht="14.4" thickBot="1" x14ac:dyDescent="0.3">
      <c r="B41" s="393" t="s">
        <v>11</v>
      </c>
      <c r="C41" s="147">
        <f>COUNTIF(C24:C34,"Férié")</f>
        <v>0</v>
      </c>
      <c r="Y41" s="389"/>
    </row>
    <row r="42" spans="1:25" ht="15" thickTop="1" thickBot="1" x14ac:dyDescent="0.3">
      <c r="B42" s="394" t="s">
        <v>153</v>
      </c>
      <c r="C42" s="230">
        <f>(COUNTIF(C4:C23,"FériéCC")+COUNTIF(C4:C23,"FériéCH"))</f>
        <v>0</v>
      </c>
      <c r="R42" s="616" t="s">
        <v>201</v>
      </c>
      <c r="S42" s="617"/>
      <c r="T42" s="442">
        <f>SUM(T4:T34)</f>
        <v>6.7347222222222198</v>
      </c>
      <c r="Y42" s="389"/>
    </row>
    <row r="43" spans="1:25" ht="15" thickTop="1" thickBot="1" x14ac:dyDescent="0.3">
      <c r="B43" s="387"/>
      <c r="T43" s="257">
        <f>T42*24</f>
        <v>161.63333333333327</v>
      </c>
      <c r="W43" s="443">
        <f>(T42-V38)*24</f>
        <v>13.43333333333328</v>
      </c>
      <c r="Y43" s="389"/>
    </row>
    <row r="44" spans="1:25" ht="15" thickTop="1" thickBot="1" x14ac:dyDescent="0.3">
      <c r="B44" s="387"/>
      <c r="Y44" s="70"/>
    </row>
    <row r="45" spans="1:25" ht="15" thickBot="1" x14ac:dyDescent="0.35">
      <c r="B45" s="387"/>
      <c r="F45" s="605" t="s">
        <v>57</v>
      </c>
      <c r="G45" s="606"/>
      <c r="H45" s="606"/>
      <c r="I45" s="606"/>
      <c r="J45" s="606"/>
      <c r="K45" s="606"/>
      <c r="L45" s="606"/>
      <c r="M45" s="606"/>
      <c r="N45" s="606"/>
      <c r="O45" s="606"/>
      <c r="P45" s="606"/>
      <c r="Q45" s="606"/>
      <c r="R45" s="607"/>
      <c r="U45" s="71"/>
      <c r="V45" s="71"/>
      <c r="Y45" s="389"/>
    </row>
    <row r="46" spans="1:25" ht="14.4" thickTop="1" x14ac:dyDescent="0.25">
      <c r="B46" s="387"/>
      <c r="F46" s="444"/>
      <c r="G46" s="445"/>
      <c r="H46" s="445"/>
      <c r="I46" s="445"/>
      <c r="J46" s="445"/>
      <c r="K46" s="445"/>
      <c r="L46" s="445"/>
      <c r="M46" s="445"/>
      <c r="N46" s="445"/>
      <c r="O46" s="445"/>
      <c r="P46" s="445"/>
      <c r="Q46" s="445"/>
      <c r="R46" s="446"/>
    </row>
    <row r="47" spans="1:25" x14ac:dyDescent="0.25">
      <c r="F47" s="398"/>
      <c r="G47" s="399"/>
      <c r="H47" s="399"/>
      <c r="I47" s="399"/>
      <c r="J47" s="399"/>
      <c r="K47" s="399"/>
      <c r="L47" s="399"/>
      <c r="M47" s="399"/>
      <c r="N47" s="399"/>
      <c r="O47" s="399"/>
      <c r="P47" s="399"/>
      <c r="Q47" s="399"/>
      <c r="R47" s="400"/>
    </row>
    <row r="48" spans="1:25" x14ac:dyDescent="0.25">
      <c r="F48" s="398"/>
      <c r="G48" s="399"/>
      <c r="H48" s="399"/>
      <c r="I48" s="399"/>
      <c r="J48" s="399"/>
      <c r="K48" s="399"/>
      <c r="L48" s="399"/>
      <c r="M48" s="399"/>
      <c r="N48" s="399"/>
      <c r="O48" s="399"/>
      <c r="P48" s="399"/>
      <c r="Q48" s="399"/>
      <c r="R48" s="400"/>
    </row>
    <row r="49" spans="6:18" x14ac:dyDescent="0.25">
      <c r="F49" s="398"/>
      <c r="G49" s="399"/>
      <c r="H49" s="399"/>
      <c r="I49" s="399"/>
      <c r="J49" s="399"/>
      <c r="K49" s="399"/>
      <c r="L49" s="399"/>
      <c r="M49" s="399"/>
      <c r="N49" s="399"/>
      <c r="O49" s="399"/>
      <c r="P49" s="399"/>
      <c r="Q49" s="399"/>
      <c r="R49" s="400"/>
    </row>
    <row r="50" spans="6:18" x14ac:dyDescent="0.25">
      <c r="F50" s="398"/>
      <c r="G50" s="399"/>
      <c r="H50" s="399"/>
      <c r="I50" s="399"/>
      <c r="J50" s="399"/>
      <c r="K50" s="399"/>
      <c r="L50" s="399"/>
      <c r="M50" s="399"/>
      <c r="N50" s="399"/>
      <c r="O50" s="399"/>
      <c r="P50" s="399"/>
      <c r="Q50" s="399"/>
      <c r="R50" s="400"/>
    </row>
    <row r="51" spans="6:18" x14ac:dyDescent="0.25">
      <c r="F51" s="398"/>
      <c r="G51" s="399"/>
      <c r="H51" s="399"/>
      <c r="I51" s="399"/>
      <c r="J51" s="399"/>
      <c r="K51" s="399"/>
      <c r="L51" s="399"/>
      <c r="M51" s="399"/>
      <c r="N51" s="399"/>
      <c r="O51" s="399"/>
      <c r="P51" s="399"/>
      <c r="Q51" s="399"/>
      <c r="R51" s="400"/>
    </row>
    <row r="52" spans="6:18" x14ac:dyDescent="0.25">
      <c r="F52" s="398"/>
      <c r="G52" s="399"/>
      <c r="H52" s="399"/>
      <c r="I52" s="399"/>
      <c r="J52" s="399"/>
      <c r="K52" s="399"/>
      <c r="L52" s="399"/>
      <c r="M52" s="399"/>
      <c r="N52" s="399"/>
      <c r="O52" s="399"/>
      <c r="P52" s="399"/>
      <c r="Q52" s="399"/>
      <c r="R52" s="400"/>
    </row>
    <row r="53" spans="6:18" x14ac:dyDescent="0.25">
      <c r="F53" s="398"/>
      <c r="G53" s="399"/>
      <c r="H53" s="399"/>
      <c r="I53" s="399"/>
      <c r="J53" s="399"/>
      <c r="K53" s="399"/>
      <c r="L53" s="399"/>
      <c r="M53" s="399"/>
      <c r="N53" s="399"/>
      <c r="O53" s="399"/>
      <c r="P53" s="399"/>
      <c r="Q53" s="399"/>
      <c r="R53" s="400"/>
    </row>
    <row r="54" spans="6:18" x14ac:dyDescent="0.25">
      <c r="F54" s="398"/>
      <c r="G54" s="399"/>
      <c r="H54" s="399"/>
      <c r="I54" s="399"/>
      <c r="J54" s="399"/>
      <c r="K54" s="399"/>
      <c r="L54" s="399"/>
      <c r="M54" s="399"/>
      <c r="N54" s="399"/>
      <c r="O54" s="399"/>
      <c r="P54" s="399"/>
      <c r="Q54" s="399"/>
      <c r="R54" s="400"/>
    </row>
    <row r="55" spans="6:18" x14ac:dyDescent="0.25">
      <c r="F55" s="398"/>
      <c r="G55" s="399"/>
      <c r="H55" s="399"/>
      <c r="I55" s="399"/>
      <c r="J55" s="399"/>
      <c r="K55" s="399"/>
      <c r="L55" s="399"/>
      <c r="M55" s="399"/>
      <c r="N55" s="399"/>
      <c r="O55" s="399"/>
      <c r="P55" s="399"/>
      <c r="Q55" s="399"/>
      <c r="R55" s="400"/>
    </row>
    <row r="56" spans="6:18" x14ac:dyDescent="0.25">
      <c r="F56" s="398"/>
      <c r="G56" s="399"/>
      <c r="H56" s="399"/>
      <c r="I56" s="399"/>
      <c r="J56" s="399"/>
      <c r="K56" s="399"/>
      <c r="L56" s="399"/>
      <c r="M56" s="399"/>
      <c r="N56" s="399"/>
      <c r="O56" s="399"/>
      <c r="P56" s="399"/>
      <c r="Q56" s="399"/>
      <c r="R56" s="400"/>
    </row>
    <row r="57" spans="6:18" x14ac:dyDescent="0.25">
      <c r="F57" s="398"/>
      <c r="G57" s="399"/>
      <c r="H57" s="399"/>
      <c r="I57" s="399"/>
      <c r="J57" s="399"/>
      <c r="K57" s="399"/>
      <c r="L57" s="399"/>
      <c r="M57" s="399"/>
      <c r="N57" s="399"/>
      <c r="O57" s="399"/>
      <c r="P57" s="399"/>
      <c r="Q57" s="399"/>
      <c r="R57" s="400"/>
    </row>
    <row r="58" spans="6:18" x14ac:dyDescent="0.25">
      <c r="F58" s="398"/>
      <c r="G58" s="399"/>
      <c r="H58" s="399"/>
      <c r="I58" s="399"/>
      <c r="J58" s="399"/>
      <c r="K58" s="399"/>
      <c r="L58" s="399"/>
      <c r="M58" s="399"/>
      <c r="N58" s="399"/>
      <c r="O58" s="399"/>
      <c r="P58" s="399"/>
      <c r="Q58" s="399"/>
      <c r="R58" s="400"/>
    </row>
    <row r="59" spans="6:18" ht="14.4" thickBot="1" x14ac:dyDescent="0.3">
      <c r="F59" s="401"/>
      <c r="G59" s="402"/>
      <c r="H59" s="402"/>
      <c r="I59" s="402"/>
      <c r="J59" s="402"/>
      <c r="K59" s="402"/>
      <c r="L59" s="402"/>
      <c r="M59" s="402"/>
      <c r="N59" s="402"/>
      <c r="O59" s="402"/>
      <c r="P59" s="402"/>
      <c r="Q59" s="402"/>
      <c r="R59" s="403"/>
    </row>
    <row r="60" spans="6:18" ht="14.4" thickTop="1" x14ac:dyDescent="0.25"/>
  </sheetData>
  <mergeCells count="9">
    <mergeCell ref="B1:W1"/>
    <mergeCell ref="F45:R45"/>
    <mergeCell ref="T2:W2"/>
    <mergeCell ref="E3:F3"/>
    <mergeCell ref="H3:I3"/>
    <mergeCell ref="I36:J36"/>
    <mergeCell ref="T38:U38"/>
    <mergeCell ref="T40:U40"/>
    <mergeCell ref="R42:S42"/>
  </mergeCells>
  <conditionalFormatting sqref="V40:W40">
    <cfRule type="expression" dxfId="73" priority="2" stopIfTrue="1">
      <formula>$T$36&lt;$V$38</formula>
    </cfRule>
    <cfRule type="expression" dxfId="72" priority="3" stopIfTrue="1">
      <formula>$T$36&gt;$V$38</formula>
    </cfRule>
  </conditionalFormatting>
  <conditionalFormatting sqref="C4:C34">
    <cfRule type="expression" dxfId="71" priority="1" stopIfTrue="1">
      <formula>ISNUMBER(FIND("d",$C4))</formula>
    </cfRule>
  </conditionalFormatting>
  <conditionalFormatting sqref="C4:Q34">
    <cfRule type="expression" dxfId="70" priority="10" stopIfTrue="1">
      <formula>ISNUMBER(FIND("n",$C4))</formula>
    </cfRule>
    <cfRule type="expression" dxfId="69" priority="13" stopIfTrue="1">
      <formula>ISNUMBER(FIND("CP",$C4))</formula>
    </cfRule>
    <cfRule type="expression" dxfId="68" priority="14" stopIfTrue="1">
      <formula>OR(ISNUMBER(FIND("Férié",$C4)),ISNUMBER(FIND("f",$C4)))</formula>
    </cfRule>
  </conditionalFormatting>
  <pageMargins left="0.51181102362204722" right="0.51181102362204722" top="0.55118110236220474" bottom="0.55118110236220474" header="0.11811023622047245" footer="0.11811023622047245"/>
  <pageSetup paperSize="9" orientation="portrait" r:id="rId1"/>
  <ignoredErrors>
    <ignoredError sqref="T43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0"/>
  <sheetViews>
    <sheetView topLeftCell="A16" workbookViewId="0">
      <selection activeCell="C36" sqref="C36"/>
    </sheetView>
  </sheetViews>
  <sheetFormatPr baseColWidth="10" defaultColWidth="11" defaultRowHeight="13.8" x14ac:dyDescent="0.25"/>
  <cols>
    <col min="1" max="1" width="3.59765625" style="369" customWidth="1"/>
    <col min="2" max="2" width="14.59765625" style="369" customWidth="1"/>
    <col min="3" max="3" width="8.59765625" style="369" customWidth="1"/>
    <col min="4" max="4" width="7.59765625" style="369" customWidth="1"/>
    <col min="5" max="23" width="8.59765625" style="369" customWidth="1"/>
    <col min="24" max="16384" width="11" style="369"/>
  </cols>
  <sheetData>
    <row r="1" spans="1:34" ht="14.4" thickBot="1" x14ac:dyDescent="0.3">
      <c r="A1" s="40"/>
      <c r="B1" s="602" t="s">
        <v>32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18"/>
      <c r="O1" s="618"/>
      <c r="P1" s="618"/>
      <c r="Q1" s="618"/>
      <c r="R1" s="618"/>
      <c r="S1" s="619"/>
      <c r="T1" s="619"/>
      <c r="U1" s="619"/>
      <c r="V1" s="619"/>
      <c r="W1" s="619"/>
      <c r="X1" s="367"/>
      <c r="Y1" s="367"/>
      <c r="Z1" s="367"/>
      <c r="AA1" s="367"/>
      <c r="AB1" s="367"/>
      <c r="AC1" s="367"/>
      <c r="AD1" s="368"/>
      <c r="AE1" s="368"/>
      <c r="AF1" s="368"/>
      <c r="AG1" s="368"/>
      <c r="AH1" s="368"/>
    </row>
    <row r="2" spans="1:34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</row>
    <row r="3" spans="1:34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303" t="s">
        <v>5</v>
      </c>
      <c r="H3" s="611" t="s">
        <v>6</v>
      </c>
      <c r="I3" s="612"/>
      <c r="J3" s="303" t="s">
        <v>5</v>
      </c>
      <c r="K3" s="41" t="s">
        <v>7</v>
      </c>
      <c r="L3" s="42" t="s">
        <v>8</v>
      </c>
      <c r="M3" s="220" t="s">
        <v>9</v>
      </c>
      <c r="N3" s="43" t="s">
        <v>10</v>
      </c>
      <c r="O3" s="44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</row>
    <row r="4" spans="1:34" ht="14.4" x14ac:dyDescent="0.3">
      <c r="A4" s="40"/>
      <c r="B4" s="304">
        <v>43132</v>
      </c>
      <c r="C4" s="305" t="s">
        <v>84</v>
      </c>
      <c r="D4" s="306"/>
      <c r="E4" s="307">
        <f>IFERROR(VLOOKUP(C4,TR!$B$2:$F$612,2,0),"")</f>
        <v>0.24861111111111112</v>
      </c>
      <c r="F4" s="308">
        <f>IFERROR(VLOOKUP(C4,TR!$B$2:$F$612,3,0),"")</f>
        <v>0.56944444444444442</v>
      </c>
      <c r="G4" s="309">
        <f>IF(ISERROR(F4-E4),0,F4-E4)</f>
        <v>0.3208333333333333</v>
      </c>
      <c r="H4" s="310">
        <f>IFERROR(VLOOKUP(C4,TR!$B$2:$F$612,4,0),"")</f>
        <v>0</v>
      </c>
      <c r="I4" s="311">
        <f>IFERROR(VLOOKUP(C4,TR!$B$2:$F$612,5,0),"")</f>
        <v>0</v>
      </c>
      <c r="J4" s="309">
        <f>IF(ISERROR(I4-H4),0,(I4-H4))</f>
        <v>0</v>
      </c>
      <c r="K4" s="312" t="str">
        <f t="shared" ref="K4:K34" si="0">IF(COUNTA(E4:F4,H4:I4)=5,1,IF(AND(E4&lt;"5:00"*1,E4&gt;"2:00"*1),1,IF(AND(I4&gt;="22:01"*1,I4&lt;="26:01"*1),1,IF(AND(I4&lt;="22:00"*1,SUM(I4,R4)&gt;="22:01"*1),1,""))))</f>
        <v/>
      </c>
      <c r="L4" s="313">
        <f t="shared" ref="L4:L34" si="1">IF(AND(F4&gt;="13:15"*1,H4&lt;""),1,IF(AND(H4&gt;="11:00"*1,H4&lt;="12:15"*1),1,IF(AND(F4&lt;="13:15"*1,SUM(F4,R4)&gt;="13:15"*1),1,"")))</f>
        <v>1</v>
      </c>
      <c r="M4" s="314" t="str">
        <f t="shared" ref="M4:M34" si="2">IF(AND(I4&gt;="19:30"*1,1,I4&gt;"21:30"*1,C4&lt;&gt;""),1,IF(AND(I4&lt;="21:30"*1,SUM(I4,R4)&gt;="21:30"*1),1,""))</f>
        <v/>
      </c>
      <c r="N4" s="36" t="str">
        <f>IF(AND(LEFT(C4,1)="d",AND(Janvier!N34&lt;&gt;1)),1,IF(AND(LEFT(C4,1)="s",I4&gt;="24:01"*1),1,IF(AND(I4&lt;&gt;"",I4&lt;="23:59"*1,SUM(I4,R4)&gt;="24:01"*1),1,"")))</f>
        <v/>
      </c>
      <c r="O4" s="315" t="str">
        <f>IF(AND(I4&gt;"24:00"*1,ISNUMBER(FIND("f",C5))),1,IF(AND(OR(ISNUMBER(FIND("FériéCC",C4)),ISNUMBER(FIND("FériéCH",C4)),ISNUMBER(FIND("f",C4)))),1,""))</f>
        <v/>
      </c>
      <c r="P4" s="316" t="str">
        <f>IF(AND(L4="",M4=""),IF(OR(SUMPRODUCT(N(ISNUMBER(FIND({"s";"d";"f"},C4))))&gt;0,G4+J4&lt;0,AND(G4&gt;0,J4&gt;0,I4&gt;"20:30"*1),AND(I4&lt;="20:30"*1,SUM(I4,R4)&gt;="20:31"*1)),1,""),"")</f>
        <v/>
      </c>
      <c r="Q4" s="317" t="str">
        <f>IF(OR(AND(G4&gt;0,AND(J4=0)),OR(G4=0,AND(J4&gt;0)),OR(G4+J4&gt;0)),IF(S4="","",IF(R4+S4&gt;="13:01"*1,1,"")))</f>
        <v/>
      </c>
      <c r="R4" s="29"/>
      <c r="S4" s="318">
        <f t="shared" ref="S4:S32" si="3">IF(G4=0,IF(J4=0,"",I4-H4),IF(J4=0,F4-E4,I4-E4))</f>
        <v>0.3208333333333333</v>
      </c>
      <c r="T4" s="34">
        <f t="shared" ref="T4:T32" si="4">IF(ISERROR((F4-E4)+(I4-H4)),0,(F4-E4)+(I4-H4))</f>
        <v>0.3208333333333333</v>
      </c>
      <c r="U4" s="153">
        <f>T4*24</f>
        <v>7.6999999999999993</v>
      </c>
      <c r="V4" s="187"/>
      <c r="W4" s="149">
        <f>IF(U4-V4=0,"0,00",U4-V4)</f>
        <v>7.6999999999999993</v>
      </c>
    </row>
    <row r="5" spans="1:34" ht="14.4" x14ac:dyDescent="0.3">
      <c r="A5" s="40"/>
      <c r="B5" s="304">
        <v>43133</v>
      </c>
      <c r="C5" s="319" t="s">
        <v>85</v>
      </c>
      <c r="D5" s="320"/>
      <c r="E5" s="310">
        <f>IFERROR(VLOOKUP(C5,TR!$B$2:$F$612,2,0),"")</f>
        <v>0.23611111111111113</v>
      </c>
      <c r="F5" s="311">
        <f>IFERROR(VLOOKUP(C5,TR!$B$2:$F$612,3,0),"")</f>
        <v>0.37361111111111112</v>
      </c>
      <c r="G5" s="321">
        <f t="shared" ref="G5:G34" si="5">IF(ISERROR(F5-E5),0,F5-E5)</f>
        <v>0.13749999999999998</v>
      </c>
      <c r="H5" s="310">
        <f>IFERROR(VLOOKUP(C5,TR!$B$2:$F$612,4,0),"")</f>
        <v>0.49652777777777773</v>
      </c>
      <c r="I5" s="311">
        <f>IFERROR(VLOOKUP(C5,TR!$B$2:$F$612,5,0),"")</f>
        <v>0.68819444444444444</v>
      </c>
      <c r="J5" s="321">
        <f t="shared" ref="J5:J34" si="6">IF(ISERROR(I5-H5),0,(I5-H5))</f>
        <v>0.19166666666666671</v>
      </c>
      <c r="K5" s="322" t="str">
        <f t="shared" si="0"/>
        <v/>
      </c>
      <c r="L5" s="323">
        <f t="shared" si="1"/>
        <v>1</v>
      </c>
      <c r="M5" s="324" t="str">
        <f t="shared" si="2"/>
        <v/>
      </c>
      <c r="N5" s="37" t="str">
        <f t="shared" ref="N5:N34" si="7">IF(AND(LEFT(C5,1)="d",AND(N4&lt;&gt;1)),1,IF(AND(LEFT(C5,1)="s",I5&gt;="24:01"*1),1,IF(AND(I5&lt;&gt;"",I5&lt;="23:59"*1,SUM(I5,R5)&gt;="24:01"*1),1,"")))</f>
        <v/>
      </c>
      <c r="O5" s="315" t="str">
        <f>IF(AND(I5&gt;"24:00"*1,ISNUMBER(FIND("f",C6))),1,IF(AND(OR(ISNUMBER(FIND("FériéCC",C5)),ISNUMBER(FIND("FériéCH",C5)),ISNUMBER(FIND("f",C5)))),1,""))</f>
        <v/>
      </c>
      <c r="P5" s="325" t="str">
        <f>IF(AND(L5="",M5=""),IF(OR(SUMPRODUCT(N(ISNUMBER(FIND({"s";"d";"f"},C5))))&gt;0,G5+J5&lt;0,AND(G5&gt;0,J5&gt;0,I5&gt;"20:30"*1),AND(I5&lt;="20:30"*1,SUM(I5,R5)&gt;="20:31"*1)),1,""),"")</f>
        <v/>
      </c>
      <c r="Q5" s="326" t="str">
        <f t="shared" ref="Q5:Q34" si="8">IF(OR(AND(G5&gt;0,AND(J5=0)),OR(G5=0,AND(J5&gt;0)),OR(G5+J5&gt;0)),IF(S5="","",IF(R5+S5&gt;="13:01"*1,1,"")))</f>
        <v/>
      </c>
      <c r="R5" s="30"/>
      <c r="S5" s="327">
        <f t="shared" si="3"/>
        <v>0.45208333333333328</v>
      </c>
      <c r="T5" s="34">
        <f t="shared" si="4"/>
        <v>0.32916666666666672</v>
      </c>
      <c r="U5" s="154">
        <f>T5*24</f>
        <v>7.9000000000000012</v>
      </c>
      <c r="V5" s="188"/>
      <c r="W5" s="150">
        <f t="shared" ref="W5:W34" si="9">IF(U5-V5=0,"0,00",U5-V5)</f>
        <v>7.9000000000000012</v>
      </c>
    </row>
    <row r="6" spans="1:34" ht="14.4" x14ac:dyDescent="0.3">
      <c r="A6" s="40"/>
      <c r="B6" s="304">
        <v>43134</v>
      </c>
      <c r="C6" s="319" t="s">
        <v>46</v>
      </c>
      <c r="D6" s="320"/>
      <c r="E6" s="310">
        <f>IFERROR(VLOOKUP(C6,TR!$B$2:$F$612,2,0),"")</f>
        <v>0</v>
      </c>
      <c r="F6" s="311">
        <f>IFERROR(VLOOKUP(C6,TR!$B$2:$F$612,3,0),"")</f>
        <v>0</v>
      </c>
      <c r="G6" s="321">
        <f t="shared" si="5"/>
        <v>0</v>
      </c>
      <c r="H6" s="310">
        <f>IFERROR(VLOOKUP(C6,TR!$B$2:$F$612,4,0),"")</f>
        <v>0</v>
      </c>
      <c r="I6" s="311">
        <f>IFERROR(VLOOKUP(C6,TR!$B$2:$F$612,5,0),"")</f>
        <v>0</v>
      </c>
      <c r="J6" s="321">
        <f t="shared" si="6"/>
        <v>0</v>
      </c>
      <c r="K6" s="322" t="str">
        <f t="shared" si="0"/>
        <v/>
      </c>
      <c r="L6" s="323" t="str">
        <f t="shared" si="1"/>
        <v/>
      </c>
      <c r="M6" s="324" t="str">
        <f t="shared" si="2"/>
        <v/>
      </c>
      <c r="N6" s="37" t="str">
        <f t="shared" si="7"/>
        <v/>
      </c>
      <c r="O6" s="315" t="str">
        <f t="shared" ref="O6:O34" si="10">IF(AND(I6&gt;"24:00"*1,ISNUMBER(FIND("f",C7))),1,IF(AND(OR(ISNUMBER(FIND("FériéCC",C6)),ISNUMBER(FIND("FériéCH",C6)),ISNUMBER(FIND("f",C6)))),1,""))</f>
        <v/>
      </c>
      <c r="P6" s="325" t="str">
        <f>IF(AND(L6="",M6=""),IF(OR(SUMPRODUCT(N(ISNUMBER(FIND({"s";"d";"f"},C6))))&gt;0,G6+J6&lt;0,AND(G6&gt;0,J6&gt;0,I6&gt;"20:30"*1),AND(I6&lt;="20:30"*1,SUM(I6,R6)&gt;="20:31"*1)),1,""),"")</f>
        <v/>
      </c>
      <c r="Q6" s="326" t="str">
        <f t="shared" si="8"/>
        <v/>
      </c>
      <c r="R6" s="30"/>
      <c r="S6" s="327" t="str">
        <f t="shared" si="3"/>
        <v/>
      </c>
      <c r="T6" s="34">
        <f t="shared" si="4"/>
        <v>0</v>
      </c>
      <c r="U6" s="154">
        <f>T6*24</f>
        <v>0</v>
      </c>
      <c r="V6" s="188"/>
      <c r="W6" s="150" t="str">
        <f t="shared" si="9"/>
        <v>0,00</v>
      </c>
    </row>
    <row r="7" spans="1:34" ht="14.4" x14ac:dyDescent="0.3">
      <c r="A7" s="40"/>
      <c r="B7" s="304">
        <v>43135</v>
      </c>
      <c r="C7" s="319" t="s">
        <v>47</v>
      </c>
      <c r="D7" s="320"/>
      <c r="E7" s="310">
        <f>IFERROR(VLOOKUP(C7,TR!$B$2:$F$612,2,0),"")</f>
        <v>0</v>
      </c>
      <c r="F7" s="311">
        <f>IFERROR(VLOOKUP(C7,TR!$B$2:$F$612,3,0),"")</f>
        <v>0</v>
      </c>
      <c r="G7" s="321">
        <f t="shared" si="5"/>
        <v>0</v>
      </c>
      <c r="H7" s="310">
        <f>IFERROR(VLOOKUP(C7,TR!$B$2:$F$612,4,0),"")</f>
        <v>0</v>
      </c>
      <c r="I7" s="311">
        <f>IFERROR(VLOOKUP(C7,TR!$B$2:$F$612,5,0),"")</f>
        <v>0</v>
      </c>
      <c r="J7" s="321">
        <f t="shared" si="6"/>
        <v>0</v>
      </c>
      <c r="K7" s="322" t="str">
        <f t="shared" si="0"/>
        <v/>
      </c>
      <c r="L7" s="323" t="str">
        <f t="shared" si="1"/>
        <v/>
      </c>
      <c r="M7" s="324" t="str">
        <f t="shared" si="2"/>
        <v/>
      </c>
      <c r="N7" s="37" t="str">
        <f t="shared" si="7"/>
        <v/>
      </c>
      <c r="O7" s="315" t="str">
        <f t="shared" si="10"/>
        <v/>
      </c>
      <c r="P7" s="325" t="str">
        <f>IF(AND(L7="",M7=""),IF(OR(SUMPRODUCT(N(ISNUMBER(FIND({"s";"d";"f"},C7))))&gt;0,G7+J7&lt;0,AND(G7&gt;0,J7&gt;0,I7&gt;"20:30"*1),AND(I7&lt;="20:30"*1,SUM(I7,R7)&gt;="20:31"*1)),1,""),"")</f>
        <v/>
      </c>
      <c r="Q7" s="326" t="str">
        <f t="shared" si="8"/>
        <v/>
      </c>
      <c r="R7" s="30"/>
      <c r="S7" s="327" t="str">
        <f t="shared" si="3"/>
        <v/>
      </c>
      <c r="T7" s="34">
        <f t="shared" si="4"/>
        <v>0</v>
      </c>
      <c r="U7" s="154">
        <f t="shared" ref="U7:U32" si="11">T7*24</f>
        <v>0</v>
      </c>
      <c r="V7" s="188"/>
      <c r="W7" s="150" t="str">
        <f t="shared" si="9"/>
        <v>0,00</v>
      </c>
    </row>
    <row r="8" spans="1:34" ht="14.4" x14ac:dyDescent="0.3">
      <c r="A8" s="40"/>
      <c r="B8" s="304">
        <v>43136</v>
      </c>
      <c r="C8" s="319" t="s">
        <v>45</v>
      </c>
      <c r="D8" s="320"/>
      <c r="E8" s="310">
        <f>IFERROR(VLOOKUP(C8,TR!$B$2:$F$612,2,0),"")</f>
        <v>0</v>
      </c>
      <c r="F8" s="311">
        <f>IFERROR(VLOOKUP(C8,TR!$B$2:$F$612,3,0),"")</f>
        <v>0</v>
      </c>
      <c r="G8" s="321">
        <f t="shared" si="5"/>
        <v>0</v>
      </c>
      <c r="H8" s="310">
        <f>IFERROR(VLOOKUP(C8,TR!$B$2:$F$612,4,0),"")</f>
        <v>0</v>
      </c>
      <c r="I8" s="311">
        <f>IFERROR(VLOOKUP(C8,TR!$B$2:$F$612,5,0),"")</f>
        <v>0</v>
      </c>
      <c r="J8" s="321">
        <f t="shared" si="6"/>
        <v>0</v>
      </c>
      <c r="K8" s="322" t="str">
        <f t="shared" si="0"/>
        <v/>
      </c>
      <c r="L8" s="323" t="str">
        <f t="shared" si="1"/>
        <v/>
      </c>
      <c r="M8" s="324" t="str">
        <f t="shared" si="2"/>
        <v/>
      </c>
      <c r="N8" s="37" t="str">
        <f t="shared" si="7"/>
        <v/>
      </c>
      <c r="O8" s="315" t="str">
        <f t="shared" si="10"/>
        <v/>
      </c>
      <c r="P8" s="325" t="str">
        <f>IF(AND(L8="",M8=""),IF(OR(SUMPRODUCT(N(ISNUMBER(FIND({"s";"d";"f"},C8))))&gt;0,G8+J8&lt;0,AND(G8&gt;0,J8&gt;0,I8&gt;"20:30"*1),AND(I8&lt;="20:30"*1,SUM(I8,R8)&gt;="20:31"*1)),1,""),"")</f>
        <v/>
      </c>
      <c r="Q8" s="326" t="str">
        <f t="shared" si="8"/>
        <v/>
      </c>
      <c r="R8" s="30"/>
      <c r="S8" s="327" t="str">
        <f t="shared" si="3"/>
        <v/>
      </c>
      <c r="T8" s="34">
        <f t="shared" si="4"/>
        <v>0</v>
      </c>
      <c r="U8" s="154">
        <f t="shared" si="11"/>
        <v>0</v>
      </c>
      <c r="V8" s="188"/>
      <c r="W8" s="150" t="str">
        <f t="shared" si="9"/>
        <v>0,00</v>
      </c>
    </row>
    <row r="9" spans="1:34" ht="14.4" x14ac:dyDescent="0.3">
      <c r="A9" s="40"/>
      <c r="B9" s="304">
        <v>43137</v>
      </c>
      <c r="C9" s="319" t="s">
        <v>86</v>
      </c>
      <c r="D9" s="320"/>
      <c r="E9" s="310">
        <f>IFERROR(VLOOKUP(C9,TR!$B$2:$F$612,2,0),"")</f>
        <v>0</v>
      </c>
      <c r="F9" s="311">
        <f>IFERROR(VLOOKUP(C9,TR!$B$2:$F$612,3,0),"")</f>
        <v>0</v>
      </c>
      <c r="G9" s="321">
        <f t="shared" si="5"/>
        <v>0</v>
      </c>
      <c r="H9" s="310">
        <f>IFERROR(VLOOKUP(C9,TR!$B$2:$F$612,4,0),"")</f>
        <v>0.66736111111111107</v>
      </c>
      <c r="I9" s="311">
        <f>IFERROR(VLOOKUP(C9,TR!$B$2:$F$612,5,0),"")</f>
        <v>0.9458333333333333</v>
      </c>
      <c r="J9" s="321">
        <f t="shared" si="6"/>
        <v>0.27847222222222223</v>
      </c>
      <c r="K9" s="322">
        <f t="shared" si="0"/>
        <v>1</v>
      </c>
      <c r="L9" s="323" t="str">
        <f t="shared" si="1"/>
        <v/>
      </c>
      <c r="M9" s="324">
        <f t="shared" si="2"/>
        <v>1</v>
      </c>
      <c r="N9" s="37" t="str">
        <f t="shared" si="7"/>
        <v/>
      </c>
      <c r="O9" s="315" t="str">
        <f t="shared" si="10"/>
        <v/>
      </c>
      <c r="P9" s="325" t="str">
        <f>IF(AND(L9="",M9=""),IF(OR(SUMPRODUCT(N(ISNUMBER(FIND({"s";"d";"f"},C9))))&gt;0,G9+J9&lt;0,AND(G9&gt;0,J9&gt;0,I9&gt;"20:30"*1),AND(I9&lt;="20:30"*1,SUM(I9,R9)&gt;="20:31"*1)),1,""),"")</f>
        <v/>
      </c>
      <c r="Q9" s="326" t="str">
        <f t="shared" si="8"/>
        <v/>
      </c>
      <c r="R9" s="30"/>
      <c r="S9" s="327">
        <f t="shared" si="3"/>
        <v>0.27847222222222223</v>
      </c>
      <c r="T9" s="34">
        <f t="shared" si="4"/>
        <v>0.27847222222222223</v>
      </c>
      <c r="U9" s="154">
        <f t="shared" si="11"/>
        <v>6.6833333333333336</v>
      </c>
      <c r="V9" s="188"/>
      <c r="W9" s="150">
        <f t="shared" si="9"/>
        <v>6.6833333333333336</v>
      </c>
    </row>
    <row r="10" spans="1:34" ht="14.4" x14ac:dyDescent="0.3">
      <c r="A10" s="40"/>
      <c r="B10" s="304">
        <v>43138</v>
      </c>
      <c r="C10" s="319" t="s">
        <v>86</v>
      </c>
      <c r="D10" s="320"/>
      <c r="E10" s="310">
        <f>IFERROR(VLOOKUP(C10,TR!$B$2:$F$612,2,0),"")</f>
        <v>0</v>
      </c>
      <c r="F10" s="311">
        <f>IFERROR(VLOOKUP(C10,TR!$B$2:$F$612,3,0),"")</f>
        <v>0</v>
      </c>
      <c r="G10" s="321">
        <f t="shared" si="5"/>
        <v>0</v>
      </c>
      <c r="H10" s="310">
        <f>IFERROR(VLOOKUP(C10,TR!$B$2:$F$612,4,0),"")</f>
        <v>0.66736111111111107</v>
      </c>
      <c r="I10" s="311">
        <f>IFERROR(VLOOKUP(C10,TR!$B$2:$F$612,5,0),"")</f>
        <v>0.9458333333333333</v>
      </c>
      <c r="J10" s="321">
        <f t="shared" si="6"/>
        <v>0.27847222222222223</v>
      </c>
      <c r="K10" s="322">
        <f t="shared" si="0"/>
        <v>1</v>
      </c>
      <c r="L10" s="323" t="str">
        <f t="shared" si="1"/>
        <v/>
      </c>
      <c r="M10" s="324">
        <f t="shared" si="2"/>
        <v>1</v>
      </c>
      <c r="N10" s="37" t="str">
        <f t="shared" si="7"/>
        <v/>
      </c>
      <c r="O10" s="315" t="str">
        <f t="shared" si="10"/>
        <v/>
      </c>
      <c r="P10" s="325" t="str">
        <f>IF(AND(L10="",M10=""),IF(OR(SUMPRODUCT(N(ISNUMBER(FIND({"s";"d";"f"},C10))))&gt;0,G10+J10&lt;0,AND(G10&gt;0,J10&gt;0,I10&gt;"20:30"*1),AND(I10&lt;="20:30"*1,SUM(I10,R10)&gt;="20:31"*1)),1,""),"")</f>
        <v/>
      </c>
      <c r="Q10" s="326" t="str">
        <f t="shared" si="8"/>
        <v/>
      </c>
      <c r="R10" s="30"/>
      <c r="S10" s="327">
        <f t="shared" si="3"/>
        <v>0.27847222222222223</v>
      </c>
      <c r="T10" s="34">
        <f t="shared" si="4"/>
        <v>0.27847222222222223</v>
      </c>
      <c r="U10" s="154">
        <f t="shared" si="11"/>
        <v>6.6833333333333336</v>
      </c>
      <c r="V10" s="188"/>
      <c r="W10" s="150">
        <f t="shared" si="9"/>
        <v>6.6833333333333336</v>
      </c>
    </row>
    <row r="11" spans="1:34" ht="14.4" x14ac:dyDescent="0.3">
      <c r="A11" s="40"/>
      <c r="B11" s="304">
        <v>43139</v>
      </c>
      <c r="C11" s="319" t="s">
        <v>46</v>
      </c>
      <c r="D11" s="320"/>
      <c r="E11" s="310">
        <f>IFERROR(VLOOKUP(C11,TR!$B$2:$F$612,2,0),"")</f>
        <v>0</v>
      </c>
      <c r="F11" s="311">
        <f>IFERROR(VLOOKUP(C11,TR!$B$2:$F$612,3,0),"")</f>
        <v>0</v>
      </c>
      <c r="G11" s="328">
        <f t="shared" si="5"/>
        <v>0</v>
      </c>
      <c r="H11" s="310">
        <f>IFERROR(VLOOKUP(C11,TR!$B$2:$F$612,4,0),"")</f>
        <v>0</v>
      </c>
      <c r="I11" s="311">
        <f>IFERROR(VLOOKUP(C11,TR!$B$2:$F$612,5,0),"")</f>
        <v>0</v>
      </c>
      <c r="J11" s="328">
        <f t="shared" si="6"/>
        <v>0</v>
      </c>
      <c r="K11" s="322" t="str">
        <f t="shared" si="0"/>
        <v/>
      </c>
      <c r="L11" s="323" t="str">
        <f t="shared" si="1"/>
        <v/>
      </c>
      <c r="M11" s="324" t="str">
        <f t="shared" si="2"/>
        <v/>
      </c>
      <c r="N11" s="37" t="str">
        <f t="shared" si="7"/>
        <v/>
      </c>
      <c r="O11" s="315" t="str">
        <f t="shared" si="10"/>
        <v/>
      </c>
      <c r="P11" s="325" t="str">
        <f>IF(AND(L11="",M11=""),IF(OR(SUMPRODUCT(N(ISNUMBER(FIND({"s";"d";"f"},C11))))&gt;0,G11+J11&lt;0,AND(G11&gt;0,J11&gt;0,I11&gt;"20:30"*1),AND(I11&lt;="20:30"*1,SUM(I11,R11)&gt;="20:31"*1)),1,""),"")</f>
        <v/>
      </c>
      <c r="Q11" s="326" t="str">
        <f t="shared" si="8"/>
        <v/>
      </c>
      <c r="R11" s="30"/>
      <c r="S11" s="327" t="str">
        <f t="shared" si="3"/>
        <v/>
      </c>
      <c r="T11" s="34">
        <f t="shared" si="4"/>
        <v>0</v>
      </c>
      <c r="U11" s="154">
        <f t="shared" si="11"/>
        <v>0</v>
      </c>
      <c r="V11" s="188"/>
      <c r="W11" s="150" t="str">
        <f t="shared" si="9"/>
        <v>0,00</v>
      </c>
    </row>
    <row r="12" spans="1:34" ht="14.4" x14ac:dyDescent="0.3">
      <c r="A12" s="40"/>
      <c r="B12" s="304">
        <v>43140</v>
      </c>
      <c r="C12" s="319" t="s">
        <v>47</v>
      </c>
      <c r="D12" s="320"/>
      <c r="E12" s="310">
        <f>IFERROR(VLOOKUP(C12,TR!$B$2:$F$612,2,0),"")</f>
        <v>0</v>
      </c>
      <c r="F12" s="311">
        <f>IFERROR(VLOOKUP(C12,TR!$B$2:$F$612,3,0),"")</f>
        <v>0</v>
      </c>
      <c r="G12" s="328">
        <f t="shared" si="5"/>
        <v>0</v>
      </c>
      <c r="H12" s="310">
        <f>IFERROR(VLOOKUP(C12,TR!$B$2:$F$612,4,0),"")</f>
        <v>0</v>
      </c>
      <c r="I12" s="311">
        <f>IFERROR(VLOOKUP(C12,TR!$B$2:$F$612,5,0),"")</f>
        <v>0</v>
      </c>
      <c r="J12" s="328">
        <f t="shared" si="6"/>
        <v>0</v>
      </c>
      <c r="K12" s="322" t="str">
        <f t="shared" si="0"/>
        <v/>
      </c>
      <c r="L12" s="323" t="str">
        <f t="shared" si="1"/>
        <v/>
      </c>
      <c r="M12" s="324" t="str">
        <f t="shared" si="2"/>
        <v/>
      </c>
      <c r="N12" s="37" t="str">
        <f t="shared" si="7"/>
        <v/>
      </c>
      <c r="O12" s="315" t="str">
        <f t="shared" si="10"/>
        <v/>
      </c>
      <c r="P12" s="325" t="str">
        <f>IF(AND(L12="",M12=""),IF(OR(SUMPRODUCT(N(ISNUMBER(FIND({"s";"d";"f"},C12))))&gt;0,G12+J12&lt;0,AND(G12&gt;0,J12&gt;0,I12&gt;"20:30"*1),AND(I12&lt;="20:30"*1,SUM(I12,R12)&gt;="20:31"*1)),1,""),"")</f>
        <v/>
      </c>
      <c r="Q12" s="326" t="str">
        <f t="shared" si="8"/>
        <v/>
      </c>
      <c r="R12" s="30"/>
      <c r="S12" s="327" t="str">
        <f t="shared" si="3"/>
        <v/>
      </c>
      <c r="T12" s="34">
        <f t="shared" si="4"/>
        <v>0</v>
      </c>
      <c r="U12" s="154">
        <f t="shared" si="11"/>
        <v>0</v>
      </c>
      <c r="V12" s="188"/>
      <c r="W12" s="150" t="str">
        <f t="shared" si="9"/>
        <v>0,00</v>
      </c>
    </row>
    <row r="13" spans="1:34" ht="14.4" x14ac:dyDescent="0.3">
      <c r="A13" s="40"/>
      <c r="B13" s="304">
        <v>43141</v>
      </c>
      <c r="C13" s="329" t="s">
        <v>87</v>
      </c>
      <c r="D13" s="330"/>
      <c r="E13" s="310">
        <f>IFERROR(VLOOKUP(C13,TR!$B$2:$F$612,2,0),"")</f>
        <v>0</v>
      </c>
      <c r="F13" s="311">
        <f>IFERROR(VLOOKUP(C13,TR!$B$2:$F$612,3,0),"")</f>
        <v>0</v>
      </c>
      <c r="G13" s="328">
        <f t="shared" si="5"/>
        <v>0</v>
      </c>
      <c r="H13" s="310">
        <f>IFERROR(VLOOKUP(C13,TR!$B$2:$F$612,4,0),"")</f>
        <v>0.5756944444444444</v>
      </c>
      <c r="I13" s="311">
        <f>IFERROR(VLOOKUP(C13,TR!$B$2:$F$612,5,0),"")</f>
        <v>0.90277777777777779</v>
      </c>
      <c r="J13" s="328">
        <f t="shared" si="6"/>
        <v>0.32708333333333339</v>
      </c>
      <c r="K13" s="322" t="str">
        <f t="shared" si="0"/>
        <v/>
      </c>
      <c r="L13" s="323" t="str">
        <f t="shared" si="1"/>
        <v/>
      </c>
      <c r="M13" s="324">
        <f t="shared" si="2"/>
        <v>1</v>
      </c>
      <c r="N13" s="37" t="str">
        <f t="shared" si="7"/>
        <v/>
      </c>
      <c r="O13" s="315" t="str">
        <f t="shared" si="10"/>
        <v/>
      </c>
      <c r="P13" s="325" t="str">
        <f>IF(AND(L13="",M13=""),IF(OR(SUMPRODUCT(N(ISNUMBER(FIND({"s";"d";"f"},C13))))&gt;0,G13+J13&lt;0,AND(G13&gt;0,J13&gt;0,I13&gt;"20:30"*1),AND(I13&lt;="20:30"*1,SUM(I13,R13)&gt;="20:31"*1)),1,""),"")</f>
        <v/>
      </c>
      <c r="Q13" s="326" t="str">
        <f t="shared" si="8"/>
        <v/>
      </c>
      <c r="R13" s="31"/>
      <c r="S13" s="327">
        <f t="shared" si="3"/>
        <v>0.32708333333333339</v>
      </c>
      <c r="T13" s="34">
        <f t="shared" si="4"/>
        <v>0.32708333333333339</v>
      </c>
      <c r="U13" s="154">
        <f t="shared" si="11"/>
        <v>7.8500000000000014</v>
      </c>
      <c r="V13" s="188"/>
      <c r="W13" s="150">
        <f t="shared" si="9"/>
        <v>7.8500000000000014</v>
      </c>
    </row>
    <row r="14" spans="1:34" ht="14.4" x14ac:dyDescent="0.3">
      <c r="A14" s="40"/>
      <c r="B14" s="304">
        <v>43142</v>
      </c>
      <c r="C14" s="331" t="s">
        <v>88</v>
      </c>
      <c r="D14" s="332"/>
      <c r="E14" s="310">
        <f>IFERROR(VLOOKUP(C14,TR!$B$2:$F$612,2,0),"")</f>
        <v>0</v>
      </c>
      <c r="F14" s="311">
        <f>IFERROR(VLOOKUP(C14,TR!$B$2:$F$612,3,0),"")</f>
        <v>0</v>
      </c>
      <c r="G14" s="328">
        <f t="shared" si="5"/>
        <v>0</v>
      </c>
      <c r="H14" s="310">
        <f>IFERROR(VLOOKUP(C14,TR!$B$2:$F$612,4,0),"")</f>
        <v>0.6958333333333333</v>
      </c>
      <c r="I14" s="311">
        <f>IFERROR(VLOOKUP(C14,TR!$B$2:$F$612,5,0),"")</f>
        <v>0.94652777777777775</v>
      </c>
      <c r="J14" s="328">
        <f t="shared" si="6"/>
        <v>0.25069444444444444</v>
      </c>
      <c r="K14" s="322">
        <f t="shared" si="0"/>
        <v>1</v>
      </c>
      <c r="L14" s="323" t="str">
        <f t="shared" si="1"/>
        <v/>
      </c>
      <c r="M14" s="324">
        <f t="shared" si="2"/>
        <v>1</v>
      </c>
      <c r="N14" s="37">
        <f t="shared" si="7"/>
        <v>1</v>
      </c>
      <c r="O14" s="315" t="str">
        <f t="shared" si="10"/>
        <v/>
      </c>
      <c r="P14" s="325" t="str">
        <f>IF(AND(L14="",M14=""),IF(OR(SUMPRODUCT(N(ISNUMBER(FIND({"s";"d";"f"},C14))))&gt;0,G14+J14&lt;0,AND(G14&gt;0,J14&gt;0,I14&gt;"20:30"*1),AND(I14&lt;="20:30"*1,SUM(I14,R14)&gt;="20:31"*1)),1,""),"")</f>
        <v/>
      </c>
      <c r="Q14" s="326" t="str">
        <f t="shared" si="8"/>
        <v/>
      </c>
      <c r="R14" s="31"/>
      <c r="S14" s="327">
        <f t="shared" si="3"/>
        <v>0.25069444444444444</v>
      </c>
      <c r="T14" s="34">
        <f t="shared" si="4"/>
        <v>0.25069444444444444</v>
      </c>
      <c r="U14" s="154">
        <f t="shared" si="11"/>
        <v>6.0166666666666666</v>
      </c>
      <c r="V14" s="188"/>
      <c r="W14" s="150">
        <f t="shared" si="9"/>
        <v>6.0166666666666666</v>
      </c>
    </row>
    <row r="15" spans="1:34" ht="14.4" x14ac:dyDescent="0.3">
      <c r="A15" s="40"/>
      <c r="B15" s="304">
        <v>43143</v>
      </c>
      <c r="C15" s="331" t="s">
        <v>89</v>
      </c>
      <c r="D15" s="332"/>
      <c r="E15" s="310">
        <f>IFERROR(VLOOKUP(C15,TR!$B$2:$F$612,2,0),"")</f>
        <v>0</v>
      </c>
      <c r="F15" s="311">
        <f>IFERROR(VLOOKUP(C15,TR!$B$2:$F$612,3,0),"")</f>
        <v>0</v>
      </c>
      <c r="G15" s="328">
        <f t="shared" si="5"/>
        <v>0</v>
      </c>
      <c r="H15" s="310">
        <f>IFERROR(VLOOKUP(C15,TR!$B$2:$F$612,4,0),"")</f>
        <v>0.52777777777777779</v>
      </c>
      <c r="I15" s="311">
        <f>IFERROR(VLOOKUP(C15,TR!$B$2:$F$612,5,0),"")</f>
        <v>0.85486111111111107</v>
      </c>
      <c r="J15" s="328">
        <f t="shared" si="6"/>
        <v>0.32708333333333328</v>
      </c>
      <c r="K15" s="322" t="str">
        <f t="shared" si="0"/>
        <v/>
      </c>
      <c r="L15" s="323" t="str">
        <f t="shared" si="1"/>
        <v/>
      </c>
      <c r="M15" s="324" t="str">
        <f t="shared" si="2"/>
        <v/>
      </c>
      <c r="N15" s="37" t="str">
        <f t="shared" si="7"/>
        <v/>
      </c>
      <c r="O15" s="315" t="str">
        <f t="shared" si="10"/>
        <v/>
      </c>
      <c r="P15" s="325" t="str">
        <f>IF(AND(L15="",M15=""),IF(OR(SUMPRODUCT(N(ISNUMBER(FIND({"s";"d";"f"},C15))))&gt;0,G15+J15&lt;0,AND(G15&gt;0,J15&gt;0,I15&gt;"20:30"*1),AND(I15&lt;="20:30"*1,SUM(I15,R15)&gt;="20:31"*1)),1,""),"")</f>
        <v/>
      </c>
      <c r="Q15" s="326" t="str">
        <f t="shared" si="8"/>
        <v/>
      </c>
      <c r="R15" s="30"/>
      <c r="S15" s="327">
        <f t="shared" si="3"/>
        <v>0.32708333333333328</v>
      </c>
      <c r="T15" s="34">
        <f t="shared" si="4"/>
        <v>0.32708333333333328</v>
      </c>
      <c r="U15" s="154">
        <f t="shared" si="11"/>
        <v>7.8499999999999988</v>
      </c>
      <c r="V15" s="188"/>
      <c r="W15" s="150">
        <f t="shared" si="9"/>
        <v>7.8499999999999988</v>
      </c>
    </row>
    <row r="16" spans="1:34" ht="14.4" x14ac:dyDescent="0.3">
      <c r="A16" s="40"/>
      <c r="B16" s="304">
        <v>43144</v>
      </c>
      <c r="C16" s="329" t="s">
        <v>46</v>
      </c>
      <c r="D16" s="330"/>
      <c r="E16" s="310">
        <f>IFERROR(VLOOKUP(C16,TR!$B$2:$F$612,2,0),"")</f>
        <v>0</v>
      </c>
      <c r="F16" s="311">
        <f>IFERROR(VLOOKUP(C16,TR!$B$2:$F$612,3,0),"")</f>
        <v>0</v>
      </c>
      <c r="G16" s="328">
        <f t="shared" si="5"/>
        <v>0</v>
      </c>
      <c r="H16" s="310">
        <f>IFERROR(VLOOKUP(C16,TR!$B$2:$F$612,4,0),"")</f>
        <v>0</v>
      </c>
      <c r="I16" s="311">
        <f>IFERROR(VLOOKUP(C16,TR!$B$2:$F$612,5,0),"")</f>
        <v>0</v>
      </c>
      <c r="J16" s="328">
        <f t="shared" si="6"/>
        <v>0</v>
      </c>
      <c r="K16" s="322" t="str">
        <f t="shared" si="0"/>
        <v/>
      </c>
      <c r="L16" s="323" t="str">
        <f t="shared" si="1"/>
        <v/>
      </c>
      <c r="M16" s="324" t="str">
        <f t="shared" si="2"/>
        <v/>
      </c>
      <c r="N16" s="37" t="str">
        <f t="shared" si="7"/>
        <v/>
      </c>
      <c r="O16" s="315" t="str">
        <f t="shared" si="10"/>
        <v/>
      </c>
      <c r="P16" s="325" t="str">
        <f>IF(AND(L16="",M16=""),IF(OR(SUMPRODUCT(N(ISNUMBER(FIND({"s";"d";"f"},C16))))&gt;0,G16+J16&lt;0,AND(G16&gt;0,J16&gt;0,I16&gt;"20:30"*1),AND(I16&lt;="20:30"*1,SUM(I16,R16)&gt;="20:31"*1)),1,""),"")</f>
        <v/>
      </c>
      <c r="Q16" s="326" t="str">
        <f t="shared" si="8"/>
        <v/>
      </c>
      <c r="R16" s="31"/>
      <c r="S16" s="327" t="str">
        <f t="shared" si="3"/>
        <v/>
      </c>
      <c r="T16" s="34">
        <f t="shared" si="4"/>
        <v>0</v>
      </c>
      <c r="U16" s="154">
        <f t="shared" si="11"/>
        <v>0</v>
      </c>
      <c r="V16" s="188"/>
      <c r="W16" s="150" t="str">
        <f t="shared" si="9"/>
        <v>0,00</v>
      </c>
    </row>
    <row r="17" spans="1:23" ht="14.4" x14ac:dyDescent="0.3">
      <c r="A17" s="40"/>
      <c r="B17" s="304">
        <v>43145</v>
      </c>
      <c r="C17" s="319" t="s">
        <v>90</v>
      </c>
      <c r="D17" s="320"/>
      <c r="E17" s="310">
        <f>IFERROR(VLOOKUP(C17,TR!$B$2:$F$612,2,0),"")</f>
        <v>0.22430555555555556</v>
      </c>
      <c r="F17" s="311">
        <f>IFERROR(VLOOKUP(C17,TR!$B$2:$F$612,3,0),"")</f>
        <v>0.53472222222222221</v>
      </c>
      <c r="G17" s="321">
        <f t="shared" si="5"/>
        <v>0.31041666666666667</v>
      </c>
      <c r="H17" s="310">
        <f>IFERROR(VLOOKUP(C17,TR!$B$2:$F$612,4,0),"")</f>
        <v>0</v>
      </c>
      <c r="I17" s="311">
        <f>IFERROR(VLOOKUP(C17,TR!$B$2:$F$612,5,0),"")</f>
        <v>0</v>
      </c>
      <c r="J17" s="321">
        <f t="shared" si="6"/>
        <v>0</v>
      </c>
      <c r="K17" s="322" t="str">
        <f t="shared" si="0"/>
        <v/>
      </c>
      <c r="L17" s="323" t="str">
        <f t="shared" si="1"/>
        <v/>
      </c>
      <c r="M17" s="324" t="str">
        <f t="shared" si="2"/>
        <v/>
      </c>
      <c r="N17" s="37" t="str">
        <f t="shared" si="7"/>
        <v/>
      </c>
      <c r="O17" s="315" t="str">
        <f t="shared" si="10"/>
        <v/>
      </c>
      <c r="P17" s="325" t="str">
        <f>IF(AND(L17="",M17=""),IF(OR(SUMPRODUCT(N(ISNUMBER(FIND({"s";"d";"f"},C17))))&gt;0,G17+J17&lt;0,AND(G17&gt;0,J17&gt;0,I17&gt;"20:30"*1),AND(I17&lt;="20:30"*1,SUM(I17,R17)&gt;="20:31"*1)),1,""),"")</f>
        <v/>
      </c>
      <c r="Q17" s="326" t="str">
        <f t="shared" si="8"/>
        <v/>
      </c>
      <c r="R17" s="31"/>
      <c r="S17" s="327">
        <f t="shared" si="3"/>
        <v>0.31041666666666667</v>
      </c>
      <c r="T17" s="34">
        <f t="shared" si="4"/>
        <v>0.31041666666666667</v>
      </c>
      <c r="U17" s="154">
        <f t="shared" si="11"/>
        <v>7.45</v>
      </c>
      <c r="V17" s="188"/>
      <c r="W17" s="150">
        <f t="shared" si="9"/>
        <v>7.45</v>
      </c>
    </row>
    <row r="18" spans="1:23" ht="14.4" x14ac:dyDescent="0.3">
      <c r="A18" s="40"/>
      <c r="B18" s="304">
        <v>43146</v>
      </c>
      <c r="C18" s="319" t="s">
        <v>90</v>
      </c>
      <c r="D18" s="320"/>
      <c r="E18" s="310">
        <f>IFERROR(VLOOKUP(C18,TR!$B$2:$F$612,2,0),"")</f>
        <v>0.22430555555555556</v>
      </c>
      <c r="F18" s="311">
        <f>IFERROR(VLOOKUP(C18,TR!$B$2:$F$612,3,0),"")</f>
        <v>0.53472222222222221</v>
      </c>
      <c r="G18" s="321">
        <f t="shared" si="5"/>
        <v>0.31041666666666667</v>
      </c>
      <c r="H18" s="310">
        <f>IFERROR(VLOOKUP(C18,TR!$B$2:$F$612,4,0),"")</f>
        <v>0</v>
      </c>
      <c r="I18" s="311">
        <f>IFERROR(VLOOKUP(C18,TR!$B$2:$F$612,5,0),"")</f>
        <v>0</v>
      </c>
      <c r="J18" s="321">
        <f t="shared" si="6"/>
        <v>0</v>
      </c>
      <c r="K18" s="322" t="str">
        <f t="shared" si="0"/>
        <v/>
      </c>
      <c r="L18" s="323" t="str">
        <f t="shared" si="1"/>
        <v/>
      </c>
      <c r="M18" s="324" t="str">
        <f t="shared" si="2"/>
        <v/>
      </c>
      <c r="N18" s="37" t="str">
        <f t="shared" si="7"/>
        <v/>
      </c>
      <c r="O18" s="315" t="str">
        <f t="shared" si="10"/>
        <v/>
      </c>
      <c r="P18" s="325" t="str">
        <f>IF(AND(L18="",M18=""),IF(OR(SUMPRODUCT(N(ISNUMBER(FIND({"s";"d";"f"},C18))))&gt;0,G18+J18&lt;0,AND(G18&gt;0,J18&gt;0,I18&gt;"20:30"*1),AND(I18&lt;="20:30"*1,SUM(I18,R18)&gt;="20:31"*1)),1,""),"")</f>
        <v/>
      </c>
      <c r="Q18" s="326" t="str">
        <f t="shared" si="8"/>
        <v/>
      </c>
      <c r="R18" s="31"/>
      <c r="S18" s="327">
        <f t="shared" si="3"/>
        <v>0.31041666666666667</v>
      </c>
      <c r="T18" s="34">
        <f t="shared" si="4"/>
        <v>0.31041666666666667</v>
      </c>
      <c r="U18" s="154">
        <f t="shared" si="11"/>
        <v>7.45</v>
      </c>
      <c r="V18" s="188"/>
      <c r="W18" s="150">
        <f t="shared" si="9"/>
        <v>7.45</v>
      </c>
    </row>
    <row r="19" spans="1:23" ht="14.4" x14ac:dyDescent="0.3">
      <c r="A19" s="40"/>
      <c r="B19" s="304">
        <v>43147</v>
      </c>
      <c r="C19" s="319" t="s">
        <v>91</v>
      </c>
      <c r="D19" s="320"/>
      <c r="E19" s="310">
        <f>IFERROR(VLOOKUP(C19,TR!$B$2:$F$612,2,0),"")</f>
        <v>0.24374999999999999</v>
      </c>
      <c r="F19" s="311">
        <f>IFERROR(VLOOKUP(C19,TR!$B$2:$F$612,3,0),"")</f>
        <v>0.56666666666666665</v>
      </c>
      <c r="G19" s="321">
        <f t="shared" si="5"/>
        <v>0.32291666666666663</v>
      </c>
      <c r="H19" s="310">
        <f>IFERROR(VLOOKUP(C19,TR!$B$2:$F$612,4,0),"")</f>
        <v>0</v>
      </c>
      <c r="I19" s="311">
        <f>IFERROR(VLOOKUP(C19,TR!$B$2:$F$612,5,0),"")</f>
        <v>0</v>
      </c>
      <c r="J19" s="321">
        <f t="shared" si="6"/>
        <v>0</v>
      </c>
      <c r="K19" s="322" t="str">
        <f t="shared" si="0"/>
        <v/>
      </c>
      <c r="L19" s="323">
        <f t="shared" si="1"/>
        <v>1</v>
      </c>
      <c r="M19" s="324" t="str">
        <f t="shared" si="2"/>
        <v/>
      </c>
      <c r="N19" s="37" t="str">
        <f t="shared" si="7"/>
        <v/>
      </c>
      <c r="O19" s="315" t="str">
        <f t="shared" si="10"/>
        <v/>
      </c>
      <c r="P19" s="325" t="str">
        <f>IF(AND(L19="",M19=""),IF(OR(SUMPRODUCT(N(ISNUMBER(FIND({"s";"d";"f"},C19))))&gt;0,G19+J19&lt;0,AND(G19&gt;0,J19&gt;0,I19&gt;"20:30"*1),AND(I19&lt;="20:30"*1,SUM(I19,R19)&gt;="20:31"*1)),1,""),"")</f>
        <v/>
      </c>
      <c r="Q19" s="326" t="str">
        <f t="shared" si="8"/>
        <v/>
      </c>
      <c r="R19" s="31"/>
      <c r="S19" s="327">
        <f t="shared" si="3"/>
        <v>0.32291666666666663</v>
      </c>
      <c r="T19" s="34">
        <f t="shared" si="4"/>
        <v>0.32291666666666663</v>
      </c>
      <c r="U19" s="154">
        <f t="shared" si="11"/>
        <v>7.7499999999999991</v>
      </c>
      <c r="V19" s="188"/>
      <c r="W19" s="150">
        <f t="shared" si="9"/>
        <v>7.7499999999999991</v>
      </c>
    </row>
    <row r="20" spans="1:23" ht="14.4" x14ac:dyDescent="0.3">
      <c r="A20" s="40"/>
      <c r="B20" s="304">
        <v>43148</v>
      </c>
      <c r="C20" s="319" t="s">
        <v>46</v>
      </c>
      <c r="D20" s="333" t="s">
        <v>165</v>
      </c>
      <c r="E20" s="310">
        <f>IFERROR(VLOOKUP(C20,TR!$B$2:$F$612,2,0),"")</f>
        <v>0</v>
      </c>
      <c r="F20" s="311">
        <f>IFERROR(VLOOKUP(C20,TR!$B$2:$F$612,3,0),"")</f>
        <v>0</v>
      </c>
      <c r="G20" s="321">
        <f t="shared" si="5"/>
        <v>0</v>
      </c>
      <c r="H20" s="310">
        <f>IFERROR(VLOOKUP(C20,TR!$B$2:$F$612,4,0),"")</f>
        <v>0</v>
      </c>
      <c r="I20" s="311">
        <f>IFERROR(VLOOKUP(C20,TR!$B$2:$F$612,5,0),"")</f>
        <v>0</v>
      </c>
      <c r="J20" s="321">
        <f t="shared" si="6"/>
        <v>0</v>
      </c>
      <c r="K20" s="322" t="str">
        <f t="shared" si="0"/>
        <v/>
      </c>
      <c r="L20" s="323" t="str">
        <f t="shared" si="1"/>
        <v/>
      </c>
      <c r="M20" s="324" t="str">
        <f t="shared" si="2"/>
        <v/>
      </c>
      <c r="N20" s="37" t="str">
        <f t="shared" si="7"/>
        <v/>
      </c>
      <c r="O20" s="315" t="str">
        <f t="shared" si="10"/>
        <v/>
      </c>
      <c r="P20" s="325" t="str">
        <f>IF(AND(L20="",M20=""),IF(OR(SUMPRODUCT(N(ISNUMBER(FIND({"s";"d";"f"},C20))))&gt;0,G20+J20&lt;0,AND(G20&gt;0,J20&gt;0,I20&gt;"20:30"*1),AND(I20&lt;="20:30"*1,SUM(I20,R20)&gt;="20:31"*1)),1,""),"")</f>
        <v/>
      </c>
      <c r="Q20" s="326" t="str">
        <f t="shared" si="8"/>
        <v/>
      </c>
      <c r="R20" s="31"/>
      <c r="S20" s="327" t="str">
        <f t="shared" si="3"/>
        <v/>
      </c>
      <c r="T20" s="34">
        <f t="shared" si="4"/>
        <v>0</v>
      </c>
      <c r="U20" s="154">
        <f t="shared" si="11"/>
        <v>0</v>
      </c>
      <c r="V20" s="188"/>
      <c r="W20" s="150" t="str">
        <f t="shared" si="9"/>
        <v>0,00</v>
      </c>
    </row>
    <row r="21" spans="1:23" ht="14.4" x14ac:dyDescent="0.3">
      <c r="A21" s="40"/>
      <c r="B21" s="304">
        <v>43149</v>
      </c>
      <c r="C21" s="331" t="s">
        <v>47</v>
      </c>
      <c r="D21" s="334"/>
      <c r="E21" s="310">
        <f>IFERROR(VLOOKUP(C21,TR!$B$2:$F$612,2,0),"")</f>
        <v>0</v>
      </c>
      <c r="F21" s="311">
        <f>IFERROR(VLOOKUP(C21,TR!$B$2:$F$612,3,0),"")</f>
        <v>0</v>
      </c>
      <c r="G21" s="328">
        <f t="shared" si="5"/>
        <v>0</v>
      </c>
      <c r="H21" s="310">
        <f>IFERROR(VLOOKUP(C21,TR!$B$2:$F$612,4,0),"")</f>
        <v>0</v>
      </c>
      <c r="I21" s="311">
        <f>IFERROR(VLOOKUP(C21,TR!$B$2:$F$612,5,0),"")</f>
        <v>0</v>
      </c>
      <c r="J21" s="328">
        <f t="shared" si="6"/>
        <v>0</v>
      </c>
      <c r="K21" s="322" t="str">
        <f t="shared" si="0"/>
        <v/>
      </c>
      <c r="L21" s="323" t="str">
        <f t="shared" si="1"/>
        <v/>
      </c>
      <c r="M21" s="324" t="str">
        <f t="shared" si="2"/>
        <v/>
      </c>
      <c r="N21" s="37" t="str">
        <f t="shared" si="7"/>
        <v/>
      </c>
      <c r="O21" s="315" t="str">
        <f t="shared" si="10"/>
        <v/>
      </c>
      <c r="P21" s="325" t="str">
        <f>IF(AND(L21="",M21=""),IF(OR(SUMPRODUCT(N(ISNUMBER(FIND({"s";"d";"f"},C21))))&gt;0,G21+J21&lt;0,AND(G21&gt;0,J21&gt;0,I21&gt;"20:30"*1),AND(I21&lt;="20:30"*1,SUM(I21,R21)&gt;="20:31"*1)),1,""),"")</f>
        <v/>
      </c>
      <c r="Q21" s="326" t="str">
        <f t="shared" si="8"/>
        <v/>
      </c>
      <c r="R21" s="31"/>
      <c r="S21" s="327" t="str">
        <f t="shared" si="3"/>
        <v/>
      </c>
      <c r="T21" s="34">
        <f t="shared" si="4"/>
        <v>0</v>
      </c>
      <c r="U21" s="154">
        <f t="shared" si="11"/>
        <v>0</v>
      </c>
      <c r="V21" s="188"/>
      <c r="W21" s="150" t="str">
        <f t="shared" si="9"/>
        <v>0,00</v>
      </c>
    </row>
    <row r="22" spans="1:23" ht="14.4" x14ac:dyDescent="0.3">
      <c r="A22" s="40"/>
      <c r="B22" s="304">
        <v>43150</v>
      </c>
      <c r="C22" s="329" t="s">
        <v>51</v>
      </c>
      <c r="D22" s="330"/>
      <c r="E22" s="310">
        <f>IFERROR(VLOOKUP(C22,TR!$B$2:$F$612,2,0),"")</f>
        <v>0</v>
      </c>
      <c r="F22" s="311">
        <f>IFERROR(VLOOKUP(C22,TR!$B$2:$F$612,3,0),"")</f>
        <v>0</v>
      </c>
      <c r="G22" s="328">
        <f t="shared" si="5"/>
        <v>0</v>
      </c>
      <c r="H22" s="310">
        <f>IFERROR(VLOOKUP(C22,TR!$B$2:$F$612,4,0),"")</f>
        <v>0</v>
      </c>
      <c r="I22" s="311">
        <f>IFERROR(VLOOKUP(C22,TR!$B$2:$F$612,5,0),"")</f>
        <v>0</v>
      </c>
      <c r="J22" s="328">
        <f t="shared" si="6"/>
        <v>0</v>
      </c>
      <c r="K22" s="322" t="str">
        <f t="shared" si="0"/>
        <v/>
      </c>
      <c r="L22" s="323" t="str">
        <f t="shared" si="1"/>
        <v/>
      </c>
      <c r="M22" s="324" t="str">
        <f t="shared" si="2"/>
        <v/>
      </c>
      <c r="N22" s="37" t="str">
        <f t="shared" si="7"/>
        <v/>
      </c>
      <c r="O22" s="315" t="str">
        <f t="shared" si="10"/>
        <v/>
      </c>
      <c r="P22" s="325" t="str">
        <f>IF(AND(L22="",M22=""),IF(OR(SUMPRODUCT(N(ISNUMBER(FIND({"s";"d";"f"},C22))))&gt;0,G22+J22&lt;0,AND(G22&gt;0,J22&gt;0,I22&gt;"20:30"*1),AND(I22&lt;="20:30"*1,SUM(I22,R22)&gt;="20:31"*1)),1,""),"")</f>
        <v/>
      </c>
      <c r="Q22" s="326" t="str">
        <f t="shared" si="8"/>
        <v/>
      </c>
      <c r="R22" s="31"/>
      <c r="S22" s="327" t="str">
        <f t="shared" si="3"/>
        <v/>
      </c>
      <c r="T22" s="34">
        <f t="shared" si="4"/>
        <v>0</v>
      </c>
      <c r="U22" s="154">
        <f t="shared" si="11"/>
        <v>0</v>
      </c>
      <c r="V22" s="188"/>
      <c r="W22" s="150" t="str">
        <f t="shared" si="9"/>
        <v>0,00</v>
      </c>
    </row>
    <row r="23" spans="1:23" ht="15" thickBot="1" x14ac:dyDescent="0.35">
      <c r="A23" s="40"/>
      <c r="B23" s="335">
        <v>43151</v>
      </c>
      <c r="C23" s="336" t="s">
        <v>51</v>
      </c>
      <c r="D23" s="337"/>
      <c r="E23" s="338">
        <f>IFERROR(VLOOKUP(C23,TR!$B$2:$F$612,2,0),"")</f>
        <v>0</v>
      </c>
      <c r="F23" s="339">
        <f>IFERROR(VLOOKUP(C23,TR!$B$2:$F$612,3,0),"")</f>
        <v>0</v>
      </c>
      <c r="G23" s="340">
        <f t="shared" si="5"/>
        <v>0</v>
      </c>
      <c r="H23" s="338">
        <f>IFERROR(VLOOKUP(C23,TR!$B$2:$F$612,4,0),"")</f>
        <v>0</v>
      </c>
      <c r="I23" s="339">
        <f>IFERROR(VLOOKUP(C23,TR!$B$2:$F$612,5,0),"")</f>
        <v>0</v>
      </c>
      <c r="J23" s="340">
        <f t="shared" si="6"/>
        <v>0</v>
      </c>
      <c r="K23" s="536" t="str">
        <f t="shared" si="0"/>
        <v/>
      </c>
      <c r="L23" s="540" t="str">
        <f t="shared" si="1"/>
        <v/>
      </c>
      <c r="M23" s="538" t="str">
        <f t="shared" si="2"/>
        <v/>
      </c>
      <c r="N23" s="245" t="str">
        <f t="shared" si="7"/>
        <v/>
      </c>
      <c r="O23" s="341" t="str">
        <f t="shared" si="10"/>
        <v/>
      </c>
      <c r="P23" s="342" t="str">
        <f>IF(AND(L23="",M23=""),IF(OR(SUMPRODUCT(N(ISNUMBER(FIND({"s";"d";"f"},C23))))&gt;0,G23+J23&lt;0,AND(G23&gt;0,J23&gt;0,I23&gt;"20:30"*1),AND(I23&lt;="20:30"*1,SUM(I23,R23)&gt;="20:31"*1)),1,""),"")</f>
        <v/>
      </c>
      <c r="Q23" s="343" t="str">
        <f t="shared" si="8"/>
        <v/>
      </c>
      <c r="R23" s="246"/>
      <c r="S23" s="344" t="str">
        <f t="shared" si="3"/>
        <v/>
      </c>
      <c r="T23" s="247">
        <f t="shared" si="4"/>
        <v>0</v>
      </c>
      <c r="U23" s="248">
        <f t="shared" si="11"/>
        <v>0</v>
      </c>
      <c r="V23" s="249"/>
      <c r="W23" s="250" t="str">
        <f t="shared" si="9"/>
        <v>0,00</v>
      </c>
    </row>
    <row r="24" spans="1:23" ht="14.4" x14ac:dyDescent="0.3">
      <c r="A24" s="40"/>
      <c r="B24" s="304">
        <v>43152</v>
      </c>
      <c r="C24" s="345" t="s">
        <v>51</v>
      </c>
      <c r="D24" s="346"/>
      <c r="E24" s="347">
        <f>IFERROR(VLOOKUP(C24,TR!$B$2:$F$612,2,0),"")</f>
        <v>0</v>
      </c>
      <c r="F24" s="348">
        <f>IFERROR(VLOOKUP(C24,TR!$B$2:$F$612,3,0),"")</f>
        <v>0</v>
      </c>
      <c r="G24" s="349">
        <f t="shared" si="5"/>
        <v>0</v>
      </c>
      <c r="H24" s="347">
        <f>IFERROR(VLOOKUP(C24,TR!$B$2:$F$612,4,0),"")</f>
        <v>0</v>
      </c>
      <c r="I24" s="348">
        <f>IFERROR(VLOOKUP(C24,TR!$B$2:$F$612,5,0),"")</f>
        <v>0</v>
      </c>
      <c r="J24" s="349">
        <f t="shared" si="6"/>
        <v>0</v>
      </c>
      <c r="K24" s="533" t="str">
        <f t="shared" si="0"/>
        <v/>
      </c>
      <c r="L24" s="539" t="str">
        <f t="shared" si="1"/>
        <v/>
      </c>
      <c r="M24" s="535" t="str">
        <f t="shared" si="2"/>
        <v/>
      </c>
      <c r="N24" s="243" t="str">
        <f t="shared" si="7"/>
        <v/>
      </c>
      <c r="O24" s="350" t="str">
        <f t="shared" si="10"/>
        <v/>
      </c>
      <c r="P24" s="351" t="str">
        <f>IF(AND(L24="",M24=""),IF(OR(SUMPRODUCT(N(ISNUMBER(FIND({"s";"d";"f"},C24))))&gt;0,G24+J24&lt;0,AND(G24&gt;0,J24&gt;0,I24&gt;"20:30"*1),AND(I24&lt;="20:30"*1,SUM(I24,R24)&gt;="20:31"*1)),1,""),"")</f>
        <v/>
      </c>
      <c r="Q24" s="352" t="str">
        <f t="shared" si="8"/>
        <v/>
      </c>
      <c r="R24" s="244"/>
      <c r="S24" s="353" t="str">
        <f t="shared" si="3"/>
        <v/>
      </c>
      <c r="T24" s="34">
        <f t="shared" si="4"/>
        <v>0</v>
      </c>
      <c r="U24" s="153">
        <f t="shared" si="11"/>
        <v>0</v>
      </c>
      <c r="V24" s="187"/>
      <c r="W24" s="156" t="str">
        <f t="shared" si="9"/>
        <v>0,00</v>
      </c>
    </row>
    <row r="25" spans="1:23" ht="14.4" x14ac:dyDescent="0.3">
      <c r="A25" s="40"/>
      <c r="B25" s="304">
        <v>43153</v>
      </c>
      <c r="C25" s="329" t="s">
        <v>51</v>
      </c>
      <c r="D25" s="330"/>
      <c r="E25" s="310">
        <f>IFERROR(VLOOKUP(C25,TR!$B$2:$F$612,2,0),"")</f>
        <v>0</v>
      </c>
      <c r="F25" s="311">
        <f>IFERROR(VLOOKUP(C25,TR!$B$2:$F$612,3,0),"")</f>
        <v>0</v>
      </c>
      <c r="G25" s="328">
        <f t="shared" si="5"/>
        <v>0</v>
      </c>
      <c r="H25" s="310">
        <f>IFERROR(VLOOKUP(C25,TR!$B$2:$F$612,4,0),"")</f>
        <v>0</v>
      </c>
      <c r="I25" s="311">
        <f>IFERROR(VLOOKUP(C25,TR!$B$2:$F$612,5,0),"")</f>
        <v>0</v>
      </c>
      <c r="J25" s="328">
        <f t="shared" si="6"/>
        <v>0</v>
      </c>
      <c r="K25" s="322" t="str">
        <f t="shared" si="0"/>
        <v/>
      </c>
      <c r="L25" s="323" t="str">
        <f t="shared" si="1"/>
        <v/>
      </c>
      <c r="M25" s="324" t="str">
        <f t="shared" si="2"/>
        <v/>
      </c>
      <c r="N25" s="37" t="str">
        <f t="shared" si="7"/>
        <v/>
      </c>
      <c r="O25" s="315" t="str">
        <f t="shared" si="10"/>
        <v/>
      </c>
      <c r="P25" s="325" t="str">
        <f>IF(AND(L25="",M25=""),IF(OR(SUMPRODUCT(N(ISNUMBER(FIND({"s";"d";"f"},C25))))&gt;0,G25+J25&lt;0,AND(G25&gt;0,J25&gt;0,I25&gt;"20:30"*1),AND(I25&lt;="20:30"*1,SUM(I25,R25)&gt;="20:31"*1)),1,""),"")</f>
        <v/>
      </c>
      <c r="Q25" s="326" t="str">
        <f t="shared" si="8"/>
        <v/>
      </c>
      <c r="R25" s="31"/>
      <c r="S25" s="327" t="str">
        <f t="shared" si="3"/>
        <v/>
      </c>
      <c r="T25" s="34">
        <f t="shared" si="4"/>
        <v>0</v>
      </c>
      <c r="U25" s="154">
        <f t="shared" si="11"/>
        <v>0</v>
      </c>
      <c r="V25" s="188"/>
      <c r="W25" s="150" t="str">
        <f t="shared" si="9"/>
        <v>0,00</v>
      </c>
    </row>
    <row r="26" spans="1:23" ht="14.4" x14ac:dyDescent="0.3">
      <c r="A26" s="40"/>
      <c r="B26" s="304">
        <v>43154</v>
      </c>
      <c r="C26" s="319" t="s">
        <v>51</v>
      </c>
      <c r="D26" s="320"/>
      <c r="E26" s="310">
        <f>IFERROR(VLOOKUP(C26,TR!$B$2:$F$612,2,0),"")</f>
        <v>0</v>
      </c>
      <c r="F26" s="311">
        <f>IFERROR(VLOOKUP(C26,TR!$B$2:$F$612,3,0),"")</f>
        <v>0</v>
      </c>
      <c r="G26" s="321">
        <f t="shared" si="5"/>
        <v>0</v>
      </c>
      <c r="H26" s="310">
        <f>IFERROR(VLOOKUP(C26,TR!$B$2:$F$612,4,0),"")</f>
        <v>0</v>
      </c>
      <c r="I26" s="311">
        <f>IFERROR(VLOOKUP(C26,TR!$B$2:$F$612,5,0),"")</f>
        <v>0</v>
      </c>
      <c r="J26" s="321">
        <f t="shared" si="6"/>
        <v>0</v>
      </c>
      <c r="K26" s="322" t="str">
        <f t="shared" si="0"/>
        <v/>
      </c>
      <c r="L26" s="323" t="str">
        <f t="shared" si="1"/>
        <v/>
      </c>
      <c r="M26" s="324" t="str">
        <f t="shared" si="2"/>
        <v/>
      </c>
      <c r="N26" s="37" t="str">
        <f t="shared" si="7"/>
        <v/>
      </c>
      <c r="O26" s="315" t="str">
        <f t="shared" si="10"/>
        <v/>
      </c>
      <c r="P26" s="325" t="str">
        <f>IF(AND(L26="",M26=""),IF(OR(SUMPRODUCT(N(ISNUMBER(FIND({"s";"d";"f"},C26))))&gt;0,G26+J26&lt;0,AND(G26&gt;0,J26&gt;0,I26&gt;"20:30"*1),AND(I26&lt;="20:30"*1,SUM(I26,R26)&gt;="20:31"*1)),1,""),"")</f>
        <v/>
      </c>
      <c r="Q26" s="326" t="str">
        <f t="shared" si="8"/>
        <v/>
      </c>
      <c r="R26" s="31"/>
      <c r="S26" s="327" t="str">
        <f t="shared" si="3"/>
        <v/>
      </c>
      <c r="T26" s="34">
        <f t="shared" si="4"/>
        <v>0</v>
      </c>
      <c r="U26" s="154">
        <f t="shared" si="11"/>
        <v>0</v>
      </c>
      <c r="V26" s="188"/>
      <c r="W26" s="150" t="str">
        <f t="shared" si="9"/>
        <v>0,00</v>
      </c>
    </row>
    <row r="27" spans="1:23" ht="14.4" x14ac:dyDescent="0.3">
      <c r="A27" s="40"/>
      <c r="B27" s="304">
        <v>43155</v>
      </c>
      <c r="C27" s="319" t="s">
        <v>46</v>
      </c>
      <c r="D27" s="320"/>
      <c r="E27" s="310">
        <f>IFERROR(VLOOKUP(C27,TR!$B$2:$F$612,2,0),"")</f>
        <v>0</v>
      </c>
      <c r="F27" s="311">
        <f>IFERROR(VLOOKUP(C27,TR!$B$2:$F$612,3,0),"")</f>
        <v>0</v>
      </c>
      <c r="G27" s="321">
        <f t="shared" si="5"/>
        <v>0</v>
      </c>
      <c r="H27" s="310">
        <f>IFERROR(VLOOKUP(C27,TR!$B$2:$F$612,4,0),"")</f>
        <v>0</v>
      </c>
      <c r="I27" s="311">
        <f>IFERROR(VLOOKUP(C27,TR!$B$2:$F$612,5,0),"")</f>
        <v>0</v>
      </c>
      <c r="J27" s="321">
        <f t="shared" si="6"/>
        <v>0</v>
      </c>
      <c r="K27" s="322" t="str">
        <f t="shared" si="0"/>
        <v/>
      </c>
      <c r="L27" s="323" t="str">
        <f t="shared" si="1"/>
        <v/>
      </c>
      <c r="M27" s="324" t="str">
        <f t="shared" si="2"/>
        <v/>
      </c>
      <c r="N27" s="37" t="str">
        <f t="shared" si="7"/>
        <v/>
      </c>
      <c r="O27" s="315" t="str">
        <f t="shared" si="10"/>
        <v/>
      </c>
      <c r="P27" s="325" t="str">
        <f>IF(AND(L27="",M27=""),IF(OR(SUMPRODUCT(N(ISNUMBER(FIND({"s";"d";"f"},C27))))&gt;0,G27+J27&lt;0,AND(G27&gt;0,J27&gt;0,I27&gt;"20:30"*1),AND(I27&lt;="20:30"*1,SUM(I27,R27)&gt;="20:31"*1)),1,""),"")</f>
        <v/>
      </c>
      <c r="Q27" s="326" t="str">
        <f t="shared" si="8"/>
        <v/>
      </c>
      <c r="R27" s="31"/>
      <c r="S27" s="327" t="str">
        <f t="shared" si="3"/>
        <v/>
      </c>
      <c r="T27" s="34">
        <f t="shared" si="4"/>
        <v>0</v>
      </c>
      <c r="U27" s="154">
        <f t="shared" si="11"/>
        <v>0</v>
      </c>
      <c r="V27" s="188"/>
      <c r="W27" s="150" t="str">
        <f t="shared" si="9"/>
        <v>0,00</v>
      </c>
    </row>
    <row r="28" spans="1:23" ht="14.4" x14ac:dyDescent="0.3">
      <c r="A28" s="40"/>
      <c r="B28" s="304">
        <v>43156</v>
      </c>
      <c r="C28" s="319" t="s">
        <v>46</v>
      </c>
      <c r="D28" s="320"/>
      <c r="E28" s="310">
        <f>IFERROR(VLOOKUP(C28,TR!$B$2:$F$612,2,0),"")</f>
        <v>0</v>
      </c>
      <c r="F28" s="311">
        <f>IFERROR(VLOOKUP(C28,TR!$B$2:$F$612,3,0),"")</f>
        <v>0</v>
      </c>
      <c r="G28" s="321">
        <f t="shared" si="5"/>
        <v>0</v>
      </c>
      <c r="H28" s="310">
        <f>IFERROR(VLOOKUP(C28,TR!$B$2:$F$612,4,0),"")</f>
        <v>0</v>
      </c>
      <c r="I28" s="311">
        <f>IFERROR(VLOOKUP(C28,TR!$B$2:$F$612,5,0),"")</f>
        <v>0</v>
      </c>
      <c r="J28" s="321">
        <f t="shared" si="6"/>
        <v>0</v>
      </c>
      <c r="K28" s="322" t="str">
        <f t="shared" si="0"/>
        <v/>
      </c>
      <c r="L28" s="323" t="str">
        <f t="shared" si="1"/>
        <v/>
      </c>
      <c r="M28" s="324" t="str">
        <f t="shared" si="2"/>
        <v/>
      </c>
      <c r="N28" s="37" t="str">
        <f t="shared" si="7"/>
        <v/>
      </c>
      <c r="O28" s="315" t="str">
        <f t="shared" si="10"/>
        <v/>
      </c>
      <c r="P28" s="325" t="str">
        <f>IF(AND(L28="",M28=""),IF(OR(SUMPRODUCT(N(ISNUMBER(FIND({"s";"d";"f"},C28))))&gt;0,G28+J28&lt;0,AND(G28&gt;0,J28&gt;0,I28&gt;"20:30"*1),AND(I28&lt;="20:30"*1,SUM(I28,R28)&gt;="20:31"*1)),1,""),"")</f>
        <v/>
      </c>
      <c r="Q28" s="326" t="str">
        <f t="shared" si="8"/>
        <v/>
      </c>
      <c r="R28" s="31"/>
      <c r="S28" s="327" t="str">
        <f t="shared" si="3"/>
        <v/>
      </c>
      <c r="T28" s="34">
        <f t="shared" si="4"/>
        <v>0</v>
      </c>
      <c r="U28" s="154">
        <f t="shared" si="11"/>
        <v>0</v>
      </c>
      <c r="V28" s="188"/>
      <c r="W28" s="150" t="str">
        <f t="shared" si="9"/>
        <v>0,00</v>
      </c>
    </row>
    <row r="29" spans="1:23" ht="14.4" x14ac:dyDescent="0.3">
      <c r="A29" s="40"/>
      <c r="B29" s="304">
        <v>43157</v>
      </c>
      <c r="C29" s="319" t="s">
        <v>154</v>
      </c>
      <c r="D29" s="320"/>
      <c r="E29" s="310">
        <f>IFERROR(VLOOKUP(C29,TR!$B$2:$F$612,2,0),"")</f>
        <v>0.19652777777777777</v>
      </c>
      <c r="F29" s="311">
        <f>IFERROR(VLOOKUP(C29,TR!$B$2:$F$612,3,0),"")</f>
        <v>0.47361111111111115</v>
      </c>
      <c r="G29" s="321">
        <f t="shared" si="5"/>
        <v>0.27708333333333335</v>
      </c>
      <c r="H29" s="310">
        <f>IFERROR(VLOOKUP(C29,TR!$B$2:$F$612,4,0),"")</f>
        <v>0</v>
      </c>
      <c r="I29" s="311">
        <f>IFERROR(VLOOKUP(C29,TR!$B$2:$F$612,5,0),"")</f>
        <v>0</v>
      </c>
      <c r="J29" s="321">
        <f t="shared" si="6"/>
        <v>0</v>
      </c>
      <c r="K29" s="322">
        <f t="shared" si="0"/>
        <v>1</v>
      </c>
      <c r="L29" s="323" t="str">
        <f t="shared" si="1"/>
        <v/>
      </c>
      <c r="M29" s="324" t="str">
        <f t="shared" si="2"/>
        <v/>
      </c>
      <c r="N29" s="37" t="str">
        <f t="shared" si="7"/>
        <v/>
      </c>
      <c r="O29" s="315" t="str">
        <f t="shared" si="10"/>
        <v/>
      </c>
      <c r="P29" s="325" t="str">
        <f>IF(AND(L29="",M29=""),IF(OR(SUMPRODUCT(N(ISNUMBER(FIND({"s";"d";"f"},C29))))&gt;0,G29+J29&lt;0,AND(G29&gt;0,J29&gt;0,I29&gt;"20:30"*1),AND(I29&lt;="20:30"*1,SUM(I29,R29)&gt;="20:31"*1)),1,""),"")</f>
        <v/>
      </c>
      <c r="Q29" s="326" t="str">
        <f t="shared" si="8"/>
        <v/>
      </c>
      <c r="R29" s="31"/>
      <c r="S29" s="327">
        <f t="shared" si="3"/>
        <v>0.27708333333333335</v>
      </c>
      <c r="T29" s="34">
        <f t="shared" si="4"/>
        <v>0.27708333333333335</v>
      </c>
      <c r="U29" s="154">
        <f t="shared" si="11"/>
        <v>6.65</v>
      </c>
      <c r="V29" s="188"/>
      <c r="W29" s="150">
        <f t="shared" si="9"/>
        <v>6.65</v>
      </c>
    </row>
    <row r="30" spans="1:23" ht="14.4" x14ac:dyDescent="0.3">
      <c r="A30" s="40"/>
      <c r="B30" s="304">
        <v>43158</v>
      </c>
      <c r="C30" s="329" t="s">
        <v>176</v>
      </c>
      <c r="D30" s="330"/>
      <c r="E30" s="310">
        <f>IFERROR(VLOOKUP(C30,TR!$B$2:$F$612,2,0),"")</f>
        <v>0.28125</v>
      </c>
      <c r="F30" s="311">
        <f>IFERROR(VLOOKUP(C30,TR!$B$2:$F$612,3,0),"")</f>
        <v>0.5805555555555556</v>
      </c>
      <c r="G30" s="328">
        <f t="shared" si="5"/>
        <v>0.2993055555555556</v>
      </c>
      <c r="H30" s="310">
        <f>IFERROR(VLOOKUP(C30,TR!$B$2:$F$612,4,0),"")</f>
        <v>0</v>
      </c>
      <c r="I30" s="311">
        <f>IFERROR(VLOOKUP(C30,TR!$B$2:$F$612,5,0),"")</f>
        <v>0</v>
      </c>
      <c r="J30" s="328">
        <f t="shared" si="6"/>
        <v>0</v>
      </c>
      <c r="K30" s="322" t="str">
        <f t="shared" si="0"/>
        <v/>
      </c>
      <c r="L30" s="323">
        <f t="shared" si="1"/>
        <v>1</v>
      </c>
      <c r="M30" s="324" t="str">
        <f t="shared" si="2"/>
        <v/>
      </c>
      <c r="N30" s="37" t="str">
        <f t="shared" si="7"/>
        <v/>
      </c>
      <c r="O30" s="315" t="str">
        <f t="shared" si="10"/>
        <v/>
      </c>
      <c r="P30" s="325" t="str">
        <f>IF(AND(L30="",M30=""),IF(OR(SUMPRODUCT(N(ISNUMBER(FIND({"s";"d";"f"},C30))))&gt;0,G30+J30&lt;0,AND(G30&gt;0,J30&gt;0,I30&gt;"20:30"*1),AND(I30&lt;="20:30"*1,SUM(I30,R30)&gt;="20:31"*1)),1,""),"")</f>
        <v/>
      </c>
      <c r="Q30" s="326" t="str">
        <f t="shared" si="8"/>
        <v/>
      </c>
      <c r="R30" s="31"/>
      <c r="S30" s="327">
        <f t="shared" si="3"/>
        <v>0.2993055555555556</v>
      </c>
      <c r="T30" s="34">
        <f t="shared" si="4"/>
        <v>0.2993055555555556</v>
      </c>
      <c r="U30" s="154">
        <f t="shared" si="11"/>
        <v>7.1833333333333345</v>
      </c>
      <c r="V30" s="188"/>
      <c r="W30" s="150">
        <f t="shared" si="9"/>
        <v>7.1833333333333345</v>
      </c>
    </row>
    <row r="31" spans="1:23" ht="14.4" x14ac:dyDescent="0.3">
      <c r="A31" s="40"/>
      <c r="B31" s="304">
        <v>43159</v>
      </c>
      <c r="C31" s="329" t="s">
        <v>175</v>
      </c>
      <c r="D31" s="330"/>
      <c r="E31" s="310">
        <f>IFERROR(VLOOKUP(C31,TR!$B$2:$F$612,2,0),"")</f>
        <v>0.28263888888888888</v>
      </c>
      <c r="F31" s="311">
        <f>IFERROR(VLOOKUP(C31,TR!$B$2:$F$612,3,0),"")</f>
        <v>0.57222222222222219</v>
      </c>
      <c r="G31" s="328">
        <f t="shared" si="5"/>
        <v>0.2895833333333333</v>
      </c>
      <c r="H31" s="310">
        <f>IFERROR(VLOOKUP(C31,TR!$B$2:$F$612,4,0),"")</f>
        <v>0</v>
      </c>
      <c r="I31" s="311">
        <f>IFERROR(VLOOKUP(C31,TR!$B$2:$F$612,5,0),"")</f>
        <v>0</v>
      </c>
      <c r="J31" s="328">
        <f t="shared" si="6"/>
        <v>0</v>
      </c>
      <c r="K31" s="322" t="str">
        <f t="shared" si="0"/>
        <v/>
      </c>
      <c r="L31" s="323">
        <f t="shared" si="1"/>
        <v>1</v>
      </c>
      <c r="M31" s="324" t="str">
        <f t="shared" si="2"/>
        <v/>
      </c>
      <c r="N31" s="37" t="str">
        <f t="shared" si="7"/>
        <v/>
      </c>
      <c r="O31" s="315" t="str">
        <f t="shared" si="10"/>
        <v/>
      </c>
      <c r="P31" s="325" t="str">
        <f>IF(AND(L31="",M31=""),IF(OR(SUMPRODUCT(N(ISNUMBER(FIND({"s";"d";"f"},C31))))&gt;0,G31+J31&lt;0,AND(G31&gt;0,J31&gt;0,I31&gt;"20:30"*1),AND(I31&lt;="20:30"*1,SUM(I31,R31)&gt;="20:31"*1)),1,""),"")</f>
        <v/>
      </c>
      <c r="Q31" s="326" t="str">
        <f t="shared" si="8"/>
        <v/>
      </c>
      <c r="R31" s="31"/>
      <c r="S31" s="327">
        <f t="shared" si="3"/>
        <v>0.2895833333333333</v>
      </c>
      <c r="T31" s="34">
        <f t="shared" si="4"/>
        <v>0.2895833333333333</v>
      </c>
      <c r="U31" s="154">
        <f t="shared" si="11"/>
        <v>6.9499999999999993</v>
      </c>
      <c r="V31" s="188"/>
      <c r="W31" s="150">
        <f t="shared" si="9"/>
        <v>6.9499999999999993</v>
      </c>
    </row>
    <row r="32" spans="1:23" ht="14.4" x14ac:dyDescent="0.3">
      <c r="A32" s="40"/>
      <c r="B32" s="304"/>
      <c r="C32" s="329"/>
      <c r="D32" s="330"/>
      <c r="E32" s="310" t="str">
        <f>IFERROR(VLOOKUP(C32,TR!$B$2:$F$612,2,0),"")</f>
        <v/>
      </c>
      <c r="F32" s="311" t="str">
        <f>IFERROR(VLOOKUP(C32,TR!$B$2:$F$612,3,0),"")</f>
        <v/>
      </c>
      <c r="G32" s="328">
        <f t="shared" si="5"/>
        <v>0</v>
      </c>
      <c r="H32" s="310" t="str">
        <f>IFERROR(VLOOKUP(C32,TR!$B$2:$F$612,4,0),"")</f>
        <v/>
      </c>
      <c r="I32" s="311" t="str">
        <f>IFERROR(VLOOKUP(C32,TR!$B$2:$F$612,5,0),"")</f>
        <v/>
      </c>
      <c r="J32" s="328">
        <f t="shared" si="6"/>
        <v>0</v>
      </c>
      <c r="K32" s="322" t="str">
        <f t="shared" si="0"/>
        <v/>
      </c>
      <c r="L32" s="323" t="str">
        <f t="shared" si="1"/>
        <v/>
      </c>
      <c r="M32" s="324" t="str">
        <f t="shared" si="2"/>
        <v/>
      </c>
      <c r="N32" s="37" t="str">
        <f t="shared" si="7"/>
        <v/>
      </c>
      <c r="O32" s="315" t="str">
        <f t="shared" si="10"/>
        <v/>
      </c>
      <c r="P32" s="325" t="str">
        <f>IF(AND(L32="",M32=""),IF(OR(SUMPRODUCT(N(ISNUMBER(FIND({"s";"d";"f"},C32))))&gt;0,G32+J32&lt;0,AND(G32&gt;0,J32&gt;0,I32&gt;"20:30"*1),AND(I32&lt;="20:30"*1,SUM(I32,R32)&gt;="20:31"*1)),1,""),"")</f>
        <v/>
      </c>
      <c r="Q32" s="326" t="str">
        <f t="shared" si="8"/>
        <v/>
      </c>
      <c r="R32" s="31"/>
      <c r="S32" s="327" t="str">
        <f t="shared" si="3"/>
        <v/>
      </c>
      <c r="T32" s="34">
        <f t="shared" si="4"/>
        <v>0</v>
      </c>
      <c r="U32" s="154">
        <f t="shared" si="11"/>
        <v>0</v>
      </c>
      <c r="V32" s="188"/>
      <c r="W32" s="150" t="str">
        <f t="shared" si="9"/>
        <v>0,00</v>
      </c>
    </row>
    <row r="33" spans="1:24" ht="14.4" x14ac:dyDescent="0.3">
      <c r="A33" s="40"/>
      <c r="B33" s="304"/>
      <c r="C33" s="329"/>
      <c r="D33" s="330"/>
      <c r="E33" s="310" t="str">
        <f>IFERROR(VLOOKUP(C33,TR!$B$2:$F$612,2,0),"")</f>
        <v/>
      </c>
      <c r="F33" s="311" t="str">
        <f>IFERROR(VLOOKUP(C33,TR!$B$2:$F$612,3,0),"")</f>
        <v/>
      </c>
      <c r="G33" s="328">
        <f t="shared" si="5"/>
        <v>0</v>
      </c>
      <c r="H33" s="310" t="str">
        <f>IFERROR(VLOOKUP(C33,TR!$B$2:$F$612,4,0),"")</f>
        <v/>
      </c>
      <c r="I33" s="311" t="str">
        <f>IFERROR(VLOOKUP(C33,TR!$B$2:$F$612,5,0),"")</f>
        <v/>
      </c>
      <c r="J33" s="328">
        <f t="shared" si="6"/>
        <v>0</v>
      </c>
      <c r="K33" s="322" t="str">
        <f t="shared" si="0"/>
        <v/>
      </c>
      <c r="L33" s="323" t="str">
        <f t="shared" si="1"/>
        <v/>
      </c>
      <c r="M33" s="324" t="str">
        <f t="shared" si="2"/>
        <v/>
      </c>
      <c r="N33" s="37" t="str">
        <f t="shared" si="7"/>
        <v/>
      </c>
      <c r="O33" s="315" t="str">
        <f t="shared" si="10"/>
        <v/>
      </c>
      <c r="P33" s="325" t="str">
        <f>IF(AND(L33="",M33=""),IF(OR(SUMPRODUCT(N(ISNUMBER(FIND({"s";"d";"f"},C33))))&gt;0,G33+J33&lt;0,AND(G33&gt;0,J33&gt;0,I33&gt;"20:30"*1),AND(I33&lt;="20:30"*1,SUM(I33,R33)&gt;="20:31"*1)),1,""),"")</f>
        <v/>
      </c>
      <c r="Q33" s="326" t="str">
        <f t="shared" si="8"/>
        <v/>
      </c>
      <c r="R33" s="31"/>
      <c r="S33" s="327"/>
      <c r="T33" s="34"/>
      <c r="U33" s="154"/>
      <c r="V33" s="188"/>
      <c r="W33" s="150" t="str">
        <f t="shared" si="9"/>
        <v>0,00</v>
      </c>
    </row>
    <row r="34" spans="1:24" ht="15" thickBot="1" x14ac:dyDescent="0.35">
      <c r="A34" s="40"/>
      <c r="B34" s="354"/>
      <c r="C34" s="355"/>
      <c r="D34" s="356"/>
      <c r="E34" s="357" t="str">
        <f>IFERROR(VLOOKUP(C34,TR!$B$2:$F$612,2,0),"")</f>
        <v/>
      </c>
      <c r="F34" s="358" t="str">
        <f>IFERROR(VLOOKUP(C34,TR!$B$2:$F$612,3,0),"")</f>
        <v/>
      </c>
      <c r="G34" s="359">
        <f t="shared" si="5"/>
        <v>0</v>
      </c>
      <c r="H34" s="357" t="str">
        <f>IFERROR(VLOOKUP(C34,TR!$B$2:$F$612,4,0),"")</f>
        <v/>
      </c>
      <c r="I34" s="358" t="str">
        <f>IFERROR(VLOOKUP(C34,TR!$B$2:$F$612,5,0),"")</f>
        <v/>
      </c>
      <c r="J34" s="359">
        <f t="shared" si="6"/>
        <v>0</v>
      </c>
      <c r="K34" s="360" t="str">
        <f t="shared" si="0"/>
        <v/>
      </c>
      <c r="L34" s="361" t="str">
        <f t="shared" si="1"/>
        <v/>
      </c>
      <c r="M34" s="362" t="str">
        <f t="shared" si="2"/>
        <v/>
      </c>
      <c r="N34" s="38" t="str">
        <f t="shared" si="7"/>
        <v/>
      </c>
      <c r="O34" s="363" t="str">
        <f t="shared" si="10"/>
        <v/>
      </c>
      <c r="P34" s="364" t="str">
        <f>IF(AND(L34="",M34=""),IF(OR(SUMPRODUCT(N(ISNUMBER(FIND({"s";"d";"f"},C34))))&gt;0,G34+J34&lt;0,AND(G34&gt;0,J34&gt;0,I34&gt;"20:30"*1),AND(I34&lt;="20:30"*1,SUM(I34,R34)&gt;="20:31"*1)),1,""),"")</f>
        <v/>
      </c>
      <c r="Q34" s="365" t="str">
        <f t="shared" si="8"/>
        <v/>
      </c>
      <c r="R34" s="32"/>
      <c r="S34" s="366"/>
      <c r="T34" s="39"/>
      <c r="U34" s="155"/>
      <c r="V34" s="189"/>
      <c r="W34" s="151" t="str">
        <f t="shared" si="9"/>
        <v>0,00</v>
      </c>
    </row>
    <row r="35" spans="1:24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Q35" s="372"/>
      <c r="S35" s="54"/>
      <c r="T35" s="55"/>
      <c r="U35" s="56"/>
      <c r="V35" s="57"/>
    </row>
    <row r="36" spans="1:24" ht="14.4" x14ac:dyDescent="0.3">
      <c r="A36" s="40"/>
      <c r="B36" s="373" t="s">
        <v>17</v>
      </c>
      <c r="C36" s="142">
        <f>(COUNTIF(Janvier!C24:C34,"&lt;&gt;")+COUNTIF(Février!C4:C23,"&lt;&gt;"))-(COUNTIF(Janvier!C24:C34,"CC*")+COUNTIF(Février!C4:C23,"CC*"))-(COUNTIF(Janvier!C24:C34,"CH*")+COUNTIF(Février!C4:C23,"CH*"))-(COUNTIF(Janvier!C24:C34,"RT*")+COUNTIF(Février!C4:C23,"RT*"))-(COUNTIF(Janvier!C24:C34,"Férié*")+COUNTIF(Février!C4:C23,"Férié*"))-(COUNTIF(Janvier!C24:C34,"Mal*")+COUNTIF(Février!C4:C23,"Mal*"))-(COUNTIF(Janvier!C24:C34,"CP*")+COUNTIF(Février!C4:C23,"CP*"))</f>
        <v>18</v>
      </c>
      <c r="E36" s="370"/>
      <c r="F36" s="40"/>
      <c r="G36" s="40"/>
      <c r="I36" s="613" t="s">
        <v>55</v>
      </c>
      <c r="J36" s="613"/>
      <c r="K36" s="72">
        <f>SUM(Janvier!$K$24:$K$34,K4:K23)</f>
        <v>6</v>
      </c>
      <c r="L36" s="73">
        <f>SUM(Janvier!$L$24:$L$34,L4:L23)</f>
        <v>5</v>
      </c>
      <c r="M36" s="74">
        <f>SUM(Janvier!$M$24:$M$34,M4:M23)</f>
        <v>5</v>
      </c>
      <c r="N36" s="75">
        <f>SUM(Janvier!$N$24:$N$34,N4:N23)</f>
        <v>1</v>
      </c>
      <c r="O36" s="76">
        <f>SUM(Janvier!$O$24:$O$34,O4:O23)</f>
        <v>0</v>
      </c>
      <c r="P36" s="82">
        <f>SUM(Janvier!$P$24:$P$34,P4:P23)</f>
        <v>1</v>
      </c>
      <c r="Q36" s="212">
        <f>SUM(Janvier!$Q$24:$Q$34,Q4:Q23)</f>
        <v>0</v>
      </c>
      <c r="R36" s="231">
        <f>SUM(Janvier!$R$24:$R$34,R4:R23)</f>
        <v>0</v>
      </c>
      <c r="S36" s="78"/>
      <c r="T36" s="79">
        <f>SUM(Janvier!T24:T34)+SUM(Février!T4:T23)</f>
        <v>5.5888888888888886</v>
      </c>
      <c r="U36" s="80">
        <f>SUM(U4:U34)</f>
        <v>94.116666666666688</v>
      </c>
      <c r="V36" s="186">
        <f>SUM(V4:V34)</f>
        <v>0</v>
      </c>
      <c r="W36" s="59"/>
    </row>
    <row r="37" spans="1:24" ht="14.4" thickBot="1" x14ac:dyDescent="0.3">
      <c r="A37" s="40"/>
      <c r="B37" s="374" t="s">
        <v>51</v>
      </c>
      <c r="C37" s="143">
        <f>(COUNTIF(Janvier!C24:C34,"CP")+COUNTIF(Février!C4:C23,"CP"))</f>
        <v>2</v>
      </c>
      <c r="F37" s="40"/>
      <c r="G37" s="40"/>
      <c r="H37" s="40"/>
      <c r="I37" s="40"/>
      <c r="J37" s="40"/>
      <c r="K37" s="375">
        <f>(I39*2)*K36</f>
        <v>106.2336</v>
      </c>
      <c r="L37" s="376">
        <f>Recap!H35*L36</f>
        <v>35.699999999999996</v>
      </c>
      <c r="M37" s="377">
        <f>Recap!H35*M36</f>
        <v>35.699999999999996</v>
      </c>
      <c r="N37" s="378">
        <f>(I39*5)*N36</f>
        <v>44.264000000000003</v>
      </c>
      <c r="O37" s="379">
        <f>(Recap!H33)*O36</f>
        <v>0</v>
      </c>
      <c r="P37" s="380">
        <f>7.5*P36</f>
        <v>7.5</v>
      </c>
      <c r="Q37" s="381">
        <f>(I39*1.5)*Q36</f>
        <v>0</v>
      </c>
      <c r="R37" s="382">
        <f>R36*24</f>
        <v>0</v>
      </c>
      <c r="S37" s="61"/>
      <c r="T37" s="62"/>
      <c r="U37" s="63"/>
      <c r="V37" s="57"/>
      <c r="W37" s="59"/>
    </row>
    <row r="38" spans="1:24" x14ac:dyDescent="0.25">
      <c r="B38" s="383" t="s">
        <v>47</v>
      </c>
      <c r="C38" s="144">
        <f>(COUNTIF(Janvier!C24:C34,"CH")+COUNTIF(Février!C4:C23,"CH"))</f>
        <v>5</v>
      </c>
      <c r="F38" s="40"/>
      <c r="G38" s="40"/>
      <c r="H38" s="40"/>
      <c r="I38" s="384" t="s">
        <v>54</v>
      </c>
      <c r="J38" s="40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04"/>
      <c r="V38" s="104">
        <v>6.1749999999999998</v>
      </c>
      <c r="W38" s="81">
        <f>V38*24</f>
        <v>148.19999999999999</v>
      </c>
      <c r="X38" s="69"/>
    </row>
    <row r="39" spans="1:24" ht="14.4" thickBot="1" x14ac:dyDescent="0.3">
      <c r="B39" s="385" t="s">
        <v>45</v>
      </c>
      <c r="C39" s="145">
        <f>(COUNTIF(Janvier!C24:C34,"RT")+COUNTIF(Février!C4:C23,"RT"))</f>
        <v>1</v>
      </c>
      <c r="F39" s="40"/>
      <c r="G39" s="40"/>
      <c r="H39" s="40"/>
      <c r="I39" s="386">
        <v>8.8528000000000002</v>
      </c>
      <c r="J39" s="40"/>
      <c r="K39" s="40"/>
      <c r="L39" s="40"/>
      <c r="M39" s="40"/>
      <c r="N39" s="387"/>
      <c r="O39" s="387"/>
      <c r="V39" s="388"/>
      <c r="W39" s="388"/>
      <c r="X39" s="389"/>
    </row>
    <row r="40" spans="1:24" x14ac:dyDescent="0.25">
      <c r="B40" s="390" t="s">
        <v>46</v>
      </c>
      <c r="C40" s="146">
        <f>(COUNTIF(Janvier!C24:C34,"CC")+COUNTIF(Février!C4:C23,"CC"))</f>
        <v>5</v>
      </c>
      <c r="T40" s="615" t="s">
        <v>16</v>
      </c>
      <c r="U40" s="604"/>
      <c r="V40" s="391" t="str">
        <f>IF(V38&gt;T36,"-","")&amp;TEXT(ABS(T36-V38),"[h]:mm")</f>
        <v>-14:04</v>
      </c>
      <c r="W40" s="392">
        <f>(T36-V38)*24</f>
        <v>-14.06666666666667</v>
      </c>
      <c r="X40" s="69"/>
    </row>
    <row r="41" spans="1:24" ht="14.4" thickBot="1" x14ac:dyDescent="0.3">
      <c r="B41" s="393" t="s">
        <v>11</v>
      </c>
      <c r="C41" s="147">
        <f>(COUNTIF(Janvier!C24:C34,"Férié")+COUNTIF(Février!C4:C23,"Férié"))</f>
        <v>0</v>
      </c>
      <c r="V41" s="389"/>
    </row>
    <row r="42" spans="1:24" ht="15" thickTop="1" thickBot="1" x14ac:dyDescent="0.3">
      <c r="B42" s="394" t="s">
        <v>153</v>
      </c>
      <c r="C42" s="230">
        <f>(COUNTIF(Janvier!C24:C34,"FériéCC")+COUNTIF(Février!C4:C23,"FériéCH"))</f>
        <v>0</v>
      </c>
      <c r="R42" s="616" t="s">
        <v>201</v>
      </c>
      <c r="S42" s="623"/>
      <c r="T42" s="395">
        <f>SUM(T4:T34)</f>
        <v>3.9215277777777779</v>
      </c>
      <c r="U42" s="396"/>
      <c r="V42" s="69"/>
    </row>
    <row r="43" spans="1:24" ht="15.6" thickTop="1" thickBot="1" x14ac:dyDescent="0.35">
      <c r="B43" s="387"/>
      <c r="S43" s="71"/>
      <c r="T43" s="257">
        <f>T42*24</f>
        <v>94.116666666666674</v>
      </c>
      <c r="W43" s="397">
        <f>(T42-V38)*24</f>
        <v>-54.083333333333329</v>
      </c>
    </row>
    <row r="44" spans="1:24" ht="15.6" thickTop="1" thickBot="1" x14ac:dyDescent="0.35">
      <c r="B44" s="387"/>
      <c r="P44" s="71"/>
      <c r="Q44" s="71"/>
    </row>
    <row r="45" spans="1:24" ht="14.4" thickBot="1" x14ac:dyDescent="0.3">
      <c r="F45" s="605" t="s">
        <v>57</v>
      </c>
      <c r="G45" s="606"/>
      <c r="H45" s="606"/>
      <c r="I45" s="606"/>
      <c r="J45" s="606"/>
      <c r="K45" s="606"/>
      <c r="L45" s="606"/>
      <c r="M45" s="606"/>
      <c r="N45" s="606"/>
      <c r="O45" s="606"/>
      <c r="P45" s="606"/>
      <c r="Q45" s="607"/>
    </row>
    <row r="46" spans="1:24" ht="14.4" thickTop="1" x14ac:dyDescent="0.25">
      <c r="F46" s="620" t="s">
        <v>163</v>
      </c>
      <c r="G46" s="621"/>
      <c r="H46" s="621"/>
      <c r="I46" s="621"/>
      <c r="J46" s="621"/>
      <c r="K46" s="621"/>
      <c r="L46" s="621"/>
      <c r="M46" s="621"/>
      <c r="N46" s="621"/>
      <c r="O46" s="621"/>
      <c r="P46" s="621"/>
      <c r="Q46" s="622"/>
    </row>
    <row r="47" spans="1:24" x14ac:dyDescent="0.25">
      <c r="F47" s="398"/>
      <c r="G47" s="399"/>
      <c r="H47" s="399"/>
      <c r="I47" s="399"/>
      <c r="J47" s="399"/>
      <c r="K47" s="399"/>
      <c r="L47" s="399"/>
      <c r="M47" s="399"/>
      <c r="N47" s="399"/>
      <c r="O47" s="399"/>
      <c r="P47" s="399"/>
      <c r="Q47" s="400"/>
    </row>
    <row r="48" spans="1:24" x14ac:dyDescent="0.25">
      <c r="F48" s="398"/>
      <c r="G48" s="399"/>
      <c r="H48" s="399"/>
      <c r="I48" s="399"/>
      <c r="J48" s="399"/>
      <c r="K48" s="399"/>
      <c r="L48" s="399"/>
      <c r="M48" s="399"/>
      <c r="N48" s="399"/>
      <c r="O48" s="399"/>
      <c r="P48" s="399"/>
      <c r="Q48" s="400"/>
    </row>
    <row r="49" spans="6:17" x14ac:dyDescent="0.25">
      <c r="F49" s="398"/>
      <c r="G49" s="399"/>
      <c r="H49" s="399"/>
      <c r="I49" s="399"/>
      <c r="J49" s="399"/>
      <c r="K49" s="399"/>
      <c r="L49" s="399"/>
      <c r="M49" s="399"/>
      <c r="N49" s="399"/>
      <c r="O49" s="399"/>
      <c r="P49" s="399"/>
      <c r="Q49" s="400"/>
    </row>
    <row r="50" spans="6:17" x14ac:dyDescent="0.25">
      <c r="F50" s="398"/>
      <c r="G50" s="399"/>
      <c r="H50" s="399"/>
      <c r="I50" s="399"/>
      <c r="J50" s="399"/>
      <c r="K50" s="399"/>
      <c r="L50" s="399"/>
      <c r="M50" s="399"/>
      <c r="N50" s="399"/>
      <c r="O50" s="399"/>
      <c r="P50" s="399"/>
      <c r="Q50" s="400"/>
    </row>
    <row r="51" spans="6:17" x14ac:dyDescent="0.25">
      <c r="F51" s="398"/>
      <c r="G51" s="399"/>
      <c r="H51" s="399"/>
      <c r="I51" s="399"/>
      <c r="J51" s="399"/>
      <c r="K51" s="399"/>
      <c r="L51" s="399"/>
      <c r="M51" s="399"/>
      <c r="N51" s="399"/>
      <c r="O51" s="399"/>
      <c r="P51" s="399"/>
      <c r="Q51" s="400"/>
    </row>
    <row r="52" spans="6:17" x14ac:dyDescent="0.25">
      <c r="F52" s="398"/>
      <c r="G52" s="399"/>
      <c r="H52" s="399"/>
      <c r="I52" s="399"/>
      <c r="J52" s="399"/>
      <c r="K52" s="399"/>
      <c r="L52" s="399"/>
      <c r="M52" s="399"/>
      <c r="N52" s="399"/>
      <c r="O52" s="399"/>
      <c r="P52" s="399"/>
      <c r="Q52" s="400"/>
    </row>
    <row r="53" spans="6:17" x14ac:dyDescent="0.25">
      <c r="F53" s="398"/>
      <c r="G53" s="399"/>
      <c r="H53" s="399"/>
      <c r="I53" s="399"/>
      <c r="J53" s="399"/>
      <c r="K53" s="399"/>
      <c r="L53" s="399"/>
      <c r="M53" s="399"/>
      <c r="N53" s="399"/>
      <c r="O53" s="399"/>
      <c r="P53" s="399"/>
      <c r="Q53" s="400"/>
    </row>
    <row r="54" spans="6:17" x14ac:dyDescent="0.25">
      <c r="F54" s="398"/>
      <c r="G54" s="399"/>
      <c r="H54" s="399"/>
      <c r="I54" s="399"/>
      <c r="J54" s="399"/>
      <c r="K54" s="399"/>
      <c r="L54" s="399"/>
      <c r="M54" s="399"/>
      <c r="N54" s="399"/>
      <c r="O54" s="399"/>
      <c r="P54" s="399"/>
      <c r="Q54" s="400"/>
    </row>
    <row r="55" spans="6:17" x14ac:dyDescent="0.25">
      <c r="F55" s="398"/>
      <c r="G55" s="399"/>
      <c r="H55" s="399"/>
      <c r="I55" s="399"/>
      <c r="J55" s="399"/>
      <c r="K55" s="399"/>
      <c r="L55" s="399"/>
      <c r="M55" s="399"/>
      <c r="N55" s="399"/>
      <c r="O55" s="399"/>
      <c r="P55" s="399"/>
      <c r="Q55" s="400"/>
    </row>
    <row r="56" spans="6:17" x14ac:dyDescent="0.25">
      <c r="F56" s="398"/>
      <c r="G56" s="399"/>
      <c r="H56" s="399"/>
      <c r="I56" s="399"/>
      <c r="J56" s="399"/>
      <c r="K56" s="399"/>
      <c r="L56" s="399"/>
      <c r="M56" s="399"/>
      <c r="N56" s="399"/>
      <c r="O56" s="399"/>
      <c r="P56" s="399"/>
      <c r="Q56" s="400"/>
    </row>
    <row r="57" spans="6:17" x14ac:dyDescent="0.25">
      <c r="F57" s="398"/>
      <c r="G57" s="399"/>
      <c r="H57" s="399"/>
      <c r="I57" s="399"/>
      <c r="J57" s="399"/>
      <c r="K57" s="399"/>
      <c r="L57" s="399"/>
      <c r="M57" s="399"/>
      <c r="N57" s="399"/>
      <c r="O57" s="399"/>
      <c r="P57" s="399"/>
      <c r="Q57" s="400"/>
    </row>
    <row r="58" spans="6:17" x14ac:dyDescent="0.25">
      <c r="F58" s="398"/>
      <c r="G58" s="399"/>
      <c r="H58" s="399"/>
      <c r="I58" s="399"/>
      <c r="J58" s="399"/>
      <c r="K58" s="399"/>
      <c r="L58" s="399"/>
      <c r="M58" s="399"/>
      <c r="N58" s="399"/>
      <c r="O58" s="399"/>
      <c r="P58" s="399"/>
      <c r="Q58" s="400"/>
    </row>
    <row r="59" spans="6:17" ht="14.4" thickBot="1" x14ac:dyDescent="0.3">
      <c r="F59" s="401"/>
      <c r="G59" s="402"/>
      <c r="H59" s="402"/>
      <c r="I59" s="402"/>
      <c r="J59" s="402"/>
      <c r="K59" s="402"/>
      <c r="L59" s="402"/>
      <c r="M59" s="402"/>
      <c r="N59" s="402"/>
      <c r="O59" s="402"/>
      <c r="P59" s="402"/>
      <c r="Q59" s="403"/>
    </row>
    <row r="60" spans="6:17" ht="14.4" thickTop="1" x14ac:dyDescent="0.25"/>
  </sheetData>
  <mergeCells count="10">
    <mergeCell ref="B1:W1"/>
    <mergeCell ref="F46:Q46"/>
    <mergeCell ref="T2:W2"/>
    <mergeCell ref="F45:Q45"/>
    <mergeCell ref="E3:F3"/>
    <mergeCell ref="H3:I3"/>
    <mergeCell ref="I36:J36"/>
    <mergeCell ref="T38:U38"/>
    <mergeCell ref="T40:U40"/>
    <mergeCell ref="R42:S42"/>
  </mergeCells>
  <conditionalFormatting sqref="C4:C34">
    <cfRule type="expression" dxfId="67" priority="13" stopIfTrue="1">
      <formula>ISNUMBER(FIND("d",$C4))</formula>
    </cfRule>
  </conditionalFormatting>
  <conditionalFormatting sqref="V40:W40">
    <cfRule type="expression" dxfId="66" priority="2" stopIfTrue="1">
      <formula>$T$36&lt;$V$38</formula>
    </cfRule>
    <cfRule type="expression" dxfId="65" priority="10" stopIfTrue="1">
      <formula>$T$36&gt;$V$38</formula>
    </cfRule>
  </conditionalFormatting>
  <conditionalFormatting sqref="C4:Q34">
    <cfRule type="expression" dxfId="64" priority="14" stopIfTrue="1">
      <formula>OR(ISNUMBER(FIND("Férié",$C4)),ISNUMBER(FIND("f",$C4)))</formula>
    </cfRule>
    <cfRule type="expression" dxfId="63" priority="49" stopIfTrue="1">
      <formula>ISNUMBER(FIND("CP",$C4))</formula>
    </cfRule>
    <cfRule type="expression" dxfId="62" priority="51" stopIfTrue="1">
      <formula>ISNUMBER(FIND("h",$C4))</formula>
    </cfRule>
    <cfRule type="expression" dxfId="61" priority="52" stopIfTrue="1">
      <formula>ISNUMBER(FIND("n",$C4))</formula>
    </cfRule>
  </conditionalFormatting>
  <pageMargins left="0.51181102362204722" right="0.51181102362204722" top="0.74803149606299213" bottom="0.74803149606299213" header="0.31496062992125984" footer="0.31496062992125984"/>
  <pageSetup paperSize="9" scale="60" orientation="landscape" r:id="rId1"/>
  <ignoredErrors>
    <ignoredError sqref="T42:T43" unlocked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3"/>
  <sheetViews>
    <sheetView topLeftCell="A10" workbookViewId="0">
      <selection activeCell="C36" sqref="C36"/>
    </sheetView>
  </sheetViews>
  <sheetFormatPr baseColWidth="10" defaultColWidth="11" defaultRowHeight="13.8" x14ac:dyDescent="0.25"/>
  <cols>
    <col min="1" max="1" width="3.59765625" style="369" customWidth="1"/>
    <col min="2" max="2" width="14.59765625" style="369" customWidth="1"/>
    <col min="3" max="3" width="8.59765625" style="369" customWidth="1"/>
    <col min="4" max="4" width="7.59765625" style="369" customWidth="1"/>
    <col min="5" max="23" width="8.59765625" style="369" customWidth="1"/>
    <col min="24" max="16384" width="11" style="369"/>
  </cols>
  <sheetData>
    <row r="1" spans="1:23" ht="14.4" thickBot="1" x14ac:dyDescent="0.3">
      <c r="A1" s="40"/>
      <c r="B1" s="602" t="s">
        <v>31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 s="603"/>
      <c r="P1" s="603"/>
      <c r="Q1" s="603"/>
      <c r="R1" s="603"/>
      <c r="S1" s="604"/>
      <c r="T1" s="604"/>
      <c r="U1" s="604"/>
      <c r="V1" s="604"/>
      <c r="W1" s="604"/>
    </row>
    <row r="2" spans="1:23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</row>
    <row r="3" spans="1:23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447" t="s">
        <v>5</v>
      </c>
      <c r="H3" s="611" t="s">
        <v>6</v>
      </c>
      <c r="I3" s="612"/>
      <c r="J3" s="303" t="s">
        <v>5</v>
      </c>
      <c r="K3" s="41" t="s">
        <v>7</v>
      </c>
      <c r="L3" s="42" t="s">
        <v>8</v>
      </c>
      <c r="M3" s="220" t="s">
        <v>9</v>
      </c>
      <c r="N3" s="43" t="s">
        <v>10</v>
      </c>
      <c r="O3" s="44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</row>
    <row r="4" spans="1:23" ht="14.4" x14ac:dyDescent="0.3">
      <c r="A4" s="40"/>
      <c r="B4" s="304">
        <v>43160</v>
      </c>
      <c r="C4" s="305" t="s">
        <v>155</v>
      </c>
      <c r="D4" s="306"/>
      <c r="E4" s="307">
        <f>IFERROR(VLOOKUP(C4,TR!$B$2:$F$612,2,0),"")</f>
        <v>0.26805555555555555</v>
      </c>
      <c r="F4" s="308">
        <f>IFERROR(VLOOKUP(C4,TR!$B$2:$F$612,3,0),"")</f>
        <v>0.58472222222222225</v>
      </c>
      <c r="G4" s="321">
        <f>IF(ISERROR(F4-E4),0,F4-E4)</f>
        <v>0.31666666666666671</v>
      </c>
      <c r="H4" s="310">
        <f>IFERROR(VLOOKUP(C4,TR!$B$2:$F$612,4,0),"")</f>
        <v>0</v>
      </c>
      <c r="I4" s="311">
        <f>IFERROR(VLOOKUP(C4,TR!$B$2:$F$612,5,0),"")</f>
        <v>0</v>
      </c>
      <c r="J4" s="309">
        <f>IF(ISERROR(I4-H4),0,(I4-H4))</f>
        <v>0</v>
      </c>
      <c r="K4" s="448" t="str">
        <f t="shared" ref="K4:K34" si="0">IF(COUNTA(E4:F4,H4:I4)=5,1,IF(AND(E4&lt;"5:00"*1,E4&gt;"2:00"*1),1,IF(AND(I4&gt;="22:01"*1,I4&lt;="26:01"*1),1,IF(AND(I4&lt;="22:00"*1,SUM(I4,R4)&gt;="22:01"*1),1,""))))</f>
        <v/>
      </c>
      <c r="L4" s="313">
        <f t="shared" ref="L4:L34" si="1">IF(AND(F4&gt;="13:15"*1,H4&lt;""),1,IF(AND(H4&gt;="11:00"*1,H4&lt;="12:15"*1),1,IF(AND(F4&lt;="13:15"*1,SUM(F4,R4)&gt;="13:15"*1),1,"")))</f>
        <v>1</v>
      </c>
      <c r="M4" s="314" t="str">
        <f t="shared" ref="M4:M34" si="2">IF(AND(I4&gt;="19:30"*1,1,I4&gt;"21:30"*1,C4&lt;&gt;""),1,IF(AND(I4&lt;="21:30"*1,SUM(I4,R4)&gt;="21:30"*1),1,""))</f>
        <v/>
      </c>
      <c r="N4" s="449" t="str">
        <f>IF(AND(LEFT(C4,1)="d",AND(Février!N31&lt;&gt;1)),1,IF(AND(LEFT(C4,1)="s",I4&gt;="24:01"*1),1,IF(AND(I4&lt;&gt;"",I4&lt;="23:59"*1,SUM(I4,R4)&gt;="24:01"*1),1,"")))</f>
        <v/>
      </c>
      <c r="O4" s="315" t="str">
        <f t="shared" ref="O4:O34" si="3">IF(AND(I4&gt;"24:00"*1,ISNUMBER(FIND("f",C5))),1,IF(AND(OR(ISNUMBER(FIND("FériéCC",C4)),ISNUMBER(FIND("FériéCH",C4)),ISNUMBER(FIND("f",C4)))),1,""))</f>
        <v/>
      </c>
      <c r="P4" s="451" t="str">
        <f>IF(AND(L4="",M4=""),IF(OR(SUMPRODUCT(N(ISNUMBER(FIND({"s";"d";"f"},C4))))&gt;0,G4+J4&lt;0,AND(G4&gt;0,J4&gt;0,I4&gt;"20:30"*1),AND(I4&lt;="20:30"*1,SUM(I4,R4)&gt;="20:31"*1)),1,""),"")</f>
        <v/>
      </c>
      <c r="Q4" s="317" t="str">
        <f>IF(OR(AND(G4&gt;0,AND(J4=0)),OR(G4=0,AND(J4&gt;0)),OR(G4+J4&gt;0)),IF(S4="","",IF(R4+S4&gt;="13:01"*1,1,"")))</f>
        <v/>
      </c>
      <c r="R4" s="29"/>
      <c r="S4" s="318">
        <f t="shared" ref="S4:S34" si="4">IF(G4=0,IF(J4=0,"",I4-H4),IF(J4=0,F4-E4,I4-E4))</f>
        <v>0.31666666666666671</v>
      </c>
      <c r="T4" s="34">
        <f t="shared" ref="T4:T34" si="5">IF(ISERROR((F4-E4)+(I4-H4)),0,(F4-E4)+(I4-H4))</f>
        <v>0.31666666666666671</v>
      </c>
      <c r="U4" s="153">
        <f>T4*24</f>
        <v>7.6000000000000014</v>
      </c>
      <c r="V4" s="187">
        <v>7.6</v>
      </c>
      <c r="W4" s="149">
        <f>IF(U4-V4=0,"0,00",U4-V4)</f>
        <v>1.7763568394002505E-15</v>
      </c>
    </row>
    <row r="5" spans="1:23" ht="14.4" x14ac:dyDescent="0.3">
      <c r="A5" s="40"/>
      <c r="B5" s="304">
        <v>43161</v>
      </c>
      <c r="C5" s="319" t="s">
        <v>166</v>
      </c>
      <c r="D5" s="333" t="s">
        <v>164</v>
      </c>
      <c r="E5" s="310">
        <f>IFERROR(VLOOKUP(C5,TR!$B$2:$F$612,2,0),"")</f>
        <v>0.27986111111111112</v>
      </c>
      <c r="F5" s="311">
        <f>IFERROR(VLOOKUP(C5,TR!$B$2:$F$612,3,0),"")</f>
        <v>0.4604166666666667</v>
      </c>
      <c r="G5" s="321">
        <f t="shared" ref="G5:G34" si="6">IF(ISERROR(F5-E5),0,F5-E5)</f>
        <v>0.18055555555555558</v>
      </c>
      <c r="H5" s="310">
        <f>IFERROR(VLOOKUP(C5,TR!$B$2:$F$612,4,0),"")</f>
        <v>0.51250000000000007</v>
      </c>
      <c r="I5" s="311">
        <f>IFERROR(VLOOKUP(C5,TR!$B$2:$F$612,5,0),"")</f>
        <v>0.60347222222222219</v>
      </c>
      <c r="J5" s="321">
        <f t="shared" ref="J5:J34" si="7">IF(ISERROR(I5-H5),0,(I5-H5))</f>
        <v>9.0972222222222121E-2</v>
      </c>
      <c r="K5" s="452" t="str">
        <f t="shared" si="0"/>
        <v/>
      </c>
      <c r="L5" s="323" t="str">
        <f t="shared" si="1"/>
        <v/>
      </c>
      <c r="M5" s="324" t="str">
        <f t="shared" si="2"/>
        <v/>
      </c>
      <c r="N5" s="453" t="str">
        <f t="shared" ref="N5:N34" si="8">IF(AND(LEFT(C5,1)="d",AND(N4&lt;&gt;1)),1,IF(AND(LEFT(C5,1)="s",I5&gt;="24:01"*1),1,IF(AND(I5&lt;&gt;"",I5&lt;="23:59"*1,SUM(I5,R5)&gt;="24:01"*1),1,"")))</f>
        <v/>
      </c>
      <c r="O5" s="315" t="str">
        <f t="shared" si="3"/>
        <v/>
      </c>
      <c r="P5" s="408" t="str">
        <f>IF(AND(L5="",M5=""),IF(OR(SUMPRODUCT(N(ISNUMBER(FIND({"s";"d";"f"},C5))))&gt;0,G5+J5&lt;0,AND(G5&gt;0,J5&gt;0,I5&gt;"20:30"*1),AND(I5&lt;="20:30"*1,SUM(I5,R5)&gt;="20:31"*1)),1,""),"")</f>
        <v/>
      </c>
      <c r="Q5" s="326" t="str">
        <f t="shared" ref="Q5:Q34" si="9">IF(OR(AND(G5&gt;0,AND(J5=0)),OR(G5=0,AND(J5&gt;0)),OR(G5+J5&gt;0)),IF(S5="","",IF(R5+S5&gt;="13:01"*1,1,"")))</f>
        <v/>
      </c>
      <c r="R5" s="30"/>
      <c r="S5" s="327">
        <f t="shared" si="4"/>
        <v>0.32361111111111107</v>
      </c>
      <c r="T5" s="34">
        <f t="shared" si="5"/>
        <v>0.2715277777777777</v>
      </c>
      <c r="U5" s="154">
        <f>T5*24</f>
        <v>6.5166666666666648</v>
      </c>
      <c r="V5" s="188">
        <v>6.52</v>
      </c>
      <c r="W5" s="156">
        <f t="shared" ref="W5:W34" si="10">IF(U5-V5=0,"0,00",U5-V5)</f>
        <v>-3.3333333333347426E-3</v>
      </c>
    </row>
    <row r="6" spans="1:23" ht="14.4" x14ac:dyDescent="0.3">
      <c r="A6" s="40"/>
      <c r="B6" s="304">
        <v>43162</v>
      </c>
      <c r="C6" s="319" t="s">
        <v>45</v>
      </c>
      <c r="D6" s="320"/>
      <c r="E6" s="310">
        <f>IFERROR(VLOOKUP(C6,TR!$B$2:$F$612,2,0),"")</f>
        <v>0</v>
      </c>
      <c r="F6" s="311">
        <f>IFERROR(VLOOKUP(C6,TR!$B$2:$F$612,3,0),"")</f>
        <v>0</v>
      </c>
      <c r="G6" s="321">
        <f t="shared" si="6"/>
        <v>0</v>
      </c>
      <c r="H6" s="310">
        <f>IFERROR(VLOOKUP(C6,TR!$B$2:$F$612,4,0),"")</f>
        <v>0</v>
      </c>
      <c r="I6" s="311">
        <f>IFERROR(VLOOKUP(C6,TR!$B$2:$F$612,5,0),"")</f>
        <v>0</v>
      </c>
      <c r="J6" s="321">
        <f t="shared" si="7"/>
        <v>0</v>
      </c>
      <c r="K6" s="452" t="str">
        <f t="shared" si="0"/>
        <v/>
      </c>
      <c r="L6" s="323" t="str">
        <f t="shared" si="1"/>
        <v/>
      </c>
      <c r="M6" s="324" t="str">
        <f t="shared" si="2"/>
        <v/>
      </c>
      <c r="N6" s="453" t="str">
        <f t="shared" si="8"/>
        <v/>
      </c>
      <c r="O6" s="315" t="str">
        <f t="shared" si="3"/>
        <v/>
      </c>
      <c r="P6" s="408" t="str">
        <f>IF(AND(L6="",M6=""),IF(OR(SUMPRODUCT(N(ISNUMBER(FIND({"s";"d";"f"},C6))))&gt;0,G6+J6&lt;0,AND(G6&gt;0,J6&gt;0,I6&gt;"20:30"*1),AND(I6&lt;="20:30"*1,SUM(I6,R6)&gt;="20:31"*1)),1,""),"")</f>
        <v/>
      </c>
      <c r="Q6" s="326" t="str">
        <f t="shared" si="9"/>
        <v/>
      </c>
      <c r="R6" s="30"/>
      <c r="S6" s="327" t="str">
        <f t="shared" si="4"/>
        <v/>
      </c>
      <c r="T6" s="34">
        <f t="shared" si="5"/>
        <v>0</v>
      </c>
      <c r="U6" s="154">
        <f>T6*24</f>
        <v>0</v>
      </c>
      <c r="V6" s="188">
        <v>0</v>
      </c>
      <c r="W6" s="156" t="str">
        <f t="shared" si="10"/>
        <v>0,00</v>
      </c>
    </row>
    <row r="7" spans="1:23" ht="14.4" x14ac:dyDescent="0.3">
      <c r="A7" s="40"/>
      <c r="B7" s="304">
        <v>43163</v>
      </c>
      <c r="C7" s="319" t="s">
        <v>47</v>
      </c>
      <c r="D7" s="320"/>
      <c r="E7" s="310">
        <f>IFERROR(VLOOKUP(C7,TR!$B$2:$F$612,2,0),"")</f>
        <v>0</v>
      </c>
      <c r="F7" s="311">
        <f>IFERROR(VLOOKUP(C7,TR!$B$2:$F$612,3,0),"")</f>
        <v>0</v>
      </c>
      <c r="G7" s="321">
        <f t="shared" si="6"/>
        <v>0</v>
      </c>
      <c r="H7" s="310">
        <f>IFERROR(VLOOKUP(C7,TR!$B$2:$F$612,4,0),"")</f>
        <v>0</v>
      </c>
      <c r="I7" s="311">
        <f>IFERROR(VLOOKUP(C7,TR!$B$2:$F$612,5,0),"")</f>
        <v>0</v>
      </c>
      <c r="J7" s="321">
        <f t="shared" si="7"/>
        <v>0</v>
      </c>
      <c r="K7" s="452" t="str">
        <f t="shared" si="0"/>
        <v/>
      </c>
      <c r="L7" s="323" t="str">
        <f t="shared" si="1"/>
        <v/>
      </c>
      <c r="M7" s="324" t="str">
        <f t="shared" si="2"/>
        <v/>
      </c>
      <c r="N7" s="453" t="str">
        <f t="shared" si="8"/>
        <v/>
      </c>
      <c r="O7" s="315" t="str">
        <f t="shared" si="3"/>
        <v/>
      </c>
      <c r="P7" s="408" t="str">
        <f>IF(AND(L7="",M7=""),IF(OR(SUMPRODUCT(N(ISNUMBER(FIND({"s";"d";"f"},C7))))&gt;0,G7+J7&lt;0,AND(G7&gt;0,J7&gt;0,I7&gt;"20:30"*1),AND(I7&lt;="20:30"*1,SUM(I7,R7)&gt;="20:31"*1)),1,""),"")</f>
        <v/>
      </c>
      <c r="Q7" s="326" t="str">
        <f t="shared" si="9"/>
        <v/>
      </c>
      <c r="R7" s="30"/>
      <c r="S7" s="327" t="str">
        <f t="shared" si="4"/>
        <v/>
      </c>
      <c r="T7" s="34">
        <f t="shared" si="5"/>
        <v>0</v>
      </c>
      <c r="U7" s="154">
        <f t="shared" ref="U7:U34" si="11">T7*24</f>
        <v>0</v>
      </c>
      <c r="V7" s="188">
        <v>0</v>
      </c>
      <c r="W7" s="156" t="str">
        <f t="shared" si="10"/>
        <v>0,00</v>
      </c>
    </row>
    <row r="8" spans="1:23" ht="14.4" x14ac:dyDescent="0.3">
      <c r="A8" s="40"/>
      <c r="B8" s="304">
        <v>43164</v>
      </c>
      <c r="C8" s="319" t="s">
        <v>171</v>
      </c>
      <c r="D8" s="320"/>
      <c r="E8" s="310">
        <f>IFERROR(VLOOKUP(C8,TR!$B$2:$F$612,2,0),"")</f>
        <v>0</v>
      </c>
      <c r="F8" s="311">
        <f>IFERROR(VLOOKUP(C8,TR!$B$2:$F$612,3,0),"")</f>
        <v>0</v>
      </c>
      <c r="G8" s="321">
        <f t="shared" si="6"/>
        <v>0</v>
      </c>
      <c r="H8" s="310">
        <f>IFERROR(VLOOKUP(C8,TR!$B$2:$F$612,4,0),"")</f>
        <v>0.5444444444444444</v>
      </c>
      <c r="I8" s="311">
        <f>IFERROR(VLOOKUP(C8,TR!$B$2:$F$612,5,0),"")</f>
        <v>0.8569444444444444</v>
      </c>
      <c r="J8" s="321">
        <f t="shared" si="7"/>
        <v>0.3125</v>
      </c>
      <c r="K8" s="452" t="str">
        <f t="shared" si="0"/>
        <v/>
      </c>
      <c r="L8" s="323" t="str">
        <f t="shared" si="1"/>
        <v/>
      </c>
      <c r="M8" s="324" t="str">
        <f t="shared" si="2"/>
        <v/>
      </c>
      <c r="N8" s="453" t="str">
        <f t="shared" si="8"/>
        <v/>
      </c>
      <c r="O8" s="315" t="str">
        <f t="shared" si="3"/>
        <v/>
      </c>
      <c r="P8" s="408" t="str">
        <f>IF(AND(L8="",M8=""),IF(OR(SUMPRODUCT(N(ISNUMBER(FIND({"s";"d";"f"},C8))))&gt;0,G8+J8&lt;0,AND(G8&gt;0,J8&gt;0,I8&gt;"20:30"*1),AND(I8&lt;="20:30"*1,SUM(I8,R8)&gt;="20:31"*1)),1,""),"")</f>
        <v/>
      </c>
      <c r="Q8" s="326" t="str">
        <f t="shared" si="9"/>
        <v/>
      </c>
      <c r="R8" s="30"/>
      <c r="S8" s="327">
        <f t="shared" si="4"/>
        <v>0.3125</v>
      </c>
      <c r="T8" s="34">
        <f t="shared" si="5"/>
        <v>0.3125</v>
      </c>
      <c r="U8" s="154">
        <f t="shared" si="11"/>
        <v>7.5</v>
      </c>
      <c r="V8" s="188">
        <v>7.5</v>
      </c>
      <c r="W8" s="156" t="str">
        <f t="shared" si="10"/>
        <v>0,00</v>
      </c>
    </row>
    <row r="9" spans="1:23" ht="14.4" x14ac:dyDescent="0.3">
      <c r="A9" s="40"/>
      <c r="B9" s="304">
        <v>43165</v>
      </c>
      <c r="C9" s="319" t="s">
        <v>174</v>
      </c>
      <c r="D9" s="320"/>
      <c r="E9" s="310">
        <f>IFERROR(VLOOKUP(C9,TR!$B$2:$F$612,2,0),"")</f>
        <v>0</v>
      </c>
      <c r="F9" s="311">
        <f>IFERROR(VLOOKUP(C9,TR!$B$2:$F$612,3,0),"")</f>
        <v>0</v>
      </c>
      <c r="G9" s="321">
        <f t="shared" si="6"/>
        <v>0</v>
      </c>
      <c r="H9" s="310">
        <f>IFERROR(VLOOKUP(C9,TR!$B$2:$F$612,4,0),"")</f>
        <v>0.54305555555555551</v>
      </c>
      <c r="I9" s="311">
        <f>IFERROR(VLOOKUP(C9,TR!$B$2:$F$612,5,0),"")</f>
        <v>0.87222222222222223</v>
      </c>
      <c r="J9" s="321">
        <f t="shared" si="7"/>
        <v>0.32916666666666672</v>
      </c>
      <c r="K9" s="452" t="str">
        <f t="shared" si="0"/>
        <v/>
      </c>
      <c r="L9" s="323" t="str">
        <f t="shared" si="1"/>
        <v/>
      </c>
      <c r="M9" s="324" t="str">
        <f t="shared" si="2"/>
        <v/>
      </c>
      <c r="N9" s="453" t="str">
        <f t="shared" si="8"/>
        <v/>
      </c>
      <c r="O9" s="315" t="str">
        <f t="shared" si="3"/>
        <v/>
      </c>
      <c r="P9" s="408" t="str">
        <f>IF(AND(L9="",M9=""),IF(OR(SUMPRODUCT(N(ISNUMBER(FIND({"s";"d";"f"},C9))))&gt;0,G9+J9&lt;0,AND(G9&gt;0,J9&gt;0,I9&gt;"20:30"*1),AND(I9&lt;="20:30"*1,SUM(I9,R9)&gt;="20:31"*1)),1,""),"")</f>
        <v/>
      </c>
      <c r="Q9" s="326" t="str">
        <f t="shared" si="9"/>
        <v/>
      </c>
      <c r="R9" s="30"/>
      <c r="S9" s="327">
        <f t="shared" si="4"/>
        <v>0.32916666666666672</v>
      </c>
      <c r="T9" s="34">
        <f t="shared" si="5"/>
        <v>0.32916666666666672</v>
      </c>
      <c r="U9" s="154">
        <f t="shared" si="11"/>
        <v>7.9000000000000012</v>
      </c>
      <c r="V9" s="188">
        <v>7.9</v>
      </c>
      <c r="W9" s="156">
        <f t="shared" si="10"/>
        <v>8.8817841970012523E-16</v>
      </c>
    </row>
    <row r="10" spans="1:23" ht="14.4" x14ac:dyDescent="0.3">
      <c r="A10" s="40"/>
      <c r="B10" s="304">
        <v>43166</v>
      </c>
      <c r="C10" s="319" t="s">
        <v>156</v>
      </c>
      <c r="D10" s="320"/>
      <c r="E10" s="310">
        <f>IFERROR(VLOOKUP(C10,TR!$B$2:$F$612,2,0),"")</f>
        <v>0.37777777777777777</v>
      </c>
      <c r="F10" s="311">
        <f>IFERROR(VLOOKUP(C10,TR!$B$2:$F$612,3,0),"")</f>
        <v>0.58124999999999993</v>
      </c>
      <c r="G10" s="321">
        <f t="shared" si="6"/>
        <v>0.20347222222222217</v>
      </c>
      <c r="H10" s="310">
        <f>IFERROR(VLOOKUP(C10,TR!$B$2:$F$612,4,0),"")</f>
        <v>0.71666666666666667</v>
      </c>
      <c r="I10" s="311">
        <f>IFERROR(VLOOKUP(C10,TR!$B$2:$F$612,5,0),"")</f>
        <v>0.85</v>
      </c>
      <c r="J10" s="321">
        <f t="shared" si="7"/>
        <v>0.1333333333333333</v>
      </c>
      <c r="K10" s="452" t="str">
        <f t="shared" si="0"/>
        <v/>
      </c>
      <c r="L10" s="323">
        <f t="shared" si="1"/>
        <v>1</v>
      </c>
      <c r="M10" s="324" t="str">
        <f t="shared" si="2"/>
        <v/>
      </c>
      <c r="N10" s="453" t="str">
        <f t="shared" si="8"/>
        <v/>
      </c>
      <c r="O10" s="315" t="str">
        <f t="shared" si="3"/>
        <v/>
      </c>
      <c r="P10" s="408" t="str">
        <f>IF(AND(L10="",M10=""),IF(OR(SUMPRODUCT(N(ISNUMBER(FIND({"s";"d";"f"},C10))))&gt;0,G10+J10&lt;0,AND(G10&gt;0,J10&gt;0,I10&gt;"20:30"*1),AND(I10&lt;="20:30"*1,SUM(I10,R10)&gt;="20:31"*1)),1,""),"")</f>
        <v/>
      </c>
      <c r="Q10" s="326" t="str">
        <f t="shared" si="9"/>
        <v/>
      </c>
      <c r="R10" s="30"/>
      <c r="S10" s="327">
        <f t="shared" si="4"/>
        <v>0.47222222222222221</v>
      </c>
      <c r="T10" s="34">
        <f t="shared" si="5"/>
        <v>0.33680555555555547</v>
      </c>
      <c r="U10" s="154">
        <f t="shared" si="11"/>
        <v>8.0833333333333321</v>
      </c>
      <c r="V10" s="188">
        <v>8.08</v>
      </c>
      <c r="W10" s="156">
        <f t="shared" si="10"/>
        <v>3.333333333332078E-3</v>
      </c>
    </row>
    <row r="11" spans="1:23" ht="14.4" x14ac:dyDescent="0.3">
      <c r="A11" s="40"/>
      <c r="B11" s="304">
        <v>43167</v>
      </c>
      <c r="C11" s="319" t="s">
        <v>46</v>
      </c>
      <c r="D11" s="320"/>
      <c r="E11" s="310">
        <f>IFERROR(VLOOKUP(C11,TR!$B$2:$F$612,2,0),"")</f>
        <v>0</v>
      </c>
      <c r="F11" s="311">
        <f>IFERROR(VLOOKUP(C11,TR!$B$2:$F$612,3,0),"")</f>
        <v>0</v>
      </c>
      <c r="G11" s="328">
        <f t="shared" si="6"/>
        <v>0</v>
      </c>
      <c r="H11" s="310">
        <f>IFERROR(VLOOKUP(C11,TR!$B$2:$F$612,4,0),"")</f>
        <v>0</v>
      </c>
      <c r="I11" s="311">
        <f>IFERROR(VLOOKUP(C11,TR!$B$2:$F$612,5,0),"")</f>
        <v>0</v>
      </c>
      <c r="J11" s="328">
        <f t="shared" si="7"/>
        <v>0</v>
      </c>
      <c r="K11" s="452" t="str">
        <f t="shared" si="0"/>
        <v/>
      </c>
      <c r="L11" s="323" t="str">
        <f t="shared" si="1"/>
        <v/>
      </c>
      <c r="M11" s="324" t="str">
        <f t="shared" si="2"/>
        <v/>
      </c>
      <c r="N11" s="453" t="str">
        <f t="shared" si="8"/>
        <v/>
      </c>
      <c r="O11" s="315" t="str">
        <f t="shared" si="3"/>
        <v/>
      </c>
      <c r="P11" s="408" t="str">
        <f>IF(AND(L11="",M11=""),IF(OR(SUMPRODUCT(N(ISNUMBER(FIND({"s";"d";"f"},C11))))&gt;0,G11+J11&lt;0,AND(G11&gt;0,J11&gt;0,I11&gt;"20:30"*1),AND(I11&lt;="20:30"*1,SUM(I11,R11)&gt;="20:31"*1)),1,""),"")</f>
        <v/>
      </c>
      <c r="Q11" s="326" t="str">
        <f t="shared" si="9"/>
        <v/>
      </c>
      <c r="R11" s="30"/>
      <c r="S11" s="327" t="str">
        <f t="shared" si="4"/>
        <v/>
      </c>
      <c r="T11" s="34">
        <f t="shared" si="5"/>
        <v>0</v>
      </c>
      <c r="U11" s="154">
        <f t="shared" si="11"/>
        <v>0</v>
      </c>
      <c r="V11" s="188">
        <v>0</v>
      </c>
      <c r="W11" s="156" t="str">
        <f t="shared" si="10"/>
        <v>0,00</v>
      </c>
    </row>
    <row r="12" spans="1:23" ht="14.4" x14ac:dyDescent="0.3">
      <c r="A12" s="40"/>
      <c r="B12" s="304">
        <v>43168</v>
      </c>
      <c r="C12" s="319" t="s">
        <v>177</v>
      </c>
      <c r="D12" s="320"/>
      <c r="E12" s="310">
        <f>IFERROR(VLOOKUP(C12,TR!$B$2:$F$612,2,0),"")</f>
        <v>0</v>
      </c>
      <c r="F12" s="311">
        <f>IFERROR(VLOOKUP(C12,TR!$B$2:$F$612,3,0),"")</f>
        <v>0</v>
      </c>
      <c r="G12" s="328">
        <f t="shared" si="6"/>
        <v>0</v>
      </c>
      <c r="H12" s="310">
        <f>IFERROR(VLOOKUP(C12,TR!$B$2:$F$612,4,0),"")</f>
        <v>0.66111111111111109</v>
      </c>
      <c r="I12" s="311">
        <f>IFERROR(VLOOKUP(C12,TR!$B$2:$F$612,5,0),"")</f>
        <v>0.89722222222222225</v>
      </c>
      <c r="J12" s="328">
        <f t="shared" si="7"/>
        <v>0.23611111111111116</v>
      </c>
      <c r="K12" s="452" t="str">
        <f t="shared" si="0"/>
        <v/>
      </c>
      <c r="L12" s="323" t="str">
        <f t="shared" si="1"/>
        <v/>
      </c>
      <c r="M12" s="324">
        <f t="shared" si="2"/>
        <v>1</v>
      </c>
      <c r="N12" s="453" t="str">
        <f t="shared" si="8"/>
        <v/>
      </c>
      <c r="O12" s="315" t="str">
        <f t="shared" si="3"/>
        <v/>
      </c>
      <c r="P12" s="408" t="str">
        <f>IF(AND(L12="",M12=""),IF(OR(SUMPRODUCT(N(ISNUMBER(FIND({"s";"d";"f"},C12))))&gt;0,G12+J12&lt;0,AND(G12&gt;0,J12&gt;0,I12&gt;"20:30"*1),AND(I12&lt;="20:30"*1,SUM(I12,R12)&gt;="20:31"*1)),1,""),"")</f>
        <v/>
      </c>
      <c r="Q12" s="326" t="str">
        <f t="shared" si="9"/>
        <v/>
      </c>
      <c r="R12" s="30"/>
      <c r="S12" s="327">
        <f t="shared" si="4"/>
        <v>0.23611111111111116</v>
      </c>
      <c r="T12" s="34">
        <f t="shared" si="5"/>
        <v>0.23611111111111116</v>
      </c>
      <c r="U12" s="154">
        <f t="shared" si="11"/>
        <v>5.6666666666666679</v>
      </c>
      <c r="V12" s="188">
        <v>5.67</v>
      </c>
      <c r="W12" s="156">
        <f t="shared" si="10"/>
        <v>-3.333333333332078E-3</v>
      </c>
    </row>
    <row r="13" spans="1:23" ht="14.4" x14ac:dyDescent="0.3">
      <c r="A13" s="40"/>
      <c r="B13" s="304">
        <v>43169</v>
      </c>
      <c r="C13" s="319" t="s">
        <v>162</v>
      </c>
      <c r="D13" s="330"/>
      <c r="E13" s="310">
        <f>IFERROR(VLOOKUP(C13,TR!$B$2:$F$612,2,0),"")</f>
        <v>0</v>
      </c>
      <c r="F13" s="311">
        <f>IFERROR(VLOOKUP(C13,TR!$B$2:$F$612,3,0),"")</f>
        <v>0</v>
      </c>
      <c r="G13" s="328">
        <f t="shared" si="6"/>
        <v>0</v>
      </c>
      <c r="H13" s="310">
        <f>IFERROR(VLOOKUP(C13,TR!$B$2:$F$612,4,0),"")</f>
        <v>0.54722222222222217</v>
      </c>
      <c r="I13" s="311">
        <f>IFERROR(VLOOKUP(C13,TR!$B$2:$F$612,5,0),"")</f>
        <v>0.84305555555555556</v>
      </c>
      <c r="J13" s="328">
        <f t="shared" si="7"/>
        <v>0.29583333333333339</v>
      </c>
      <c r="K13" s="452" t="str">
        <f t="shared" si="0"/>
        <v/>
      </c>
      <c r="L13" s="323" t="str">
        <f t="shared" si="1"/>
        <v/>
      </c>
      <c r="M13" s="324" t="str">
        <f t="shared" si="2"/>
        <v/>
      </c>
      <c r="N13" s="453" t="str">
        <f t="shared" si="8"/>
        <v/>
      </c>
      <c r="O13" s="315" t="str">
        <f t="shared" si="3"/>
        <v/>
      </c>
      <c r="P13" s="408">
        <f>IF(AND(L13="",M13=""),IF(OR(SUMPRODUCT(N(ISNUMBER(FIND({"s";"d";"f"},C13))))&gt;0,G13+J13&lt;0,AND(G13&gt;0,J13&gt;0,I13&gt;"20:30"*1),AND(I13&lt;="20:30"*1,SUM(I13,R13)&gt;="20:31"*1)),1,""),"")</f>
        <v>1</v>
      </c>
      <c r="Q13" s="326" t="str">
        <f t="shared" si="9"/>
        <v/>
      </c>
      <c r="R13" s="31"/>
      <c r="S13" s="327">
        <f t="shared" si="4"/>
        <v>0.29583333333333339</v>
      </c>
      <c r="T13" s="34">
        <f t="shared" si="5"/>
        <v>0.29583333333333339</v>
      </c>
      <c r="U13" s="154">
        <f t="shared" si="11"/>
        <v>7.1000000000000014</v>
      </c>
      <c r="V13" s="188">
        <v>7.1</v>
      </c>
      <c r="W13" s="156">
        <f t="shared" si="10"/>
        <v>1.7763568394002505E-15</v>
      </c>
    </row>
    <row r="14" spans="1:23" ht="14.4" x14ac:dyDescent="0.3">
      <c r="A14" s="40"/>
      <c r="B14" s="304">
        <v>43170</v>
      </c>
      <c r="C14" s="331" t="s">
        <v>47</v>
      </c>
      <c r="D14" s="332"/>
      <c r="E14" s="310">
        <f>IFERROR(VLOOKUP(C14,TR!$B$2:$F$612,2,0),"")</f>
        <v>0</v>
      </c>
      <c r="F14" s="311">
        <f>IFERROR(VLOOKUP(C14,TR!$B$2:$F$612,3,0),"")</f>
        <v>0</v>
      </c>
      <c r="G14" s="328">
        <f t="shared" si="6"/>
        <v>0</v>
      </c>
      <c r="H14" s="310">
        <f>IFERROR(VLOOKUP(C14,TR!$B$2:$F$612,4,0),"")</f>
        <v>0</v>
      </c>
      <c r="I14" s="311">
        <f>IFERROR(VLOOKUP(C14,TR!$B$2:$F$612,5,0),"")</f>
        <v>0</v>
      </c>
      <c r="J14" s="328">
        <f t="shared" si="7"/>
        <v>0</v>
      </c>
      <c r="K14" s="452" t="str">
        <f t="shared" si="0"/>
        <v/>
      </c>
      <c r="L14" s="323" t="str">
        <f t="shared" si="1"/>
        <v/>
      </c>
      <c r="M14" s="324" t="str">
        <f t="shared" si="2"/>
        <v/>
      </c>
      <c r="N14" s="453" t="str">
        <f t="shared" si="8"/>
        <v/>
      </c>
      <c r="O14" s="315" t="str">
        <f t="shared" si="3"/>
        <v/>
      </c>
      <c r="P14" s="408" t="str">
        <f>IF(AND(L14="",M14=""),IF(OR(SUMPRODUCT(N(ISNUMBER(FIND({"s";"d";"f"},C14))))&gt;0,G14+J14&lt;0,AND(G14&gt;0,J14&gt;0,I14&gt;"20:30"*1),AND(I14&lt;="20:30"*1,SUM(I14,R14)&gt;="20:31"*1)),1,""),"")</f>
        <v/>
      </c>
      <c r="Q14" s="326" t="str">
        <f t="shared" si="9"/>
        <v/>
      </c>
      <c r="R14" s="31"/>
      <c r="S14" s="327" t="str">
        <f t="shared" si="4"/>
        <v/>
      </c>
      <c r="T14" s="34">
        <f t="shared" si="5"/>
        <v>0</v>
      </c>
      <c r="U14" s="154">
        <f t="shared" si="11"/>
        <v>0</v>
      </c>
      <c r="V14" s="188">
        <v>0</v>
      </c>
      <c r="W14" s="156" t="str">
        <f t="shared" si="10"/>
        <v>0,00</v>
      </c>
    </row>
    <row r="15" spans="1:23" ht="14.4" x14ac:dyDescent="0.3">
      <c r="A15" s="40"/>
      <c r="B15" s="304">
        <v>43171</v>
      </c>
      <c r="C15" s="331" t="s">
        <v>116</v>
      </c>
      <c r="D15" s="332"/>
      <c r="E15" s="310">
        <f>IFERROR(VLOOKUP(C15,TR!$B$2:$F$612,2,0),"")</f>
        <v>0.21249999999999999</v>
      </c>
      <c r="F15" s="311">
        <f>IFERROR(VLOOKUP(C15,TR!$B$2:$F$612,3,0),"")</f>
        <v>0.51874999999999993</v>
      </c>
      <c r="G15" s="328">
        <f t="shared" si="6"/>
        <v>0.30624999999999991</v>
      </c>
      <c r="H15" s="310">
        <f>IFERROR(VLOOKUP(C15,TR!$B$2:$F$612,4,0),"")</f>
        <v>0</v>
      </c>
      <c r="I15" s="311">
        <f>IFERROR(VLOOKUP(C15,TR!$B$2:$F$612,5,0),"")</f>
        <v>0</v>
      </c>
      <c r="J15" s="328">
        <f t="shared" si="7"/>
        <v>0</v>
      </c>
      <c r="K15" s="452" t="str">
        <f t="shared" si="0"/>
        <v/>
      </c>
      <c r="L15" s="323" t="str">
        <f t="shared" si="1"/>
        <v/>
      </c>
      <c r="M15" s="324" t="str">
        <f t="shared" si="2"/>
        <v/>
      </c>
      <c r="N15" s="453" t="str">
        <f t="shared" si="8"/>
        <v/>
      </c>
      <c r="O15" s="315" t="str">
        <f t="shared" si="3"/>
        <v/>
      </c>
      <c r="P15" s="408" t="str">
        <f>IF(AND(L15="",M15=""),IF(OR(SUMPRODUCT(N(ISNUMBER(FIND({"s";"d";"f"},C15))))&gt;0,G15+J15&lt;0,AND(G15&gt;0,J15&gt;0,I15&gt;"20:30"*1),AND(I15&lt;="20:30"*1,SUM(I15,R15)&gt;="20:31"*1)),1,""),"")</f>
        <v/>
      </c>
      <c r="Q15" s="326" t="str">
        <f t="shared" si="9"/>
        <v/>
      </c>
      <c r="R15" s="30"/>
      <c r="S15" s="327">
        <f t="shared" si="4"/>
        <v>0.30624999999999991</v>
      </c>
      <c r="T15" s="34">
        <f t="shared" si="5"/>
        <v>0.30624999999999991</v>
      </c>
      <c r="U15" s="154">
        <f t="shared" si="11"/>
        <v>7.3499999999999979</v>
      </c>
      <c r="V15" s="188">
        <v>7.35</v>
      </c>
      <c r="W15" s="156">
        <f t="shared" si="10"/>
        <v>-1.7763568394002505E-15</v>
      </c>
    </row>
    <row r="16" spans="1:23" ht="14.4" x14ac:dyDescent="0.3">
      <c r="A16" s="40"/>
      <c r="B16" s="304">
        <v>43172</v>
      </c>
      <c r="C16" s="329" t="s">
        <v>117</v>
      </c>
      <c r="D16" s="330"/>
      <c r="E16" s="310">
        <f>IFERROR(VLOOKUP(C16,TR!$B$2:$F$612,2,0),"")</f>
        <v>0.24166666666666667</v>
      </c>
      <c r="F16" s="311">
        <f>IFERROR(VLOOKUP(C16,TR!$B$2:$F$612,3,0),"")</f>
        <v>0.56319444444444444</v>
      </c>
      <c r="G16" s="328">
        <f t="shared" si="6"/>
        <v>0.32152777777777775</v>
      </c>
      <c r="H16" s="310">
        <f>IFERROR(VLOOKUP(C16,TR!$B$2:$F$612,4,0),"")</f>
        <v>0</v>
      </c>
      <c r="I16" s="311">
        <f>IFERROR(VLOOKUP(C16,TR!$B$2:$F$612,5,0),"")</f>
        <v>0</v>
      </c>
      <c r="J16" s="328">
        <f t="shared" si="7"/>
        <v>0</v>
      </c>
      <c r="K16" s="452" t="str">
        <f t="shared" si="0"/>
        <v/>
      </c>
      <c r="L16" s="323">
        <f t="shared" si="1"/>
        <v>1</v>
      </c>
      <c r="M16" s="324" t="str">
        <f t="shared" si="2"/>
        <v/>
      </c>
      <c r="N16" s="453" t="str">
        <f t="shared" si="8"/>
        <v/>
      </c>
      <c r="O16" s="315" t="str">
        <f t="shared" si="3"/>
        <v/>
      </c>
      <c r="P16" s="408" t="str">
        <f>IF(AND(L16="",M16=""),IF(OR(SUMPRODUCT(N(ISNUMBER(FIND({"s";"d";"f"},C16))))&gt;0,G16+J16&lt;0,AND(G16&gt;0,J16&gt;0,I16&gt;"20:30"*1),AND(I16&lt;="20:30"*1,SUM(I16,R16)&gt;="20:31"*1)),1,""),"")</f>
        <v/>
      </c>
      <c r="Q16" s="326" t="str">
        <f t="shared" si="9"/>
        <v/>
      </c>
      <c r="R16" s="31"/>
      <c r="S16" s="327">
        <f t="shared" si="4"/>
        <v>0.32152777777777775</v>
      </c>
      <c r="T16" s="34">
        <f t="shared" si="5"/>
        <v>0.32152777777777775</v>
      </c>
      <c r="U16" s="154">
        <f t="shared" si="11"/>
        <v>7.7166666666666659</v>
      </c>
      <c r="V16" s="188">
        <v>7.72</v>
      </c>
      <c r="W16" s="156">
        <f t="shared" si="10"/>
        <v>-3.3333333333338544E-3</v>
      </c>
    </row>
    <row r="17" spans="1:23" ht="14.4" x14ac:dyDescent="0.3">
      <c r="A17" s="40"/>
      <c r="B17" s="304">
        <v>43173</v>
      </c>
      <c r="C17" s="319" t="s">
        <v>46</v>
      </c>
      <c r="D17" s="454" t="s">
        <v>165</v>
      </c>
      <c r="E17" s="310">
        <f>IFERROR(VLOOKUP(C17,TR!$B$2:$F$612,2,0),"")</f>
        <v>0</v>
      </c>
      <c r="F17" s="311">
        <f>IFERROR(VLOOKUP(C17,TR!$B$2:$F$612,3,0),"")</f>
        <v>0</v>
      </c>
      <c r="G17" s="321">
        <f t="shared" si="6"/>
        <v>0</v>
      </c>
      <c r="H17" s="310">
        <f>IFERROR(VLOOKUP(C17,TR!$B$2:$F$612,4,0),"")</f>
        <v>0</v>
      </c>
      <c r="I17" s="311">
        <f>IFERROR(VLOOKUP(C17,TR!$B$2:$F$612,5,0),"")</f>
        <v>0</v>
      </c>
      <c r="J17" s="321">
        <f t="shared" si="7"/>
        <v>0</v>
      </c>
      <c r="K17" s="452" t="str">
        <f t="shared" si="0"/>
        <v/>
      </c>
      <c r="L17" s="323" t="str">
        <f t="shared" si="1"/>
        <v/>
      </c>
      <c r="M17" s="324" t="str">
        <f t="shared" si="2"/>
        <v/>
      </c>
      <c r="N17" s="453" t="str">
        <f t="shared" si="8"/>
        <v/>
      </c>
      <c r="O17" s="315" t="str">
        <f t="shared" si="3"/>
        <v/>
      </c>
      <c r="P17" s="408" t="str">
        <f>IF(AND(L17="",M17=""),IF(OR(SUMPRODUCT(N(ISNUMBER(FIND({"s";"d";"f"},C17))))&gt;0,G17+J17&lt;0,AND(G17&gt;0,J17&gt;0,I17&gt;"20:30"*1),AND(I17&lt;="20:30"*1,SUM(I17,R17)&gt;="20:31"*1)),1,""),"")</f>
        <v/>
      </c>
      <c r="Q17" s="326" t="str">
        <f t="shared" si="9"/>
        <v/>
      </c>
      <c r="R17" s="31"/>
      <c r="S17" s="327" t="str">
        <f t="shared" si="4"/>
        <v/>
      </c>
      <c r="T17" s="34">
        <f t="shared" si="5"/>
        <v>0</v>
      </c>
      <c r="U17" s="154">
        <f t="shared" si="11"/>
        <v>0</v>
      </c>
      <c r="V17" s="188">
        <v>0</v>
      </c>
      <c r="W17" s="156" t="str">
        <f t="shared" si="10"/>
        <v>0,00</v>
      </c>
    </row>
    <row r="18" spans="1:23" ht="14.4" x14ac:dyDescent="0.3">
      <c r="A18" s="40"/>
      <c r="B18" s="304">
        <v>43174</v>
      </c>
      <c r="C18" s="319" t="s">
        <v>75</v>
      </c>
      <c r="D18" s="320"/>
      <c r="E18" s="310">
        <f>IFERROR(VLOOKUP(C18,TR!$B$2:$F$612,2,0),"")</f>
        <v>0.17291666666666669</v>
      </c>
      <c r="F18" s="311">
        <f>IFERROR(VLOOKUP(C18,TR!$B$2:$F$612,3,0),"")</f>
        <v>0.49861111111111112</v>
      </c>
      <c r="G18" s="321">
        <f t="shared" si="6"/>
        <v>0.3256944444444444</v>
      </c>
      <c r="H18" s="310">
        <f>IFERROR(VLOOKUP(C18,TR!$B$2:$F$612,4,0),"")</f>
        <v>0</v>
      </c>
      <c r="I18" s="311">
        <f>IFERROR(VLOOKUP(C18,TR!$B$2:$F$612,5,0),"")</f>
        <v>0</v>
      </c>
      <c r="J18" s="321">
        <f t="shared" si="7"/>
        <v>0</v>
      </c>
      <c r="K18" s="452">
        <f t="shared" si="0"/>
        <v>1</v>
      </c>
      <c r="L18" s="323" t="str">
        <f t="shared" si="1"/>
        <v/>
      </c>
      <c r="M18" s="324" t="str">
        <f t="shared" si="2"/>
        <v/>
      </c>
      <c r="N18" s="453" t="str">
        <f t="shared" si="8"/>
        <v/>
      </c>
      <c r="O18" s="315" t="str">
        <f t="shared" si="3"/>
        <v/>
      </c>
      <c r="P18" s="408" t="str">
        <f>IF(AND(L18="",M18=""),IF(OR(SUMPRODUCT(N(ISNUMBER(FIND({"s";"d";"f"},C18))))&gt;0,G18+J18&lt;0,AND(G18&gt;0,J18&gt;0,I18&gt;"20:30"*1),AND(I18&lt;="20:30"*1,SUM(I18,R18)&gt;="20:31"*1)),1,""),"")</f>
        <v/>
      </c>
      <c r="Q18" s="326" t="str">
        <f t="shared" si="9"/>
        <v/>
      </c>
      <c r="R18" s="31">
        <v>4.1666666666666666E-3</v>
      </c>
      <c r="S18" s="327">
        <f t="shared" si="4"/>
        <v>0.3256944444444444</v>
      </c>
      <c r="T18" s="34">
        <f t="shared" si="5"/>
        <v>0.3256944444444444</v>
      </c>
      <c r="U18" s="154">
        <f t="shared" si="11"/>
        <v>7.8166666666666655</v>
      </c>
      <c r="V18" s="188">
        <v>7.82</v>
      </c>
      <c r="W18" s="156">
        <f t="shared" si="10"/>
        <v>-3.3333333333347426E-3</v>
      </c>
    </row>
    <row r="19" spans="1:23" ht="14.4" x14ac:dyDescent="0.3">
      <c r="A19" s="40"/>
      <c r="B19" s="304">
        <v>43175</v>
      </c>
      <c r="C19" s="319" t="s">
        <v>118</v>
      </c>
      <c r="D19" s="320"/>
      <c r="E19" s="310">
        <f>IFERROR(VLOOKUP(C19,TR!$B$2:$F$612,2,0),"")</f>
        <v>0.19652777777777777</v>
      </c>
      <c r="F19" s="311">
        <f>IFERROR(VLOOKUP(C19,TR!$B$2:$F$612,3,0),"")</f>
        <v>0.52986111111111112</v>
      </c>
      <c r="G19" s="321">
        <f t="shared" si="6"/>
        <v>0.33333333333333337</v>
      </c>
      <c r="H19" s="310">
        <f>IFERROR(VLOOKUP(C19,TR!$B$2:$F$612,4,0),"")</f>
        <v>0</v>
      </c>
      <c r="I19" s="311">
        <f>IFERROR(VLOOKUP(C19,TR!$B$2:$F$612,5,0),"")</f>
        <v>0</v>
      </c>
      <c r="J19" s="321">
        <f t="shared" si="7"/>
        <v>0</v>
      </c>
      <c r="K19" s="452">
        <f t="shared" si="0"/>
        <v>1</v>
      </c>
      <c r="L19" s="323" t="str">
        <f t="shared" si="1"/>
        <v/>
      </c>
      <c r="M19" s="324" t="str">
        <f t="shared" si="2"/>
        <v/>
      </c>
      <c r="N19" s="453" t="str">
        <f t="shared" si="8"/>
        <v/>
      </c>
      <c r="O19" s="315" t="str">
        <f t="shared" si="3"/>
        <v/>
      </c>
      <c r="P19" s="408" t="str">
        <f>IF(AND(L19="",M19=""),IF(OR(SUMPRODUCT(N(ISNUMBER(FIND({"s";"d";"f"},C19))))&gt;0,G19+J19&lt;0,AND(G19&gt;0,J19&gt;0,I19&gt;"20:30"*1),AND(I19&lt;="20:30"*1,SUM(I19,R19)&gt;="20:31"*1)),1,""),"")</f>
        <v/>
      </c>
      <c r="Q19" s="326" t="str">
        <f t="shared" si="9"/>
        <v/>
      </c>
      <c r="R19" s="31"/>
      <c r="S19" s="327">
        <f t="shared" si="4"/>
        <v>0.33333333333333337</v>
      </c>
      <c r="T19" s="34">
        <f t="shared" si="5"/>
        <v>0.33333333333333337</v>
      </c>
      <c r="U19" s="154">
        <f t="shared" si="11"/>
        <v>8</v>
      </c>
      <c r="V19" s="188">
        <v>8</v>
      </c>
      <c r="W19" s="156" t="str">
        <f t="shared" si="10"/>
        <v>0,00</v>
      </c>
    </row>
    <row r="20" spans="1:23" ht="14.4" x14ac:dyDescent="0.3">
      <c r="A20" s="40"/>
      <c r="B20" s="304">
        <v>43176</v>
      </c>
      <c r="C20" s="319" t="s">
        <v>46</v>
      </c>
      <c r="D20" s="320"/>
      <c r="E20" s="310">
        <f>IFERROR(VLOOKUP(C20,TR!$B$2:$F$612,2,0),"")</f>
        <v>0</v>
      </c>
      <c r="F20" s="311">
        <f>IFERROR(VLOOKUP(C20,TR!$B$2:$F$612,3,0),"")</f>
        <v>0</v>
      </c>
      <c r="G20" s="321">
        <f t="shared" si="6"/>
        <v>0</v>
      </c>
      <c r="H20" s="310">
        <f>IFERROR(VLOOKUP(C20,TR!$B$2:$F$612,4,0),"")</f>
        <v>0</v>
      </c>
      <c r="I20" s="311">
        <f>IFERROR(VLOOKUP(C20,TR!$B$2:$F$612,5,0),"")</f>
        <v>0</v>
      </c>
      <c r="J20" s="321">
        <f t="shared" si="7"/>
        <v>0</v>
      </c>
      <c r="K20" s="452" t="str">
        <f t="shared" si="0"/>
        <v/>
      </c>
      <c r="L20" s="323" t="str">
        <f t="shared" si="1"/>
        <v/>
      </c>
      <c r="M20" s="324" t="str">
        <f t="shared" si="2"/>
        <v/>
      </c>
      <c r="N20" s="453" t="str">
        <f t="shared" si="8"/>
        <v/>
      </c>
      <c r="O20" s="315" t="str">
        <f t="shared" si="3"/>
        <v/>
      </c>
      <c r="P20" s="408" t="str">
        <f>IF(AND(L20="",M20=""),IF(OR(SUMPRODUCT(N(ISNUMBER(FIND({"s";"d";"f"},C20))))&gt;0,G20+J20&lt;0,AND(G20&gt;0,J20&gt;0,I20&gt;"20:30"*1),AND(I20&lt;="20:30"*1,SUM(I20,R20)&gt;="20:31"*1)),1,""),"")</f>
        <v/>
      </c>
      <c r="Q20" s="326" t="str">
        <f t="shared" si="9"/>
        <v/>
      </c>
      <c r="R20" s="31"/>
      <c r="S20" s="327" t="str">
        <f t="shared" si="4"/>
        <v/>
      </c>
      <c r="T20" s="34">
        <f t="shared" si="5"/>
        <v>0</v>
      </c>
      <c r="U20" s="154">
        <f t="shared" si="11"/>
        <v>0</v>
      </c>
      <c r="V20" s="188">
        <v>0</v>
      </c>
      <c r="W20" s="156" t="str">
        <f t="shared" si="10"/>
        <v>0,00</v>
      </c>
    </row>
    <row r="21" spans="1:23" ht="14.4" x14ac:dyDescent="0.3">
      <c r="A21" s="40"/>
      <c r="B21" s="304">
        <v>43177</v>
      </c>
      <c r="C21" s="331" t="s">
        <v>47</v>
      </c>
      <c r="D21" s="332"/>
      <c r="E21" s="310">
        <f>IFERROR(VLOOKUP(C21,TR!$B$2:$F$612,2,0),"")</f>
        <v>0</v>
      </c>
      <c r="F21" s="311">
        <f>IFERROR(VLOOKUP(C21,TR!$B$2:$F$612,3,0),"")</f>
        <v>0</v>
      </c>
      <c r="G21" s="328">
        <f t="shared" si="6"/>
        <v>0</v>
      </c>
      <c r="H21" s="310">
        <f>IFERROR(VLOOKUP(C21,TR!$B$2:$F$612,4,0),"")</f>
        <v>0</v>
      </c>
      <c r="I21" s="311">
        <f>IFERROR(VLOOKUP(C21,TR!$B$2:$F$612,5,0),"")</f>
        <v>0</v>
      </c>
      <c r="J21" s="328">
        <f t="shared" si="7"/>
        <v>0</v>
      </c>
      <c r="K21" s="452" t="str">
        <f t="shared" si="0"/>
        <v/>
      </c>
      <c r="L21" s="323" t="str">
        <f t="shared" si="1"/>
        <v/>
      </c>
      <c r="M21" s="324" t="str">
        <f t="shared" si="2"/>
        <v/>
      </c>
      <c r="N21" s="453" t="str">
        <f t="shared" si="8"/>
        <v/>
      </c>
      <c r="O21" s="315" t="str">
        <f t="shared" si="3"/>
        <v/>
      </c>
      <c r="P21" s="408" t="str">
        <f>IF(AND(L21="",M21=""),IF(OR(SUMPRODUCT(N(ISNUMBER(FIND({"s";"d";"f"},C21))))&gt;0,G21+J21&lt;0,AND(G21&gt;0,J21&gt;0,I21&gt;"20:30"*1),AND(I21&lt;="20:30"*1,SUM(I21,R21)&gt;="20:31"*1)),1,""),"")</f>
        <v/>
      </c>
      <c r="Q21" s="326" t="str">
        <f t="shared" si="9"/>
        <v/>
      </c>
      <c r="R21" s="31"/>
      <c r="S21" s="327" t="str">
        <f t="shared" si="4"/>
        <v/>
      </c>
      <c r="T21" s="34">
        <f t="shared" si="5"/>
        <v>0</v>
      </c>
      <c r="U21" s="154">
        <f t="shared" si="11"/>
        <v>0</v>
      </c>
      <c r="V21" s="188">
        <v>0</v>
      </c>
      <c r="W21" s="156" t="str">
        <f t="shared" si="10"/>
        <v>0,00</v>
      </c>
    </row>
    <row r="22" spans="1:23" ht="14.4" x14ac:dyDescent="0.3">
      <c r="A22" s="40"/>
      <c r="B22" s="304">
        <v>43178</v>
      </c>
      <c r="C22" s="329" t="s">
        <v>178</v>
      </c>
      <c r="D22" s="330"/>
      <c r="E22" s="310">
        <f>IFERROR(VLOOKUP(C22,TR!$B$2:$F$612,2,0),"")</f>
        <v>0</v>
      </c>
      <c r="F22" s="311">
        <f>IFERROR(VLOOKUP(C22,TR!$B$2:$F$612,3,0),"")</f>
        <v>0</v>
      </c>
      <c r="G22" s="328">
        <f t="shared" si="6"/>
        <v>0</v>
      </c>
      <c r="H22" s="310">
        <f>IFERROR(VLOOKUP(C22,TR!$B$2:$F$612,4,0),"")</f>
        <v>0.57013888888888886</v>
      </c>
      <c r="I22" s="311">
        <f>IFERROR(VLOOKUP(C22,TR!$B$2:$F$612,5,0),"")</f>
        <v>0.89722222222222225</v>
      </c>
      <c r="J22" s="328">
        <f t="shared" si="7"/>
        <v>0.32708333333333339</v>
      </c>
      <c r="K22" s="452" t="str">
        <f t="shared" si="0"/>
        <v/>
      </c>
      <c r="L22" s="323" t="str">
        <f t="shared" si="1"/>
        <v/>
      </c>
      <c r="M22" s="324">
        <f t="shared" si="2"/>
        <v>1</v>
      </c>
      <c r="N22" s="453" t="str">
        <f t="shared" si="8"/>
        <v/>
      </c>
      <c r="O22" s="315" t="str">
        <f t="shared" si="3"/>
        <v/>
      </c>
      <c r="P22" s="408" t="str">
        <f>IF(AND(L22="",M22=""),IF(OR(SUMPRODUCT(N(ISNUMBER(FIND({"s";"d";"f"},C22))))&gt;0,G22+J22&lt;0,AND(G22&gt;0,J22&gt;0,I22&gt;"20:30"*1),AND(I22&lt;="20:30"*1,SUM(I22,R22)&gt;="20:31"*1)),1,""),"")</f>
        <v/>
      </c>
      <c r="Q22" s="326" t="str">
        <f t="shared" si="9"/>
        <v/>
      </c>
      <c r="R22" s="31"/>
      <c r="S22" s="327">
        <f t="shared" si="4"/>
        <v>0.32708333333333339</v>
      </c>
      <c r="T22" s="34">
        <f t="shared" si="5"/>
        <v>0.32708333333333339</v>
      </c>
      <c r="U22" s="154">
        <f t="shared" si="11"/>
        <v>7.8500000000000014</v>
      </c>
      <c r="V22" s="188">
        <v>7.85</v>
      </c>
      <c r="W22" s="156">
        <f t="shared" si="10"/>
        <v>1.7763568394002505E-15</v>
      </c>
    </row>
    <row r="23" spans="1:23" ht="15" thickBot="1" x14ac:dyDescent="0.35">
      <c r="A23" s="40"/>
      <c r="B23" s="417">
        <v>43179</v>
      </c>
      <c r="C23" s="455" t="s">
        <v>133</v>
      </c>
      <c r="D23" s="456"/>
      <c r="E23" s="420">
        <f>IFERROR(VLOOKUP(C23,TR!$B$2:$F$612,2,0),"")</f>
        <v>0.47083333333333338</v>
      </c>
      <c r="F23" s="421">
        <f>IFERROR(VLOOKUP(C23,TR!$B$2:$F$612,3,0),"")</f>
        <v>0.57222222222222219</v>
      </c>
      <c r="G23" s="422">
        <f t="shared" si="6"/>
        <v>0.10138888888888881</v>
      </c>
      <c r="H23" s="420">
        <f>IFERROR(VLOOKUP(C23,TR!$B$2:$F$612,4,0),"")</f>
        <v>0.68888888888888899</v>
      </c>
      <c r="I23" s="421">
        <f>IFERROR(VLOOKUP(C23,TR!$B$2:$F$612,5,0),"")</f>
        <v>0.92708333333333337</v>
      </c>
      <c r="J23" s="422">
        <f t="shared" si="7"/>
        <v>0.23819444444444438</v>
      </c>
      <c r="K23" s="543">
        <f t="shared" si="0"/>
        <v>1</v>
      </c>
      <c r="L23" s="540">
        <f t="shared" si="1"/>
        <v>1</v>
      </c>
      <c r="M23" s="538">
        <f t="shared" si="2"/>
        <v>1</v>
      </c>
      <c r="N23" s="544" t="str">
        <f t="shared" si="8"/>
        <v/>
      </c>
      <c r="O23" s="341" t="str">
        <f t="shared" si="3"/>
        <v/>
      </c>
      <c r="P23" s="424" t="str">
        <f>IF(AND(L23="",M23=""),IF(OR(SUMPRODUCT(N(ISNUMBER(FIND({"s";"d";"f"},C23))))&gt;0,G23+J23&lt;0,AND(G23&gt;0,J23&gt;0,I23&gt;"20:30"*1),AND(I23&lt;="20:30"*1,SUM(I23,R23)&gt;="20:31"*1)),1,""),"")</f>
        <v/>
      </c>
      <c r="Q23" s="343" t="str">
        <f t="shared" si="9"/>
        <v/>
      </c>
      <c r="R23" s="233"/>
      <c r="S23" s="425">
        <f t="shared" si="4"/>
        <v>0.45624999999999999</v>
      </c>
      <c r="T23" s="234">
        <f t="shared" si="5"/>
        <v>0.33958333333333318</v>
      </c>
      <c r="U23" s="235">
        <f t="shared" si="11"/>
        <v>8.1499999999999968</v>
      </c>
      <c r="V23" s="236">
        <v>8.15</v>
      </c>
      <c r="W23" s="251">
        <f t="shared" si="10"/>
        <v>-3.5527136788005009E-15</v>
      </c>
    </row>
    <row r="24" spans="1:23" ht="14.4" x14ac:dyDescent="0.3">
      <c r="A24" s="40"/>
      <c r="B24" s="426">
        <v>43180</v>
      </c>
      <c r="C24" s="457" t="s">
        <v>46</v>
      </c>
      <c r="D24" s="458"/>
      <c r="E24" s="429">
        <f>IFERROR(VLOOKUP(C24,TR!$B$2:$F$612,2,0),"")</f>
        <v>0</v>
      </c>
      <c r="F24" s="430">
        <f>IFERROR(VLOOKUP(C24,TR!$B$2:$F$612,3,0),"")</f>
        <v>0</v>
      </c>
      <c r="G24" s="431">
        <f t="shared" si="6"/>
        <v>0</v>
      </c>
      <c r="H24" s="429">
        <f>IFERROR(VLOOKUP(C24,TR!$B$2:$F$612,4,0),"")</f>
        <v>0</v>
      </c>
      <c r="I24" s="430">
        <f>IFERROR(VLOOKUP(C24,TR!$B$2:$F$612,5,0),"")</f>
        <v>0</v>
      </c>
      <c r="J24" s="431">
        <f t="shared" si="7"/>
        <v>0</v>
      </c>
      <c r="K24" s="541" t="str">
        <f t="shared" si="0"/>
        <v/>
      </c>
      <c r="L24" s="539" t="str">
        <f t="shared" si="1"/>
        <v/>
      </c>
      <c r="M24" s="535" t="str">
        <f t="shared" si="2"/>
        <v/>
      </c>
      <c r="N24" s="542" t="str">
        <f t="shared" si="8"/>
        <v/>
      </c>
      <c r="O24" s="350" t="str">
        <f t="shared" si="3"/>
        <v/>
      </c>
      <c r="P24" s="433" t="str">
        <f>IF(AND(L24="",M24=""),IF(OR(SUMPRODUCT(N(ISNUMBER(FIND({"s";"d";"f"},C24))))&gt;0,G24+J24&lt;0,AND(G24&gt;0,J24&gt;0,I24&gt;"20:30"*1),AND(I24&lt;="20:30"*1,SUM(I24,R24)&gt;="20:31"*1)),1,""),"")</f>
        <v/>
      </c>
      <c r="Q24" s="352" t="str">
        <f t="shared" si="9"/>
        <v/>
      </c>
      <c r="R24" s="238"/>
      <c r="S24" s="434" t="str">
        <f t="shared" si="4"/>
        <v/>
      </c>
      <c r="T24" s="239">
        <f t="shared" si="5"/>
        <v>0</v>
      </c>
      <c r="U24" s="240">
        <f t="shared" si="11"/>
        <v>0</v>
      </c>
      <c r="V24" s="241">
        <v>0</v>
      </c>
      <c r="W24" s="242" t="str">
        <f t="shared" si="10"/>
        <v>0,00</v>
      </c>
    </row>
    <row r="25" spans="1:23" ht="14.4" x14ac:dyDescent="0.3">
      <c r="A25" s="40"/>
      <c r="B25" s="304">
        <v>43181</v>
      </c>
      <c r="C25" s="329" t="s">
        <v>47</v>
      </c>
      <c r="D25" s="330"/>
      <c r="E25" s="310">
        <f>IFERROR(VLOOKUP(C25,TR!$B$2:$F$612,2,0),"")</f>
        <v>0</v>
      </c>
      <c r="F25" s="311">
        <f>IFERROR(VLOOKUP(C25,TR!$B$2:$F$612,3,0),"")</f>
        <v>0</v>
      </c>
      <c r="G25" s="328">
        <f t="shared" si="6"/>
        <v>0</v>
      </c>
      <c r="H25" s="310">
        <f>IFERROR(VLOOKUP(C25,TR!$B$2:$F$612,4,0),"")</f>
        <v>0</v>
      </c>
      <c r="I25" s="311">
        <f>IFERROR(VLOOKUP(C25,TR!$B$2:$F$612,5,0),"")</f>
        <v>0</v>
      </c>
      <c r="J25" s="328">
        <f t="shared" si="7"/>
        <v>0</v>
      </c>
      <c r="K25" s="452" t="str">
        <f t="shared" si="0"/>
        <v/>
      </c>
      <c r="L25" s="323" t="str">
        <f t="shared" si="1"/>
        <v/>
      </c>
      <c r="M25" s="324" t="str">
        <f t="shared" si="2"/>
        <v/>
      </c>
      <c r="N25" s="453" t="str">
        <f t="shared" si="8"/>
        <v/>
      </c>
      <c r="O25" s="315" t="str">
        <f t="shared" si="3"/>
        <v/>
      </c>
      <c r="P25" s="408" t="str">
        <f>IF(AND(L25="",M25=""),IF(OR(SUMPRODUCT(N(ISNUMBER(FIND({"s";"d";"f"},C25))))&gt;0,G25+J25&lt;0,AND(G25&gt;0,J25&gt;0,I25&gt;"20:30"*1),AND(I25&lt;="20:30"*1,SUM(I25,R25)&gt;="20:31"*1)),1,""),"")</f>
        <v/>
      </c>
      <c r="Q25" s="326" t="str">
        <f t="shared" si="9"/>
        <v/>
      </c>
      <c r="R25" s="31"/>
      <c r="S25" s="327" t="str">
        <f t="shared" si="4"/>
        <v/>
      </c>
      <c r="T25" s="34">
        <f t="shared" si="5"/>
        <v>0</v>
      </c>
      <c r="U25" s="154">
        <f t="shared" si="11"/>
        <v>0</v>
      </c>
      <c r="V25" s="188">
        <v>0</v>
      </c>
      <c r="W25" s="156" t="str">
        <f t="shared" si="10"/>
        <v>0,00</v>
      </c>
    </row>
    <row r="26" spans="1:23" ht="14.4" x14ac:dyDescent="0.3">
      <c r="A26" s="40"/>
      <c r="B26" s="304">
        <v>43182</v>
      </c>
      <c r="C26" s="319" t="s">
        <v>45</v>
      </c>
      <c r="D26" s="320"/>
      <c r="E26" s="310">
        <f>IFERROR(VLOOKUP(C26,TR!$B$2:$F$612,2,0),"")</f>
        <v>0</v>
      </c>
      <c r="F26" s="311">
        <f>IFERROR(VLOOKUP(C26,TR!$B$2:$F$612,3,0),"")</f>
        <v>0</v>
      </c>
      <c r="G26" s="321">
        <f t="shared" si="6"/>
        <v>0</v>
      </c>
      <c r="H26" s="310">
        <f>IFERROR(VLOOKUP(C26,TR!$B$2:$F$612,4,0),"")</f>
        <v>0</v>
      </c>
      <c r="I26" s="311">
        <f>IFERROR(VLOOKUP(C26,TR!$B$2:$F$612,5,0),"")</f>
        <v>0</v>
      </c>
      <c r="J26" s="321">
        <f t="shared" si="7"/>
        <v>0</v>
      </c>
      <c r="K26" s="452" t="str">
        <f t="shared" si="0"/>
        <v/>
      </c>
      <c r="L26" s="323" t="str">
        <f t="shared" si="1"/>
        <v/>
      </c>
      <c r="M26" s="324" t="str">
        <f t="shared" si="2"/>
        <v/>
      </c>
      <c r="N26" s="453" t="str">
        <f t="shared" si="8"/>
        <v/>
      </c>
      <c r="O26" s="315" t="str">
        <f t="shared" si="3"/>
        <v/>
      </c>
      <c r="P26" s="408" t="str">
        <f>IF(AND(L26="",M26=""),IF(OR(SUMPRODUCT(N(ISNUMBER(FIND({"s";"d";"f"},C26))))&gt;0,G26+J26&lt;0,AND(G26&gt;0,J26&gt;0,I26&gt;"20:30"*1),AND(I26&lt;="20:30"*1,SUM(I26,R26)&gt;="20:31"*1)),1,""),"")</f>
        <v/>
      </c>
      <c r="Q26" s="326" t="str">
        <f t="shared" si="9"/>
        <v/>
      </c>
      <c r="R26" s="31"/>
      <c r="S26" s="327" t="str">
        <f t="shared" si="4"/>
        <v/>
      </c>
      <c r="T26" s="34">
        <f t="shared" si="5"/>
        <v>0</v>
      </c>
      <c r="U26" s="154">
        <f t="shared" si="11"/>
        <v>0</v>
      </c>
      <c r="V26" s="188">
        <v>0</v>
      </c>
      <c r="W26" s="156" t="str">
        <f t="shared" si="10"/>
        <v>0,00</v>
      </c>
    </row>
    <row r="27" spans="1:23" ht="14.4" x14ac:dyDescent="0.3">
      <c r="A27" s="40"/>
      <c r="B27" s="304">
        <v>43183</v>
      </c>
      <c r="C27" s="319" t="s">
        <v>135</v>
      </c>
      <c r="D27" s="320"/>
      <c r="E27" s="310">
        <f>IFERROR(VLOOKUP(C27,TR!$B$2:$F$612,2,0),"")</f>
        <v>0</v>
      </c>
      <c r="F27" s="311">
        <f>IFERROR(VLOOKUP(C27,TR!$B$2:$F$612,3,0),"")</f>
        <v>0</v>
      </c>
      <c r="G27" s="321">
        <f t="shared" si="6"/>
        <v>0</v>
      </c>
      <c r="H27" s="310">
        <f>IFERROR(VLOOKUP(C27,TR!$B$2:$F$612,4,0),"")</f>
        <v>0.5</v>
      </c>
      <c r="I27" s="311">
        <f>IFERROR(VLOOKUP(C27,TR!$B$2:$F$612,5,0),"")</f>
        <v>0.7715277777777777</v>
      </c>
      <c r="J27" s="321">
        <f t="shared" si="7"/>
        <v>0.2715277777777777</v>
      </c>
      <c r="K27" s="452" t="str">
        <f t="shared" si="0"/>
        <v/>
      </c>
      <c r="L27" s="323">
        <f t="shared" si="1"/>
        <v>1</v>
      </c>
      <c r="M27" s="324" t="str">
        <f t="shared" si="2"/>
        <v/>
      </c>
      <c r="N27" s="453" t="str">
        <f t="shared" si="8"/>
        <v/>
      </c>
      <c r="O27" s="315" t="str">
        <f t="shared" si="3"/>
        <v/>
      </c>
      <c r="P27" s="408" t="str">
        <f>IF(AND(L27="",M27=""),IF(OR(SUMPRODUCT(N(ISNUMBER(FIND({"s";"d";"f"},C27))))&gt;0,G27+J27&lt;0,AND(G27&gt;0,J27&gt;0,I27&gt;"20:30"*1),AND(I27&lt;="20:30"*1,SUM(I27,R27)&gt;="20:31"*1)),1,""),"")</f>
        <v/>
      </c>
      <c r="Q27" s="326" t="str">
        <f t="shared" si="9"/>
        <v/>
      </c>
      <c r="R27" s="31"/>
      <c r="S27" s="327">
        <f t="shared" si="4"/>
        <v>0.2715277777777777</v>
      </c>
      <c r="T27" s="34">
        <f t="shared" si="5"/>
        <v>0.2715277777777777</v>
      </c>
      <c r="U27" s="154">
        <f t="shared" si="11"/>
        <v>6.5166666666666648</v>
      </c>
      <c r="V27" s="188">
        <v>6.52</v>
      </c>
      <c r="W27" s="156">
        <f t="shared" si="10"/>
        <v>-3.3333333333347426E-3</v>
      </c>
    </row>
    <row r="28" spans="1:23" ht="14.4" x14ac:dyDescent="0.3">
      <c r="A28" s="40"/>
      <c r="B28" s="304">
        <v>43184</v>
      </c>
      <c r="C28" s="319" t="s">
        <v>136</v>
      </c>
      <c r="D28" s="320"/>
      <c r="E28" s="310">
        <f>IFERROR(VLOOKUP(C28,TR!$B$2:$F$612,2,0),"")</f>
        <v>0</v>
      </c>
      <c r="F28" s="311">
        <f>IFERROR(VLOOKUP(C28,TR!$B$2:$F$612,3,0),"")</f>
        <v>0</v>
      </c>
      <c r="G28" s="321">
        <f t="shared" si="6"/>
        <v>0</v>
      </c>
      <c r="H28" s="310">
        <f>IFERROR(VLOOKUP(C28,TR!$B$2:$F$612,4,0),"")</f>
        <v>0.50624999999999998</v>
      </c>
      <c r="I28" s="311">
        <f>IFERROR(VLOOKUP(C28,TR!$B$2:$F$612,5,0),"")</f>
        <v>0.83333333333333337</v>
      </c>
      <c r="J28" s="321">
        <f t="shared" si="7"/>
        <v>0.32708333333333339</v>
      </c>
      <c r="K28" s="452" t="str">
        <f t="shared" si="0"/>
        <v/>
      </c>
      <c r="L28" s="323">
        <f t="shared" si="1"/>
        <v>1</v>
      </c>
      <c r="M28" s="324" t="str">
        <f t="shared" si="2"/>
        <v/>
      </c>
      <c r="N28" s="453">
        <f t="shared" si="8"/>
        <v>1</v>
      </c>
      <c r="O28" s="315" t="str">
        <f t="shared" si="3"/>
        <v/>
      </c>
      <c r="P28" s="408" t="str">
        <f>IF(AND(L28="",M28=""),IF(OR(SUMPRODUCT(N(ISNUMBER(FIND({"s";"d";"f"},C28))))&gt;0,G28+J28&lt;0,AND(G28&gt;0,J28&gt;0,I28&gt;"20:30"*1),AND(I28&lt;="20:30"*1,SUM(I28,R28)&gt;="20:31"*1)),1,""),"")</f>
        <v/>
      </c>
      <c r="Q28" s="326" t="str">
        <f t="shared" si="9"/>
        <v/>
      </c>
      <c r="R28" s="31"/>
      <c r="S28" s="327">
        <f t="shared" si="4"/>
        <v>0.32708333333333339</v>
      </c>
      <c r="T28" s="34">
        <f t="shared" si="5"/>
        <v>0.32708333333333339</v>
      </c>
      <c r="U28" s="154">
        <f t="shared" si="11"/>
        <v>7.8500000000000014</v>
      </c>
      <c r="V28" s="188">
        <v>7.85</v>
      </c>
      <c r="W28" s="156">
        <f t="shared" si="10"/>
        <v>1.7763568394002505E-15</v>
      </c>
    </row>
    <row r="29" spans="1:23" ht="14.4" x14ac:dyDescent="0.3">
      <c r="A29" s="40"/>
      <c r="B29" s="304">
        <v>43185</v>
      </c>
      <c r="C29" s="319" t="s">
        <v>142</v>
      </c>
      <c r="D29" s="320"/>
      <c r="E29" s="310">
        <f>IFERROR(VLOOKUP(C29,TR!$B$2:$F$612,2,0),"")</f>
        <v>0.27847222222222223</v>
      </c>
      <c r="F29" s="311">
        <f>IFERROR(VLOOKUP(C29,TR!$B$2:$F$612,3,0),"")</f>
        <v>0.38958333333333334</v>
      </c>
      <c r="G29" s="321">
        <f t="shared" si="6"/>
        <v>0.1111111111111111</v>
      </c>
      <c r="H29" s="310">
        <f>IFERROR(VLOOKUP(C29,TR!$B$2:$F$612,4,0),"")</f>
        <v>0.6020833333333333</v>
      </c>
      <c r="I29" s="311">
        <f>IFERROR(VLOOKUP(C29,TR!$B$2:$F$612,5,0),"")</f>
        <v>0.80763888888888891</v>
      </c>
      <c r="J29" s="321">
        <f t="shared" si="7"/>
        <v>0.2055555555555556</v>
      </c>
      <c r="K29" s="452" t="str">
        <f t="shared" si="0"/>
        <v/>
      </c>
      <c r="L29" s="323" t="str">
        <f t="shared" si="1"/>
        <v/>
      </c>
      <c r="M29" s="324" t="str">
        <f t="shared" si="2"/>
        <v/>
      </c>
      <c r="N29" s="453" t="str">
        <f t="shared" si="8"/>
        <v/>
      </c>
      <c r="O29" s="315" t="str">
        <f t="shared" si="3"/>
        <v/>
      </c>
      <c r="P29" s="408" t="str">
        <f>IF(AND(L29="",M29=""),IF(OR(SUMPRODUCT(N(ISNUMBER(FIND({"s";"d";"f"},C29))))&gt;0,G29+J29&lt;0,AND(G29&gt;0,J29&gt;0,I29&gt;"20:30"*1),AND(I29&lt;="20:30"*1,SUM(I29,R29)&gt;="20:31"*1)),1,""),"")</f>
        <v/>
      </c>
      <c r="Q29" s="326" t="str">
        <f t="shared" si="9"/>
        <v/>
      </c>
      <c r="R29" s="31"/>
      <c r="S29" s="327">
        <f t="shared" si="4"/>
        <v>0.52916666666666667</v>
      </c>
      <c r="T29" s="34">
        <f t="shared" si="5"/>
        <v>0.31666666666666671</v>
      </c>
      <c r="U29" s="154">
        <f t="shared" si="11"/>
        <v>7.6000000000000014</v>
      </c>
      <c r="V29" s="188">
        <v>7.6</v>
      </c>
      <c r="W29" s="156">
        <f t="shared" si="10"/>
        <v>1.7763568394002505E-15</v>
      </c>
    </row>
    <row r="30" spans="1:23" ht="14.4" x14ac:dyDescent="0.3">
      <c r="A30" s="40"/>
      <c r="B30" s="304">
        <v>43186</v>
      </c>
      <c r="C30" s="329" t="s">
        <v>46</v>
      </c>
      <c r="D30" s="330"/>
      <c r="E30" s="310">
        <f>IFERROR(VLOOKUP(C30,TR!$B$2:$F$612,2,0),"")</f>
        <v>0</v>
      </c>
      <c r="F30" s="311">
        <f>IFERROR(VLOOKUP(C30,TR!$B$2:$F$612,3,0),"")</f>
        <v>0</v>
      </c>
      <c r="G30" s="328">
        <f t="shared" si="6"/>
        <v>0</v>
      </c>
      <c r="H30" s="310">
        <f>IFERROR(VLOOKUP(C30,TR!$B$2:$F$612,4,0),"")</f>
        <v>0</v>
      </c>
      <c r="I30" s="311">
        <f>IFERROR(VLOOKUP(C30,TR!$B$2:$F$612,5,0),"")</f>
        <v>0</v>
      </c>
      <c r="J30" s="328">
        <f t="shared" si="7"/>
        <v>0</v>
      </c>
      <c r="K30" s="452" t="str">
        <f t="shared" si="0"/>
        <v/>
      </c>
      <c r="L30" s="323" t="str">
        <f t="shared" si="1"/>
        <v/>
      </c>
      <c r="M30" s="324" t="str">
        <f t="shared" si="2"/>
        <v/>
      </c>
      <c r="N30" s="453" t="str">
        <f t="shared" si="8"/>
        <v/>
      </c>
      <c r="O30" s="315" t="str">
        <f t="shared" si="3"/>
        <v/>
      </c>
      <c r="P30" s="408" t="str">
        <f>IF(AND(L30="",M30=""),IF(OR(SUMPRODUCT(N(ISNUMBER(FIND({"s";"d";"f"},C30))))&gt;0,G30+J30&lt;0,AND(G30&gt;0,J30&gt;0,I30&gt;"20:30"*1),AND(I30&lt;="20:30"*1,SUM(I30,R30)&gt;="20:31"*1)),1,""),"")</f>
        <v/>
      </c>
      <c r="Q30" s="326" t="str">
        <f t="shared" si="9"/>
        <v/>
      </c>
      <c r="R30" s="31"/>
      <c r="S30" s="327" t="str">
        <f t="shared" si="4"/>
        <v/>
      </c>
      <c r="T30" s="34">
        <f t="shared" si="5"/>
        <v>0</v>
      </c>
      <c r="U30" s="154">
        <f t="shared" si="11"/>
        <v>0</v>
      </c>
      <c r="V30" s="188">
        <v>0</v>
      </c>
      <c r="W30" s="156" t="str">
        <f t="shared" si="10"/>
        <v>0,00</v>
      </c>
    </row>
    <row r="31" spans="1:23" ht="14.4" x14ac:dyDescent="0.3">
      <c r="A31" s="40"/>
      <c r="B31" s="304">
        <v>43187</v>
      </c>
      <c r="C31" s="329" t="s">
        <v>185</v>
      </c>
      <c r="D31" s="330"/>
      <c r="E31" s="310">
        <f>IFERROR(VLOOKUP(C31,TR!$B$2:$F$612,2,0),"")</f>
        <v>0</v>
      </c>
      <c r="F31" s="311">
        <f>IFERROR(VLOOKUP(C31,TR!$B$2:$F$612,3,0),"")</f>
        <v>0</v>
      </c>
      <c r="G31" s="328">
        <f t="shared" si="6"/>
        <v>0</v>
      </c>
      <c r="H31" s="310">
        <f>IFERROR(VLOOKUP(C31,TR!$B$2:$F$612,4,0),"")</f>
        <v>0.5444444444444444</v>
      </c>
      <c r="I31" s="311">
        <f>IFERROR(VLOOKUP(C31,TR!$B$2:$F$612,5,0),"")</f>
        <v>0.77777777777777779</v>
      </c>
      <c r="J31" s="328">
        <f t="shared" si="7"/>
        <v>0.23333333333333339</v>
      </c>
      <c r="K31" s="452" t="str">
        <f t="shared" si="0"/>
        <v/>
      </c>
      <c r="L31" s="323" t="str">
        <f t="shared" si="1"/>
        <v/>
      </c>
      <c r="M31" s="324" t="str">
        <f t="shared" si="2"/>
        <v/>
      </c>
      <c r="N31" s="453" t="str">
        <f t="shared" si="8"/>
        <v/>
      </c>
      <c r="O31" s="315" t="str">
        <f t="shared" si="3"/>
        <v/>
      </c>
      <c r="P31" s="408" t="str">
        <f>IF(AND(L31="",M31=""),IF(OR(SUMPRODUCT(N(ISNUMBER(FIND({"s";"d";"f"},C31))))&gt;0,G31+J31&lt;0,AND(G31&gt;0,J31&gt;0,I31&gt;"20:30"*1),AND(I31&lt;="20:30"*1,SUM(I31,R31)&gt;="20:31"*1)),1,""),"")</f>
        <v/>
      </c>
      <c r="Q31" s="326" t="str">
        <f t="shared" si="9"/>
        <v/>
      </c>
      <c r="R31" s="31"/>
      <c r="S31" s="327">
        <f t="shared" si="4"/>
        <v>0.23333333333333339</v>
      </c>
      <c r="T31" s="34">
        <f t="shared" si="5"/>
        <v>0.23333333333333339</v>
      </c>
      <c r="U31" s="154">
        <f t="shared" si="11"/>
        <v>5.6000000000000014</v>
      </c>
      <c r="V31" s="188">
        <v>5.6</v>
      </c>
      <c r="W31" s="156">
        <f t="shared" si="10"/>
        <v>1.7763568394002505E-15</v>
      </c>
    </row>
    <row r="32" spans="1:23" ht="14.4" x14ac:dyDescent="0.3">
      <c r="A32" s="40"/>
      <c r="B32" s="304">
        <v>43188</v>
      </c>
      <c r="C32" s="329" t="s">
        <v>112</v>
      </c>
      <c r="D32" s="330"/>
      <c r="E32" s="310">
        <f>IFERROR(VLOOKUP(C32,TR!$B$2:$F$612,2,0),"")</f>
        <v>0</v>
      </c>
      <c r="F32" s="311">
        <f>IFERROR(VLOOKUP(C32,TR!$B$2:$F$612,3,0),"")</f>
        <v>0</v>
      </c>
      <c r="G32" s="328">
        <f t="shared" si="6"/>
        <v>0</v>
      </c>
      <c r="H32" s="310">
        <f>IFERROR(VLOOKUP(C32,TR!$B$2:$F$612,4,0),"")</f>
        <v>0.50416666666666665</v>
      </c>
      <c r="I32" s="311">
        <f>IFERROR(VLOOKUP(C32,TR!$B$2:$F$612,5,0),"")</f>
        <v>0.82500000000000007</v>
      </c>
      <c r="J32" s="328">
        <f t="shared" si="7"/>
        <v>0.32083333333333341</v>
      </c>
      <c r="K32" s="452" t="str">
        <f t="shared" si="0"/>
        <v/>
      </c>
      <c r="L32" s="323">
        <f t="shared" si="1"/>
        <v>1</v>
      </c>
      <c r="M32" s="324" t="str">
        <f t="shared" si="2"/>
        <v/>
      </c>
      <c r="N32" s="453" t="str">
        <f t="shared" si="8"/>
        <v/>
      </c>
      <c r="O32" s="315" t="str">
        <f t="shared" si="3"/>
        <v/>
      </c>
      <c r="P32" s="408" t="str">
        <f>IF(AND(L32="",M32=""),IF(OR(SUMPRODUCT(N(ISNUMBER(FIND({"s";"d";"f"},C32))))&gt;0,G32+J32&lt;0,AND(G32&gt;0,J32&gt;0,I32&gt;"20:30"*1),AND(I32&lt;="20:30"*1,SUM(I32,R32)&gt;="20:31"*1)),1,""),"")</f>
        <v/>
      </c>
      <c r="Q32" s="326" t="str">
        <f t="shared" si="9"/>
        <v/>
      </c>
      <c r="R32" s="31"/>
      <c r="S32" s="327">
        <f t="shared" si="4"/>
        <v>0.32083333333333341</v>
      </c>
      <c r="T32" s="34">
        <f t="shared" si="5"/>
        <v>0.32083333333333341</v>
      </c>
      <c r="U32" s="154">
        <f t="shared" si="11"/>
        <v>7.700000000000002</v>
      </c>
      <c r="V32" s="188">
        <v>7.7</v>
      </c>
      <c r="W32" s="156">
        <f t="shared" si="10"/>
        <v>1.7763568394002505E-15</v>
      </c>
    </row>
    <row r="33" spans="1:24" ht="14.4" x14ac:dyDescent="0.3">
      <c r="A33" s="40"/>
      <c r="B33" s="304">
        <v>43189</v>
      </c>
      <c r="C33" s="329" t="s">
        <v>138</v>
      </c>
      <c r="D33" s="330"/>
      <c r="E33" s="310">
        <f>IFERROR(VLOOKUP(C33,TR!$B$2:$F$612,2,0),"")</f>
        <v>0</v>
      </c>
      <c r="F33" s="311">
        <f>IFERROR(VLOOKUP(C33,TR!$B$2:$F$612,3,0),"")</f>
        <v>0</v>
      </c>
      <c r="G33" s="328">
        <f t="shared" si="6"/>
        <v>0</v>
      </c>
      <c r="H33" s="310">
        <f>IFERROR(VLOOKUP(C33,TR!$B$2:$F$612,4,0),"")</f>
        <v>0.64097222222222217</v>
      </c>
      <c r="I33" s="311">
        <f>IFERROR(VLOOKUP(C33,TR!$B$2:$F$612,5,0),"")</f>
        <v>0.89513888888888893</v>
      </c>
      <c r="J33" s="328">
        <f t="shared" si="7"/>
        <v>0.25416666666666676</v>
      </c>
      <c r="K33" s="452" t="str">
        <f t="shared" si="0"/>
        <v/>
      </c>
      <c r="L33" s="323" t="str">
        <f t="shared" si="1"/>
        <v/>
      </c>
      <c r="M33" s="324">
        <f t="shared" si="2"/>
        <v>1</v>
      </c>
      <c r="N33" s="453" t="str">
        <f t="shared" si="8"/>
        <v/>
      </c>
      <c r="O33" s="315" t="str">
        <f t="shared" si="3"/>
        <v/>
      </c>
      <c r="P33" s="408" t="str">
        <f>IF(AND(L33="",M33=""),IF(OR(SUMPRODUCT(N(ISNUMBER(FIND({"s";"d";"f"},C33))))&gt;0,G33+J33&lt;0,AND(G33&gt;0,J33&gt;0,I33&gt;"20:30"*1),AND(I33&lt;="20:30"*1,SUM(I33,R33)&gt;="20:31"*1)),1,""),"")</f>
        <v/>
      </c>
      <c r="Q33" s="326" t="str">
        <f t="shared" si="9"/>
        <v/>
      </c>
      <c r="R33" s="31">
        <v>5.5555555555555558E-3</v>
      </c>
      <c r="S33" s="327">
        <f t="shared" si="4"/>
        <v>0.25416666666666676</v>
      </c>
      <c r="T33" s="34">
        <f t="shared" si="5"/>
        <v>0.25416666666666676</v>
      </c>
      <c r="U33" s="154">
        <f t="shared" si="11"/>
        <v>6.1000000000000023</v>
      </c>
      <c r="V33" s="188">
        <v>6.1</v>
      </c>
      <c r="W33" s="156">
        <f t="shared" si="10"/>
        <v>2.6645352591003757E-15</v>
      </c>
    </row>
    <row r="34" spans="1:24" ht="15" thickBot="1" x14ac:dyDescent="0.35">
      <c r="A34" s="40"/>
      <c r="B34" s="354">
        <v>43190</v>
      </c>
      <c r="C34" s="355" t="s">
        <v>137</v>
      </c>
      <c r="D34" s="356"/>
      <c r="E34" s="357">
        <f>IFERROR(VLOOKUP(C34,TR!$B$2:$F$612,2,0),"")</f>
        <v>0</v>
      </c>
      <c r="F34" s="358">
        <f>IFERROR(VLOOKUP(C34,TR!$B$2:$F$612,3,0),"")</f>
        <v>0</v>
      </c>
      <c r="G34" s="359">
        <f t="shared" si="6"/>
        <v>0</v>
      </c>
      <c r="H34" s="357">
        <f>IFERROR(VLOOKUP(C34,TR!$B$2:$F$612,4,0),"")</f>
        <v>0.49652777777777773</v>
      </c>
      <c r="I34" s="358">
        <f>IFERROR(VLOOKUP(C34,TR!$B$2:$F$612,5,0),"")</f>
        <v>0.81041666666666667</v>
      </c>
      <c r="J34" s="359">
        <f t="shared" si="7"/>
        <v>0.31388888888888894</v>
      </c>
      <c r="K34" s="459" t="str">
        <f t="shared" si="0"/>
        <v/>
      </c>
      <c r="L34" s="361">
        <f t="shared" si="1"/>
        <v>1</v>
      </c>
      <c r="M34" s="362" t="str">
        <f t="shared" si="2"/>
        <v/>
      </c>
      <c r="N34" s="460" t="str">
        <f t="shared" si="8"/>
        <v/>
      </c>
      <c r="O34" s="363" t="str">
        <f t="shared" si="3"/>
        <v/>
      </c>
      <c r="P34" s="440" t="str">
        <f>IF(AND(L34="",M34=""),IF(OR(SUMPRODUCT(N(ISNUMBER(FIND({"s";"d";"f"},C34))))&gt;0,G34+J34&lt;0,AND(G34&gt;0,J34&gt;0,I34&gt;"20:30"*1),AND(I34&lt;="20:30"*1,SUM(I34,R34)&gt;="20:31"*1)),1,""),"")</f>
        <v/>
      </c>
      <c r="Q34" s="365" t="str">
        <f t="shared" si="9"/>
        <v/>
      </c>
      <c r="R34" s="32"/>
      <c r="S34" s="366">
        <f t="shared" si="4"/>
        <v>0.31388888888888894</v>
      </c>
      <c r="T34" s="39">
        <f t="shared" si="5"/>
        <v>0.31388888888888894</v>
      </c>
      <c r="U34" s="155">
        <f t="shared" si="11"/>
        <v>7.533333333333335</v>
      </c>
      <c r="V34" s="189">
        <v>7.53</v>
      </c>
      <c r="W34" s="157">
        <f t="shared" si="10"/>
        <v>3.3333333333347426E-3</v>
      </c>
    </row>
    <row r="35" spans="1:24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Q35" s="372"/>
      <c r="S35" s="54"/>
      <c r="T35" s="55"/>
      <c r="U35" s="56"/>
      <c r="V35" s="57"/>
    </row>
    <row r="36" spans="1:24" ht="14.4" x14ac:dyDescent="0.3">
      <c r="A36" s="40"/>
      <c r="B36" s="373" t="s">
        <v>17</v>
      </c>
      <c r="C36" s="142">
        <f>(COUNTIF(Février!C24:C34,"&lt;&gt;")+COUNTIF(Mars!C4:C23,"&lt;&gt;"))-(COUNTIF(Février!C24:C34,"CC*")+COUNTIF(Mars!C4:C23,"CC*"))-(COUNTIF(Février!C24:C34,"CH*")+COUNTIF(Mars!C4:C23,"CH*"))-(COUNTIF(Février!C24:C34,"RT*")+COUNTIF(Mars!C4:C23,"RT*"))-(COUNTIF(Février!C24:C34,"Férié*")+COUNTIF(Mars!C4:C23,"Férié*"))-(COUNTIF(Février!C24:C34,"Mal*")+COUNTIF(Mars!C4:C23,"Mal*"))-(COUNTIF(Février!C24:C34,"CP*")+COUNTIF(Mars!C4:C23,"CP*"))</f>
        <v>16</v>
      </c>
      <c r="E36" s="370"/>
      <c r="F36" s="40"/>
      <c r="H36" s="613" t="s">
        <v>55</v>
      </c>
      <c r="I36" s="613"/>
      <c r="J36" s="58"/>
      <c r="K36" s="72">
        <f>SUM(Février!$K$24:$K$34,K4:K23)</f>
        <v>4</v>
      </c>
      <c r="L36" s="73">
        <f>SUM(Février!$L$24:$L$34,L4:L23)</f>
        <v>6</v>
      </c>
      <c r="M36" s="74">
        <f>SUM(Février!$M$24:$M$34,M4:M23)</f>
        <v>3</v>
      </c>
      <c r="N36" s="75">
        <f>SUM(Février!$N$24:$N$34,N4:N23)</f>
        <v>0</v>
      </c>
      <c r="O36" s="76">
        <f>SUM(Février!$O$24:$O$34,O4:O23)</f>
        <v>0</v>
      </c>
      <c r="P36" s="82">
        <f>SUM(Février!$P$24:$P$34,P4:P23)</f>
        <v>1</v>
      </c>
      <c r="Q36" s="212">
        <f>SUM(Février!$Q$24:$Q$34,Q4:Q23)</f>
        <v>0</v>
      </c>
      <c r="R36" s="231">
        <f>SUM(Février!$R$24:$R$34,R4:R23)</f>
        <v>4.1666666666666666E-3</v>
      </c>
      <c r="S36" s="78"/>
      <c r="T36" s="79">
        <f>SUM(Février!T24:T34)+SUM(Mars!T4:T23)</f>
        <v>4.9180555555555552</v>
      </c>
      <c r="U36" s="80">
        <f>SUM(U4:U34)</f>
        <v>146.14999999999995</v>
      </c>
      <c r="V36" s="186">
        <f>SUM(V4:V34)</f>
        <v>146.15999999999997</v>
      </c>
      <c r="W36" s="59"/>
    </row>
    <row r="37" spans="1:24" ht="14.4" thickBot="1" x14ac:dyDescent="0.3">
      <c r="A37" s="40"/>
      <c r="B37" s="374" t="s">
        <v>51</v>
      </c>
      <c r="C37" s="143">
        <f>(COUNTIF(Février!C24:C34,"CP")+COUNTIF(Mars!C4:C23,"CP"))</f>
        <v>3</v>
      </c>
      <c r="F37" s="40"/>
      <c r="G37" s="40"/>
      <c r="H37" s="40"/>
      <c r="I37" s="40"/>
      <c r="J37" s="461"/>
      <c r="K37" s="375">
        <f>(I39*2)*K36</f>
        <v>70.822400000000002</v>
      </c>
      <c r="L37" s="376">
        <f>Recap!H35*L36</f>
        <v>42.839999999999996</v>
      </c>
      <c r="M37" s="377">
        <f>Recap!H35*M36</f>
        <v>21.419999999999998</v>
      </c>
      <c r="N37" s="378">
        <f>(I39*5)*N36</f>
        <v>0</v>
      </c>
      <c r="O37" s="379">
        <f>(Recap!H33)*O36</f>
        <v>0</v>
      </c>
      <c r="P37" s="380">
        <f>7.5*P36</f>
        <v>7.5</v>
      </c>
      <c r="Q37" s="381">
        <f>(I39*1.5)*Q36</f>
        <v>0</v>
      </c>
      <c r="R37" s="382">
        <f>R36*24</f>
        <v>0.1</v>
      </c>
      <c r="S37" s="61"/>
      <c r="T37" s="62"/>
      <c r="U37" s="63"/>
      <c r="V37" s="57"/>
      <c r="W37" s="59"/>
    </row>
    <row r="38" spans="1:24" x14ac:dyDescent="0.25">
      <c r="B38" s="383" t="s">
        <v>47</v>
      </c>
      <c r="C38" s="144">
        <f>(COUNTIF(Février!C24:C34,"CH")+COUNTIF(Mars!C4:C23,"CH"))</f>
        <v>3</v>
      </c>
      <c r="F38" s="40"/>
      <c r="G38" s="40"/>
      <c r="H38" s="462"/>
      <c r="I38" s="384" t="s">
        <v>54</v>
      </c>
      <c r="J38" s="64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04"/>
      <c r="V38" s="104">
        <v>6.1749999999999998</v>
      </c>
      <c r="W38" s="81">
        <f>V38*24</f>
        <v>148.19999999999999</v>
      </c>
      <c r="X38" s="69"/>
    </row>
    <row r="39" spans="1:24" ht="14.4" thickBot="1" x14ac:dyDescent="0.3">
      <c r="B39" s="385" t="s">
        <v>45</v>
      </c>
      <c r="C39" s="145">
        <f>(COUNTIF(Février!C24:C34,"RT")+COUNTIF(Mars!C4:C23,"RT"))</f>
        <v>1</v>
      </c>
      <c r="F39" s="40"/>
      <c r="G39" s="40"/>
      <c r="H39" s="462"/>
      <c r="I39" s="386">
        <v>8.8528000000000002</v>
      </c>
      <c r="J39" s="40"/>
      <c r="K39" s="40"/>
      <c r="L39" s="40"/>
      <c r="M39" s="40"/>
      <c r="N39" s="387"/>
      <c r="O39" s="387"/>
      <c r="V39" s="388"/>
      <c r="W39" s="388"/>
      <c r="X39" s="389"/>
    </row>
    <row r="40" spans="1:24" x14ac:dyDescent="0.25">
      <c r="B40" s="390" t="s">
        <v>46</v>
      </c>
      <c r="C40" s="146">
        <f>(COUNTIF(Février!C24:C34,"CC")+COUNTIF(Mars!C4:C23,"CC"))</f>
        <v>5</v>
      </c>
      <c r="T40" s="615" t="s">
        <v>16</v>
      </c>
      <c r="U40" s="604"/>
      <c r="V40" s="391" t="str">
        <f>IF(V38&gt;T36,"-","")&amp;TEXT(ABS(T36-V38),"[h]:mm")</f>
        <v>-30:10</v>
      </c>
      <c r="W40" s="392">
        <f>(T36-V38)*24</f>
        <v>-30.166666666666671</v>
      </c>
      <c r="X40" s="69"/>
    </row>
    <row r="41" spans="1:24" ht="14.4" thickBot="1" x14ac:dyDescent="0.3">
      <c r="B41" s="393" t="s">
        <v>11</v>
      </c>
      <c r="C41" s="147">
        <f>(COUNTIF(Février!C24:C34,"Férié")+COUNTIF(Mars!C4:C23,"Férié"))</f>
        <v>0</v>
      </c>
      <c r="V41" s="389"/>
      <c r="W41" s="389"/>
    </row>
    <row r="42" spans="1:24" ht="15" thickTop="1" thickBot="1" x14ac:dyDescent="0.3">
      <c r="B42" s="394" t="s">
        <v>153</v>
      </c>
      <c r="C42" s="230">
        <f>(COUNTIF(Février!C24:C34,"FériéCC")+COUNTIF(Mars!C4:C23,"FériéCH"))</f>
        <v>0</v>
      </c>
      <c r="R42" s="616" t="s">
        <v>201</v>
      </c>
      <c r="S42" s="623"/>
      <c r="T42" s="395">
        <f>SUM(T4:T34)</f>
        <v>6.0895833333333336</v>
      </c>
      <c r="W42" s="70"/>
    </row>
    <row r="43" spans="1:24" ht="15.6" thickTop="1" thickBot="1" x14ac:dyDescent="0.35">
      <c r="B43" s="387"/>
      <c r="S43" s="71"/>
      <c r="T43" s="257">
        <f>T42*24</f>
        <v>146.15</v>
      </c>
      <c r="W43" s="397">
        <f>(T42-V38)*24</f>
        <v>-2.0499999999999901</v>
      </c>
    </row>
    <row r="44" spans="1:24" ht="15.6" thickTop="1" thickBot="1" x14ac:dyDescent="0.35">
      <c r="B44" s="387"/>
      <c r="O44" s="71"/>
      <c r="P44" s="71"/>
    </row>
    <row r="45" spans="1:24" ht="14.4" thickBot="1" x14ac:dyDescent="0.3">
      <c r="F45" s="605" t="s">
        <v>57</v>
      </c>
      <c r="G45" s="606"/>
      <c r="H45" s="606"/>
      <c r="I45" s="606"/>
      <c r="J45" s="606"/>
      <c r="K45" s="606"/>
      <c r="L45" s="606"/>
      <c r="M45" s="606"/>
      <c r="N45" s="606"/>
      <c r="O45" s="606"/>
      <c r="P45" s="606"/>
      <c r="Q45" s="607"/>
    </row>
    <row r="46" spans="1:24" ht="14.4" thickTop="1" x14ac:dyDescent="0.25">
      <c r="F46" s="620" t="s">
        <v>172</v>
      </c>
      <c r="G46" s="630"/>
      <c r="H46" s="630"/>
      <c r="I46" s="630"/>
      <c r="J46" s="630"/>
      <c r="K46" s="630"/>
      <c r="L46" s="630"/>
      <c r="M46" s="630"/>
      <c r="N46" s="630"/>
      <c r="O46" s="630"/>
      <c r="P46" s="630"/>
      <c r="Q46" s="631"/>
    </row>
    <row r="47" spans="1:24" x14ac:dyDescent="0.25">
      <c r="F47" s="624" t="s">
        <v>173</v>
      </c>
      <c r="G47" s="625"/>
      <c r="H47" s="625"/>
      <c r="I47" s="625"/>
      <c r="J47" s="625"/>
      <c r="K47" s="625"/>
      <c r="L47" s="625"/>
      <c r="M47" s="625"/>
      <c r="N47" s="625"/>
      <c r="O47" s="625"/>
      <c r="P47" s="625"/>
      <c r="Q47" s="626"/>
    </row>
    <row r="48" spans="1:24" x14ac:dyDescent="0.25">
      <c r="F48" s="627"/>
      <c r="G48" s="628"/>
      <c r="H48" s="628"/>
      <c r="I48" s="628"/>
      <c r="J48" s="628"/>
      <c r="K48" s="628"/>
      <c r="L48" s="628"/>
      <c r="M48" s="628"/>
      <c r="N48" s="628"/>
      <c r="O48" s="628"/>
      <c r="P48" s="628"/>
      <c r="Q48" s="629"/>
    </row>
    <row r="49" spans="6:17" x14ac:dyDescent="0.25">
      <c r="F49" s="627"/>
      <c r="G49" s="628"/>
      <c r="H49" s="628"/>
      <c r="I49" s="628"/>
      <c r="J49" s="628"/>
      <c r="K49" s="628"/>
      <c r="L49" s="628"/>
      <c r="M49" s="628"/>
      <c r="N49" s="628"/>
      <c r="O49" s="628"/>
      <c r="P49" s="628"/>
      <c r="Q49" s="629"/>
    </row>
    <row r="50" spans="6:17" x14ac:dyDescent="0.25">
      <c r="F50" s="627"/>
      <c r="G50" s="628"/>
      <c r="H50" s="628"/>
      <c r="I50" s="628"/>
      <c r="J50" s="628"/>
      <c r="K50" s="628"/>
      <c r="L50" s="628"/>
      <c r="M50" s="628"/>
      <c r="N50" s="628"/>
      <c r="O50" s="628"/>
      <c r="P50" s="628"/>
      <c r="Q50" s="629"/>
    </row>
    <row r="51" spans="6:17" x14ac:dyDescent="0.25">
      <c r="F51" s="627"/>
      <c r="G51" s="628"/>
      <c r="H51" s="628"/>
      <c r="I51" s="628"/>
      <c r="J51" s="628"/>
      <c r="K51" s="628"/>
      <c r="L51" s="628"/>
      <c r="M51" s="628"/>
      <c r="N51" s="628"/>
      <c r="O51" s="628"/>
      <c r="P51" s="628"/>
      <c r="Q51" s="629"/>
    </row>
    <row r="52" spans="6:17" x14ac:dyDescent="0.25">
      <c r="F52" s="627"/>
      <c r="G52" s="628"/>
      <c r="H52" s="628"/>
      <c r="I52" s="628"/>
      <c r="J52" s="628"/>
      <c r="K52" s="628"/>
      <c r="L52" s="628"/>
      <c r="M52" s="628"/>
      <c r="N52" s="628"/>
      <c r="O52" s="628"/>
      <c r="P52" s="628"/>
      <c r="Q52" s="629"/>
    </row>
    <row r="53" spans="6:17" x14ac:dyDescent="0.25">
      <c r="F53" s="627"/>
      <c r="G53" s="628"/>
      <c r="H53" s="628"/>
      <c r="I53" s="628"/>
      <c r="J53" s="628"/>
      <c r="K53" s="628"/>
      <c r="L53" s="628"/>
      <c r="M53" s="628"/>
      <c r="N53" s="628"/>
      <c r="O53" s="628"/>
      <c r="P53" s="628"/>
      <c r="Q53" s="629"/>
    </row>
    <row r="54" spans="6:17" x14ac:dyDescent="0.25">
      <c r="F54" s="627"/>
      <c r="G54" s="628"/>
      <c r="H54" s="628"/>
      <c r="I54" s="628"/>
      <c r="J54" s="628"/>
      <c r="K54" s="628"/>
      <c r="L54" s="628"/>
      <c r="M54" s="628"/>
      <c r="N54" s="628"/>
      <c r="O54" s="628"/>
      <c r="P54" s="628"/>
      <c r="Q54" s="629"/>
    </row>
    <row r="55" spans="6:17" x14ac:dyDescent="0.25">
      <c r="F55" s="627"/>
      <c r="G55" s="628"/>
      <c r="H55" s="628"/>
      <c r="I55" s="628"/>
      <c r="J55" s="628"/>
      <c r="K55" s="628"/>
      <c r="L55" s="628"/>
      <c r="M55" s="628"/>
      <c r="N55" s="628"/>
      <c r="O55" s="628"/>
      <c r="P55" s="628"/>
      <c r="Q55" s="629"/>
    </row>
    <row r="56" spans="6:17" x14ac:dyDescent="0.25">
      <c r="F56" s="627"/>
      <c r="G56" s="628"/>
      <c r="H56" s="628"/>
      <c r="I56" s="628"/>
      <c r="J56" s="628"/>
      <c r="K56" s="628"/>
      <c r="L56" s="628"/>
      <c r="M56" s="628"/>
      <c r="N56" s="628"/>
      <c r="O56" s="628"/>
      <c r="P56" s="628"/>
      <c r="Q56" s="629"/>
    </row>
    <row r="57" spans="6:17" x14ac:dyDescent="0.25">
      <c r="F57" s="627"/>
      <c r="G57" s="628"/>
      <c r="H57" s="628"/>
      <c r="I57" s="628"/>
      <c r="J57" s="628"/>
      <c r="K57" s="628"/>
      <c r="L57" s="628"/>
      <c r="M57" s="628"/>
      <c r="N57" s="628"/>
      <c r="O57" s="628"/>
      <c r="P57" s="628"/>
      <c r="Q57" s="629"/>
    </row>
    <row r="58" spans="6:17" x14ac:dyDescent="0.25">
      <c r="F58" s="627"/>
      <c r="G58" s="628"/>
      <c r="H58" s="628"/>
      <c r="I58" s="628"/>
      <c r="J58" s="628"/>
      <c r="K58" s="628"/>
      <c r="L58" s="628"/>
      <c r="M58" s="628"/>
      <c r="N58" s="628"/>
      <c r="O58" s="628"/>
      <c r="P58" s="628"/>
      <c r="Q58" s="629"/>
    </row>
    <row r="59" spans="6:17" ht="14.4" thickBot="1" x14ac:dyDescent="0.3">
      <c r="F59" s="632"/>
      <c r="G59" s="633"/>
      <c r="H59" s="633"/>
      <c r="I59" s="633"/>
      <c r="J59" s="633"/>
      <c r="K59" s="633"/>
      <c r="L59" s="633"/>
      <c r="M59" s="633"/>
      <c r="N59" s="633"/>
      <c r="O59" s="633"/>
      <c r="P59" s="633"/>
      <c r="Q59" s="634"/>
    </row>
    <row r="60" spans="6:17" ht="14.4" thickTop="1" x14ac:dyDescent="0.25"/>
    <row r="73" spans="9:11" x14ac:dyDescent="0.25">
      <c r="I73" s="463"/>
      <c r="K73" s="464"/>
    </row>
  </sheetData>
  <mergeCells count="23">
    <mergeCell ref="F55:Q55"/>
    <mergeCell ref="F56:Q56"/>
    <mergeCell ref="F57:Q57"/>
    <mergeCell ref="F58:Q58"/>
    <mergeCell ref="F59:Q59"/>
    <mergeCell ref="F47:Q47"/>
    <mergeCell ref="F53:Q53"/>
    <mergeCell ref="F54:Q54"/>
    <mergeCell ref="F46:Q46"/>
    <mergeCell ref="F48:Q48"/>
    <mergeCell ref="F49:Q49"/>
    <mergeCell ref="F50:Q50"/>
    <mergeCell ref="F51:Q51"/>
    <mergeCell ref="F52:Q52"/>
    <mergeCell ref="B1:W1"/>
    <mergeCell ref="T2:W2"/>
    <mergeCell ref="F45:Q45"/>
    <mergeCell ref="H36:I36"/>
    <mergeCell ref="E3:F3"/>
    <mergeCell ref="H3:I3"/>
    <mergeCell ref="T38:U38"/>
    <mergeCell ref="T40:U40"/>
    <mergeCell ref="R42:S42"/>
  </mergeCells>
  <conditionalFormatting sqref="C4:C34">
    <cfRule type="expression" dxfId="60" priority="27" stopIfTrue="1">
      <formula>ISNUMBER(FIND("d",$C4))</formula>
    </cfRule>
  </conditionalFormatting>
  <conditionalFormatting sqref="V40:W40">
    <cfRule type="expression" dxfId="59" priority="13" stopIfTrue="1">
      <formula>$T$36&lt;$V$38</formula>
    </cfRule>
    <cfRule type="expression" dxfId="58" priority="14" stopIfTrue="1">
      <formula>$T$36&gt;$V$38</formula>
    </cfRule>
  </conditionalFormatting>
  <conditionalFormatting sqref="C4:Q34">
    <cfRule type="expression" dxfId="57" priority="28" stopIfTrue="1">
      <formula>ISNUMBER(FIND("CP",$C4))</formula>
    </cfRule>
    <cfRule type="expression" dxfId="56" priority="29">
      <formula>ISNUMBER(FIND("h",$C4))</formula>
    </cfRule>
    <cfRule type="expression" dxfId="55" priority="30" stopIfTrue="1">
      <formula>ISNUMBER(FIND("Férié",$C4))</formula>
    </cfRule>
  </conditionalFormatting>
  <pageMargins left="0.7" right="0.7" top="0.75" bottom="0.75" header="0.3" footer="0.3"/>
  <pageSetup paperSize="9" orientation="portrait" r:id="rId1"/>
  <ignoredErrors>
    <ignoredError sqref="T42:T43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4"/>
  <sheetViews>
    <sheetView topLeftCell="A16" workbookViewId="0">
      <selection activeCell="C36" sqref="C36"/>
    </sheetView>
  </sheetViews>
  <sheetFormatPr baseColWidth="10" defaultColWidth="11" defaultRowHeight="13.8" x14ac:dyDescent="0.25"/>
  <cols>
    <col min="1" max="1" width="3.59765625" style="465" customWidth="1"/>
    <col min="2" max="2" width="14.59765625" style="465" customWidth="1"/>
    <col min="3" max="3" width="8.59765625" style="465" customWidth="1"/>
    <col min="4" max="4" width="7.59765625" style="465" customWidth="1"/>
    <col min="5" max="23" width="8.59765625" style="465" customWidth="1"/>
    <col min="24" max="16384" width="11" style="465"/>
  </cols>
  <sheetData>
    <row r="1" spans="1:24" ht="14.4" thickBot="1" x14ac:dyDescent="0.3">
      <c r="A1" s="40"/>
      <c r="B1" s="602" t="s">
        <v>30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 s="603"/>
      <c r="P1" s="603"/>
      <c r="Q1" s="603"/>
      <c r="R1" s="603"/>
      <c r="S1" s="604"/>
      <c r="T1" s="604"/>
      <c r="U1" s="604"/>
      <c r="V1" s="604"/>
      <c r="W1" s="604"/>
      <c r="X1" s="369"/>
    </row>
    <row r="2" spans="1:24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  <c r="X2" s="369"/>
    </row>
    <row r="3" spans="1:24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303" t="s">
        <v>5</v>
      </c>
      <c r="H3" s="611" t="s">
        <v>6</v>
      </c>
      <c r="I3" s="612"/>
      <c r="J3" s="303" t="s">
        <v>5</v>
      </c>
      <c r="K3" s="41" t="s">
        <v>7</v>
      </c>
      <c r="L3" s="42" t="s">
        <v>8</v>
      </c>
      <c r="M3" s="220" t="s">
        <v>9</v>
      </c>
      <c r="N3" s="43" t="s">
        <v>10</v>
      </c>
      <c r="O3" s="44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  <c r="X3" s="369"/>
    </row>
    <row r="4" spans="1:24" ht="14.4" x14ac:dyDescent="0.3">
      <c r="A4" s="40"/>
      <c r="B4" s="304">
        <v>43191</v>
      </c>
      <c r="C4" s="404" t="s">
        <v>47</v>
      </c>
      <c r="D4" s="405"/>
      <c r="E4" s="307">
        <f>IFERROR(VLOOKUP(C4,TR!$B$2:$F$612,2,0),"")</f>
        <v>0</v>
      </c>
      <c r="F4" s="308">
        <f>IFERROR(VLOOKUP(C4,TR!$B$2:$F$612,3,0),"")</f>
        <v>0</v>
      </c>
      <c r="G4" s="309">
        <f>IF(ISERROR(F4-E4),0,F4-E4)</f>
        <v>0</v>
      </c>
      <c r="H4" s="307">
        <f>IFERROR(VLOOKUP(C4,TR!$B$2:$F$612,4,0),"")</f>
        <v>0</v>
      </c>
      <c r="I4" s="308">
        <f>IFERROR(VLOOKUP(C4,TR!$B$2:$F$612,5,0),"")</f>
        <v>0</v>
      </c>
      <c r="J4" s="309">
        <f>IF(ISERROR(I4-H4),0,(I4-H4))</f>
        <v>0</v>
      </c>
      <c r="K4" s="312" t="str">
        <f t="shared" ref="K4:K34" si="0">IF(COUNTA(E4:F4,H4:I4)=5,1,IF(AND(E4&lt;"5:00"*1,E4&gt;"2:00"*1),1,IF(AND(I4&gt;="22:01"*1,I4&lt;="26:01"*1),1,IF(AND(I4&lt;="22:00"*1,SUM(I4,R4)&gt;="22:01"*1),1,""))))</f>
        <v/>
      </c>
      <c r="L4" s="313" t="str">
        <f t="shared" ref="L4:L34" si="1">IF(AND(F4&gt;="13:15"*1,H4&lt;""),1,IF(AND(H4&gt;="11:00"*1,H4&lt;="12:15"*1),1,IF(AND(F4&lt;="13:15"*1,SUM(F4,R4)&gt;="13:15"*1),1,"")))</f>
        <v/>
      </c>
      <c r="M4" s="314" t="str">
        <f t="shared" ref="M4:M34" si="2">IF(AND(I4&gt;="19:30"*1,1,I4&gt;"21:30"*1,C4&lt;&gt;""),1,IF(AND(I4&lt;="21:30"*1,SUM(I4,R4)&gt;="21:30"*1),1,""))</f>
        <v/>
      </c>
      <c r="N4" s="36" t="str">
        <f>IF(AND(LEFT(C4,1)="d",AND(Mars!N34&lt;&gt;1)),1,IF(AND(LEFT(C4,1)="s",I4&gt;="24:01"*1),1,IF(AND(I4&lt;&gt;"",I4&lt;="23:59"*1,SUM(I4,R4)&gt;="24:01"*1),1,"")))</f>
        <v/>
      </c>
      <c r="O4" s="315" t="str">
        <f t="shared" ref="O4:O34" si="3">IF(AND(I4&gt;"24:00"*1,ISNUMBER(FIND("f",C5))),1,IF(AND(OR(ISNUMBER(FIND("FériéCC",C4)),ISNUMBER(FIND("FériéCH",C4)),ISNUMBER(FIND("f",C4)))),1,""))</f>
        <v/>
      </c>
      <c r="P4" s="451" t="str">
        <f>IF(AND(L4="",M4=""),IF(OR(SUMPRODUCT(N(ISNUMBER(FIND({"s";"d";"f"},C4))))&gt;0,G4+J4&lt;0,AND(G4&gt;0,J4&gt;0,I4&gt;"20:30"*1),AND(I4&lt;="20:30"*1,SUM(I4,R4)&gt;="20:31"*1)),1,""),"")</f>
        <v/>
      </c>
      <c r="Q4" s="317" t="str">
        <f>IF(OR(AND(G4&gt;0,AND(J4=0)),OR(G4=0,AND(J4&gt;0)),OR(G4+J4&gt;0)),IF(S4="","",IF(R4+S4&gt;="13:01"*1,1,"")))</f>
        <v/>
      </c>
      <c r="R4" s="29"/>
      <c r="S4" s="318" t="str">
        <f t="shared" ref="S4:S34" si="4">IF(G4=0,IF(J4=0,"",I4-H4),IF(J4=0,F4-E4,I4-E4))</f>
        <v/>
      </c>
      <c r="T4" s="34">
        <f t="shared" ref="T4:T33" si="5">IF(ISERROR((F4-E4)+(I4-H4)),0,(F4-E4)+(I4-H4))</f>
        <v>0</v>
      </c>
      <c r="U4" s="153">
        <f>T4*24</f>
        <v>0</v>
      </c>
      <c r="V4" s="187"/>
      <c r="W4" s="149" t="str">
        <f>IF(U4-V4=0,"0,00",U4-V4)</f>
        <v>0,00</v>
      </c>
      <c r="X4" s="369"/>
    </row>
    <row r="5" spans="1:24" ht="14.4" x14ac:dyDescent="0.3">
      <c r="A5" s="40"/>
      <c r="B5" s="304">
        <v>43192</v>
      </c>
      <c r="C5" s="409" t="s">
        <v>11</v>
      </c>
      <c r="D5" s="410"/>
      <c r="E5" s="310">
        <f>IFERROR(VLOOKUP(C5,TR!$B$2:$F$612,2,0),"")</f>
        <v>0</v>
      </c>
      <c r="F5" s="311">
        <f>IFERROR(VLOOKUP(C5,TR!$B$2:$F$612,3,0),"")</f>
        <v>0</v>
      </c>
      <c r="G5" s="321">
        <f t="shared" ref="G5:G33" si="6">IF(ISERROR(F5-E5),0,F5-E5)</f>
        <v>0</v>
      </c>
      <c r="H5" s="310">
        <f>IFERROR(VLOOKUP(C5,TR!$B$2:$F$612,4,0),"")</f>
        <v>0</v>
      </c>
      <c r="I5" s="311">
        <f>IFERROR(VLOOKUP(C5,TR!$B$2:$F$612,5,0),"")</f>
        <v>0</v>
      </c>
      <c r="J5" s="321">
        <f t="shared" ref="J5:J33" si="7">IF(ISERROR(I5-H5),0,(I5-H5))</f>
        <v>0</v>
      </c>
      <c r="K5" s="322" t="str">
        <f t="shared" si="0"/>
        <v/>
      </c>
      <c r="L5" s="323" t="str">
        <f t="shared" si="1"/>
        <v/>
      </c>
      <c r="M5" s="324" t="str">
        <f t="shared" si="2"/>
        <v/>
      </c>
      <c r="N5" s="37" t="str">
        <f t="shared" ref="N5:N34" si="8">IF(AND(LEFT(C5,1)="d",AND(N4&lt;&gt;1)),1,IF(AND(LEFT(C5,1)="s",I5&gt;="24:01"*1),1,IF(AND(I5&lt;&gt;"",I5&lt;="23:59"*1,SUM(I5,R5)&gt;="24:01"*1),1,"")))</f>
        <v/>
      </c>
      <c r="O5" s="315" t="str">
        <f t="shared" si="3"/>
        <v/>
      </c>
      <c r="P5" s="408" t="str">
        <f>IF(AND(L5="",M5=""),IF(OR(SUMPRODUCT(N(ISNUMBER(FIND({"s";"d";"f"},C5))))&gt;0,G5+J5&lt;0,AND(G5&gt;0,J5&gt;0,I5&gt;"20:30"*1),AND(I5&lt;="20:30"*1,SUM(I5,R5)&gt;="20:31"*1)),1,""),"")</f>
        <v/>
      </c>
      <c r="Q5" s="326" t="str">
        <f t="shared" ref="Q5:Q34" si="9">IF(OR(AND(G5&gt;0,AND(J5=0)),OR(G5=0,AND(J5&gt;0)),OR(G5+J5&gt;0)),IF(S5="","",IF(R5+S5&gt;="13:01"*1,1,"")))</f>
        <v/>
      </c>
      <c r="R5" s="30"/>
      <c r="S5" s="327" t="str">
        <f t="shared" si="4"/>
        <v/>
      </c>
      <c r="T5" s="34">
        <f t="shared" si="5"/>
        <v>0</v>
      </c>
      <c r="U5" s="154">
        <f>T5*24</f>
        <v>0</v>
      </c>
      <c r="V5" s="188"/>
      <c r="W5" s="156" t="str">
        <f t="shared" ref="W5:W34" si="10">IF(U5-V5=0,"0,00",U5-V5)</f>
        <v>0,00</v>
      </c>
      <c r="X5" s="369"/>
    </row>
    <row r="6" spans="1:24" ht="14.4" x14ac:dyDescent="0.3">
      <c r="A6" s="40"/>
      <c r="B6" s="304">
        <v>43193</v>
      </c>
      <c r="C6" s="409" t="s">
        <v>170</v>
      </c>
      <c r="D6" s="410"/>
      <c r="E6" s="310">
        <f>IFERROR(VLOOKUP(C6,TR!$B$2:$F$612,2,0),"")</f>
        <v>0.25972222222222224</v>
      </c>
      <c r="F6" s="311">
        <f>IFERROR(VLOOKUP(C6,TR!$B$2:$F$612,3,0),"")</f>
        <v>0.5854166666666667</v>
      </c>
      <c r="G6" s="321">
        <f t="shared" si="6"/>
        <v>0.32569444444444445</v>
      </c>
      <c r="H6" s="310">
        <f>IFERROR(VLOOKUP(C6,TR!$B$2:$F$612,4,0),"")</f>
        <v>0</v>
      </c>
      <c r="I6" s="311">
        <f>IFERROR(VLOOKUP(C6,TR!$B$2:$F$612,5,0),"")</f>
        <v>0</v>
      </c>
      <c r="J6" s="321">
        <f t="shared" si="7"/>
        <v>0</v>
      </c>
      <c r="K6" s="322" t="str">
        <f t="shared" si="0"/>
        <v/>
      </c>
      <c r="L6" s="323">
        <f t="shared" si="1"/>
        <v>1</v>
      </c>
      <c r="M6" s="324" t="str">
        <f t="shared" si="2"/>
        <v/>
      </c>
      <c r="N6" s="37" t="str">
        <f t="shared" si="8"/>
        <v/>
      </c>
      <c r="O6" s="315" t="str">
        <f t="shared" si="3"/>
        <v/>
      </c>
      <c r="P6" s="408" t="str">
        <f>IF(AND(L6="",M6=""),IF(OR(SUMPRODUCT(N(ISNUMBER(FIND({"s";"d";"f"},C6))))&gt;0,G6+J6&lt;0,AND(G6&gt;0,J6&gt;0,I6&gt;"20:30"*1),AND(I6&lt;="20:30"*1,SUM(I6,R6)&gt;="20:31"*1)),1,""),"")</f>
        <v/>
      </c>
      <c r="Q6" s="326" t="str">
        <f t="shared" si="9"/>
        <v/>
      </c>
      <c r="R6" s="30"/>
      <c r="S6" s="327">
        <f t="shared" si="4"/>
        <v>0.32569444444444445</v>
      </c>
      <c r="T6" s="34">
        <f t="shared" si="5"/>
        <v>0.32569444444444445</v>
      </c>
      <c r="U6" s="154">
        <f>T6*24</f>
        <v>7.8166666666666664</v>
      </c>
      <c r="V6" s="188"/>
      <c r="W6" s="156">
        <f t="shared" si="10"/>
        <v>7.8166666666666664</v>
      </c>
      <c r="X6" s="369"/>
    </row>
    <row r="7" spans="1:24" ht="14.4" x14ac:dyDescent="0.3">
      <c r="A7" s="40"/>
      <c r="B7" s="304">
        <v>43194</v>
      </c>
      <c r="C7" s="409" t="s">
        <v>120</v>
      </c>
      <c r="D7" s="410"/>
      <c r="E7" s="310">
        <f>IFERROR(VLOOKUP(C7,TR!$B$2:$F$612,2,0),"")</f>
        <v>0.27291666666666664</v>
      </c>
      <c r="F7" s="311">
        <f>IFERROR(VLOOKUP(C7,TR!$B$2:$F$612,3,0),"")</f>
        <v>0.57430555555555551</v>
      </c>
      <c r="G7" s="321">
        <f t="shared" si="6"/>
        <v>0.30138888888888887</v>
      </c>
      <c r="H7" s="310">
        <f>IFERROR(VLOOKUP(C7,TR!$B$2:$F$612,4,0),"")</f>
        <v>0</v>
      </c>
      <c r="I7" s="311">
        <f>IFERROR(VLOOKUP(C7,TR!$B$2:$F$612,5,0),"")</f>
        <v>0</v>
      </c>
      <c r="J7" s="321">
        <f t="shared" si="7"/>
        <v>0</v>
      </c>
      <c r="K7" s="322" t="str">
        <f t="shared" si="0"/>
        <v/>
      </c>
      <c r="L7" s="323">
        <f t="shared" si="1"/>
        <v>1</v>
      </c>
      <c r="M7" s="324" t="str">
        <f t="shared" si="2"/>
        <v/>
      </c>
      <c r="N7" s="37" t="str">
        <f t="shared" si="8"/>
        <v/>
      </c>
      <c r="O7" s="315" t="str">
        <f t="shared" si="3"/>
        <v/>
      </c>
      <c r="P7" s="408" t="str">
        <f>IF(AND(L7="",M7=""),IF(OR(SUMPRODUCT(N(ISNUMBER(FIND({"s";"d";"f"},C7))))&gt;0,G7+J7&lt;0,AND(G7&gt;0,J7&gt;0,I7&gt;"20:30"*1),AND(I7&lt;="20:30"*1,SUM(I7,R7)&gt;="20:31"*1)),1,""),"")</f>
        <v/>
      </c>
      <c r="Q7" s="326" t="str">
        <f t="shared" si="9"/>
        <v/>
      </c>
      <c r="R7" s="30"/>
      <c r="S7" s="327">
        <f t="shared" si="4"/>
        <v>0.30138888888888887</v>
      </c>
      <c r="T7" s="34">
        <f t="shared" si="5"/>
        <v>0.30138888888888887</v>
      </c>
      <c r="U7" s="154">
        <f t="shared" ref="U7:U33" si="11">T7*24</f>
        <v>7.2333333333333325</v>
      </c>
      <c r="V7" s="188"/>
      <c r="W7" s="156">
        <f t="shared" si="10"/>
        <v>7.2333333333333325</v>
      </c>
      <c r="X7" s="369"/>
    </row>
    <row r="8" spans="1:24" ht="14.4" x14ac:dyDescent="0.3">
      <c r="A8" s="40"/>
      <c r="B8" s="304">
        <v>43195</v>
      </c>
      <c r="C8" s="409" t="s">
        <v>170</v>
      </c>
      <c r="D8" s="410"/>
      <c r="E8" s="310">
        <f>IFERROR(VLOOKUP(C8,TR!$B$2:$F$612,2,0),"")</f>
        <v>0.25972222222222224</v>
      </c>
      <c r="F8" s="311">
        <f>IFERROR(VLOOKUP(C8,TR!$B$2:$F$612,3,0),"")</f>
        <v>0.5854166666666667</v>
      </c>
      <c r="G8" s="321">
        <f t="shared" si="6"/>
        <v>0.32569444444444445</v>
      </c>
      <c r="H8" s="310">
        <f>IFERROR(VLOOKUP(C8,TR!$B$2:$F$612,4,0),"")</f>
        <v>0</v>
      </c>
      <c r="I8" s="311">
        <f>IFERROR(VLOOKUP(C8,TR!$B$2:$F$612,5,0),"")</f>
        <v>0</v>
      </c>
      <c r="J8" s="321">
        <f t="shared" si="7"/>
        <v>0</v>
      </c>
      <c r="K8" s="322" t="str">
        <f t="shared" si="0"/>
        <v/>
      </c>
      <c r="L8" s="323">
        <f t="shared" si="1"/>
        <v>1</v>
      </c>
      <c r="M8" s="324" t="str">
        <f t="shared" si="2"/>
        <v/>
      </c>
      <c r="N8" s="37" t="str">
        <f t="shared" si="8"/>
        <v/>
      </c>
      <c r="O8" s="315" t="str">
        <f t="shared" si="3"/>
        <v/>
      </c>
      <c r="P8" s="408" t="str">
        <f>IF(AND(L8="",M8=""),IF(OR(SUMPRODUCT(N(ISNUMBER(FIND({"s";"d";"f"},C8))))&gt;0,G8+J8&lt;0,AND(G8&gt;0,J8&gt;0,I8&gt;"20:30"*1),AND(I8&lt;="20:30"*1,SUM(I8,R8)&gt;="20:31"*1)),1,""),"")</f>
        <v/>
      </c>
      <c r="Q8" s="326" t="str">
        <f t="shared" si="9"/>
        <v/>
      </c>
      <c r="R8" s="30"/>
      <c r="S8" s="327">
        <f t="shared" si="4"/>
        <v>0.32569444444444445</v>
      </c>
      <c r="T8" s="34">
        <f t="shared" si="5"/>
        <v>0.32569444444444445</v>
      </c>
      <c r="U8" s="154">
        <f t="shared" si="11"/>
        <v>7.8166666666666664</v>
      </c>
      <c r="V8" s="188"/>
      <c r="W8" s="156">
        <f t="shared" si="10"/>
        <v>7.8166666666666664</v>
      </c>
      <c r="X8" s="369"/>
    </row>
    <row r="9" spans="1:24" ht="14.4" x14ac:dyDescent="0.3">
      <c r="A9" s="40"/>
      <c r="B9" s="304">
        <v>43196</v>
      </c>
      <c r="C9" s="409" t="s">
        <v>186</v>
      </c>
      <c r="D9" s="466" t="s">
        <v>199</v>
      </c>
      <c r="E9" s="310">
        <f>IFERROR(VLOOKUP(C9,TR!$B$2:$F$612,2,0),"")</f>
        <v>0.33333333333333331</v>
      </c>
      <c r="F9" s="311">
        <f>IFERROR(VLOOKUP(C9,TR!$B$2:$F$612,3,0),"")</f>
        <v>0.5</v>
      </c>
      <c r="G9" s="321">
        <f t="shared" si="6"/>
        <v>0.16666666666666669</v>
      </c>
      <c r="H9" s="310">
        <f>IFERROR(VLOOKUP(C9,TR!$B$2:$F$612,4,0),"")</f>
        <v>0.58333333333333337</v>
      </c>
      <c r="I9" s="311">
        <f>IFERROR(VLOOKUP(C9,TR!$B$2:$F$612,5,0),"")</f>
        <v>0.73333333333333339</v>
      </c>
      <c r="J9" s="321">
        <f t="shared" si="7"/>
        <v>0.15000000000000002</v>
      </c>
      <c r="K9" s="322" t="str">
        <f t="shared" si="0"/>
        <v/>
      </c>
      <c r="L9" s="323" t="str">
        <f t="shared" si="1"/>
        <v/>
      </c>
      <c r="M9" s="324" t="str">
        <f t="shared" si="2"/>
        <v/>
      </c>
      <c r="N9" s="37" t="str">
        <f t="shared" si="8"/>
        <v/>
      </c>
      <c r="O9" s="315" t="str">
        <f t="shared" si="3"/>
        <v/>
      </c>
      <c r="P9" s="408" t="str">
        <f>IF(AND(L9="",M9=""),IF(OR(SUMPRODUCT(N(ISNUMBER(FIND({"s";"d";"f"},C9))))&gt;0,G9+J9&lt;0,AND(G9&gt;0,J9&gt;0,I9&gt;"20:30"*1),AND(I9&lt;="20:30"*1,SUM(I9,R9)&gt;="20:31"*1)),1,""),"")</f>
        <v/>
      </c>
      <c r="Q9" s="326" t="str">
        <f t="shared" si="9"/>
        <v/>
      </c>
      <c r="R9" s="30"/>
      <c r="S9" s="327">
        <f t="shared" si="4"/>
        <v>0.40000000000000008</v>
      </c>
      <c r="T9" s="34">
        <f t="shared" si="5"/>
        <v>0.31666666666666671</v>
      </c>
      <c r="U9" s="154">
        <f t="shared" si="11"/>
        <v>7.6000000000000014</v>
      </c>
      <c r="V9" s="188"/>
      <c r="W9" s="156">
        <f t="shared" si="10"/>
        <v>7.6000000000000014</v>
      </c>
      <c r="X9" s="369"/>
    </row>
    <row r="10" spans="1:24" ht="14.4" x14ac:dyDescent="0.3">
      <c r="A10" s="40"/>
      <c r="B10" s="304">
        <v>43197</v>
      </c>
      <c r="C10" s="409" t="s">
        <v>46</v>
      </c>
      <c r="D10" s="410"/>
      <c r="E10" s="310">
        <f>IFERROR(VLOOKUP(C10,TR!$B$2:$F$612,2,0),"")</f>
        <v>0</v>
      </c>
      <c r="F10" s="311">
        <f>IFERROR(VLOOKUP(C10,TR!$B$2:$F$612,3,0),"")</f>
        <v>0</v>
      </c>
      <c r="G10" s="321">
        <f t="shared" si="6"/>
        <v>0</v>
      </c>
      <c r="H10" s="310">
        <f>IFERROR(VLOOKUP(C10,TR!$B$2:$F$612,4,0),"")</f>
        <v>0</v>
      </c>
      <c r="I10" s="311">
        <f>IFERROR(VLOOKUP(C10,TR!$B$2:$F$612,5,0),"")</f>
        <v>0</v>
      </c>
      <c r="J10" s="321">
        <f t="shared" si="7"/>
        <v>0</v>
      </c>
      <c r="K10" s="322" t="str">
        <f t="shared" si="0"/>
        <v/>
      </c>
      <c r="L10" s="323" t="str">
        <f t="shared" si="1"/>
        <v/>
      </c>
      <c r="M10" s="324" t="str">
        <f t="shared" si="2"/>
        <v/>
      </c>
      <c r="N10" s="37" t="str">
        <f t="shared" si="8"/>
        <v/>
      </c>
      <c r="O10" s="315" t="str">
        <f t="shared" si="3"/>
        <v/>
      </c>
      <c r="P10" s="408" t="str">
        <f>IF(AND(L10="",M10=""),IF(OR(SUMPRODUCT(N(ISNUMBER(FIND({"s";"d";"f"},C10))))&gt;0,G10+J10&lt;0,AND(G10&gt;0,J10&gt;0,I10&gt;"20:30"*1),AND(I10&lt;="20:30"*1,SUM(I10,R10)&gt;="20:31"*1)),1,""),"")</f>
        <v/>
      </c>
      <c r="Q10" s="326" t="str">
        <f t="shared" si="9"/>
        <v/>
      </c>
      <c r="R10" s="30"/>
      <c r="S10" s="327" t="str">
        <f t="shared" si="4"/>
        <v/>
      </c>
      <c r="T10" s="34">
        <f t="shared" si="5"/>
        <v>0</v>
      </c>
      <c r="U10" s="154">
        <f t="shared" si="11"/>
        <v>0</v>
      </c>
      <c r="V10" s="188"/>
      <c r="W10" s="156" t="str">
        <f t="shared" si="10"/>
        <v>0,00</v>
      </c>
      <c r="X10" s="369"/>
    </row>
    <row r="11" spans="1:24" ht="14.4" x14ac:dyDescent="0.3">
      <c r="A11" s="40"/>
      <c r="B11" s="304">
        <v>43198</v>
      </c>
      <c r="C11" s="409" t="s">
        <v>47</v>
      </c>
      <c r="D11" s="410"/>
      <c r="E11" s="310">
        <f>IFERROR(VLOOKUP(C11,TR!$B$2:$F$612,2,0),"")</f>
        <v>0</v>
      </c>
      <c r="F11" s="311">
        <f>IFERROR(VLOOKUP(C11,TR!$B$2:$F$612,3,0),"")</f>
        <v>0</v>
      </c>
      <c r="G11" s="328">
        <f t="shared" si="6"/>
        <v>0</v>
      </c>
      <c r="H11" s="310">
        <f>IFERROR(VLOOKUP(C11,TR!$B$2:$F$612,4,0),"")</f>
        <v>0</v>
      </c>
      <c r="I11" s="311">
        <f>IFERROR(VLOOKUP(C11,TR!$B$2:$F$612,5,0),"")</f>
        <v>0</v>
      </c>
      <c r="J11" s="328">
        <f t="shared" si="7"/>
        <v>0</v>
      </c>
      <c r="K11" s="322" t="str">
        <f t="shared" si="0"/>
        <v/>
      </c>
      <c r="L11" s="323" t="str">
        <f t="shared" si="1"/>
        <v/>
      </c>
      <c r="M11" s="324" t="str">
        <f t="shared" si="2"/>
        <v/>
      </c>
      <c r="N11" s="37" t="str">
        <f t="shared" si="8"/>
        <v/>
      </c>
      <c r="O11" s="315" t="str">
        <f t="shared" si="3"/>
        <v/>
      </c>
      <c r="P11" s="408" t="str">
        <f>IF(AND(L11="",M11=""),IF(OR(SUMPRODUCT(N(ISNUMBER(FIND({"s";"d";"f"},C11))))&gt;0,G11+J11&lt;0,AND(G11&gt;0,J11&gt;0,I11&gt;"20:30"*1),AND(I11&lt;="20:30"*1,SUM(I11,R11)&gt;="20:31"*1)),1,""),"")</f>
        <v/>
      </c>
      <c r="Q11" s="326" t="str">
        <f t="shared" si="9"/>
        <v/>
      </c>
      <c r="R11" s="30"/>
      <c r="S11" s="327" t="str">
        <f t="shared" si="4"/>
        <v/>
      </c>
      <c r="T11" s="34">
        <f t="shared" si="5"/>
        <v>0</v>
      </c>
      <c r="U11" s="154">
        <f t="shared" si="11"/>
        <v>0</v>
      </c>
      <c r="V11" s="188"/>
      <c r="W11" s="156" t="str">
        <f t="shared" si="10"/>
        <v>0,00</v>
      </c>
      <c r="X11" s="369"/>
    </row>
    <row r="12" spans="1:24" ht="14.4" x14ac:dyDescent="0.3">
      <c r="A12" s="40"/>
      <c r="B12" s="304">
        <v>43199</v>
      </c>
      <c r="C12" s="409" t="s">
        <v>46</v>
      </c>
      <c r="D12" s="410"/>
      <c r="E12" s="310">
        <f>IFERROR(VLOOKUP(C12,TR!$B$2:$F$612,2,0),"")</f>
        <v>0</v>
      </c>
      <c r="F12" s="311">
        <f>IFERROR(VLOOKUP(C12,TR!$B$2:$F$612,3,0),"")</f>
        <v>0</v>
      </c>
      <c r="G12" s="328">
        <f t="shared" si="6"/>
        <v>0</v>
      </c>
      <c r="H12" s="310">
        <f>IFERROR(VLOOKUP(C12,TR!$B$2:$F$612,4,0),"")</f>
        <v>0</v>
      </c>
      <c r="I12" s="311">
        <f>IFERROR(VLOOKUP(C12,TR!$B$2:$F$612,5,0),"")</f>
        <v>0</v>
      </c>
      <c r="J12" s="328">
        <f t="shared" si="7"/>
        <v>0</v>
      </c>
      <c r="K12" s="322" t="str">
        <f t="shared" si="0"/>
        <v/>
      </c>
      <c r="L12" s="323" t="str">
        <f t="shared" si="1"/>
        <v/>
      </c>
      <c r="M12" s="324" t="str">
        <f t="shared" si="2"/>
        <v/>
      </c>
      <c r="N12" s="37" t="str">
        <f t="shared" si="8"/>
        <v/>
      </c>
      <c r="O12" s="315" t="str">
        <f t="shared" si="3"/>
        <v/>
      </c>
      <c r="P12" s="408" t="str">
        <f>IF(AND(L12="",M12=""),IF(OR(SUMPRODUCT(N(ISNUMBER(FIND({"s";"d";"f"},C12))))&gt;0,G12+J12&lt;0,AND(G12&gt;0,J12&gt;0,I12&gt;"20:30"*1),AND(I12&lt;="20:30"*1,SUM(I12,R12)&gt;="20:31"*1)),1,""),"")</f>
        <v/>
      </c>
      <c r="Q12" s="326" t="str">
        <f t="shared" si="9"/>
        <v/>
      </c>
      <c r="R12" s="30"/>
      <c r="S12" s="327" t="str">
        <f t="shared" si="4"/>
        <v/>
      </c>
      <c r="T12" s="34">
        <f t="shared" si="5"/>
        <v>0</v>
      </c>
      <c r="U12" s="154">
        <f t="shared" si="11"/>
        <v>0</v>
      </c>
      <c r="V12" s="188"/>
      <c r="W12" s="156" t="str">
        <f t="shared" si="10"/>
        <v>0,00</v>
      </c>
      <c r="X12" s="369"/>
    </row>
    <row r="13" spans="1:24" ht="14.4" x14ac:dyDescent="0.3">
      <c r="A13" s="40"/>
      <c r="B13" s="304">
        <v>43200</v>
      </c>
      <c r="C13" s="409" t="s">
        <v>45</v>
      </c>
      <c r="D13" s="410"/>
      <c r="E13" s="310">
        <f>IFERROR(VLOOKUP(C13,TR!$B$2:$F$612,2,0),"")</f>
        <v>0</v>
      </c>
      <c r="F13" s="311">
        <f>IFERROR(VLOOKUP(C13,TR!$B$2:$F$612,3,0),"")</f>
        <v>0</v>
      </c>
      <c r="G13" s="328">
        <f t="shared" si="6"/>
        <v>0</v>
      </c>
      <c r="H13" s="310">
        <f>IFERROR(VLOOKUP(C13,TR!$B$2:$F$612,4,0),"")</f>
        <v>0</v>
      </c>
      <c r="I13" s="311">
        <f>IFERROR(VLOOKUP(C13,TR!$B$2:$F$612,5,0),"")</f>
        <v>0</v>
      </c>
      <c r="J13" s="328">
        <f t="shared" si="7"/>
        <v>0</v>
      </c>
      <c r="K13" s="322" t="str">
        <f t="shared" si="0"/>
        <v/>
      </c>
      <c r="L13" s="323" t="str">
        <f t="shared" si="1"/>
        <v/>
      </c>
      <c r="M13" s="324" t="str">
        <f t="shared" si="2"/>
        <v/>
      </c>
      <c r="N13" s="37" t="str">
        <f t="shared" si="8"/>
        <v/>
      </c>
      <c r="O13" s="315" t="str">
        <f t="shared" si="3"/>
        <v/>
      </c>
      <c r="P13" s="408" t="str">
        <f>IF(AND(L13="",M13=""),IF(OR(SUMPRODUCT(N(ISNUMBER(FIND({"s";"d";"f"},C13))))&gt;0,G13+J13&lt;0,AND(G13&gt;0,J13&gt;0,I13&gt;"20:30"*1),AND(I13&lt;="20:30"*1,SUM(I13,R13)&gt;="20:31"*1)),1,""),"")</f>
        <v/>
      </c>
      <c r="Q13" s="326" t="str">
        <f t="shared" si="9"/>
        <v/>
      </c>
      <c r="R13" s="31"/>
      <c r="S13" s="327" t="str">
        <f t="shared" si="4"/>
        <v/>
      </c>
      <c r="T13" s="34">
        <f t="shared" si="5"/>
        <v>0</v>
      </c>
      <c r="U13" s="154">
        <f t="shared" si="11"/>
        <v>0</v>
      </c>
      <c r="V13" s="188"/>
      <c r="W13" s="156" t="str">
        <f t="shared" si="10"/>
        <v>0,00</v>
      </c>
      <c r="X13" s="369"/>
    </row>
    <row r="14" spans="1:24" ht="14.4" x14ac:dyDescent="0.3">
      <c r="A14" s="40"/>
      <c r="B14" s="304">
        <v>43201</v>
      </c>
      <c r="C14" s="413" t="s">
        <v>198</v>
      </c>
      <c r="D14" s="414"/>
      <c r="E14" s="310">
        <f>IFERROR(VLOOKUP(C14,TR!$B$2:$F$612,2,0),"")</f>
        <v>0.35416666666666669</v>
      </c>
      <c r="F14" s="311">
        <f>IFERROR(VLOOKUP(C14,TR!$B$2:$F$612,3,0),"")</f>
        <v>0.5</v>
      </c>
      <c r="G14" s="328">
        <f t="shared" si="6"/>
        <v>0.14583333333333331</v>
      </c>
      <c r="H14" s="310">
        <f>IFERROR(VLOOKUP(C14,TR!$B$2:$F$612,4,0),"")</f>
        <v>0.5625</v>
      </c>
      <c r="I14" s="311">
        <f>IFERROR(VLOOKUP(C14,TR!$B$2:$F$612,5,0),"")</f>
        <v>0.70833333333333337</v>
      </c>
      <c r="J14" s="328">
        <f t="shared" si="7"/>
        <v>0.14583333333333337</v>
      </c>
      <c r="K14" s="322" t="str">
        <f t="shared" si="0"/>
        <v/>
      </c>
      <c r="L14" s="323" t="str">
        <f t="shared" si="1"/>
        <v/>
      </c>
      <c r="M14" s="324" t="str">
        <f t="shared" si="2"/>
        <v/>
      </c>
      <c r="N14" s="37" t="str">
        <f t="shared" si="8"/>
        <v/>
      </c>
      <c r="O14" s="315" t="str">
        <f t="shared" si="3"/>
        <v/>
      </c>
      <c r="P14" s="408" t="str">
        <f>IF(AND(L14="",M14=""),IF(OR(SUMPRODUCT(N(ISNUMBER(FIND({"s";"d";"f"},C14))))&gt;0,G14+J14&lt;0,AND(G14&gt;0,J14&gt;0,I14&gt;"20:30"*1),AND(I14&lt;="20:30"*1,SUM(I14,R14)&gt;="20:31"*1)),1,""),"")</f>
        <v/>
      </c>
      <c r="Q14" s="326" t="str">
        <f t="shared" si="9"/>
        <v/>
      </c>
      <c r="R14" s="31"/>
      <c r="S14" s="327">
        <f t="shared" si="4"/>
        <v>0.35416666666666669</v>
      </c>
      <c r="T14" s="34">
        <f t="shared" si="5"/>
        <v>0.29166666666666669</v>
      </c>
      <c r="U14" s="154">
        <f t="shared" si="11"/>
        <v>7</v>
      </c>
      <c r="V14" s="188"/>
      <c r="W14" s="156">
        <f t="shared" si="10"/>
        <v>7</v>
      </c>
      <c r="X14" s="369"/>
    </row>
    <row r="15" spans="1:24" ht="14.4" x14ac:dyDescent="0.3">
      <c r="A15" s="40"/>
      <c r="B15" s="304">
        <v>43202</v>
      </c>
      <c r="C15" s="413" t="s">
        <v>121</v>
      </c>
      <c r="D15" s="414"/>
      <c r="E15" s="310">
        <f>IFERROR(VLOOKUP(C15,TR!$B$2:$F$612,2,0),"")</f>
        <v>0.24652777777777779</v>
      </c>
      <c r="F15" s="311">
        <f>IFERROR(VLOOKUP(C15,TR!$B$2:$F$612,3,0),"")</f>
        <v>0.57430555555555551</v>
      </c>
      <c r="G15" s="328">
        <f t="shared" si="6"/>
        <v>0.32777777777777772</v>
      </c>
      <c r="H15" s="310">
        <f>IFERROR(VLOOKUP(C15,TR!$B$2:$F$612,4,0),"")</f>
        <v>0</v>
      </c>
      <c r="I15" s="311">
        <f>IFERROR(VLOOKUP(C15,TR!$B$2:$F$612,5,0),"")</f>
        <v>0</v>
      </c>
      <c r="J15" s="328">
        <f t="shared" si="7"/>
        <v>0</v>
      </c>
      <c r="K15" s="322" t="str">
        <f t="shared" si="0"/>
        <v/>
      </c>
      <c r="L15" s="323">
        <f t="shared" si="1"/>
        <v>1</v>
      </c>
      <c r="M15" s="324" t="str">
        <f t="shared" si="2"/>
        <v/>
      </c>
      <c r="N15" s="37" t="str">
        <f t="shared" si="8"/>
        <v/>
      </c>
      <c r="O15" s="315" t="str">
        <f t="shared" si="3"/>
        <v/>
      </c>
      <c r="P15" s="408" t="str">
        <f>IF(AND(L15="",M15=""),IF(OR(SUMPRODUCT(N(ISNUMBER(FIND({"s";"d";"f"},C15))))&gt;0,G15+J15&lt;0,AND(G15&gt;0,J15&gt;0,I15&gt;"20:30"*1),AND(I15&lt;="20:30"*1,SUM(I15,R15)&gt;="20:31"*1)),1,""),"")</f>
        <v/>
      </c>
      <c r="Q15" s="326" t="str">
        <f t="shared" si="9"/>
        <v/>
      </c>
      <c r="R15" s="30"/>
      <c r="S15" s="327">
        <f t="shared" si="4"/>
        <v>0.32777777777777772</v>
      </c>
      <c r="T15" s="34">
        <f t="shared" si="5"/>
        <v>0.32777777777777772</v>
      </c>
      <c r="U15" s="154">
        <f t="shared" si="11"/>
        <v>7.8666666666666654</v>
      </c>
      <c r="V15" s="188"/>
      <c r="W15" s="156">
        <f t="shared" si="10"/>
        <v>7.8666666666666654</v>
      </c>
      <c r="X15" s="369"/>
    </row>
    <row r="16" spans="1:24" ht="14.4" x14ac:dyDescent="0.3">
      <c r="A16" s="40"/>
      <c r="B16" s="304">
        <v>43203</v>
      </c>
      <c r="C16" s="409" t="s">
        <v>122</v>
      </c>
      <c r="D16" s="410"/>
      <c r="E16" s="310">
        <f>IFERROR(VLOOKUP(C16,TR!$B$2:$F$612,2,0),"")</f>
        <v>0.26041666666666669</v>
      </c>
      <c r="F16" s="311">
        <f>IFERROR(VLOOKUP(C16,TR!$B$2:$F$612,3,0),"")</f>
        <v>0.39097222222222222</v>
      </c>
      <c r="G16" s="328">
        <f t="shared" si="6"/>
        <v>0.13055555555555554</v>
      </c>
      <c r="H16" s="310">
        <f>IFERROR(VLOOKUP(C16,TR!$B$2:$F$612,4,0),"")</f>
        <v>0.56180555555555556</v>
      </c>
      <c r="I16" s="311">
        <f>IFERROR(VLOOKUP(C16,TR!$B$2:$F$612,5,0),"")</f>
        <v>0.76458333333333339</v>
      </c>
      <c r="J16" s="328">
        <f t="shared" si="7"/>
        <v>0.20277777777777783</v>
      </c>
      <c r="K16" s="322" t="str">
        <f t="shared" si="0"/>
        <v/>
      </c>
      <c r="L16" s="323" t="str">
        <f t="shared" si="1"/>
        <v/>
      </c>
      <c r="M16" s="324" t="str">
        <f t="shared" si="2"/>
        <v/>
      </c>
      <c r="N16" s="37" t="str">
        <f t="shared" si="8"/>
        <v/>
      </c>
      <c r="O16" s="315" t="str">
        <f t="shared" si="3"/>
        <v/>
      </c>
      <c r="P16" s="408" t="str">
        <f>IF(AND(L16="",M16=""),IF(OR(SUMPRODUCT(N(ISNUMBER(FIND({"s";"d";"f"},C16))))&gt;0,G16+J16&lt;0,AND(G16&gt;0,J16&gt;0,I16&gt;"20:30"*1),AND(I16&lt;="20:30"*1,SUM(I16,R16)&gt;="20:31"*1)),1,""),"")</f>
        <v/>
      </c>
      <c r="Q16" s="326" t="str">
        <f t="shared" si="9"/>
        <v/>
      </c>
      <c r="R16" s="31"/>
      <c r="S16" s="327">
        <f t="shared" si="4"/>
        <v>0.50416666666666665</v>
      </c>
      <c r="T16" s="34">
        <f t="shared" si="5"/>
        <v>0.33333333333333337</v>
      </c>
      <c r="U16" s="154">
        <f t="shared" si="11"/>
        <v>8</v>
      </c>
      <c r="V16" s="188"/>
      <c r="W16" s="156">
        <f t="shared" si="10"/>
        <v>8</v>
      </c>
      <c r="X16" s="369"/>
    </row>
    <row r="17" spans="1:24" ht="14.4" x14ac:dyDescent="0.3">
      <c r="A17" s="40"/>
      <c r="B17" s="304">
        <v>43204</v>
      </c>
      <c r="C17" s="409" t="s">
        <v>123</v>
      </c>
      <c r="D17" s="410"/>
      <c r="E17" s="310">
        <f>IFERROR(VLOOKUP(C17,TR!$B$2:$F$612,2,0),"")</f>
        <v>0.38611111111111113</v>
      </c>
      <c r="F17" s="311">
        <f>IFERROR(VLOOKUP(C17,TR!$B$2:$F$612,3,0),"")</f>
        <v>0.57222222222222219</v>
      </c>
      <c r="G17" s="321">
        <f t="shared" si="6"/>
        <v>0.18611111111111106</v>
      </c>
      <c r="H17" s="310">
        <f>IFERROR(VLOOKUP(C17,TR!$B$2:$F$612,4,0),"")</f>
        <v>0.76458333333333339</v>
      </c>
      <c r="I17" s="311">
        <f>IFERROR(VLOOKUP(C17,TR!$B$2:$F$612,5,0),"")</f>
        <v>0.90902777777777777</v>
      </c>
      <c r="J17" s="321">
        <f t="shared" si="7"/>
        <v>0.14444444444444438</v>
      </c>
      <c r="K17" s="322" t="str">
        <f t="shared" si="0"/>
        <v/>
      </c>
      <c r="L17" s="323">
        <f t="shared" si="1"/>
        <v>1</v>
      </c>
      <c r="M17" s="324">
        <f t="shared" si="2"/>
        <v>1</v>
      </c>
      <c r="N17" s="37" t="str">
        <f t="shared" si="8"/>
        <v/>
      </c>
      <c r="O17" s="315" t="str">
        <f t="shared" si="3"/>
        <v/>
      </c>
      <c r="P17" s="408" t="str">
        <f>IF(AND(L17="",M17=""),IF(OR(SUMPRODUCT(N(ISNUMBER(FIND({"s";"d";"f"},C17))))&gt;0,G17+J17&lt;0,AND(G17&gt;0,J17&gt;0,I17&gt;"20:30"*1),AND(I17&lt;="20:30"*1,SUM(I17,R17)&gt;="20:31"*1)),1,""),"")</f>
        <v/>
      </c>
      <c r="Q17" s="326" t="str">
        <f t="shared" si="9"/>
        <v/>
      </c>
      <c r="R17" s="31"/>
      <c r="S17" s="327">
        <f t="shared" si="4"/>
        <v>0.5229166666666667</v>
      </c>
      <c r="T17" s="34">
        <f t="shared" si="5"/>
        <v>0.33055555555555544</v>
      </c>
      <c r="U17" s="154">
        <f t="shared" si="11"/>
        <v>7.93333333333333</v>
      </c>
      <c r="V17" s="188"/>
      <c r="W17" s="156">
        <f t="shared" si="10"/>
        <v>7.93333333333333</v>
      </c>
      <c r="X17" s="369"/>
    </row>
    <row r="18" spans="1:24" ht="14.4" x14ac:dyDescent="0.3">
      <c r="A18" s="40"/>
      <c r="B18" s="304">
        <v>43205</v>
      </c>
      <c r="C18" s="409" t="s">
        <v>47</v>
      </c>
      <c r="D18" s="410"/>
      <c r="E18" s="310">
        <f>IFERROR(VLOOKUP(C18,TR!$B$2:$F$612,2,0),"")</f>
        <v>0</v>
      </c>
      <c r="F18" s="311">
        <f>IFERROR(VLOOKUP(C18,TR!$B$2:$F$612,3,0),"")</f>
        <v>0</v>
      </c>
      <c r="G18" s="321">
        <f t="shared" si="6"/>
        <v>0</v>
      </c>
      <c r="H18" s="310">
        <f>IFERROR(VLOOKUP(C18,TR!$B$2:$F$612,4,0),"")</f>
        <v>0</v>
      </c>
      <c r="I18" s="311">
        <f>IFERROR(VLOOKUP(C18,TR!$B$2:$F$612,5,0),"")</f>
        <v>0</v>
      </c>
      <c r="J18" s="321">
        <f t="shared" si="7"/>
        <v>0</v>
      </c>
      <c r="K18" s="322" t="str">
        <f t="shared" si="0"/>
        <v/>
      </c>
      <c r="L18" s="323" t="str">
        <f t="shared" si="1"/>
        <v/>
      </c>
      <c r="M18" s="324" t="str">
        <f t="shared" si="2"/>
        <v/>
      </c>
      <c r="N18" s="37" t="str">
        <f t="shared" si="8"/>
        <v/>
      </c>
      <c r="O18" s="315" t="str">
        <f t="shared" si="3"/>
        <v/>
      </c>
      <c r="P18" s="408" t="str">
        <f>IF(AND(L18="",M18=""),IF(OR(SUMPRODUCT(N(ISNUMBER(FIND({"s";"d";"f"},C18))))&gt;0,G18+J18&lt;0,AND(G18&gt;0,J18&gt;0,I18&gt;"20:30"*1),AND(I18&lt;="20:30"*1,SUM(I18,R18)&gt;="20:31"*1)),1,""),"")</f>
        <v/>
      </c>
      <c r="Q18" s="326" t="str">
        <f t="shared" si="9"/>
        <v/>
      </c>
      <c r="R18" s="31"/>
      <c r="S18" s="327" t="str">
        <f t="shared" si="4"/>
        <v/>
      </c>
      <c r="T18" s="34">
        <f t="shared" si="5"/>
        <v>0</v>
      </c>
      <c r="U18" s="154">
        <f t="shared" si="11"/>
        <v>0</v>
      </c>
      <c r="V18" s="188"/>
      <c r="W18" s="156" t="str">
        <f t="shared" si="10"/>
        <v>0,00</v>
      </c>
      <c r="X18" s="369"/>
    </row>
    <row r="19" spans="1:24" ht="14.4" x14ac:dyDescent="0.3">
      <c r="A19" s="40"/>
      <c r="B19" s="304">
        <v>43206</v>
      </c>
      <c r="C19" s="409" t="s">
        <v>124</v>
      </c>
      <c r="D19" s="410"/>
      <c r="E19" s="310">
        <f>IFERROR(VLOOKUP(C19,TR!$B$2:$F$612,2,0),"")</f>
        <v>0.30694444444444441</v>
      </c>
      <c r="F19" s="311">
        <f>IFERROR(VLOOKUP(C19,TR!$B$2:$F$612,3,0),"")</f>
        <v>0.43263888888888885</v>
      </c>
      <c r="G19" s="321">
        <f t="shared" si="6"/>
        <v>0.12569444444444444</v>
      </c>
      <c r="H19" s="310">
        <f>IFERROR(VLOOKUP(C19,TR!$B$2:$F$612,4,0),"")</f>
        <v>0.62083333333333335</v>
      </c>
      <c r="I19" s="311">
        <f>IFERROR(VLOOKUP(C19,TR!$B$2:$F$612,5,0),"")</f>
        <v>0.84444444444444444</v>
      </c>
      <c r="J19" s="321">
        <f t="shared" si="7"/>
        <v>0.22361111111111109</v>
      </c>
      <c r="K19" s="322" t="str">
        <f t="shared" si="0"/>
        <v/>
      </c>
      <c r="L19" s="323" t="str">
        <f t="shared" si="1"/>
        <v/>
      </c>
      <c r="M19" s="324" t="str">
        <f t="shared" si="2"/>
        <v/>
      </c>
      <c r="N19" s="37" t="str">
        <f t="shared" si="8"/>
        <v/>
      </c>
      <c r="O19" s="315" t="str">
        <f t="shared" si="3"/>
        <v/>
      </c>
      <c r="P19" s="408" t="str">
        <f>IF(AND(L19="",M19=""),IF(OR(SUMPRODUCT(N(ISNUMBER(FIND({"s";"d";"f"},C19))))&gt;0,G19+J19&lt;0,AND(G19&gt;0,J19&gt;0,I19&gt;"20:30"*1),AND(I19&lt;="20:30"*1,SUM(I19,R19)&gt;="20:31"*1)),1,""),"")</f>
        <v/>
      </c>
      <c r="Q19" s="326">
        <f t="shared" si="9"/>
        <v>1</v>
      </c>
      <c r="R19" s="31">
        <v>8.3333333333333332E-3</v>
      </c>
      <c r="S19" s="327">
        <f t="shared" si="4"/>
        <v>0.53750000000000009</v>
      </c>
      <c r="T19" s="34">
        <f t="shared" si="5"/>
        <v>0.34930555555555554</v>
      </c>
      <c r="U19" s="154">
        <f t="shared" si="11"/>
        <v>8.3833333333333329</v>
      </c>
      <c r="V19" s="188"/>
      <c r="W19" s="156">
        <f t="shared" si="10"/>
        <v>8.3833333333333329</v>
      </c>
      <c r="X19" s="369"/>
    </row>
    <row r="20" spans="1:24" ht="14.4" x14ac:dyDescent="0.3">
      <c r="A20" s="40"/>
      <c r="B20" s="304">
        <v>43207</v>
      </c>
      <c r="C20" s="409" t="s">
        <v>125</v>
      </c>
      <c r="D20" s="410"/>
      <c r="E20" s="310">
        <f>IFERROR(VLOOKUP(C20,TR!$B$2:$F$612,2,0),"")</f>
        <v>0</v>
      </c>
      <c r="F20" s="311">
        <f>IFERROR(VLOOKUP(C20,TR!$B$2:$F$612,3,0),"")</f>
        <v>0</v>
      </c>
      <c r="G20" s="321">
        <f t="shared" si="6"/>
        <v>0</v>
      </c>
      <c r="H20" s="310">
        <f>IFERROR(VLOOKUP(C20,TR!$B$2:$F$612,4,0),"")</f>
        <v>0.55486111111111114</v>
      </c>
      <c r="I20" s="311">
        <f>IFERROR(VLOOKUP(C20,TR!$B$2:$F$612,5,0),"")</f>
        <v>0.88541666666666663</v>
      </c>
      <c r="J20" s="321">
        <f t="shared" si="7"/>
        <v>0.33055555555555549</v>
      </c>
      <c r="K20" s="322" t="str">
        <f t="shared" si="0"/>
        <v/>
      </c>
      <c r="L20" s="323" t="str">
        <f t="shared" si="1"/>
        <v/>
      </c>
      <c r="M20" s="324" t="str">
        <f t="shared" si="2"/>
        <v/>
      </c>
      <c r="N20" s="37" t="str">
        <f t="shared" si="8"/>
        <v/>
      </c>
      <c r="O20" s="315" t="str">
        <f t="shared" si="3"/>
        <v/>
      </c>
      <c r="P20" s="408" t="str">
        <f>IF(AND(L20="",M20=""),IF(OR(SUMPRODUCT(N(ISNUMBER(FIND({"s";"d";"f"},C20))))&gt;0,G20+J20&lt;0,AND(G20&gt;0,J20&gt;0,I20&gt;"20:30"*1),AND(I20&lt;="20:30"*1,SUM(I20,R20)&gt;="20:31"*1)),1,""),"")</f>
        <v/>
      </c>
      <c r="Q20" s="326" t="str">
        <f t="shared" si="9"/>
        <v/>
      </c>
      <c r="R20" s="31"/>
      <c r="S20" s="327">
        <f t="shared" si="4"/>
        <v>0.33055555555555549</v>
      </c>
      <c r="T20" s="34">
        <f t="shared" si="5"/>
        <v>0.33055555555555549</v>
      </c>
      <c r="U20" s="154">
        <f t="shared" si="11"/>
        <v>7.9333333333333318</v>
      </c>
      <c r="V20" s="188"/>
      <c r="W20" s="156">
        <f t="shared" si="10"/>
        <v>7.9333333333333318</v>
      </c>
      <c r="X20" s="369"/>
    </row>
    <row r="21" spans="1:24" ht="14.4" x14ac:dyDescent="0.3">
      <c r="A21" s="40"/>
      <c r="B21" s="304">
        <v>43208</v>
      </c>
      <c r="C21" s="413" t="s">
        <v>200</v>
      </c>
      <c r="D21" s="414"/>
      <c r="E21" s="310">
        <f>IFERROR(VLOOKUP(C21,TR!$B$2:$F$612,2,0),"")</f>
        <v>0</v>
      </c>
      <c r="F21" s="311">
        <f>IFERROR(VLOOKUP(C21,TR!$B$2:$F$612,3,0),"")</f>
        <v>0</v>
      </c>
      <c r="G21" s="328">
        <f t="shared" si="6"/>
        <v>0</v>
      </c>
      <c r="H21" s="310">
        <f>IFERROR(VLOOKUP(C21,TR!$B$2:$F$612,4,0),"")</f>
        <v>0.50555555555555554</v>
      </c>
      <c r="I21" s="311">
        <f>IFERROR(VLOOKUP(C21,TR!$B$2:$F$612,5,0),"")</f>
        <v>0.83333333333333337</v>
      </c>
      <c r="J21" s="328">
        <f t="shared" si="7"/>
        <v>0.32777777777777783</v>
      </c>
      <c r="K21" s="322" t="str">
        <f t="shared" si="0"/>
        <v/>
      </c>
      <c r="L21" s="323">
        <f t="shared" si="1"/>
        <v>1</v>
      </c>
      <c r="M21" s="324" t="str">
        <f t="shared" si="2"/>
        <v/>
      </c>
      <c r="N21" s="37" t="str">
        <f t="shared" si="8"/>
        <v/>
      </c>
      <c r="O21" s="315" t="str">
        <f t="shared" si="3"/>
        <v/>
      </c>
      <c r="P21" s="408" t="str">
        <f>IF(AND(L21="",M21=""),IF(OR(SUMPRODUCT(N(ISNUMBER(FIND({"s";"d";"f"},C21))))&gt;0,G21+J21&lt;0,AND(G21&gt;0,J21&gt;0,I21&gt;"20:30"*1),AND(I21&lt;="20:30"*1,SUM(I21,R21)&gt;="20:31"*1)),1,""),"")</f>
        <v/>
      </c>
      <c r="Q21" s="326" t="str">
        <f t="shared" si="9"/>
        <v/>
      </c>
      <c r="R21" s="31"/>
      <c r="S21" s="327">
        <f t="shared" si="4"/>
        <v>0.32777777777777783</v>
      </c>
      <c r="T21" s="34">
        <f t="shared" si="5"/>
        <v>0.32777777777777783</v>
      </c>
      <c r="U21" s="154">
        <f t="shared" si="11"/>
        <v>7.866666666666668</v>
      </c>
      <c r="V21" s="188"/>
      <c r="W21" s="156">
        <f t="shared" si="10"/>
        <v>7.866666666666668</v>
      </c>
      <c r="X21" s="369"/>
    </row>
    <row r="22" spans="1:24" ht="14.4" x14ac:dyDescent="0.3">
      <c r="A22" s="40"/>
      <c r="B22" s="304">
        <v>43209</v>
      </c>
      <c r="C22" s="415" t="s">
        <v>46</v>
      </c>
      <c r="D22" s="416"/>
      <c r="E22" s="310">
        <f>IFERROR(VLOOKUP(C22,TR!$B$2:$F$612,2,0),"")</f>
        <v>0</v>
      </c>
      <c r="F22" s="311">
        <f>IFERROR(VLOOKUP(C22,TR!$B$2:$F$612,3,0),"")</f>
        <v>0</v>
      </c>
      <c r="G22" s="328">
        <f t="shared" si="6"/>
        <v>0</v>
      </c>
      <c r="H22" s="310">
        <f>IFERROR(VLOOKUP(C22,TR!$B$2:$F$612,4,0),"")</f>
        <v>0</v>
      </c>
      <c r="I22" s="311">
        <f>IFERROR(VLOOKUP(C22,TR!$B$2:$F$612,5,0),"")</f>
        <v>0</v>
      </c>
      <c r="J22" s="328">
        <f t="shared" si="7"/>
        <v>0</v>
      </c>
      <c r="K22" s="322" t="str">
        <f t="shared" si="0"/>
        <v/>
      </c>
      <c r="L22" s="323" t="str">
        <f t="shared" si="1"/>
        <v/>
      </c>
      <c r="M22" s="324" t="str">
        <f t="shared" si="2"/>
        <v/>
      </c>
      <c r="N22" s="37" t="str">
        <f t="shared" si="8"/>
        <v/>
      </c>
      <c r="O22" s="315" t="str">
        <f t="shared" si="3"/>
        <v/>
      </c>
      <c r="P22" s="408" t="str">
        <f>IF(AND(L22="",M22=""),IF(OR(SUMPRODUCT(N(ISNUMBER(FIND({"s";"d";"f"},C22))))&gt;0,G22+J22&lt;0,AND(G22&gt;0,J22&gt;0,I22&gt;"20:30"*1),AND(I22&lt;="20:30"*1,SUM(I22,R22)&gt;="20:31"*1)),1,""),"")</f>
        <v/>
      </c>
      <c r="Q22" s="326" t="str">
        <f t="shared" si="9"/>
        <v/>
      </c>
      <c r="R22" s="31"/>
      <c r="S22" s="327" t="str">
        <f t="shared" si="4"/>
        <v/>
      </c>
      <c r="T22" s="34">
        <f t="shared" si="5"/>
        <v>0</v>
      </c>
      <c r="U22" s="154">
        <f t="shared" si="11"/>
        <v>0</v>
      </c>
      <c r="V22" s="188"/>
      <c r="W22" s="156" t="str">
        <f t="shared" si="10"/>
        <v>0,00</v>
      </c>
      <c r="X22" s="369"/>
    </row>
    <row r="23" spans="1:24" ht="15" thickBot="1" x14ac:dyDescent="0.35">
      <c r="A23" s="40"/>
      <c r="B23" s="335">
        <v>43210</v>
      </c>
      <c r="C23" s="467" t="s">
        <v>126</v>
      </c>
      <c r="D23" s="468"/>
      <c r="E23" s="338">
        <f>IFERROR(VLOOKUP(C23,TR!$B$2:$F$612,2,0),"")</f>
        <v>0</v>
      </c>
      <c r="F23" s="339">
        <f>IFERROR(VLOOKUP(C23,TR!$B$2:$F$612,3,0),"")</f>
        <v>0</v>
      </c>
      <c r="G23" s="340">
        <f t="shared" si="6"/>
        <v>0</v>
      </c>
      <c r="H23" s="338">
        <f>IFERROR(VLOOKUP(C23,TR!$B$2:$F$612,4,0),"")</f>
        <v>0.71597222222222223</v>
      </c>
      <c r="I23" s="339">
        <f>IFERROR(VLOOKUP(C23,TR!$B$2:$F$612,5,0),"")</f>
        <v>1.0374999999999999</v>
      </c>
      <c r="J23" s="340">
        <f t="shared" si="7"/>
        <v>0.32152777777777763</v>
      </c>
      <c r="K23" s="536">
        <f t="shared" si="0"/>
        <v>1</v>
      </c>
      <c r="L23" s="540" t="str">
        <f t="shared" si="1"/>
        <v/>
      </c>
      <c r="M23" s="538">
        <f t="shared" si="2"/>
        <v>1</v>
      </c>
      <c r="N23" s="245" t="str">
        <f t="shared" si="8"/>
        <v/>
      </c>
      <c r="O23" s="341" t="str">
        <f t="shared" si="3"/>
        <v/>
      </c>
      <c r="P23" s="424" t="str">
        <f>IF(AND(L23="",M23=""),IF(OR(SUMPRODUCT(N(ISNUMBER(FIND({"s";"d";"f"},C23))))&gt;0,G23+J23&lt;0,AND(G23&gt;0,J23&gt;0,I23&gt;"20:30"*1),AND(I23&lt;="20:30"*1,SUM(I23,R23)&gt;="20:31"*1)),1,""),"")</f>
        <v/>
      </c>
      <c r="Q23" s="343" t="str">
        <f t="shared" si="9"/>
        <v/>
      </c>
      <c r="R23" s="246"/>
      <c r="S23" s="344">
        <f t="shared" si="4"/>
        <v>0.32152777777777763</v>
      </c>
      <c r="T23" s="247">
        <f t="shared" si="5"/>
        <v>0.32152777777777763</v>
      </c>
      <c r="U23" s="248">
        <f t="shared" si="11"/>
        <v>7.7166666666666632</v>
      </c>
      <c r="V23" s="249"/>
      <c r="W23" s="252">
        <f t="shared" si="10"/>
        <v>7.7166666666666632</v>
      </c>
      <c r="X23" s="369"/>
    </row>
    <row r="24" spans="1:24" ht="14.4" x14ac:dyDescent="0.3">
      <c r="A24" s="40"/>
      <c r="B24" s="304">
        <v>43211</v>
      </c>
      <c r="C24" s="469" t="s">
        <v>127</v>
      </c>
      <c r="D24" s="470"/>
      <c r="E24" s="347">
        <f>IFERROR(VLOOKUP(C24,TR!$B$2:$F$612,2,0),"")</f>
        <v>0</v>
      </c>
      <c r="F24" s="348">
        <f>IFERROR(VLOOKUP(C24,TR!$B$2:$F$612,3,0),"")</f>
        <v>0</v>
      </c>
      <c r="G24" s="349">
        <f t="shared" si="6"/>
        <v>0</v>
      </c>
      <c r="H24" s="347">
        <f>IFERROR(VLOOKUP(C24,TR!$B$2:$F$612,4,0),"")</f>
        <v>0.5444444444444444</v>
      </c>
      <c r="I24" s="348">
        <f>IFERROR(VLOOKUP(C24,TR!$B$2:$F$612,5,0),"")</f>
        <v>0.87222222222222223</v>
      </c>
      <c r="J24" s="349">
        <f t="shared" si="7"/>
        <v>0.32777777777777783</v>
      </c>
      <c r="K24" s="533" t="str">
        <f t="shared" si="0"/>
        <v/>
      </c>
      <c r="L24" s="539" t="str">
        <f t="shared" si="1"/>
        <v/>
      </c>
      <c r="M24" s="535" t="str">
        <f t="shared" si="2"/>
        <v/>
      </c>
      <c r="N24" s="243" t="str">
        <f t="shared" si="8"/>
        <v/>
      </c>
      <c r="O24" s="350" t="str">
        <f t="shared" si="3"/>
        <v/>
      </c>
      <c r="P24" s="433">
        <f>IF(AND(L24="",M24=""),IF(OR(SUMPRODUCT(N(ISNUMBER(FIND({"s";"d";"f"},C24))))&gt;0,G24+J24&lt;0,AND(G24&gt;0,J24&gt;0,I24&gt;"20:30"*1),AND(I24&lt;="20:30"*1,SUM(I24,R24)&gt;="20:31"*1)),1,""),"")</f>
        <v>1</v>
      </c>
      <c r="Q24" s="352" t="str">
        <f t="shared" si="9"/>
        <v/>
      </c>
      <c r="R24" s="244"/>
      <c r="S24" s="353">
        <f t="shared" si="4"/>
        <v>0.32777777777777783</v>
      </c>
      <c r="T24" s="34">
        <f t="shared" si="5"/>
        <v>0.32777777777777783</v>
      </c>
      <c r="U24" s="153">
        <f t="shared" si="11"/>
        <v>7.866666666666668</v>
      </c>
      <c r="V24" s="187"/>
      <c r="W24" s="156">
        <f t="shared" si="10"/>
        <v>7.866666666666668</v>
      </c>
      <c r="X24" s="369"/>
    </row>
    <row r="25" spans="1:24" ht="14.4" x14ac:dyDescent="0.3">
      <c r="A25" s="40"/>
      <c r="B25" s="304">
        <v>43212</v>
      </c>
      <c r="C25" s="415" t="s">
        <v>47</v>
      </c>
      <c r="D25" s="416"/>
      <c r="E25" s="310">
        <f>IFERROR(VLOOKUP(C25,TR!$B$2:$F$612,2,0),"")</f>
        <v>0</v>
      </c>
      <c r="F25" s="311">
        <f>IFERROR(VLOOKUP(C25,TR!$B$2:$F$612,3,0),"")</f>
        <v>0</v>
      </c>
      <c r="G25" s="328">
        <f t="shared" si="6"/>
        <v>0</v>
      </c>
      <c r="H25" s="310">
        <f>IFERROR(VLOOKUP(C25,TR!$B$2:$F$612,4,0),"")</f>
        <v>0</v>
      </c>
      <c r="I25" s="311">
        <f>IFERROR(VLOOKUP(C25,TR!$B$2:$F$612,5,0),"")</f>
        <v>0</v>
      </c>
      <c r="J25" s="328">
        <f t="shared" si="7"/>
        <v>0</v>
      </c>
      <c r="K25" s="322" t="str">
        <f t="shared" si="0"/>
        <v/>
      </c>
      <c r="L25" s="323" t="str">
        <f t="shared" si="1"/>
        <v/>
      </c>
      <c r="M25" s="324" t="str">
        <f t="shared" si="2"/>
        <v/>
      </c>
      <c r="N25" s="37" t="str">
        <f t="shared" si="8"/>
        <v/>
      </c>
      <c r="O25" s="315" t="str">
        <f t="shared" si="3"/>
        <v/>
      </c>
      <c r="P25" s="408" t="str">
        <f>IF(AND(L25="",M25=""),IF(OR(SUMPRODUCT(N(ISNUMBER(FIND({"s";"d";"f"},C25))))&gt;0,G25+J25&lt;0,AND(G25&gt;0,J25&gt;0,I25&gt;"20:30"*1),AND(I25&lt;="20:30"*1,SUM(I25,R25)&gt;="20:31"*1)),1,""),"")</f>
        <v/>
      </c>
      <c r="Q25" s="326" t="str">
        <f t="shared" si="9"/>
        <v/>
      </c>
      <c r="R25" s="31"/>
      <c r="S25" s="327" t="str">
        <f t="shared" si="4"/>
        <v/>
      </c>
      <c r="T25" s="34">
        <f t="shared" si="5"/>
        <v>0</v>
      </c>
      <c r="U25" s="154">
        <f t="shared" si="11"/>
        <v>0</v>
      </c>
      <c r="V25" s="188"/>
      <c r="W25" s="156" t="str">
        <f t="shared" si="10"/>
        <v>0,00</v>
      </c>
      <c r="X25" s="369"/>
    </row>
    <row r="26" spans="1:24" ht="14.4" x14ac:dyDescent="0.3">
      <c r="A26" s="40"/>
      <c r="B26" s="304">
        <v>43213</v>
      </c>
      <c r="C26" s="409" t="s">
        <v>187</v>
      </c>
      <c r="D26" s="410"/>
      <c r="E26" s="310">
        <f>IFERROR(VLOOKUP(C26,TR!$B$2:$F$612,2,0),"")</f>
        <v>0.26041666666666669</v>
      </c>
      <c r="F26" s="311">
        <f>IFERROR(VLOOKUP(C26,TR!$B$2:$F$612,3,0),"")</f>
        <v>0.5854166666666667</v>
      </c>
      <c r="G26" s="321">
        <f t="shared" si="6"/>
        <v>0.32500000000000001</v>
      </c>
      <c r="H26" s="310">
        <f>IFERROR(VLOOKUP(C26,TR!$B$2:$F$612,4,0),"")</f>
        <v>0</v>
      </c>
      <c r="I26" s="311">
        <f>IFERROR(VLOOKUP(C26,TR!$B$2:$F$612,5,0),"")</f>
        <v>0</v>
      </c>
      <c r="J26" s="321">
        <f t="shared" si="7"/>
        <v>0</v>
      </c>
      <c r="K26" s="322" t="str">
        <f t="shared" si="0"/>
        <v/>
      </c>
      <c r="L26" s="323">
        <f t="shared" si="1"/>
        <v>1</v>
      </c>
      <c r="M26" s="324" t="str">
        <f t="shared" si="2"/>
        <v/>
      </c>
      <c r="N26" s="37" t="str">
        <f t="shared" si="8"/>
        <v/>
      </c>
      <c r="O26" s="315" t="str">
        <f t="shared" si="3"/>
        <v/>
      </c>
      <c r="P26" s="408" t="str">
        <f>IF(AND(L26="",M26=""),IF(OR(SUMPRODUCT(N(ISNUMBER(FIND({"s";"d";"f"},C26))))&gt;0,G26+J26&lt;0,AND(G26&gt;0,J26&gt;0,I26&gt;"20:30"*1),AND(I26&lt;="20:30"*1,SUM(I26,R26)&gt;="20:31"*1)),1,""),"")</f>
        <v/>
      </c>
      <c r="Q26" s="326" t="str">
        <f t="shared" si="9"/>
        <v/>
      </c>
      <c r="R26" s="31"/>
      <c r="S26" s="327">
        <f t="shared" si="4"/>
        <v>0.32500000000000001</v>
      </c>
      <c r="T26" s="34">
        <f t="shared" si="5"/>
        <v>0.32500000000000001</v>
      </c>
      <c r="U26" s="154">
        <f t="shared" si="11"/>
        <v>7.8000000000000007</v>
      </c>
      <c r="V26" s="188"/>
      <c r="W26" s="156">
        <f t="shared" si="10"/>
        <v>7.8000000000000007</v>
      </c>
      <c r="X26" s="369"/>
    </row>
    <row r="27" spans="1:24" ht="14.4" x14ac:dyDescent="0.3">
      <c r="A27" s="40"/>
      <c r="B27" s="304">
        <v>43214</v>
      </c>
      <c r="C27" s="409" t="s">
        <v>187</v>
      </c>
      <c r="D27" s="410"/>
      <c r="E27" s="310">
        <f>IFERROR(VLOOKUP(C27,TR!$B$2:$F$612,2,0),"")</f>
        <v>0.26041666666666669</v>
      </c>
      <c r="F27" s="311">
        <f>IFERROR(VLOOKUP(C27,TR!$B$2:$F$612,3,0),"")</f>
        <v>0.5854166666666667</v>
      </c>
      <c r="G27" s="321">
        <f t="shared" si="6"/>
        <v>0.32500000000000001</v>
      </c>
      <c r="H27" s="310">
        <f>IFERROR(VLOOKUP(C27,TR!$B$2:$F$612,4,0),"")</f>
        <v>0</v>
      </c>
      <c r="I27" s="311">
        <f>IFERROR(VLOOKUP(C27,TR!$B$2:$F$612,5,0),"")</f>
        <v>0</v>
      </c>
      <c r="J27" s="321">
        <f t="shared" si="7"/>
        <v>0</v>
      </c>
      <c r="K27" s="322" t="str">
        <f t="shared" si="0"/>
        <v/>
      </c>
      <c r="L27" s="323">
        <f t="shared" si="1"/>
        <v>1</v>
      </c>
      <c r="M27" s="324" t="str">
        <f t="shared" si="2"/>
        <v/>
      </c>
      <c r="N27" s="37" t="str">
        <f t="shared" si="8"/>
        <v/>
      </c>
      <c r="O27" s="315" t="str">
        <f t="shared" si="3"/>
        <v/>
      </c>
      <c r="P27" s="408" t="str">
        <f>IF(AND(L27="",M27=""),IF(OR(SUMPRODUCT(N(ISNUMBER(FIND({"s";"d";"f"},C27))))&gt;0,G27+J27&lt;0,AND(G27&gt;0,J27&gt;0,I27&gt;"20:30"*1),AND(I27&lt;="20:30"*1,SUM(I27,R27)&gt;="20:31"*1)),1,""),"")</f>
        <v/>
      </c>
      <c r="Q27" s="326" t="str">
        <f t="shared" si="9"/>
        <v/>
      </c>
      <c r="R27" s="31"/>
      <c r="S27" s="327">
        <f t="shared" si="4"/>
        <v>0.32500000000000001</v>
      </c>
      <c r="T27" s="34">
        <f t="shared" si="5"/>
        <v>0.32500000000000001</v>
      </c>
      <c r="U27" s="154">
        <f t="shared" si="11"/>
        <v>7.8000000000000007</v>
      </c>
      <c r="V27" s="188"/>
      <c r="W27" s="156">
        <f t="shared" si="10"/>
        <v>7.8000000000000007</v>
      </c>
      <c r="X27" s="369"/>
    </row>
    <row r="28" spans="1:24" ht="14.4" x14ac:dyDescent="0.3">
      <c r="A28" s="40"/>
      <c r="B28" s="304">
        <v>43215</v>
      </c>
      <c r="C28" s="409" t="s">
        <v>190</v>
      </c>
      <c r="D28" s="410"/>
      <c r="E28" s="310">
        <f>IFERROR(VLOOKUP(C28,TR!$B$2:$F$612,2,0),"")</f>
        <v>0.24652777777777779</v>
      </c>
      <c r="F28" s="311">
        <f>IFERROR(VLOOKUP(C28,TR!$B$2:$F$612,3,0),"")</f>
        <v>0.57152777777777775</v>
      </c>
      <c r="G28" s="321">
        <f t="shared" si="6"/>
        <v>0.32499999999999996</v>
      </c>
      <c r="H28" s="310">
        <f>IFERROR(VLOOKUP(C28,TR!$B$2:$F$612,4,0),"")</f>
        <v>0</v>
      </c>
      <c r="I28" s="311">
        <f>IFERROR(VLOOKUP(C28,TR!$B$2:$F$612,5,0),"")</f>
        <v>0</v>
      </c>
      <c r="J28" s="321">
        <f t="shared" si="7"/>
        <v>0</v>
      </c>
      <c r="K28" s="322" t="str">
        <f t="shared" si="0"/>
        <v/>
      </c>
      <c r="L28" s="323">
        <f t="shared" si="1"/>
        <v>1</v>
      </c>
      <c r="M28" s="324" t="str">
        <f t="shared" si="2"/>
        <v/>
      </c>
      <c r="N28" s="37" t="str">
        <f t="shared" si="8"/>
        <v/>
      </c>
      <c r="O28" s="315" t="str">
        <f t="shared" si="3"/>
        <v/>
      </c>
      <c r="P28" s="408" t="str">
        <f>IF(AND(L28="",M28=""),IF(OR(SUMPRODUCT(N(ISNUMBER(FIND({"s";"d";"f"},C28))))&gt;0,G28+J28&lt;0,AND(G28&gt;0,J28&gt;0,I28&gt;"20:30"*1),AND(I28&lt;="20:30"*1,SUM(I28,R28)&gt;="20:31"*1)),1,""),"")</f>
        <v/>
      </c>
      <c r="Q28" s="326" t="str">
        <f t="shared" si="9"/>
        <v/>
      </c>
      <c r="R28" s="31"/>
      <c r="S28" s="327">
        <f t="shared" si="4"/>
        <v>0.32499999999999996</v>
      </c>
      <c r="T28" s="34">
        <f t="shared" si="5"/>
        <v>0.32499999999999996</v>
      </c>
      <c r="U28" s="154">
        <f t="shared" si="11"/>
        <v>7.7999999999999989</v>
      </c>
      <c r="V28" s="188"/>
      <c r="W28" s="156">
        <f t="shared" si="10"/>
        <v>7.7999999999999989</v>
      </c>
      <c r="X28" s="369"/>
    </row>
    <row r="29" spans="1:24" ht="14.4" x14ac:dyDescent="0.3">
      <c r="A29" s="40"/>
      <c r="B29" s="304">
        <v>43216</v>
      </c>
      <c r="C29" s="409" t="s">
        <v>188</v>
      </c>
      <c r="D29" s="410"/>
      <c r="E29" s="310">
        <f>IFERROR(VLOOKUP(C29,TR!$B$2:$F$612,2,0),"")</f>
        <v>0.25</v>
      </c>
      <c r="F29" s="311">
        <f>IFERROR(VLOOKUP(C29,TR!$B$2:$F$612,3,0),"")</f>
        <v>0.5756944444444444</v>
      </c>
      <c r="G29" s="321">
        <f t="shared" si="6"/>
        <v>0.3256944444444444</v>
      </c>
      <c r="H29" s="310">
        <f>IFERROR(VLOOKUP(C29,TR!$B$2:$F$612,4,0),"")</f>
        <v>0</v>
      </c>
      <c r="I29" s="311">
        <f>IFERROR(VLOOKUP(C29,TR!$B$2:$F$612,5,0),"")</f>
        <v>0</v>
      </c>
      <c r="J29" s="321">
        <f t="shared" si="7"/>
        <v>0</v>
      </c>
      <c r="K29" s="322" t="str">
        <f t="shared" si="0"/>
        <v/>
      </c>
      <c r="L29" s="323">
        <f t="shared" si="1"/>
        <v>1</v>
      </c>
      <c r="M29" s="324" t="str">
        <f t="shared" si="2"/>
        <v/>
      </c>
      <c r="N29" s="37" t="str">
        <f t="shared" si="8"/>
        <v/>
      </c>
      <c r="O29" s="315" t="str">
        <f t="shared" si="3"/>
        <v/>
      </c>
      <c r="P29" s="408" t="str">
        <f>IF(AND(L29="",M29=""),IF(OR(SUMPRODUCT(N(ISNUMBER(FIND({"s";"d";"f"},C29))))&gt;0,G29+J29&lt;0,AND(G29&gt;0,J29&gt;0,I29&gt;"20:30"*1),AND(I29&lt;="20:30"*1,SUM(I29,R29)&gt;="20:31"*1)),1,""),"")</f>
        <v/>
      </c>
      <c r="Q29" s="326" t="str">
        <f t="shared" si="9"/>
        <v/>
      </c>
      <c r="R29" s="31"/>
      <c r="S29" s="327">
        <f t="shared" si="4"/>
        <v>0.3256944444444444</v>
      </c>
      <c r="T29" s="34">
        <f t="shared" si="5"/>
        <v>0.3256944444444444</v>
      </c>
      <c r="U29" s="154">
        <f t="shared" si="11"/>
        <v>7.8166666666666655</v>
      </c>
      <c r="V29" s="188"/>
      <c r="W29" s="156">
        <f t="shared" si="10"/>
        <v>7.8166666666666655</v>
      </c>
      <c r="X29" s="369"/>
    </row>
    <row r="30" spans="1:24" ht="14.4" x14ac:dyDescent="0.3">
      <c r="A30" s="40"/>
      <c r="B30" s="304">
        <v>43217</v>
      </c>
      <c r="C30" s="415" t="s">
        <v>189</v>
      </c>
      <c r="D30" s="416"/>
      <c r="E30" s="310">
        <f>IFERROR(VLOOKUP(C30,TR!$B$2:$F$612,2,0),"")</f>
        <v>0.24861111111111112</v>
      </c>
      <c r="F30" s="311">
        <f>IFERROR(VLOOKUP(C30,TR!$B$2:$F$612,3,0),"")</f>
        <v>0.57222222222222219</v>
      </c>
      <c r="G30" s="328">
        <f t="shared" si="6"/>
        <v>0.32361111111111107</v>
      </c>
      <c r="H30" s="310">
        <f>IFERROR(VLOOKUP(C30,TR!$B$2:$F$612,4,0),"")</f>
        <v>0</v>
      </c>
      <c r="I30" s="311">
        <f>IFERROR(VLOOKUP(C30,TR!$B$2:$F$612,5,0),"")</f>
        <v>0</v>
      </c>
      <c r="J30" s="328">
        <f t="shared" si="7"/>
        <v>0</v>
      </c>
      <c r="K30" s="322" t="str">
        <f t="shared" si="0"/>
        <v/>
      </c>
      <c r="L30" s="323">
        <f t="shared" si="1"/>
        <v>1</v>
      </c>
      <c r="M30" s="324" t="str">
        <f t="shared" si="2"/>
        <v/>
      </c>
      <c r="N30" s="37" t="str">
        <f t="shared" si="8"/>
        <v/>
      </c>
      <c r="O30" s="315" t="str">
        <f t="shared" si="3"/>
        <v/>
      </c>
      <c r="P30" s="408" t="str">
        <f>IF(AND(L30="",M30=""),IF(OR(SUMPRODUCT(N(ISNUMBER(FIND({"s";"d";"f"},C30))))&gt;0,G30+J30&lt;0,AND(G30&gt;0,J30&gt;0,I30&gt;"20:30"*1),AND(I30&lt;="20:30"*1,SUM(I30,R30)&gt;="20:31"*1)),1,""),"")</f>
        <v/>
      </c>
      <c r="Q30" s="326" t="str">
        <f t="shared" si="9"/>
        <v/>
      </c>
      <c r="R30" s="31"/>
      <c r="S30" s="327">
        <f t="shared" si="4"/>
        <v>0.32361111111111107</v>
      </c>
      <c r="T30" s="34">
        <f t="shared" si="5"/>
        <v>0.32361111111111107</v>
      </c>
      <c r="U30" s="154">
        <f t="shared" si="11"/>
        <v>7.7666666666666657</v>
      </c>
      <c r="V30" s="188"/>
      <c r="W30" s="156">
        <f t="shared" si="10"/>
        <v>7.7666666666666657</v>
      </c>
      <c r="X30" s="369"/>
    </row>
    <row r="31" spans="1:24" ht="14.4" x14ac:dyDescent="0.3">
      <c r="A31" s="40"/>
      <c r="B31" s="304">
        <v>43218</v>
      </c>
      <c r="C31" s="415" t="s">
        <v>46</v>
      </c>
      <c r="D31" s="416"/>
      <c r="E31" s="310">
        <f>IFERROR(VLOOKUP(C31,TR!$B$2:$F$612,2,0),"")</f>
        <v>0</v>
      </c>
      <c r="F31" s="311">
        <f>IFERROR(VLOOKUP(C31,TR!$B$2:$F$612,3,0),"")</f>
        <v>0</v>
      </c>
      <c r="G31" s="328">
        <f t="shared" si="6"/>
        <v>0</v>
      </c>
      <c r="H31" s="310">
        <f>IFERROR(VLOOKUP(C31,TR!$B$2:$F$612,4,0),"")</f>
        <v>0</v>
      </c>
      <c r="I31" s="311">
        <f>IFERROR(VLOOKUP(C31,TR!$B$2:$F$612,5,0),"")</f>
        <v>0</v>
      </c>
      <c r="J31" s="328">
        <f t="shared" si="7"/>
        <v>0</v>
      </c>
      <c r="K31" s="322" t="str">
        <f t="shared" si="0"/>
        <v/>
      </c>
      <c r="L31" s="323" t="str">
        <f t="shared" si="1"/>
        <v/>
      </c>
      <c r="M31" s="324" t="str">
        <f t="shared" si="2"/>
        <v/>
      </c>
      <c r="N31" s="37" t="str">
        <f t="shared" si="8"/>
        <v/>
      </c>
      <c r="O31" s="315" t="str">
        <f t="shared" si="3"/>
        <v/>
      </c>
      <c r="P31" s="408" t="str">
        <f>IF(AND(L31="",M31=""),IF(OR(SUMPRODUCT(N(ISNUMBER(FIND({"s";"d";"f"},C31))))&gt;0,G31+J31&lt;0,AND(G31&gt;0,J31&gt;0,I31&gt;"20:30"*1),AND(I31&lt;="20:30"*1,SUM(I31,R31)&gt;="20:31"*1)),1,""),"")</f>
        <v/>
      </c>
      <c r="Q31" s="326" t="str">
        <f t="shared" si="9"/>
        <v/>
      </c>
      <c r="R31" s="31"/>
      <c r="S31" s="327" t="str">
        <f t="shared" si="4"/>
        <v/>
      </c>
      <c r="T31" s="34">
        <f t="shared" si="5"/>
        <v>0</v>
      </c>
      <c r="U31" s="154">
        <f t="shared" si="11"/>
        <v>0</v>
      </c>
      <c r="V31" s="188"/>
      <c r="W31" s="156" t="str">
        <f t="shared" si="10"/>
        <v>0,00</v>
      </c>
      <c r="X31" s="369"/>
    </row>
    <row r="32" spans="1:24" ht="14.4" x14ac:dyDescent="0.3">
      <c r="A32" s="40"/>
      <c r="B32" s="304">
        <v>43219</v>
      </c>
      <c r="C32" s="415" t="s">
        <v>47</v>
      </c>
      <c r="D32" s="416"/>
      <c r="E32" s="310">
        <f>IFERROR(VLOOKUP(C32,TR!$B$2:$F$612,2,0),"")</f>
        <v>0</v>
      </c>
      <c r="F32" s="311">
        <f>IFERROR(VLOOKUP(C32,TR!$B$2:$F$612,3,0),"")</f>
        <v>0</v>
      </c>
      <c r="G32" s="328">
        <f t="shared" si="6"/>
        <v>0</v>
      </c>
      <c r="H32" s="310">
        <f>IFERROR(VLOOKUP(C32,TR!$B$2:$F$612,4,0),"")</f>
        <v>0</v>
      </c>
      <c r="I32" s="311">
        <f>IFERROR(VLOOKUP(C32,TR!$B$2:$F$612,5,0),"")</f>
        <v>0</v>
      </c>
      <c r="J32" s="328">
        <f t="shared" si="7"/>
        <v>0</v>
      </c>
      <c r="K32" s="322" t="str">
        <f t="shared" si="0"/>
        <v/>
      </c>
      <c r="L32" s="323" t="str">
        <f t="shared" si="1"/>
        <v/>
      </c>
      <c r="M32" s="324" t="str">
        <f t="shared" si="2"/>
        <v/>
      </c>
      <c r="N32" s="37" t="str">
        <f t="shared" si="8"/>
        <v/>
      </c>
      <c r="O32" s="315" t="str">
        <f t="shared" si="3"/>
        <v/>
      </c>
      <c r="P32" s="408" t="str">
        <f>IF(AND(L32="",M32=""),IF(OR(SUMPRODUCT(N(ISNUMBER(FIND({"s";"d";"f"},C32))))&gt;0,G32+J32&lt;0,AND(G32&gt;0,J32&gt;0,I32&gt;"20:30"*1),AND(I32&lt;="20:30"*1,SUM(I32,R32)&gt;="20:31"*1)),1,""),"")</f>
        <v/>
      </c>
      <c r="Q32" s="326" t="str">
        <f t="shared" si="9"/>
        <v/>
      </c>
      <c r="R32" s="31"/>
      <c r="S32" s="327" t="str">
        <f t="shared" si="4"/>
        <v/>
      </c>
      <c r="T32" s="34">
        <f t="shared" si="5"/>
        <v>0</v>
      </c>
      <c r="U32" s="154">
        <f t="shared" si="11"/>
        <v>0</v>
      </c>
      <c r="V32" s="188"/>
      <c r="W32" s="156" t="str">
        <f t="shared" si="10"/>
        <v>0,00</v>
      </c>
      <c r="X32" s="369"/>
    </row>
    <row r="33" spans="1:24" ht="14.4" x14ac:dyDescent="0.3">
      <c r="A33" s="40"/>
      <c r="B33" s="304">
        <v>43220</v>
      </c>
      <c r="C33" s="415" t="s">
        <v>191</v>
      </c>
      <c r="D33" s="416"/>
      <c r="E33" s="310">
        <f>IFERROR(VLOOKUP(C33,TR!$B$2:$F$612,2,0),"")</f>
        <v>0.17291666666666669</v>
      </c>
      <c r="F33" s="311">
        <f>IFERROR(VLOOKUP(C33,TR!$B$2:$F$612,3,0),"")</f>
        <v>0.42430555555555555</v>
      </c>
      <c r="G33" s="328">
        <f t="shared" si="6"/>
        <v>0.25138888888888888</v>
      </c>
      <c r="H33" s="310">
        <f>IFERROR(VLOOKUP(C33,TR!$B$2:$F$612,4,0),"")</f>
        <v>0</v>
      </c>
      <c r="I33" s="311">
        <f>IFERROR(VLOOKUP(C33,TR!$B$2:$F$612,5,0),"")</f>
        <v>0</v>
      </c>
      <c r="J33" s="328">
        <f t="shared" si="7"/>
        <v>0</v>
      </c>
      <c r="K33" s="322">
        <f t="shared" si="0"/>
        <v>1</v>
      </c>
      <c r="L33" s="323" t="str">
        <f t="shared" si="1"/>
        <v/>
      </c>
      <c r="M33" s="324" t="str">
        <f t="shared" si="2"/>
        <v/>
      </c>
      <c r="N33" s="37" t="str">
        <f t="shared" si="8"/>
        <v/>
      </c>
      <c r="O33" s="315" t="str">
        <f t="shared" si="3"/>
        <v/>
      </c>
      <c r="P33" s="408" t="str">
        <f>IF(AND(L33="",M33=""),IF(OR(SUMPRODUCT(N(ISNUMBER(FIND({"s";"d";"f"},C33))))&gt;0,G33+J33&lt;0,AND(G33&gt;0,J33&gt;0,I33&gt;"20:30"*1),AND(I33&lt;="20:30"*1,SUM(I33,R33)&gt;="20:31"*1)),1,""),"")</f>
        <v/>
      </c>
      <c r="Q33" s="326" t="str">
        <f t="shared" si="9"/>
        <v/>
      </c>
      <c r="R33" s="31"/>
      <c r="S33" s="327">
        <f t="shared" si="4"/>
        <v>0.25138888888888888</v>
      </c>
      <c r="T33" s="34">
        <f t="shared" si="5"/>
        <v>0.25138888888888888</v>
      </c>
      <c r="U33" s="154">
        <f t="shared" si="11"/>
        <v>6.0333333333333332</v>
      </c>
      <c r="V33" s="188"/>
      <c r="W33" s="156">
        <f t="shared" si="10"/>
        <v>6.0333333333333332</v>
      </c>
      <c r="X33" s="369"/>
    </row>
    <row r="34" spans="1:24" ht="15" thickBot="1" x14ac:dyDescent="0.35">
      <c r="A34" s="40"/>
      <c r="B34" s="354"/>
      <c r="C34" s="436"/>
      <c r="D34" s="437"/>
      <c r="E34" s="357" t="str">
        <f>IFERROR(VLOOKUP(C34,TR!$B$2:$F$612,2,0),"")</f>
        <v/>
      </c>
      <c r="F34" s="358" t="str">
        <f>IFERROR(VLOOKUP(C34,TR!$B$2:$F$612,3,0),"")</f>
        <v/>
      </c>
      <c r="G34" s="359"/>
      <c r="H34" s="357" t="str">
        <f>IFERROR(VLOOKUP(C34,TR!$B$2:$F$612,4,0),"")</f>
        <v/>
      </c>
      <c r="I34" s="358" t="str">
        <f>IFERROR(VLOOKUP(C34,TR!$B$2:$F$612,5,0),"")</f>
        <v/>
      </c>
      <c r="J34" s="359"/>
      <c r="K34" s="360" t="str">
        <f t="shared" si="0"/>
        <v/>
      </c>
      <c r="L34" s="361" t="str">
        <f t="shared" si="1"/>
        <v/>
      </c>
      <c r="M34" s="362" t="str">
        <f t="shared" si="2"/>
        <v/>
      </c>
      <c r="N34" s="38" t="str">
        <f t="shared" si="8"/>
        <v/>
      </c>
      <c r="O34" s="363" t="str">
        <f t="shared" si="3"/>
        <v/>
      </c>
      <c r="P34" s="440" t="str">
        <f>IF(AND(L34="",M34=""),IF(OR(SUMPRODUCT(N(ISNUMBER(FIND({"s";"d";"f"},C34))))&gt;0,G34+J34&lt;0,AND(G34&gt;0,J34&gt;0,I34&gt;"20:30"*1),AND(I34&lt;="20:30"*1,SUM(I34,R34)&gt;="20:31"*1)),1,""),"")</f>
        <v/>
      </c>
      <c r="Q34" s="365" t="str">
        <f t="shared" si="9"/>
        <v/>
      </c>
      <c r="R34" s="32"/>
      <c r="S34" s="366" t="str">
        <f t="shared" si="4"/>
        <v/>
      </c>
      <c r="T34" s="35"/>
      <c r="U34" s="155"/>
      <c r="V34" s="189"/>
      <c r="W34" s="157" t="str">
        <f t="shared" si="10"/>
        <v>0,00</v>
      </c>
      <c r="X34" s="369"/>
    </row>
    <row r="35" spans="1:24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P35" s="369"/>
      <c r="Q35" s="369"/>
      <c r="R35" s="369"/>
      <c r="S35" s="54"/>
      <c r="T35" s="55"/>
      <c r="U35" s="56"/>
      <c r="V35" s="57"/>
      <c r="W35" s="369"/>
      <c r="X35" s="369"/>
    </row>
    <row r="36" spans="1:24" ht="14.4" x14ac:dyDescent="0.3">
      <c r="A36" s="40"/>
      <c r="B36" s="373" t="s">
        <v>17</v>
      </c>
      <c r="C36" s="142">
        <f>(COUNTIF(Mars!C24:C34,"&lt;&gt;")+COUNTIF(Avril!C4:C23,"&lt;&gt;"))-(COUNTIF(Mars!C24:C34,"CC*")+COUNTIF(Avril!C4:C23,"CC*"))-(COUNTIF(Mars!C24:C34,"CH*")+COUNTIF(Avril!C4:C23,"CH*"))-(COUNTIF(Mars!C24:C34,"RT*")+COUNTIF(Avril!C4:C23,"RT*"))-(COUNTIF(Mars!C24:C34,"Férié*")+COUNTIF(Avril!C4:C23,"Férié*"))-(COUNTIF(Mars!C24:C34,"Mal*")+COUNTIF(Avril!C4:C23,"Mal*"))-(COUNTIF(Mars!C24:C34,"CP*")+COUNTIF(Avril!C4:C23,"CP*"))</f>
        <v>19</v>
      </c>
      <c r="D36" s="369"/>
      <c r="E36" s="370"/>
      <c r="F36" s="369"/>
      <c r="G36" s="40"/>
      <c r="H36" s="369"/>
      <c r="I36" s="613" t="s">
        <v>55</v>
      </c>
      <c r="J36" s="613"/>
      <c r="K36" s="72">
        <f>SUM(Mars!$K$24:$K$34,K4:K23)</f>
        <v>1</v>
      </c>
      <c r="L36" s="73">
        <f>SUM(Mars!$L$24:$L$34,L4:L23)</f>
        <v>10</v>
      </c>
      <c r="M36" s="214">
        <f>SUM(Mars!$M$24:$M$34,M4:M23)</f>
        <v>3</v>
      </c>
      <c r="N36" s="75">
        <f>SUM(Mars!$N$24:$N$34,N4:N23)</f>
        <v>1</v>
      </c>
      <c r="O36" s="76">
        <f>SUM(Mars!$O$24:$O$34,O4:O23)</f>
        <v>0</v>
      </c>
      <c r="P36" s="213">
        <f>SUM(Mars!$P$24:$P$34,P4:P23)</f>
        <v>0</v>
      </c>
      <c r="Q36" s="77">
        <f>SUM(Mars!$Q$24:$Q$34,Q4:Q23)</f>
        <v>1</v>
      </c>
      <c r="R36" s="232">
        <f>SUM(Mars!$R$24:$R$34,R4:R23)</f>
        <v>1.3888888888888888E-2</v>
      </c>
      <c r="S36" s="78"/>
      <c r="T36" s="79">
        <f>SUM(Mars!T24:T34)+SUM(Avril!T4:T23)</f>
        <v>5.9194444444444443</v>
      </c>
      <c r="U36" s="80">
        <f>SUM(U4:U34)</f>
        <v>146.05000000000004</v>
      </c>
      <c r="V36" s="186">
        <f>SUM(V4:V34)</f>
        <v>0</v>
      </c>
      <c r="W36" s="59"/>
      <c r="X36" s="369"/>
    </row>
    <row r="37" spans="1:24" ht="14.4" thickBot="1" x14ac:dyDescent="0.3">
      <c r="A37" s="40"/>
      <c r="B37" s="374" t="s">
        <v>51</v>
      </c>
      <c r="C37" s="143">
        <f>(COUNTIF(Mars!C24:C34,"CP")+COUNTIF(Avril!C4:C23,"CP"))</f>
        <v>0</v>
      </c>
      <c r="D37" s="369"/>
      <c r="E37" s="369"/>
      <c r="F37" s="369"/>
      <c r="G37" s="40"/>
      <c r="H37" s="40"/>
      <c r="I37" s="40"/>
      <c r="J37" s="40"/>
      <c r="K37" s="375">
        <f>(I39*2)*K36</f>
        <v>17.7056</v>
      </c>
      <c r="L37" s="376">
        <f>Recap!H35*L36</f>
        <v>71.399999999999991</v>
      </c>
      <c r="M37" s="377">
        <f>Recap!H35*M36</f>
        <v>21.419999999999998</v>
      </c>
      <c r="N37" s="378">
        <f>(I39*5)*N36</f>
        <v>44.264000000000003</v>
      </c>
      <c r="O37" s="379">
        <f>(Recap!H33)*O36</f>
        <v>0</v>
      </c>
      <c r="P37" s="380">
        <f>7.5*P36</f>
        <v>0</v>
      </c>
      <c r="Q37" s="381">
        <f>(I39*1.5)*Q36</f>
        <v>13.279199999999999</v>
      </c>
      <c r="R37" s="382">
        <f>R36*24</f>
        <v>0.33333333333333331</v>
      </c>
      <c r="S37" s="61"/>
      <c r="T37" s="62"/>
      <c r="U37" s="63"/>
      <c r="V37" s="57"/>
      <c r="W37" s="59"/>
      <c r="X37" s="369"/>
    </row>
    <row r="38" spans="1:24" x14ac:dyDescent="0.25">
      <c r="A38" s="369"/>
      <c r="B38" s="383" t="s">
        <v>47</v>
      </c>
      <c r="C38" s="144">
        <f>(COUNTIF(Mars!C24:C34,"CH")+COUNTIF(Avril!C4:C23,"CH"))</f>
        <v>4</v>
      </c>
      <c r="D38" s="369"/>
      <c r="E38" s="369"/>
      <c r="F38" s="40"/>
      <c r="G38" s="40"/>
      <c r="H38" s="40"/>
      <c r="I38" s="384" t="s">
        <v>54</v>
      </c>
      <c r="J38" s="40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04"/>
      <c r="V38" s="104">
        <v>6.1749999999999998</v>
      </c>
      <c r="W38" s="81">
        <f>V38*24</f>
        <v>148.19999999999999</v>
      </c>
      <c r="X38" s="69"/>
    </row>
    <row r="39" spans="1:24" ht="14.4" thickBot="1" x14ac:dyDescent="0.3">
      <c r="A39" s="369"/>
      <c r="B39" s="385" t="s">
        <v>45</v>
      </c>
      <c r="C39" s="145">
        <f>(COUNTIF(Mars!C24:C34,"RT")+COUNTIF(Avril!C4:C23,"RT"))</f>
        <v>2</v>
      </c>
      <c r="D39" s="369"/>
      <c r="E39" s="369"/>
      <c r="F39" s="40"/>
      <c r="G39" s="40"/>
      <c r="H39" s="40"/>
      <c r="I39" s="386">
        <v>8.8528000000000002</v>
      </c>
      <c r="J39" s="40"/>
      <c r="K39" s="40"/>
      <c r="L39" s="40"/>
      <c r="M39" s="40"/>
      <c r="N39" s="387"/>
      <c r="O39" s="387"/>
      <c r="P39" s="369"/>
      <c r="Q39" s="369"/>
      <c r="R39" s="369"/>
      <c r="S39" s="369"/>
      <c r="T39" s="369"/>
      <c r="U39" s="369"/>
      <c r="V39" s="388"/>
      <c r="W39" s="388"/>
      <c r="X39" s="389"/>
    </row>
    <row r="40" spans="1:24" x14ac:dyDescent="0.25">
      <c r="A40" s="369"/>
      <c r="B40" s="390" t="s">
        <v>46</v>
      </c>
      <c r="C40" s="146">
        <f>(COUNTIF(Mars!C24:C34,"CC")+COUNTIF(Avril!C4:C23,"CC"))</f>
        <v>5</v>
      </c>
      <c r="D40" s="369"/>
      <c r="E40" s="369"/>
      <c r="F40" s="369"/>
      <c r="G40" s="369"/>
      <c r="H40" s="369"/>
      <c r="I40" s="369"/>
      <c r="J40" s="369"/>
      <c r="K40" s="369"/>
      <c r="L40" s="369"/>
      <c r="M40" s="369"/>
      <c r="N40" s="369"/>
      <c r="O40" s="369"/>
      <c r="P40" s="369"/>
      <c r="Q40" s="369"/>
      <c r="R40" s="369"/>
      <c r="S40" s="369"/>
      <c r="T40" s="615" t="s">
        <v>16</v>
      </c>
      <c r="U40" s="604"/>
      <c r="V40" s="391" t="str">
        <f>IF(V38&gt;T36,"-","")&amp;TEXT(ABS(T36-V38),"[h]:mm")</f>
        <v>-6:08</v>
      </c>
      <c r="W40" s="471">
        <f>(T36-V38)*24</f>
        <v>-6.1333333333333329</v>
      </c>
      <c r="X40" s="69"/>
    </row>
    <row r="41" spans="1:24" ht="14.4" thickBot="1" x14ac:dyDescent="0.3">
      <c r="A41" s="369"/>
      <c r="B41" s="393" t="s">
        <v>11</v>
      </c>
      <c r="C41" s="147">
        <f>(COUNTIF(Mars!C24:C34,"Férié")+COUNTIF(Avril!C4:C23,"Férié"))</f>
        <v>1</v>
      </c>
      <c r="D41" s="369"/>
      <c r="E41" s="369"/>
      <c r="F41" s="369"/>
      <c r="G41" s="369"/>
      <c r="H41" s="369"/>
      <c r="I41" s="369"/>
      <c r="J41" s="369"/>
      <c r="K41" s="369"/>
      <c r="L41" s="369"/>
      <c r="M41" s="369"/>
      <c r="N41" s="369"/>
      <c r="O41" s="369"/>
      <c r="P41" s="369"/>
      <c r="Q41" s="369"/>
      <c r="R41" s="369"/>
      <c r="S41" s="369"/>
      <c r="T41" s="369"/>
      <c r="U41" s="369"/>
      <c r="V41" s="369"/>
      <c r="W41" s="369"/>
      <c r="X41" s="369"/>
    </row>
    <row r="42" spans="1:24" ht="15" thickTop="1" thickBot="1" x14ac:dyDescent="0.3">
      <c r="A42" s="369"/>
      <c r="B42" s="394" t="s">
        <v>153</v>
      </c>
      <c r="C42" s="230">
        <f>(COUNTIF(Mars!C24:C34,"FériéCC")+COUNTIF(Avril!C4:C23,"FériéCH"))</f>
        <v>0</v>
      </c>
      <c r="D42" s="369"/>
      <c r="E42" s="369"/>
      <c r="F42" s="369"/>
      <c r="G42" s="369"/>
      <c r="H42" s="369"/>
      <c r="I42" s="369"/>
      <c r="J42" s="369"/>
      <c r="K42" s="369"/>
      <c r="L42" s="369"/>
      <c r="M42" s="369"/>
      <c r="N42" s="369"/>
      <c r="O42" s="369"/>
      <c r="P42" s="369"/>
      <c r="Q42" s="369"/>
      <c r="R42" s="616" t="s">
        <v>201</v>
      </c>
      <c r="S42" s="623"/>
      <c r="T42" s="395">
        <f>SUM(T4:T34)</f>
        <v>6.0854166666666663</v>
      </c>
      <c r="U42" s="369"/>
      <c r="V42" s="369"/>
      <c r="W42" s="369"/>
      <c r="X42" s="369"/>
    </row>
    <row r="43" spans="1:24" ht="15" thickTop="1" thickBot="1" x14ac:dyDescent="0.3">
      <c r="A43" s="369"/>
      <c r="B43" s="369"/>
      <c r="C43" s="369"/>
      <c r="D43" s="369"/>
      <c r="E43" s="369"/>
      <c r="F43" s="369"/>
      <c r="G43" s="369"/>
      <c r="H43" s="369"/>
      <c r="I43" s="369"/>
      <c r="J43" s="369"/>
      <c r="K43" s="369"/>
      <c r="L43" s="369"/>
      <c r="M43" s="369"/>
      <c r="N43" s="369"/>
      <c r="O43" s="369"/>
      <c r="P43" s="369"/>
      <c r="Q43" s="369"/>
      <c r="R43" s="369"/>
      <c r="S43" s="369"/>
      <c r="T43" s="257">
        <f>T42*24</f>
        <v>146.04999999999998</v>
      </c>
      <c r="U43" s="369"/>
      <c r="V43" s="369"/>
      <c r="W43" s="397">
        <f>(T42-V38)*24</f>
        <v>-2.1500000000000057</v>
      </c>
      <c r="X43" s="369"/>
    </row>
    <row r="44" spans="1:24" ht="15" thickTop="1" thickBot="1" x14ac:dyDescent="0.3">
      <c r="A44" s="369"/>
      <c r="B44" s="387"/>
      <c r="C44" s="369"/>
      <c r="D44" s="369"/>
      <c r="E44" s="369"/>
      <c r="F44" s="369"/>
      <c r="G44" s="369"/>
      <c r="H44" s="369"/>
      <c r="I44" s="369"/>
      <c r="J44" s="369"/>
      <c r="K44" s="369"/>
      <c r="L44" s="369"/>
      <c r="M44" s="369"/>
      <c r="N44" s="369"/>
      <c r="O44" s="369"/>
      <c r="P44" s="369"/>
      <c r="Q44" s="369"/>
      <c r="R44" s="369"/>
      <c r="S44" s="369"/>
      <c r="T44" s="369"/>
      <c r="U44" s="369"/>
      <c r="V44" s="369"/>
      <c r="W44" s="369"/>
      <c r="X44" s="369"/>
    </row>
    <row r="45" spans="1:24" ht="15" thickBot="1" x14ac:dyDescent="0.35">
      <c r="A45" s="369"/>
      <c r="B45" s="387"/>
      <c r="C45" s="369"/>
      <c r="D45" s="369"/>
      <c r="E45" s="369"/>
      <c r="F45" s="605" t="s">
        <v>57</v>
      </c>
      <c r="G45" s="606"/>
      <c r="H45" s="606"/>
      <c r="I45" s="606"/>
      <c r="J45" s="606"/>
      <c r="K45" s="606"/>
      <c r="L45" s="606"/>
      <c r="M45" s="606"/>
      <c r="N45" s="606"/>
      <c r="O45" s="606"/>
      <c r="P45" s="606"/>
      <c r="Q45" s="606"/>
      <c r="R45" s="607"/>
      <c r="S45" s="369"/>
      <c r="T45" s="369"/>
      <c r="U45" s="71"/>
      <c r="V45" s="71"/>
      <c r="W45" s="369"/>
      <c r="X45" s="369"/>
    </row>
    <row r="46" spans="1:24" ht="14.4" thickTop="1" x14ac:dyDescent="0.25">
      <c r="A46" s="369"/>
      <c r="B46" s="387"/>
      <c r="C46" s="369"/>
      <c r="D46" s="369"/>
      <c r="E46" s="369"/>
      <c r="F46" s="444"/>
      <c r="G46" s="445"/>
      <c r="H46" s="445"/>
      <c r="I46" s="445"/>
      <c r="J46" s="445"/>
      <c r="K46" s="445"/>
      <c r="L46" s="445"/>
      <c r="M46" s="445"/>
      <c r="N46" s="445"/>
      <c r="O46" s="445"/>
      <c r="P46" s="445"/>
      <c r="Q46" s="445"/>
      <c r="R46" s="446"/>
      <c r="S46" s="369"/>
      <c r="T46" s="369"/>
      <c r="U46" s="369"/>
      <c r="V46" s="369"/>
      <c r="W46" s="369"/>
      <c r="X46" s="369"/>
    </row>
    <row r="47" spans="1:24" x14ac:dyDescent="0.25">
      <c r="A47" s="369"/>
      <c r="B47" s="369"/>
      <c r="C47" s="369"/>
      <c r="D47" s="369"/>
      <c r="E47" s="369"/>
      <c r="F47" s="398"/>
      <c r="G47" s="399"/>
      <c r="H47" s="399"/>
      <c r="I47" s="399"/>
      <c r="J47" s="399"/>
      <c r="K47" s="399"/>
      <c r="L47" s="399"/>
      <c r="M47" s="399"/>
      <c r="N47" s="399"/>
      <c r="O47" s="399"/>
      <c r="P47" s="399"/>
      <c r="Q47" s="399"/>
      <c r="R47" s="400"/>
      <c r="S47" s="369"/>
      <c r="T47" s="369"/>
      <c r="U47" s="369"/>
      <c r="V47" s="369"/>
      <c r="W47" s="369"/>
      <c r="X47" s="369"/>
    </row>
    <row r="48" spans="1:24" x14ac:dyDescent="0.25">
      <c r="A48" s="369"/>
      <c r="B48" s="369"/>
      <c r="C48" s="369"/>
      <c r="D48" s="369"/>
      <c r="E48" s="369"/>
      <c r="F48" s="398"/>
      <c r="G48" s="399"/>
      <c r="H48" s="399"/>
      <c r="I48" s="399"/>
      <c r="J48" s="399"/>
      <c r="K48" s="399"/>
      <c r="L48" s="399"/>
      <c r="M48" s="399"/>
      <c r="N48" s="399"/>
      <c r="O48" s="399"/>
      <c r="P48" s="399"/>
      <c r="Q48" s="399"/>
      <c r="R48" s="400"/>
      <c r="S48" s="369"/>
      <c r="T48" s="369"/>
      <c r="U48" s="369"/>
      <c r="V48" s="369"/>
      <c r="W48" s="369"/>
      <c r="X48" s="369"/>
    </row>
    <row r="49" spans="1:24" x14ac:dyDescent="0.25">
      <c r="A49" s="369"/>
      <c r="B49" s="369"/>
      <c r="C49" s="369"/>
      <c r="D49" s="369"/>
      <c r="E49" s="369"/>
      <c r="F49" s="398"/>
      <c r="G49" s="399"/>
      <c r="H49" s="399"/>
      <c r="I49" s="399"/>
      <c r="J49" s="399"/>
      <c r="K49" s="399"/>
      <c r="L49" s="399"/>
      <c r="M49" s="399"/>
      <c r="N49" s="399"/>
      <c r="O49" s="399"/>
      <c r="P49" s="399"/>
      <c r="Q49" s="399"/>
      <c r="R49" s="400"/>
      <c r="S49" s="369"/>
      <c r="T49" s="369"/>
      <c r="U49" s="369"/>
      <c r="V49" s="369"/>
      <c r="W49" s="369"/>
      <c r="X49" s="369"/>
    </row>
    <row r="50" spans="1:24" x14ac:dyDescent="0.25">
      <c r="A50" s="369"/>
      <c r="B50" s="369"/>
      <c r="C50" s="369"/>
      <c r="D50" s="369"/>
      <c r="E50" s="369"/>
      <c r="F50" s="398"/>
      <c r="G50" s="399"/>
      <c r="H50" s="399"/>
      <c r="I50" s="399"/>
      <c r="J50" s="399"/>
      <c r="K50" s="399"/>
      <c r="L50" s="399"/>
      <c r="M50" s="399"/>
      <c r="N50" s="399"/>
      <c r="O50" s="399"/>
      <c r="P50" s="399"/>
      <c r="Q50" s="399"/>
      <c r="R50" s="400"/>
      <c r="S50" s="369"/>
      <c r="T50" s="369"/>
      <c r="U50" s="369"/>
      <c r="V50" s="369"/>
      <c r="W50" s="369"/>
      <c r="X50" s="369"/>
    </row>
    <row r="51" spans="1:24" x14ac:dyDescent="0.25">
      <c r="A51" s="369"/>
      <c r="B51" s="369"/>
      <c r="C51" s="369"/>
      <c r="D51" s="369"/>
      <c r="E51" s="369"/>
      <c r="F51" s="398"/>
      <c r="G51" s="399"/>
      <c r="H51" s="399"/>
      <c r="I51" s="399"/>
      <c r="J51" s="399"/>
      <c r="K51" s="399"/>
      <c r="L51" s="399"/>
      <c r="M51" s="399"/>
      <c r="N51" s="399"/>
      <c r="O51" s="399"/>
      <c r="P51" s="399"/>
      <c r="Q51" s="399"/>
      <c r="R51" s="400"/>
      <c r="S51" s="369"/>
      <c r="T51" s="369"/>
      <c r="U51" s="369"/>
      <c r="V51" s="369"/>
      <c r="W51" s="369"/>
      <c r="X51" s="369"/>
    </row>
    <row r="52" spans="1:24" x14ac:dyDescent="0.25">
      <c r="A52" s="369"/>
      <c r="B52" s="369"/>
      <c r="C52" s="369"/>
      <c r="D52" s="369"/>
      <c r="E52" s="369"/>
      <c r="F52" s="398"/>
      <c r="G52" s="399"/>
      <c r="H52" s="399"/>
      <c r="I52" s="399"/>
      <c r="J52" s="399"/>
      <c r="K52" s="399"/>
      <c r="L52" s="399"/>
      <c r="M52" s="399"/>
      <c r="N52" s="399"/>
      <c r="O52" s="399"/>
      <c r="P52" s="399"/>
      <c r="Q52" s="399"/>
      <c r="R52" s="400"/>
      <c r="S52" s="369"/>
      <c r="T52" s="369"/>
      <c r="U52" s="369"/>
      <c r="V52" s="369"/>
      <c r="W52" s="369"/>
      <c r="X52" s="369"/>
    </row>
    <row r="53" spans="1:24" x14ac:dyDescent="0.25">
      <c r="A53" s="369"/>
      <c r="B53" s="369"/>
      <c r="C53" s="369"/>
      <c r="D53" s="369"/>
      <c r="E53" s="369"/>
      <c r="F53" s="398"/>
      <c r="G53" s="399"/>
      <c r="H53" s="399"/>
      <c r="I53" s="399"/>
      <c r="J53" s="399"/>
      <c r="K53" s="399"/>
      <c r="L53" s="399"/>
      <c r="M53" s="399"/>
      <c r="N53" s="399"/>
      <c r="O53" s="399"/>
      <c r="P53" s="399"/>
      <c r="Q53" s="399"/>
      <c r="R53" s="400"/>
      <c r="S53" s="369"/>
      <c r="T53" s="369"/>
      <c r="U53" s="369"/>
      <c r="V53" s="369"/>
      <c r="W53" s="369"/>
      <c r="X53" s="369"/>
    </row>
    <row r="54" spans="1:24" x14ac:dyDescent="0.25">
      <c r="A54" s="369"/>
      <c r="B54" s="369"/>
      <c r="C54" s="369"/>
      <c r="D54" s="369"/>
      <c r="E54" s="369"/>
      <c r="F54" s="398"/>
      <c r="G54" s="399"/>
      <c r="H54" s="399"/>
      <c r="I54" s="399"/>
      <c r="J54" s="399"/>
      <c r="K54" s="399"/>
      <c r="L54" s="399"/>
      <c r="M54" s="399"/>
      <c r="N54" s="399"/>
      <c r="O54" s="399"/>
      <c r="P54" s="399"/>
      <c r="Q54" s="399"/>
      <c r="R54" s="400"/>
      <c r="S54" s="369"/>
      <c r="T54" s="369"/>
      <c r="U54" s="369"/>
      <c r="V54" s="369"/>
      <c r="W54" s="369"/>
      <c r="X54" s="369"/>
    </row>
    <row r="55" spans="1:24" x14ac:dyDescent="0.25">
      <c r="A55" s="369"/>
      <c r="B55" s="369"/>
      <c r="C55" s="369"/>
      <c r="D55" s="369"/>
      <c r="E55" s="369"/>
      <c r="F55" s="398"/>
      <c r="G55" s="399"/>
      <c r="H55" s="399"/>
      <c r="I55" s="399"/>
      <c r="J55" s="399"/>
      <c r="K55" s="399"/>
      <c r="L55" s="399"/>
      <c r="M55" s="399"/>
      <c r="N55" s="399"/>
      <c r="O55" s="399"/>
      <c r="P55" s="399"/>
      <c r="Q55" s="399"/>
      <c r="R55" s="400"/>
      <c r="S55" s="369"/>
      <c r="T55" s="369"/>
      <c r="U55" s="369"/>
      <c r="V55" s="369"/>
      <c r="W55" s="369"/>
      <c r="X55" s="369"/>
    </row>
    <row r="56" spans="1:24" x14ac:dyDescent="0.25">
      <c r="A56" s="369"/>
      <c r="B56" s="369"/>
      <c r="C56" s="369"/>
      <c r="D56" s="369"/>
      <c r="E56" s="369"/>
      <c r="F56" s="398"/>
      <c r="G56" s="399"/>
      <c r="H56" s="399"/>
      <c r="I56" s="399"/>
      <c r="J56" s="399"/>
      <c r="K56" s="399"/>
      <c r="L56" s="399"/>
      <c r="M56" s="399"/>
      <c r="N56" s="399"/>
      <c r="O56" s="399"/>
      <c r="P56" s="399"/>
      <c r="Q56" s="399"/>
      <c r="R56" s="400"/>
      <c r="S56" s="369"/>
      <c r="T56" s="369"/>
      <c r="U56" s="369"/>
      <c r="V56" s="369"/>
      <c r="W56" s="369"/>
      <c r="X56" s="369"/>
    </row>
    <row r="57" spans="1:24" x14ac:dyDescent="0.25">
      <c r="A57" s="369"/>
      <c r="B57" s="369"/>
      <c r="C57" s="369"/>
      <c r="D57" s="369"/>
      <c r="E57" s="369"/>
      <c r="F57" s="398"/>
      <c r="G57" s="399"/>
      <c r="H57" s="399"/>
      <c r="I57" s="399"/>
      <c r="J57" s="399"/>
      <c r="K57" s="399"/>
      <c r="L57" s="399"/>
      <c r="M57" s="399"/>
      <c r="N57" s="399"/>
      <c r="O57" s="399"/>
      <c r="P57" s="399"/>
      <c r="Q57" s="399"/>
      <c r="R57" s="400"/>
      <c r="S57" s="369"/>
      <c r="T57" s="369"/>
      <c r="U57" s="369"/>
      <c r="V57" s="369"/>
      <c r="W57" s="369"/>
      <c r="X57" s="369"/>
    </row>
    <row r="58" spans="1:24" x14ac:dyDescent="0.25">
      <c r="A58" s="369"/>
      <c r="B58" s="369"/>
      <c r="C58" s="369"/>
      <c r="D58" s="369"/>
      <c r="E58" s="369"/>
      <c r="F58" s="398"/>
      <c r="G58" s="399"/>
      <c r="H58" s="399"/>
      <c r="I58" s="399"/>
      <c r="J58" s="399"/>
      <c r="K58" s="399"/>
      <c r="L58" s="399"/>
      <c r="M58" s="399"/>
      <c r="N58" s="399"/>
      <c r="O58" s="399"/>
      <c r="P58" s="399"/>
      <c r="Q58" s="399"/>
      <c r="R58" s="400"/>
      <c r="S58" s="369"/>
      <c r="T58" s="369"/>
      <c r="U58" s="369"/>
      <c r="V58" s="369"/>
      <c r="W58" s="369"/>
      <c r="X58" s="369"/>
    </row>
    <row r="59" spans="1:24" ht="14.4" thickBot="1" x14ac:dyDescent="0.3">
      <c r="A59" s="369"/>
      <c r="B59" s="369"/>
      <c r="C59" s="369"/>
      <c r="D59" s="369"/>
      <c r="E59" s="369"/>
      <c r="F59" s="401"/>
      <c r="G59" s="402"/>
      <c r="H59" s="402"/>
      <c r="I59" s="402"/>
      <c r="J59" s="402"/>
      <c r="K59" s="402"/>
      <c r="L59" s="402"/>
      <c r="M59" s="402"/>
      <c r="N59" s="402"/>
      <c r="O59" s="402"/>
      <c r="P59" s="402"/>
      <c r="Q59" s="402"/>
      <c r="R59" s="403"/>
      <c r="S59" s="369"/>
      <c r="T59" s="369"/>
      <c r="U59" s="369"/>
      <c r="V59" s="369"/>
      <c r="W59" s="369"/>
      <c r="X59" s="369"/>
    </row>
    <row r="60" spans="1:24" ht="14.4" thickTop="1" x14ac:dyDescent="0.25">
      <c r="A60" s="369"/>
      <c r="B60" s="369"/>
      <c r="C60" s="369"/>
      <c r="D60" s="369"/>
      <c r="E60" s="369"/>
      <c r="F60" s="369"/>
      <c r="G60" s="369"/>
      <c r="H60" s="369"/>
      <c r="I60" s="369"/>
      <c r="J60" s="369"/>
      <c r="K60" s="369"/>
      <c r="L60" s="369"/>
      <c r="M60" s="369"/>
      <c r="N60" s="369"/>
      <c r="O60" s="369"/>
      <c r="P60" s="369"/>
      <c r="Q60" s="369"/>
      <c r="R60" s="369"/>
      <c r="S60" s="369"/>
      <c r="T60" s="369"/>
      <c r="U60" s="369"/>
      <c r="V60" s="369"/>
      <c r="W60" s="369"/>
      <c r="X60" s="369"/>
    </row>
    <row r="61" spans="1:24" x14ac:dyDescent="0.25">
      <c r="A61" s="369"/>
      <c r="B61" s="369"/>
      <c r="C61" s="369"/>
      <c r="D61" s="369"/>
      <c r="E61" s="369"/>
      <c r="F61" s="369"/>
      <c r="G61" s="369"/>
      <c r="H61" s="369"/>
      <c r="I61" s="369"/>
      <c r="J61" s="369"/>
      <c r="K61" s="369"/>
      <c r="L61" s="369"/>
      <c r="M61" s="369"/>
      <c r="N61" s="369"/>
      <c r="O61" s="369"/>
      <c r="P61" s="369"/>
      <c r="Q61" s="369"/>
      <c r="R61" s="369"/>
      <c r="S61" s="369"/>
      <c r="T61" s="369"/>
      <c r="U61" s="369"/>
      <c r="V61" s="369"/>
      <c r="W61" s="369"/>
      <c r="X61" s="369"/>
    </row>
    <row r="62" spans="1:24" x14ac:dyDescent="0.25">
      <c r="A62" s="369"/>
      <c r="B62" s="369"/>
      <c r="C62" s="369"/>
      <c r="D62" s="369"/>
      <c r="E62" s="369"/>
      <c r="F62" s="369"/>
      <c r="G62" s="369"/>
      <c r="H62" s="369"/>
      <c r="I62" s="369"/>
      <c r="J62" s="369"/>
      <c r="K62" s="369"/>
      <c r="L62" s="369"/>
      <c r="M62" s="369"/>
      <c r="N62" s="369"/>
      <c r="O62" s="369"/>
      <c r="P62" s="369"/>
      <c r="Q62" s="369"/>
      <c r="R62" s="369"/>
      <c r="S62" s="369"/>
      <c r="T62" s="369"/>
      <c r="U62" s="369"/>
      <c r="V62" s="369"/>
      <c r="W62" s="369"/>
      <c r="X62" s="369"/>
    </row>
    <row r="63" spans="1:24" x14ac:dyDescent="0.25">
      <c r="A63" s="369"/>
      <c r="B63" s="369"/>
      <c r="C63" s="369"/>
      <c r="D63" s="369"/>
      <c r="E63" s="369"/>
      <c r="F63" s="369"/>
      <c r="G63" s="369"/>
      <c r="H63" s="369"/>
      <c r="I63" s="369"/>
      <c r="J63" s="369"/>
      <c r="K63" s="369"/>
      <c r="L63" s="369"/>
      <c r="M63" s="369"/>
      <c r="N63" s="369"/>
      <c r="O63" s="369"/>
      <c r="P63" s="369"/>
      <c r="Q63" s="369"/>
      <c r="R63" s="369"/>
      <c r="S63" s="369"/>
      <c r="T63" s="369"/>
      <c r="U63" s="369"/>
      <c r="V63" s="369"/>
      <c r="W63" s="369"/>
      <c r="X63" s="369"/>
    </row>
    <row r="64" spans="1:24" x14ac:dyDescent="0.25">
      <c r="A64" s="369"/>
      <c r="B64" s="369"/>
      <c r="C64" s="369"/>
      <c r="D64" s="369"/>
      <c r="E64" s="369"/>
      <c r="F64" s="369"/>
      <c r="G64" s="369"/>
      <c r="H64" s="369"/>
      <c r="I64" s="369"/>
      <c r="J64" s="369"/>
      <c r="K64" s="369"/>
      <c r="L64" s="369"/>
      <c r="M64" s="369"/>
      <c r="N64" s="369"/>
      <c r="O64" s="369"/>
      <c r="P64" s="369"/>
      <c r="Q64" s="369"/>
      <c r="R64" s="369"/>
      <c r="S64" s="369"/>
      <c r="T64" s="369"/>
      <c r="U64" s="369"/>
      <c r="V64" s="369"/>
      <c r="W64" s="369"/>
      <c r="X64" s="369"/>
    </row>
  </sheetData>
  <mergeCells count="9">
    <mergeCell ref="B1:W1"/>
    <mergeCell ref="F45:R45"/>
    <mergeCell ref="T2:W2"/>
    <mergeCell ref="E3:F3"/>
    <mergeCell ref="H3:I3"/>
    <mergeCell ref="I36:J36"/>
    <mergeCell ref="T38:U38"/>
    <mergeCell ref="T40:U40"/>
    <mergeCell ref="R42:S42"/>
  </mergeCells>
  <conditionalFormatting sqref="V40:W40">
    <cfRule type="expression" dxfId="54" priority="19" stopIfTrue="1">
      <formula>$T$36&lt;$V$38</formula>
    </cfRule>
    <cfRule type="expression" dxfId="53" priority="20" stopIfTrue="1">
      <formula>$T$36&gt;$V$38</formula>
    </cfRule>
  </conditionalFormatting>
  <conditionalFormatting sqref="C4:Q34">
    <cfRule type="expression" dxfId="52" priority="28" stopIfTrue="1">
      <formula>ISNUMBER(FIND("p",$C4))</formula>
    </cfRule>
    <cfRule type="expression" dxfId="51" priority="31" stopIfTrue="1">
      <formula>OR(ISNUMBER(FIND("Férié",$C4)),ISNUMBER(FIND("f",$C4)))</formula>
    </cfRule>
    <cfRule type="expression" dxfId="50" priority="34" stopIfTrue="1">
      <formula>ISNUMBER(FIND("CP",$C4))</formula>
    </cfRule>
  </conditionalFormatting>
  <conditionalFormatting sqref="C4:C34">
    <cfRule type="expression" dxfId="49" priority="21" stopIfTrue="1">
      <formula>ISNUMBER(FIND("d",$C4))</formula>
    </cfRule>
  </conditionalFormatting>
  <pageMargins left="0.7" right="0.7" top="0.75" bottom="0.75" header="0.3" footer="0.3"/>
  <pageSetup paperSize="9" orientation="portrait" r:id="rId1"/>
  <ignoredErrors>
    <ignoredError sqref="T42:T43" unlocked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0"/>
  <sheetViews>
    <sheetView topLeftCell="A16" workbookViewId="0">
      <selection activeCell="C36" sqref="C36"/>
    </sheetView>
  </sheetViews>
  <sheetFormatPr baseColWidth="10" defaultColWidth="11" defaultRowHeight="13.8" x14ac:dyDescent="0.25"/>
  <cols>
    <col min="1" max="1" width="3.59765625" style="369" customWidth="1"/>
    <col min="2" max="2" width="14.59765625" style="369" customWidth="1"/>
    <col min="3" max="3" width="8.59765625" style="369" customWidth="1"/>
    <col min="4" max="4" width="7.59765625" style="369" customWidth="1"/>
    <col min="5" max="23" width="8.59765625" style="369" customWidth="1"/>
    <col min="24" max="16384" width="11" style="369"/>
  </cols>
  <sheetData>
    <row r="1" spans="1:23" ht="14.4" thickBot="1" x14ac:dyDescent="0.3">
      <c r="A1" s="40"/>
      <c r="B1" s="602" t="s">
        <v>29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 s="603"/>
      <c r="P1" s="603"/>
      <c r="Q1" s="603"/>
      <c r="R1" s="603"/>
      <c r="S1" s="604"/>
      <c r="T1" s="604"/>
      <c r="U1" s="604"/>
      <c r="V1" s="604"/>
      <c r="W1" s="604"/>
    </row>
    <row r="2" spans="1:23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</row>
    <row r="3" spans="1:23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303" t="s">
        <v>5</v>
      </c>
      <c r="H3" s="611" t="s">
        <v>6</v>
      </c>
      <c r="I3" s="612"/>
      <c r="J3" s="303" t="s">
        <v>5</v>
      </c>
      <c r="K3" s="41" t="s">
        <v>7</v>
      </c>
      <c r="L3" s="42" t="s">
        <v>8</v>
      </c>
      <c r="M3" s="220" t="s">
        <v>9</v>
      </c>
      <c r="N3" s="43" t="s">
        <v>10</v>
      </c>
      <c r="O3" s="44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</row>
    <row r="4" spans="1:23" ht="14.4" x14ac:dyDescent="0.3">
      <c r="A4" s="40"/>
      <c r="B4" s="304">
        <v>43221</v>
      </c>
      <c r="C4" s="305" t="s">
        <v>11</v>
      </c>
      <c r="D4" s="306"/>
      <c r="E4" s="307">
        <f>IFERROR(VLOOKUP(C4,TR!$B$2:$F$612,2,0),"")</f>
        <v>0</v>
      </c>
      <c r="F4" s="308">
        <f>IFERROR(VLOOKUP(C4,TR!$B$2:$F$612,3,0),"")</f>
        <v>0</v>
      </c>
      <c r="G4" s="309">
        <f>IF(ISERROR(F4-E4),0,F4-E4)</f>
        <v>0</v>
      </c>
      <c r="H4" s="307">
        <f>IFERROR(VLOOKUP(C4,TR!$B$2:$F$612,4,0),"")</f>
        <v>0</v>
      </c>
      <c r="I4" s="308">
        <f>IFERROR(VLOOKUP(C4,TR!$B$2:$F$612,5,0),"")</f>
        <v>0</v>
      </c>
      <c r="J4" s="309">
        <f>IF(ISERROR(I4-H4),0,(I4-H4))</f>
        <v>0</v>
      </c>
      <c r="K4" s="312" t="str">
        <f t="shared" ref="K4:K34" si="0">IF(COUNTA(E4:F4,H4:I4)=5,1,IF(AND(E4&lt;"5:00"*1,E4&gt;"2:00"*1),1,IF(AND(I4&gt;="22:01"*1,I4&lt;="26:01"*1),1,IF(AND(I4&lt;="22:00"*1,SUM(I4,R4)&gt;="22:01"*1),1,""))))</f>
        <v/>
      </c>
      <c r="L4" s="313" t="str">
        <f t="shared" ref="L4:L34" si="1">IF(AND(F4&gt;="13:15"*1,H4&lt;""),1,IF(AND(H4&gt;="11:00"*1,H4&lt;="12:15"*1),1,IF(AND(F4&lt;="13:15"*1,SUM(F4,R4)&gt;="13:15"*1),1,"")))</f>
        <v/>
      </c>
      <c r="M4" s="314" t="str">
        <f t="shared" ref="M4:M34" si="2">IF(AND(I4&gt;="19:30"*1,1,I4&gt;"21:30"*1,C4&lt;&gt;""),1,IF(AND(I4&lt;="21:30"*1,SUM(I4,R4)&gt;="21:30"*1),1,""))</f>
        <v/>
      </c>
      <c r="N4" s="36" t="str">
        <f>IF(AND(LEFT(C4,1)="d",AND(Avril!N33&lt;&gt;1)),1,IF(AND(LEFT(C4,1)="s",I4&gt;="24:01"*1),1,IF(AND(I4&lt;&gt;"",I4&lt;="23:59"*1,SUM(I4,R4)&gt;="24:01"*1),1,"")))</f>
        <v/>
      </c>
      <c r="O4" s="315" t="str">
        <f t="shared" ref="O4:O34" si="3">IF(AND(I4&gt;"24:00"*1,ISNUMBER(FIND("f",C5))),1,IF(AND(OR(ISNUMBER(FIND("FériéCC",C4)),ISNUMBER(FIND("FériéCH",C4)),ISNUMBER(FIND("f",C4)))),1,""))</f>
        <v/>
      </c>
      <c r="P4" s="451" t="str">
        <f>IF(AND(L4="",M4=""),IF(OR(SUMPRODUCT(N(ISNUMBER(FIND({"s";"d";"f"},C4))))&gt;0,G4+J4&lt;0,AND(G4&gt;0,J4&gt;0,I4&gt;"20:30"*1),AND(I4&lt;="20:30"*1,SUM(I4,R4)&gt;="20:31"*1)),1,""),"")</f>
        <v/>
      </c>
      <c r="Q4" s="317" t="str">
        <f>IF(OR(AND(G4&gt;0,AND(J4=0)),OR(G4=0,AND(J4&gt;0)),OR(G4+J4&gt;0)),IF(S4="","",IF(R4+S4&gt;="13:01"*1,1,"")))</f>
        <v/>
      </c>
      <c r="R4" s="29"/>
      <c r="S4" s="318" t="str">
        <f t="shared" ref="S4:S34" si="4">IF(G4=0,IF(J4=0,"",I4-H4),IF(J4=0,F4-E4,I4-E4))</f>
        <v/>
      </c>
      <c r="T4" s="34">
        <f t="shared" ref="T4:T34" si="5">IF(ISERROR((F4-E4)+(I4-H4)),0,(F4-E4)+(I4-H4))</f>
        <v>0</v>
      </c>
      <c r="U4" s="153">
        <f>T4*24</f>
        <v>0</v>
      </c>
      <c r="V4" s="187"/>
      <c r="W4" s="149" t="str">
        <f>IF(U4-V4=0,"0,00",U4-V4)</f>
        <v>0,00</v>
      </c>
    </row>
    <row r="5" spans="1:23" ht="14.4" x14ac:dyDescent="0.3">
      <c r="A5" s="40"/>
      <c r="B5" s="304">
        <v>43222</v>
      </c>
      <c r="C5" s="319" t="s">
        <v>45</v>
      </c>
      <c r="D5" s="320"/>
      <c r="E5" s="310">
        <f>IFERROR(VLOOKUP(C5,TR!$B$2:$F$612,2,0),"")</f>
        <v>0</v>
      </c>
      <c r="F5" s="311">
        <f>IFERROR(VLOOKUP(C5,TR!$B$2:$F$612,3,0),"")</f>
        <v>0</v>
      </c>
      <c r="G5" s="321">
        <f t="shared" ref="G5:G34" si="6">IF(ISERROR(F5-E5),0,F5-E5)</f>
        <v>0</v>
      </c>
      <c r="H5" s="310">
        <f>IFERROR(VLOOKUP(C5,TR!$B$2:$F$612,4,0),"")</f>
        <v>0</v>
      </c>
      <c r="I5" s="311">
        <f>IFERROR(VLOOKUP(C5,TR!$B$2:$F$612,5,0),"")</f>
        <v>0</v>
      </c>
      <c r="J5" s="321">
        <f t="shared" ref="J5:J34" si="7">IF(ISERROR(I5-H5),0,(I5-H5))</f>
        <v>0</v>
      </c>
      <c r="K5" s="322" t="str">
        <f t="shared" si="0"/>
        <v/>
      </c>
      <c r="L5" s="323" t="str">
        <f t="shared" si="1"/>
        <v/>
      </c>
      <c r="M5" s="324" t="str">
        <f t="shared" si="2"/>
        <v/>
      </c>
      <c r="N5" s="37" t="str">
        <f t="shared" ref="N5:N34" si="8">IF(AND(LEFT(C5,1)="d",AND(N4&lt;&gt;1)),1,IF(AND(LEFT(C5,1)="s",I5&gt;="24:01"*1),1,IF(AND(I5&lt;&gt;"",I5&lt;="23:59"*1,SUM(I5,R5)&gt;="24:01"*1),1,"")))</f>
        <v/>
      </c>
      <c r="O5" s="315" t="str">
        <f t="shared" si="3"/>
        <v/>
      </c>
      <c r="P5" s="408" t="str">
        <f>IF(AND(L5="",M5=""),IF(OR(SUMPRODUCT(N(ISNUMBER(FIND({"s";"d";"f"},C5))))&gt;0,G5+J5&lt;0,AND(G5&gt;0,J5&gt;0,I5&gt;"20:30"*1),AND(I5&lt;="20:30"*1,SUM(I5,R5)&gt;="20:31"*1)),1,""),"")</f>
        <v/>
      </c>
      <c r="Q5" s="326" t="str">
        <f t="shared" ref="Q5:Q34" si="9">IF(OR(AND(G5&gt;0,AND(J5=0)),OR(G5=0,AND(J5&gt;0)),OR(G5+J5&gt;0)),IF(S5="","",IF(R5+S5&gt;="13:01"*1,1,"")))</f>
        <v/>
      </c>
      <c r="R5" s="30"/>
      <c r="S5" s="327" t="str">
        <f t="shared" si="4"/>
        <v/>
      </c>
      <c r="T5" s="34">
        <f t="shared" si="5"/>
        <v>0</v>
      </c>
      <c r="U5" s="154">
        <f>T5*24</f>
        <v>0</v>
      </c>
      <c r="V5" s="188"/>
      <c r="W5" s="156" t="str">
        <f t="shared" ref="W5:W34" si="10">IF(U5-V5=0,"0,00",U5-V5)</f>
        <v>0,00</v>
      </c>
    </row>
    <row r="6" spans="1:23" ht="14.4" x14ac:dyDescent="0.3">
      <c r="A6" s="40"/>
      <c r="B6" s="304">
        <v>43223</v>
      </c>
      <c r="C6" s="319" t="s">
        <v>46</v>
      </c>
      <c r="D6" s="320"/>
      <c r="E6" s="310">
        <f>IFERROR(VLOOKUP(C6,TR!$B$2:$F$612,2,0),"")</f>
        <v>0</v>
      </c>
      <c r="F6" s="311">
        <f>IFERROR(VLOOKUP(C6,TR!$B$2:$F$612,3,0),"")</f>
        <v>0</v>
      </c>
      <c r="G6" s="321">
        <f t="shared" si="6"/>
        <v>0</v>
      </c>
      <c r="H6" s="310">
        <f>IFERROR(VLOOKUP(C6,TR!$B$2:$F$612,4,0),"")</f>
        <v>0</v>
      </c>
      <c r="I6" s="311">
        <f>IFERROR(VLOOKUP(C6,TR!$B$2:$F$612,5,0),"")</f>
        <v>0</v>
      </c>
      <c r="J6" s="321">
        <f t="shared" si="7"/>
        <v>0</v>
      </c>
      <c r="K6" s="322" t="str">
        <f t="shared" si="0"/>
        <v/>
      </c>
      <c r="L6" s="323" t="str">
        <f t="shared" si="1"/>
        <v/>
      </c>
      <c r="M6" s="324" t="str">
        <f t="shared" si="2"/>
        <v/>
      </c>
      <c r="N6" s="37" t="str">
        <f t="shared" si="8"/>
        <v/>
      </c>
      <c r="O6" s="315" t="str">
        <f t="shared" si="3"/>
        <v/>
      </c>
      <c r="P6" s="408" t="str">
        <f>IF(AND(L6="",M6=""),IF(OR(SUMPRODUCT(N(ISNUMBER(FIND({"s";"d";"f"},C6))))&gt;0,G6+J6&lt;0,AND(G6&gt;0,J6&gt;0,I6&gt;"20:30"*1),AND(I6&lt;="20:30"*1,SUM(I6,R6)&gt;="20:31"*1)),1,""),"")</f>
        <v/>
      </c>
      <c r="Q6" s="326" t="str">
        <f t="shared" si="9"/>
        <v/>
      </c>
      <c r="R6" s="30"/>
      <c r="S6" s="327" t="str">
        <f t="shared" si="4"/>
        <v/>
      </c>
      <c r="T6" s="34">
        <f t="shared" si="5"/>
        <v>0</v>
      </c>
      <c r="U6" s="154">
        <f>T6*24</f>
        <v>0</v>
      </c>
      <c r="V6" s="188"/>
      <c r="W6" s="156" t="str">
        <f t="shared" si="10"/>
        <v>0,00</v>
      </c>
    </row>
    <row r="7" spans="1:23" ht="14.4" x14ac:dyDescent="0.3">
      <c r="A7" s="40"/>
      <c r="B7" s="304">
        <v>43224</v>
      </c>
      <c r="C7" s="319" t="s">
        <v>47</v>
      </c>
      <c r="D7" s="320"/>
      <c r="E7" s="310">
        <f>IFERROR(VLOOKUP(C7,TR!$B$2:$F$612,2,0),"")</f>
        <v>0</v>
      </c>
      <c r="F7" s="311">
        <f>IFERROR(VLOOKUP(C7,TR!$B$2:$F$612,3,0),"")</f>
        <v>0</v>
      </c>
      <c r="G7" s="321">
        <f t="shared" si="6"/>
        <v>0</v>
      </c>
      <c r="H7" s="310">
        <f>IFERROR(VLOOKUP(C7,TR!$B$2:$F$612,4,0),"")</f>
        <v>0</v>
      </c>
      <c r="I7" s="311">
        <f>IFERROR(VLOOKUP(C7,TR!$B$2:$F$612,5,0),"")</f>
        <v>0</v>
      </c>
      <c r="J7" s="321">
        <f t="shared" si="7"/>
        <v>0</v>
      </c>
      <c r="K7" s="322" t="str">
        <f t="shared" si="0"/>
        <v/>
      </c>
      <c r="L7" s="323" t="str">
        <f t="shared" si="1"/>
        <v/>
      </c>
      <c r="M7" s="324" t="str">
        <f t="shared" si="2"/>
        <v/>
      </c>
      <c r="N7" s="37" t="str">
        <f t="shared" si="8"/>
        <v/>
      </c>
      <c r="O7" s="315" t="str">
        <f t="shared" si="3"/>
        <v/>
      </c>
      <c r="P7" s="408" t="str">
        <f>IF(AND(L7="",M7=""),IF(OR(SUMPRODUCT(N(ISNUMBER(FIND({"s";"d";"f"},C7))))&gt;0,G7+J7&lt;0,AND(G7&gt;0,J7&gt;0,I7&gt;"20:30"*1),AND(I7&lt;="20:30"*1,SUM(I7,R7)&gt;="20:31"*1)),1,""),"")</f>
        <v/>
      </c>
      <c r="Q7" s="326" t="str">
        <f t="shared" si="9"/>
        <v/>
      </c>
      <c r="R7" s="30"/>
      <c r="S7" s="327" t="str">
        <f t="shared" si="4"/>
        <v/>
      </c>
      <c r="T7" s="34">
        <f t="shared" si="5"/>
        <v>0</v>
      </c>
      <c r="U7" s="154">
        <f t="shared" ref="U7:U34" si="11">T7*24</f>
        <v>0</v>
      </c>
      <c r="V7" s="188"/>
      <c r="W7" s="156" t="str">
        <f t="shared" si="10"/>
        <v>0,00</v>
      </c>
    </row>
    <row r="8" spans="1:23" ht="14.4" x14ac:dyDescent="0.3">
      <c r="A8" s="40"/>
      <c r="B8" s="304">
        <v>43225</v>
      </c>
      <c r="C8" s="319" t="s">
        <v>193</v>
      </c>
      <c r="D8" s="320"/>
      <c r="E8" s="310">
        <f>IFERROR(VLOOKUP(C8,TR!$B$2:$F$612,2,0),"")</f>
        <v>0</v>
      </c>
      <c r="F8" s="311">
        <f>IFERROR(VLOOKUP(C8,TR!$B$2:$F$612,3,0),"")</f>
        <v>0</v>
      </c>
      <c r="G8" s="321">
        <f t="shared" si="6"/>
        <v>0</v>
      </c>
      <c r="H8" s="310">
        <f>IFERROR(VLOOKUP(C8,TR!$B$2:$F$612,4,0),"")</f>
        <v>0.5131944444444444</v>
      </c>
      <c r="I8" s="311">
        <f>IFERROR(VLOOKUP(C8,TR!$B$2:$F$612,5,0),"")</f>
        <v>0.84583333333333333</v>
      </c>
      <c r="J8" s="321">
        <f t="shared" si="7"/>
        <v>0.33263888888888893</v>
      </c>
      <c r="K8" s="322" t="str">
        <f t="shared" si="0"/>
        <v/>
      </c>
      <c r="L8" s="323" t="str">
        <f t="shared" si="1"/>
        <v/>
      </c>
      <c r="M8" s="324" t="str">
        <f t="shared" si="2"/>
        <v/>
      </c>
      <c r="N8" s="37" t="str">
        <f t="shared" si="8"/>
        <v/>
      </c>
      <c r="O8" s="315" t="str">
        <f t="shared" si="3"/>
        <v/>
      </c>
      <c r="P8" s="408">
        <f>IF(AND(L8="",M8=""),IF(OR(SUMPRODUCT(N(ISNUMBER(FIND({"s";"d";"f"},C8))))&gt;0,G8+J8&lt;0,AND(G8&gt;0,J8&gt;0,I8&gt;"20:30"*1),AND(I8&lt;="20:30"*1,SUM(I8,R8)&gt;="20:31"*1)),1,""),"")</f>
        <v>1</v>
      </c>
      <c r="Q8" s="326" t="str">
        <f t="shared" si="9"/>
        <v/>
      </c>
      <c r="R8" s="30"/>
      <c r="S8" s="327">
        <f t="shared" si="4"/>
        <v>0.33263888888888893</v>
      </c>
      <c r="T8" s="34">
        <f t="shared" si="5"/>
        <v>0.33263888888888893</v>
      </c>
      <c r="U8" s="154">
        <f t="shared" si="11"/>
        <v>7.9833333333333343</v>
      </c>
      <c r="V8" s="188"/>
      <c r="W8" s="156">
        <f t="shared" si="10"/>
        <v>7.9833333333333343</v>
      </c>
    </row>
    <row r="9" spans="1:23" ht="14.4" x14ac:dyDescent="0.3">
      <c r="A9" s="40"/>
      <c r="B9" s="304">
        <v>43226</v>
      </c>
      <c r="C9" s="319" t="s">
        <v>192</v>
      </c>
      <c r="D9" s="320"/>
      <c r="E9" s="310">
        <f>IFERROR(VLOOKUP(C9,TR!$B$2:$F$612,2,0),"")</f>
        <v>0</v>
      </c>
      <c r="F9" s="311">
        <f>IFERROR(VLOOKUP(C9,TR!$B$2:$F$612,3,0),"")</f>
        <v>0</v>
      </c>
      <c r="G9" s="321">
        <f t="shared" si="6"/>
        <v>0</v>
      </c>
      <c r="H9" s="310">
        <f>IFERROR(VLOOKUP(C9,TR!$B$2:$F$612,4,0),"")</f>
        <v>0.71250000000000002</v>
      </c>
      <c r="I9" s="311">
        <f>IFERROR(VLOOKUP(C9,TR!$B$2:$F$612,5,0),"")</f>
        <v>0.96805555555555556</v>
      </c>
      <c r="J9" s="321">
        <f t="shared" si="7"/>
        <v>0.25555555555555554</v>
      </c>
      <c r="K9" s="322">
        <f t="shared" si="0"/>
        <v>1</v>
      </c>
      <c r="L9" s="323" t="str">
        <f t="shared" si="1"/>
        <v/>
      </c>
      <c r="M9" s="324">
        <f t="shared" si="2"/>
        <v>1</v>
      </c>
      <c r="N9" s="37">
        <f t="shared" si="8"/>
        <v>1</v>
      </c>
      <c r="O9" s="315" t="str">
        <f t="shared" si="3"/>
        <v/>
      </c>
      <c r="P9" s="408" t="str">
        <f>IF(AND(L9="",M9=""),IF(OR(SUMPRODUCT(N(ISNUMBER(FIND({"s";"d";"f"},C9))))&gt;0,G9+J9&lt;0,AND(G9&gt;0,J9&gt;0,I9&gt;"20:30"*1),AND(I9&lt;="20:30"*1,SUM(I9,R9)&gt;="20:31"*1)),1,""),"")</f>
        <v/>
      </c>
      <c r="Q9" s="326" t="str">
        <f t="shared" si="9"/>
        <v/>
      </c>
      <c r="R9" s="30"/>
      <c r="S9" s="327">
        <f t="shared" si="4"/>
        <v>0.25555555555555554</v>
      </c>
      <c r="T9" s="34">
        <f t="shared" si="5"/>
        <v>0.25555555555555554</v>
      </c>
      <c r="U9" s="154">
        <f t="shared" si="11"/>
        <v>6.1333333333333329</v>
      </c>
      <c r="V9" s="188"/>
      <c r="W9" s="156">
        <f t="shared" si="10"/>
        <v>6.1333333333333329</v>
      </c>
    </row>
    <row r="10" spans="1:23" ht="14.4" x14ac:dyDescent="0.3">
      <c r="A10" s="40"/>
      <c r="B10" s="304">
        <v>43227</v>
      </c>
      <c r="C10" s="319" t="s">
        <v>196</v>
      </c>
      <c r="D10" s="320"/>
      <c r="E10" s="310">
        <f>IFERROR(VLOOKUP(C10,TR!$B$2:$F$612,2,0),"")</f>
        <v>0</v>
      </c>
      <c r="F10" s="311">
        <f>IFERROR(VLOOKUP(C10,TR!$B$2:$F$612,3,0),"")</f>
        <v>0</v>
      </c>
      <c r="G10" s="321">
        <f t="shared" si="6"/>
        <v>0</v>
      </c>
      <c r="H10" s="310">
        <f>IFERROR(VLOOKUP(C10,TR!$B$2:$F$612,4,0),"")</f>
        <v>0.49444444444444446</v>
      </c>
      <c r="I10" s="311">
        <f>IFERROR(VLOOKUP(C10,TR!$B$2:$F$612,5,0),"")</f>
        <v>0.81041666666666667</v>
      </c>
      <c r="J10" s="321">
        <f t="shared" si="7"/>
        <v>0.31597222222222221</v>
      </c>
      <c r="K10" s="322" t="str">
        <f t="shared" si="0"/>
        <v/>
      </c>
      <c r="L10" s="323">
        <f t="shared" si="1"/>
        <v>1</v>
      </c>
      <c r="M10" s="324" t="str">
        <f t="shared" si="2"/>
        <v/>
      </c>
      <c r="N10" s="37" t="str">
        <f t="shared" si="8"/>
        <v/>
      </c>
      <c r="O10" s="315" t="str">
        <f t="shared" si="3"/>
        <v/>
      </c>
      <c r="P10" s="408" t="str">
        <f>IF(AND(L10="",M10=""),IF(OR(SUMPRODUCT(N(ISNUMBER(FIND({"s";"d";"f"},C10))))&gt;0,G10+J10&lt;0,AND(G10&gt;0,J10&gt;0,I10&gt;"20:30"*1),AND(I10&lt;="20:30"*1,SUM(I10,R10)&gt;="20:31"*1)),1,""),"")</f>
        <v/>
      </c>
      <c r="Q10" s="326" t="str">
        <f t="shared" si="9"/>
        <v/>
      </c>
      <c r="R10" s="30"/>
      <c r="S10" s="327">
        <f t="shared" si="4"/>
        <v>0.31597222222222221</v>
      </c>
      <c r="T10" s="34">
        <f t="shared" si="5"/>
        <v>0.31597222222222221</v>
      </c>
      <c r="U10" s="154">
        <f t="shared" si="11"/>
        <v>7.583333333333333</v>
      </c>
      <c r="V10" s="188"/>
      <c r="W10" s="156">
        <f t="shared" si="10"/>
        <v>7.583333333333333</v>
      </c>
    </row>
    <row r="11" spans="1:23" ht="14.4" x14ac:dyDescent="0.3">
      <c r="A11" s="40"/>
      <c r="B11" s="304">
        <v>43228</v>
      </c>
      <c r="C11" s="319" t="s">
        <v>158</v>
      </c>
      <c r="D11" s="320"/>
      <c r="E11" s="310">
        <f>IFERROR(VLOOKUP(C11,TR!$B$2:$F$612,2,0),"")</f>
        <v>0</v>
      </c>
      <c r="F11" s="311">
        <f>IFERROR(VLOOKUP(C11,TR!$B$2:$F$612,3,0),"")</f>
        <v>0</v>
      </c>
      <c r="G11" s="321">
        <f t="shared" si="6"/>
        <v>0</v>
      </c>
      <c r="H11" s="310">
        <f>IFERROR(VLOOKUP(C11,TR!$B$2:$F$612,4,0),"")</f>
        <v>0</v>
      </c>
      <c r="I11" s="311">
        <f>IFERROR(VLOOKUP(C11,TR!$B$2:$F$612,5,0),"")</f>
        <v>0</v>
      </c>
      <c r="J11" s="321">
        <f t="shared" si="7"/>
        <v>0</v>
      </c>
      <c r="K11" s="322" t="str">
        <f t="shared" si="0"/>
        <v/>
      </c>
      <c r="L11" s="323" t="str">
        <f t="shared" si="1"/>
        <v/>
      </c>
      <c r="M11" s="324" t="str">
        <f t="shared" si="2"/>
        <v/>
      </c>
      <c r="N11" s="37" t="str">
        <f t="shared" si="8"/>
        <v/>
      </c>
      <c r="O11" s="315">
        <f t="shared" si="3"/>
        <v>1</v>
      </c>
      <c r="P11" s="408" t="str">
        <f>IF(AND(L11="",M11=""),IF(OR(SUMPRODUCT(N(ISNUMBER(FIND({"s";"d";"f"},C11))))&gt;0,G11+J11&lt;0,AND(G11&gt;0,J11&gt;0,I11&gt;"20:30"*1),AND(I11&lt;="20:30"*1,SUM(I11,R11)&gt;="20:31"*1)),1,""),"")</f>
        <v/>
      </c>
      <c r="Q11" s="326" t="str">
        <f t="shared" si="9"/>
        <v/>
      </c>
      <c r="R11" s="30"/>
      <c r="S11" s="327" t="str">
        <f t="shared" si="4"/>
        <v/>
      </c>
      <c r="T11" s="34">
        <f t="shared" si="5"/>
        <v>0</v>
      </c>
      <c r="U11" s="154">
        <f t="shared" si="11"/>
        <v>0</v>
      </c>
      <c r="V11" s="188"/>
      <c r="W11" s="156" t="str">
        <f t="shared" si="10"/>
        <v>0,00</v>
      </c>
    </row>
    <row r="12" spans="1:23" ht="14.4" x14ac:dyDescent="0.3">
      <c r="A12" s="40"/>
      <c r="B12" s="304">
        <v>43229</v>
      </c>
      <c r="C12" s="319" t="s">
        <v>195</v>
      </c>
      <c r="D12" s="320"/>
      <c r="E12" s="310">
        <f>IFERROR(VLOOKUP(C12,TR!$B$2:$F$612,2,0),"")</f>
        <v>0.25625000000000003</v>
      </c>
      <c r="F12" s="311">
        <f>IFERROR(VLOOKUP(C12,TR!$B$2:$F$612,3,0),"")</f>
        <v>0.58611111111111114</v>
      </c>
      <c r="G12" s="321">
        <f t="shared" si="6"/>
        <v>0.3298611111111111</v>
      </c>
      <c r="H12" s="310">
        <f>IFERROR(VLOOKUP(C12,TR!$B$2:$F$612,4,0),"")</f>
        <v>0</v>
      </c>
      <c r="I12" s="311">
        <f>IFERROR(VLOOKUP(C12,TR!$B$2:$F$612,5,0),"")</f>
        <v>0</v>
      </c>
      <c r="J12" s="321">
        <f t="shared" si="7"/>
        <v>0</v>
      </c>
      <c r="K12" s="322" t="str">
        <f t="shared" si="0"/>
        <v/>
      </c>
      <c r="L12" s="323">
        <f t="shared" si="1"/>
        <v>1</v>
      </c>
      <c r="M12" s="324" t="str">
        <f t="shared" si="2"/>
        <v/>
      </c>
      <c r="N12" s="37" t="str">
        <f t="shared" si="8"/>
        <v/>
      </c>
      <c r="O12" s="315" t="str">
        <f t="shared" si="3"/>
        <v/>
      </c>
      <c r="P12" s="408" t="str">
        <f>IF(AND(L12="",M12=""),IF(OR(SUMPRODUCT(N(ISNUMBER(FIND({"s";"d";"f"},C12))))&gt;0,G12+J12&lt;0,AND(G12&gt;0,J12&gt;0,I12&gt;"20:30"*1),AND(I12&lt;="20:30"*1,SUM(I12,R12)&gt;="20:31"*1)),1,""),"")</f>
        <v/>
      </c>
      <c r="Q12" s="326" t="str">
        <f t="shared" si="9"/>
        <v/>
      </c>
      <c r="R12" s="30"/>
      <c r="S12" s="327">
        <f t="shared" si="4"/>
        <v>0.3298611111111111</v>
      </c>
      <c r="T12" s="34">
        <f t="shared" si="5"/>
        <v>0.3298611111111111</v>
      </c>
      <c r="U12" s="154">
        <f t="shared" si="11"/>
        <v>7.9166666666666661</v>
      </c>
      <c r="V12" s="188"/>
      <c r="W12" s="156">
        <f t="shared" si="10"/>
        <v>7.9166666666666661</v>
      </c>
    </row>
    <row r="13" spans="1:23" ht="14.4" x14ac:dyDescent="0.3">
      <c r="A13" s="40"/>
      <c r="B13" s="304">
        <v>43230</v>
      </c>
      <c r="C13" s="329" t="s">
        <v>11</v>
      </c>
      <c r="D13" s="330"/>
      <c r="E13" s="310">
        <f>IFERROR(VLOOKUP(C13,TR!$B$2:$F$612,2,0),"")</f>
        <v>0</v>
      </c>
      <c r="F13" s="311">
        <f>IFERROR(VLOOKUP(C13,TR!$B$2:$F$612,3,0),"")</f>
        <v>0</v>
      </c>
      <c r="G13" s="321">
        <f t="shared" si="6"/>
        <v>0</v>
      </c>
      <c r="H13" s="310">
        <f>IFERROR(VLOOKUP(C13,TR!$B$2:$F$612,4,0),"")</f>
        <v>0</v>
      </c>
      <c r="I13" s="311">
        <f>IFERROR(VLOOKUP(C13,TR!$B$2:$F$612,5,0),"")</f>
        <v>0</v>
      </c>
      <c r="J13" s="321">
        <f t="shared" si="7"/>
        <v>0</v>
      </c>
      <c r="K13" s="322" t="str">
        <f t="shared" si="0"/>
        <v/>
      </c>
      <c r="L13" s="323" t="str">
        <f t="shared" si="1"/>
        <v/>
      </c>
      <c r="M13" s="324" t="str">
        <f t="shared" si="2"/>
        <v/>
      </c>
      <c r="N13" s="37" t="str">
        <f t="shared" si="8"/>
        <v/>
      </c>
      <c r="O13" s="315" t="str">
        <f t="shared" si="3"/>
        <v/>
      </c>
      <c r="P13" s="408" t="str">
        <f>IF(AND(L13="",M13=""),IF(OR(SUMPRODUCT(N(ISNUMBER(FIND({"s";"d";"f"},C13))))&gt;0,G13+J13&lt;0,AND(G13&gt;0,J13&gt;0,I13&gt;"20:30"*1),AND(I13&lt;="20:30"*1,SUM(I13,R13)&gt;="20:31"*1)),1,""),"")</f>
        <v/>
      </c>
      <c r="Q13" s="326" t="str">
        <f t="shared" si="9"/>
        <v/>
      </c>
      <c r="R13" s="31"/>
      <c r="S13" s="327" t="str">
        <f t="shared" si="4"/>
        <v/>
      </c>
      <c r="T13" s="34">
        <f t="shared" si="5"/>
        <v>0</v>
      </c>
      <c r="U13" s="154">
        <f t="shared" si="11"/>
        <v>0</v>
      </c>
      <c r="V13" s="188"/>
      <c r="W13" s="156" t="str">
        <f t="shared" si="10"/>
        <v>0,00</v>
      </c>
    </row>
    <row r="14" spans="1:23" ht="14.4" x14ac:dyDescent="0.3">
      <c r="A14" s="40"/>
      <c r="B14" s="304">
        <v>43231</v>
      </c>
      <c r="C14" s="331" t="s">
        <v>197</v>
      </c>
      <c r="D14" s="332"/>
      <c r="E14" s="310">
        <f>IFERROR(VLOOKUP(C14,TR!$B$2:$F$612,2,0),"")</f>
        <v>0.25694444444444448</v>
      </c>
      <c r="F14" s="311">
        <f>IFERROR(VLOOKUP(C14,TR!$B$2:$F$612,3,0),"")</f>
        <v>0.40277777777777773</v>
      </c>
      <c r="G14" s="321">
        <f t="shared" si="6"/>
        <v>0.14583333333333326</v>
      </c>
      <c r="H14" s="310">
        <f>IFERROR(VLOOKUP(C14,TR!$B$2:$F$612,4,0),"")</f>
        <v>0.52847222222222223</v>
      </c>
      <c r="I14" s="311">
        <f>IFERROR(VLOOKUP(C14,TR!$B$2:$F$612,5,0),"")</f>
        <v>0.73402777777777783</v>
      </c>
      <c r="J14" s="321">
        <f t="shared" si="7"/>
        <v>0.2055555555555556</v>
      </c>
      <c r="K14" s="322" t="str">
        <f t="shared" si="0"/>
        <v/>
      </c>
      <c r="L14" s="323" t="str">
        <f t="shared" si="1"/>
        <v/>
      </c>
      <c r="M14" s="324" t="str">
        <f t="shared" si="2"/>
        <v/>
      </c>
      <c r="N14" s="37" t="str">
        <f t="shared" si="8"/>
        <v/>
      </c>
      <c r="O14" s="315" t="str">
        <f t="shared" si="3"/>
        <v/>
      </c>
      <c r="P14" s="408" t="str">
        <f>IF(AND(L14="",M14=""),IF(OR(SUMPRODUCT(N(ISNUMBER(FIND({"s";"d";"f"},C14))))&gt;0,G14+J14&lt;0,AND(G14&gt;0,J14&gt;0,I14&gt;"20:30"*1),AND(I14&lt;="20:30"*1,SUM(I14,R14)&gt;="20:31"*1)),1,""),"")</f>
        <v/>
      </c>
      <c r="Q14" s="326" t="str">
        <f t="shared" si="9"/>
        <v/>
      </c>
      <c r="R14" s="31"/>
      <c r="S14" s="327">
        <f t="shared" si="4"/>
        <v>0.47708333333333336</v>
      </c>
      <c r="T14" s="34">
        <f t="shared" si="5"/>
        <v>0.35138888888888886</v>
      </c>
      <c r="U14" s="154">
        <f t="shared" si="11"/>
        <v>8.4333333333333336</v>
      </c>
      <c r="V14" s="188"/>
      <c r="W14" s="156">
        <f t="shared" si="10"/>
        <v>8.4333333333333336</v>
      </c>
    </row>
    <row r="15" spans="1:23" ht="14.4" x14ac:dyDescent="0.3">
      <c r="A15" s="40"/>
      <c r="B15" s="304">
        <v>43232</v>
      </c>
      <c r="C15" s="331" t="s">
        <v>194</v>
      </c>
      <c r="D15" s="332"/>
      <c r="E15" s="310">
        <f>IFERROR(VLOOKUP(C15,TR!$B$2:$F$612,2,0),"")</f>
        <v>0.25</v>
      </c>
      <c r="F15" s="311">
        <f>IFERROR(VLOOKUP(C15,TR!$B$2:$F$612,3,0),"")</f>
        <v>0.56180555555555556</v>
      </c>
      <c r="G15" s="321">
        <f t="shared" si="6"/>
        <v>0.31180555555555556</v>
      </c>
      <c r="H15" s="310">
        <f>IFERROR(VLOOKUP(C15,TR!$B$2:$F$612,4,0),"")</f>
        <v>0</v>
      </c>
      <c r="I15" s="311">
        <f>IFERROR(VLOOKUP(C15,TR!$B$2:$F$612,5,0),"")</f>
        <v>0</v>
      </c>
      <c r="J15" s="321">
        <f t="shared" si="7"/>
        <v>0</v>
      </c>
      <c r="K15" s="322" t="str">
        <f t="shared" si="0"/>
        <v/>
      </c>
      <c r="L15" s="323">
        <f t="shared" si="1"/>
        <v>1</v>
      </c>
      <c r="M15" s="324" t="str">
        <f t="shared" si="2"/>
        <v/>
      </c>
      <c r="N15" s="37" t="str">
        <f t="shared" si="8"/>
        <v/>
      </c>
      <c r="O15" s="315" t="str">
        <f t="shared" si="3"/>
        <v/>
      </c>
      <c r="P15" s="408" t="str">
        <f>IF(AND(L15="",M15=""),IF(OR(SUMPRODUCT(N(ISNUMBER(FIND({"s";"d";"f"},C15))))&gt;0,G15+J15&lt;0,AND(G15&gt;0,J15&gt;0,I15&gt;"20:30"*1),AND(I15&lt;="20:30"*1,SUM(I15,R15)&gt;="20:31"*1)),1,""),"")</f>
        <v/>
      </c>
      <c r="Q15" s="326" t="str">
        <f t="shared" si="9"/>
        <v/>
      </c>
      <c r="R15" s="30"/>
      <c r="S15" s="327">
        <f t="shared" si="4"/>
        <v>0.31180555555555556</v>
      </c>
      <c r="T15" s="34">
        <f t="shared" si="5"/>
        <v>0.31180555555555556</v>
      </c>
      <c r="U15" s="154">
        <f t="shared" si="11"/>
        <v>7.4833333333333334</v>
      </c>
      <c r="V15" s="188"/>
      <c r="W15" s="156">
        <f t="shared" si="10"/>
        <v>7.4833333333333334</v>
      </c>
    </row>
    <row r="16" spans="1:23" ht="14.4" x14ac:dyDescent="0.3">
      <c r="A16" s="40"/>
      <c r="B16" s="304">
        <v>43233</v>
      </c>
      <c r="C16" s="329" t="s">
        <v>47</v>
      </c>
      <c r="D16" s="330"/>
      <c r="E16" s="310">
        <f>IFERROR(VLOOKUP(C16,TR!$B$2:$F$612,2,0),"")</f>
        <v>0</v>
      </c>
      <c r="F16" s="311">
        <f>IFERROR(VLOOKUP(C16,TR!$B$2:$F$612,3,0),"")</f>
        <v>0</v>
      </c>
      <c r="G16" s="321">
        <f t="shared" si="6"/>
        <v>0</v>
      </c>
      <c r="H16" s="310">
        <f>IFERROR(VLOOKUP(C16,TR!$B$2:$F$612,4,0),"")</f>
        <v>0</v>
      </c>
      <c r="I16" s="311">
        <f>IFERROR(VLOOKUP(C16,TR!$B$2:$F$612,5,0),"")</f>
        <v>0</v>
      </c>
      <c r="J16" s="321">
        <f t="shared" si="7"/>
        <v>0</v>
      </c>
      <c r="K16" s="322" t="str">
        <f t="shared" si="0"/>
        <v/>
      </c>
      <c r="L16" s="323" t="str">
        <f t="shared" si="1"/>
        <v/>
      </c>
      <c r="M16" s="324" t="str">
        <f t="shared" si="2"/>
        <v/>
      </c>
      <c r="N16" s="37" t="str">
        <f t="shared" si="8"/>
        <v/>
      </c>
      <c r="O16" s="315" t="str">
        <f t="shared" si="3"/>
        <v/>
      </c>
      <c r="P16" s="408" t="str">
        <f>IF(AND(L16="",M16=""),IF(OR(SUMPRODUCT(N(ISNUMBER(FIND({"s";"d";"f"},C16))))&gt;0,G16+J16&lt;0,AND(G16&gt;0,J16&gt;0,I16&gt;"20:30"*1),AND(I16&lt;="20:30"*1,SUM(I16,R16)&gt;="20:31"*1)),1,""),"")</f>
        <v/>
      </c>
      <c r="Q16" s="326" t="str">
        <f t="shared" si="9"/>
        <v/>
      </c>
      <c r="R16" s="31"/>
      <c r="S16" s="327" t="str">
        <f t="shared" si="4"/>
        <v/>
      </c>
      <c r="T16" s="34">
        <f t="shared" si="5"/>
        <v>0</v>
      </c>
      <c r="U16" s="154">
        <f t="shared" si="11"/>
        <v>0</v>
      </c>
      <c r="V16" s="188"/>
      <c r="W16" s="156" t="str">
        <f t="shared" si="10"/>
        <v>0,00</v>
      </c>
    </row>
    <row r="17" spans="1:23" ht="14.4" x14ac:dyDescent="0.3">
      <c r="A17" s="40"/>
      <c r="B17" s="304">
        <v>43234</v>
      </c>
      <c r="C17" s="319" t="s">
        <v>111</v>
      </c>
      <c r="D17" s="320"/>
      <c r="E17" s="310">
        <f>IFERROR(VLOOKUP(C17,TR!$B$2:$F$612,2,0),"")</f>
        <v>0</v>
      </c>
      <c r="F17" s="311">
        <f>IFERROR(VLOOKUP(C17,TR!$B$2:$F$612,3,0),"")</f>
        <v>0</v>
      </c>
      <c r="G17" s="321">
        <f t="shared" si="6"/>
        <v>0</v>
      </c>
      <c r="H17" s="310">
        <f>IFERROR(VLOOKUP(C17,TR!$B$2:$F$612,4,0),"")</f>
        <v>0.52152777777777781</v>
      </c>
      <c r="I17" s="311">
        <f>IFERROR(VLOOKUP(C17,TR!$B$2:$F$612,5,0),"")</f>
        <v>0.84791666666666676</v>
      </c>
      <c r="J17" s="321">
        <f t="shared" si="7"/>
        <v>0.32638888888888895</v>
      </c>
      <c r="K17" s="322" t="str">
        <f t="shared" si="0"/>
        <v/>
      </c>
      <c r="L17" s="323" t="str">
        <f t="shared" si="1"/>
        <v/>
      </c>
      <c r="M17" s="324" t="str">
        <f t="shared" si="2"/>
        <v/>
      </c>
      <c r="N17" s="37" t="str">
        <f t="shared" si="8"/>
        <v/>
      </c>
      <c r="O17" s="315" t="str">
        <f t="shared" si="3"/>
        <v/>
      </c>
      <c r="P17" s="408" t="str">
        <f>IF(AND(L17="",M17=""),IF(OR(SUMPRODUCT(N(ISNUMBER(FIND({"s";"d";"f"},C17))))&gt;0,G17+J17&lt;0,AND(G17&gt;0,J17&gt;0,I17&gt;"20:30"*1),AND(I17&lt;="20:30"*1,SUM(I17,R17)&gt;="20:31"*1)),1,""),"")</f>
        <v/>
      </c>
      <c r="Q17" s="326" t="str">
        <f t="shared" si="9"/>
        <v/>
      </c>
      <c r="R17" s="31"/>
      <c r="S17" s="327">
        <f t="shared" si="4"/>
        <v>0.32638888888888895</v>
      </c>
      <c r="T17" s="34">
        <f t="shared" si="5"/>
        <v>0.32638888888888895</v>
      </c>
      <c r="U17" s="154">
        <f t="shared" si="11"/>
        <v>7.8333333333333348</v>
      </c>
      <c r="V17" s="188"/>
      <c r="W17" s="156">
        <f t="shared" si="10"/>
        <v>7.8333333333333348</v>
      </c>
    </row>
    <row r="18" spans="1:23" ht="14.4" x14ac:dyDescent="0.3">
      <c r="A18" s="40"/>
      <c r="B18" s="304">
        <v>43235</v>
      </c>
      <c r="C18" s="319" t="s">
        <v>112</v>
      </c>
      <c r="D18" s="320"/>
      <c r="E18" s="310">
        <f>IFERROR(VLOOKUP(C18,TR!$B$2:$F$612,2,0),"")</f>
        <v>0</v>
      </c>
      <c r="F18" s="311">
        <f>IFERROR(VLOOKUP(C18,TR!$B$2:$F$612,3,0),"")</f>
        <v>0</v>
      </c>
      <c r="G18" s="321">
        <f t="shared" si="6"/>
        <v>0</v>
      </c>
      <c r="H18" s="310">
        <f>IFERROR(VLOOKUP(C18,TR!$B$2:$F$612,4,0),"")</f>
        <v>0.50416666666666665</v>
      </c>
      <c r="I18" s="311">
        <f>IFERROR(VLOOKUP(C18,TR!$B$2:$F$612,5,0),"")</f>
        <v>0.82500000000000007</v>
      </c>
      <c r="J18" s="321">
        <f t="shared" si="7"/>
        <v>0.32083333333333341</v>
      </c>
      <c r="K18" s="322" t="str">
        <f t="shared" si="0"/>
        <v/>
      </c>
      <c r="L18" s="323">
        <f t="shared" si="1"/>
        <v>1</v>
      </c>
      <c r="M18" s="324" t="str">
        <f t="shared" si="2"/>
        <v/>
      </c>
      <c r="N18" s="37" t="str">
        <f t="shared" si="8"/>
        <v/>
      </c>
      <c r="O18" s="315" t="str">
        <f t="shared" si="3"/>
        <v/>
      </c>
      <c r="P18" s="408" t="str">
        <f>IF(AND(L18="",M18=""),IF(OR(SUMPRODUCT(N(ISNUMBER(FIND({"s";"d";"f"},C18))))&gt;0,G18+J18&lt;0,AND(G18&gt;0,J18&gt;0,I18&gt;"20:30"*1),AND(I18&lt;="20:30"*1,SUM(I18,R18)&gt;="20:31"*1)),1,""),"")</f>
        <v/>
      </c>
      <c r="Q18" s="326" t="str">
        <f t="shared" si="9"/>
        <v/>
      </c>
      <c r="R18" s="31"/>
      <c r="S18" s="327">
        <f t="shared" si="4"/>
        <v>0.32083333333333341</v>
      </c>
      <c r="T18" s="34">
        <f t="shared" si="5"/>
        <v>0.32083333333333341</v>
      </c>
      <c r="U18" s="154">
        <f t="shared" si="11"/>
        <v>7.700000000000002</v>
      </c>
      <c r="V18" s="188"/>
      <c r="W18" s="156">
        <f t="shared" si="10"/>
        <v>7.700000000000002</v>
      </c>
    </row>
    <row r="19" spans="1:23" ht="14.4" x14ac:dyDescent="0.3">
      <c r="A19" s="40"/>
      <c r="B19" s="304">
        <v>43236</v>
      </c>
      <c r="C19" s="319" t="s">
        <v>113</v>
      </c>
      <c r="D19" s="320"/>
      <c r="E19" s="310">
        <f>IFERROR(VLOOKUP(C19,TR!$B$2:$F$612,2,0),"")</f>
        <v>0</v>
      </c>
      <c r="F19" s="311">
        <f>IFERROR(VLOOKUP(C19,TR!$B$2:$F$612,3,0),"")</f>
        <v>0</v>
      </c>
      <c r="G19" s="321">
        <f t="shared" si="6"/>
        <v>0</v>
      </c>
      <c r="H19" s="310">
        <f>IFERROR(VLOOKUP(C19,TR!$B$2:$F$612,4,0),"")</f>
        <v>0.52638888888888891</v>
      </c>
      <c r="I19" s="311">
        <f>IFERROR(VLOOKUP(C19,TR!$B$2:$F$612,5,0),"")</f>
        <v>0.84166666666666667</v>
      </c>
      <c r="J19" s="321">
        <f t="shared" si="7"/>
        <v>0.31527777777777777</v>
      </c>
      <c r="K19" s="322" t="str">
        <f t="shared" si="0"/>
        <v/>
      </c>
      <c r="L19" s="323" t="str">
        <f t="shared" si="1"/>
        <v/>
      </c>
      <c r="M19" s="324" t="str">
        <f t="shared" si="2"/>
        <v/>
      </c>
      <c r="N19" s="37" t="str">
        <f t="shared" si="8"/>
        <v/>
      </c>
      <c r="O19" s="315" t="str">
        <f t="shared" si="3"/>
        <v/>
      </c>
      <c r="P19" s="408" t="str">
        <f>IF(AND(L19="",M19=""),IF(OR(SUMPRODUCT(N(ISNUMBER(FIND({"s";"d";"f"},C19))))&gt;0,G19+J19&lt;0,AND(G19&gt;0,J19&gt;0,I19&gt;"20:30"*1),AND(I19&lt;="20:30"*1,SUM(I19,R19)&gt;="20:31"*1)),1,""),"")</f>
        <v/>
      </c>
      <c r="Q19" s="326" t="str">
        <f t="shared" si="9"/>
        <v/>
      </c>
      <c r="R19" s="31">
        <v>1.1111111111111112E-2</v>
      </c>
      <c r="S19" s="327">
        <f t="shared" si="4"/>
        <v>0.31527777777777777</v>
      </c>
      <c r="T19" s="34">
        <f t="shared" si="5"/>
        <v>0.31527777777777777</v>
      </c>
      <c r="U19" s="154">
        <f t="shared" si="11"/>
        <v>7.5666666666666664</v>
      </c>
      <c r="V19" s="188"/>
      <c r="W19" s="156">
        <f t="shared" si="10"/>
        <v>7.5666666666666664</v>
      </c>
    </row>
    <row r="20" spans="1:23" ht="14.4" x14ac:dyDescent="0.3">
      <c r="A20" s="40"/>
      <c r="B20" s="304">
        <v>43237</v>
      </c>
      <c r="C20" s="319" t="s">
        <v>114</v>
      </c>
      <c r="D20" s="320"/>
      <c r="E20" s="310">
        <f>IFERROR(VLOOKUP(C20,TR!$B$2:$F$612,2,0),"")</f>
        <v>0</v>
      </c>
      <c r="F20" s="311">
        <f>IFERROR(VLOOKUP(C20,TR!$B$2:$F$612,3,0),"")</f>
        <v>0</v>
      </c>
      <c r="G20" s="321">
        <f t="shared" si="6"/>
        <v>0</v>
      </c>
      <c r="H20" s="310">
        <f>IFERROR(VLOOKUP(C20,TR!$B$2:$F$612,4,0),"")</f>
        <v>0.49444444444444446</v>
      </c>
      <c r="I20" s="311">
        <f>IFERROR(VLOOKUP(C20,TR!$B$2:$F$612,5,0),"")</f>
        <v>0.81111111111111101</v>
      </c>
      <c r="J20" s="321">
        <f t="shared" si="7"/>
        <v>0.31666666666666654</v>
      </c>
      <c r="K20" s="322" t="str">
        <f t="shared" si="0"/>
        <v/>
      </c>
      <c r="L20" s="323">
        <f t="shared" si="1"/>
        <v>1</v>
      </c>
      <c r="M20" s="324" t="str">
        <f t="shared" si="2"/>
        <v/>
      </c>
      <c r="N20" s="37" t="str">
        <f t="shared" si="8"/>
        <v/>
      </c>
      <c r="O20" s="315" t="str">
        <f t="shared" si="3"/>
        <v/>
      </c>
      <c r="P20" s="408" t="str">
        <f>IF(AND(L20="",M20=""),IF(OR(SUMPRODUCT(N(ISNUMBER(FIND({"s";"d";"f"},C20))))&gt;0,G20+J20&lt;0,AND(G20&gt;0,J20&gt;0,I20&gt;"20:30"*1),AND(I20&lt;="20:30"*1,SUM(I20,R20)&gt;="20:31"*1)),1,""),"")</f>
        <v/>
      </c>
      <c r="Q20" s="326" t="str">
        <f t="shared" si="9"/>
        <v/>
      </c>
      <c r="R20" s="31"/>
      <c r="S20" s="327">
        <f t="shared" si="4"/>
        <v>0.31666666666666654</v>
      </c>
      <c r="T20" s="34">
        <f t="shared" si="5"/>
        <v>0.31666666666666654</v>
      </c>
      <c r="U20" s="154">
        <f t="shared" si="11"/>
        <v>7.599999999999997</v>
      </c>
      <c r="V20" s="188"/>
      <c r="W20" s="156">
        <f t="shared" si="10"/>
        <v>7.599999999999997</v>
      </c>
    </row>
    <row r="21" spans="1:23" ht="14.4" x14ac:dyDescent="0.3">
      <c r="A21" s="40"/>
      <c r="B21" s="304">
        <v>43238</v>
      </c>
      <c r="C21" s="331" t="s">
        <v>115</v>
      </c>
      <c r="D21" s="332"/>
      <c r="E21" s="310">
        <f>IFERROR(VLOOKUP(C21,TR!$B$2:$F$612,2,0),"")</f>
        <v>0.27083333333333331</v>
      </c>
      <c r="F21" s="311">
        <f>IFERROR(VLOOKUP(C21,TR!$B$2:$F$612,3,0),"")</f>
        <v>0.40416666666666662</v>
      </c>
      <c r="G21" s="321">
        <f t="shared" si="6"/>
        <v>0.1333333333333333</v>
      </c>
      <c r="H21" s="310">
        <f>IFERROR(VLOOKUP(C21,TR!$B$2:$F$612,4,0),"")</f>
        <v>0.59097222222222223</v>
      </c>
      <c r="I21" s="311">
        <f>IFERROR(VLOOKUP(C21,TR!$B$2:$F$612,5,0),"")</f>
        <v>0.80763888888888891</v>
      </c>
      <c r="J21" s="321">
        <f t="shared" si="7"/>
        <v>0.21666666666666667</v>
      </c>
      <c r="K21" s="322" t="str">
        <f t="shared" si="0"/>
        <v/>
      </c>
      <c r="L21" s="323" t="str">
        <f t="shared" si="1"/>
        <v/>
      </c>
      <c r="M21" s="324" t="str">
        <f t="shared" si="2"/>
        <v/>
      </c>
      <c r="N21" s="37" t="str">
        <f t="shared" si="8"/>
        <v/>
      </c>
      <c r="O21" s="315" t="str">
        <f t="shared" si="3"/>
        <v/>
      </c>
      <c r="P21" s="408" t="str">
        <f>IF(AND(L21="",M21=""),IF(OR(SUMPRODUCT(N(ISNUMBER(FIND({"s";"d";"f"},C21))))&gt;0,G21+J21&lt;0,AND(G21&gt;0,J21&gt;0,I21&gt;"20:30"*1),AND(I21&lt;="20:30"*1,SUM(I21,R21)&gt;="20:31"*1)),1,""),"")</f>
        <v/>
      </c>
      <c r="Q21" s="326" t="str">
        <f t="shared" si="9"/>
        <v/>
      </c>
      <c r="R21" s="31"/>
      <c r="S21" s="327">
        <f t="shared" si="4"/>
        <v>0.53680555555555554</v>
      </c>
      <c r="T21" s="34">
        <f t="shared" si="5"/>
        <v>0.35</v>
      </c>
      <c r="U21" s="154">
        <f t="shared" si="11"/>
        <v>8.3999999999999986</v>
      </c>
      <c r="V21" s="188"/>
      <c r="W21" s="156">
        <f t="shared" si="10"/>
        <v>8.3999999999999986</v>
      </c>
    </row>
    <row r="22" spans="1:23" ht="14.4" x14ac:dyDescent="0.3">
      <c r="A22" s="40"/>
      <c r="B22" s="304">
        <v>43239</v>
      </c>
      <c r="C22" s="329" t="s">
        <v>46</v>
      </c>
      <c r="D22" s="330"/>
      <c r="E22" s="310">
        <f>IFERROR(VLOOKUP(C22,TR!$B$2:$F$612,2,0),"")</f>
        <v>0</v>
      </c>
      <c r="F22" s="311">
        <f>IFERROR(VLOOKUP(C22,TR!$B$2:$F$612,3,0),"")</f>
        <v>0</v>
      </c>
      <c r="G22" s="321">
        <f t="shared" si="6"/>
        <v>0</v>
      </c>
      <c r="H22" s="310">
        <f>IFERROR(VLOOKUP(C22,TR!$B$2:$F$612,4,0),"")</f>
        <v>0</v>
      </c>
      <c r="I22" s="311">
        <f>IFERROR(VLOOKUP(C22,TR!$B$2:$F$612,5,0),"")</f>
        <v>0</v>
      </c>
      <c r="J22" s="321">
        <f t="shared" si="7"/>
        <v>0</v>
      </c>
      <c r="K22" s="322" t="str">
        <f t="shared" si="0"/>
        <v/>
      </c>
      <c r="L22" s="323" t="str">
        <f t="shared" si="1"/>
        <v/>
      </c>
      <c r="M22" s="324" t="str">
        <f t="shared" si="2"/>
        <v/>
      </c>
      <c r="N22" s="37" t="str">
        <f t="shared" si="8"/>
        <v/>
      </c>
      <c r="O22" s="315" t="str">
        <f t="shared" si="3"/>
        <v/>
      </c>
      <c r="P22" s="408" t="str">
        <f>IF(AND(L22="",M22=""),IF(OR(SUMPRODUCT(N(ISNUMBER(FIND({"s";"d";"f"},C22))))&gt;0,G22+J22&lt;0,AND(G22&gt;0,J22&gt;0,I22&gt;"20:30"*1),AND(I22&lt;="20:30"*1,SUM(I22,R22)&gt;="20:31"*1)),1,""),"")</f>
        <v/>
      </c>
      <c r="Q22" s="326" t="str">
        <f t="shared" si="9"/>
        <v/>
      </c>
      <c r="R22" s="31"/>
      <c r="S22" s="327" t="str">
        <f t="shared" si="4"/>
        <v/>
      </c>
      <c r="T22" s="34">
        <f t="shared" si="5"/>
        <v>0</v>
      </c>
      <c r="U22" s="154">
        <f t="shared" si="11"/>
        <v>0</v>
      </c>
      <c r="V22" s="188"/>
      <c r="W22" s="156" t="str">
        <f t="shared" si="10"/>
        <v>0,00</v>
      </c>
    </row>
    <row r="23" spans="1:23" ht="15" thickBot="1" x14ac:dyDescent="0.35">
      <c r="A23" s="40"/>
      <c r="B23" s="417">
        <v>43240</v>
      </c>
      <c r="C23" s="455" t="s">
        <v>47</v>
      </c>
      <c r="D23" s="456"/>
      <c r="E23" s="420">
        <f>IFERROR(VLOOKUP(C23,TR!$B$2:$F$612,2,0),"")</f>
        <v>0</v>
      </c>
      <c r="F23" s="421">
        <f>IFERROR(VLOOKUP(C23,TR!$B$2:$F$612,3,0),"")</f>
        <v>0</v>
      </c>
      <c r="G23" s="422">
        <f t="shared" si="6"/>
        <v>0</v>
      </c>
      <c r="H23" s="420">
        <f>IFERROR(VLOOKUP(C23,TR!$B$2:$F$612,4,0),"")</f>
        <v>0</v>
      </c>
      <c r="I23" s="421">
        <f>IFERROR(VLOOKUP(C23,TR!$B$2:$F$612,5,0),"")</f>
        <v>0</v>
      </c>
      <c r="J23" s="422">
        <f t="shared" si="7"/>
        <v>0</v>
      </c>
      <c r="K23" s="536" t="str">
        <f t="shared" si="0"/>
        <v/>
      </c>
      <c r="L23" s="540" t="str">
        <f t="shared" si="1"/>
        <v/>
      </c>
      <c r="M23" s="538" t="str">
        <f t="shared" si="2"/>
        <v/>
      </c>
      <c r="N23" s="245" t="str">
        <f t="shared" si="8"/>
        <v/>
      </c>
      <c r="O23" s="341" t="str">
        <f t="shared" si="3"/>
        <v/>
      </c>
      <c r="P23" s="424" t="str">
        <f>IF(AND(L23="",M23=""),IF(OR(SUMPRODUCT(N(ISNUMBER(FIND({"s";"d";"f"},C23))))&gt;0,G23+J23&lt;0,AND(G23&gt;0,J23&gt;0,I23&gt;"20:30"*1),AND(I23&lt;="20:30"*1,SUM(I23,R23)&gt;="20:31"*1)),1,""),"")</f>
        <v/>
      </c>
      <c r="Q23" s="343" t="str">
        <f t="shared" si="9"/>
        <v/>
      </c>
      <c r="R23" s="233"/>
      <c r="S23" s="425" t="str">
        <f t="shared" si="4"/>
        <v/>
      </c>
      <c r="T23" s="234">
        <f t="shared" si="5"/>
        <v>0</v>
      </c>
      <c r="U23" s="235">
        <f t="shared" si="11"/>
        <v>0</v>
      </c>
      <c r="V23" s="236"/>
      <c r="W23" s="251" t="str">
        <f t="shared" si="10"/>
        <v>0,00</v>
      </c>
    </row>
    <row r="24" spans="1:23" ht="14.4" x14ac:dyDescent="0.3">
      <c r="A24" s="40"/>
      <c r="B24" s="426">
        <v>43241</v>
      </c>
      <c r="C24" s="457" t="s">
        <v>11</v>
      </c>
      <c r="D24" s="458"/>
      <c r="E24" s="429">
        <f>IFERROR(VLOOKUP(C24,TR!$B$2:$F$612,2,0),"")</f>
        <v>0</v>
      </c>
      <c r="F24" s="430">
        <f>IFERROR(VLOOKUP(C24,TR!$B$2:$F$612,3,0),"")</f>
        <v>0</v>
      </c>
      <c r="G24" s="431">
        <f t="shared" si="6"/>
        <v>0</v>
      </c>
      <c r="H24" s="429">
        <f>IFERROR(VLOOKUP(C24,TR!$B$2:$F$612,4,0),"")</f>
        <v>0</v>
      </c>
      <c r="I24" s="430">
        <f>IFERROR(VLOOKUP(C24,TR!$B$2:$F$612,5,0),"")</f>
        <v>0</v>
      </c>
      <c r="J24" s="431">
        <f t="shared" si="7"/>
        <v>0</v>
      </c>
      <c r="K24" s="533" t="str">
        <f t="shared" si="0"/>
        <v/>
      </c>
      <c r="L24" s="539" t="str">
        <f t="shared" si="1"/>
        <v/>
      </c>
      <c r="M24" s="535" t="str">
        <f t="shared" si="2"/>
        <v/>
      </c>
      <c r="N24" s="243" t="str">
        <f t="shared" si="8"/>
        <v/>
      </c>
      <c r="O24" s="350" t="str">
        <f t="shared" si="3"/>
        <v/>
      </c>
      <c r="P24" s="433" t="str">
        <f>IF(AND(L24="",M24=""),IF(OR(SUMPRODUCT(N(ISNUMBER(FIND({"s";"d";"f"},C24))))&gt;0,G24+J24&lt;0,AND(G24&gt;0,J24&gt;0,I24&gt;"20:30"*1),AND(I24&lt;="20:30"*1,SUM(I24,R24)&gt;="20:31"*1)),1,""),"")</f>
        <v/>
      </c>
      <c r="Q24" s="352" t="str">
        <f t="shared" si="9"/>
        <v/>
      </c>
      <c r="R24" s="238"/>
      <c r="S24" s="434" t="str">
        <f t="shared" si="4"/>
        <v/>
      </c>
      <c r="T24" s="239">
        <f t="shared" si="5"/>
        <v>0</v>
      </c>
      <c r="U24" s="240">
        <f t="shared" si="11"/>
        <v>0</v>
      </c>
      <c r="V24" s="241"/>
      <c r="W24" s="242" t="str">
        <f t="shared" si="10"/>
        <v>0,00</v>
      </c>
    </row>
    <row r="25" spans="1:23" ht="14.4" x14ac:dyDescent="0.3">
      <c r="A25" s="40"/>
      <c r="B25" s="304">
        <v>43242</v>
      </c>
      <c r="C25" s="329" t="s">
        <v>108</v>
      </c>
      <c r="D25" s="330"/>
      <c r="E25" s="310">
        <f>IFERROR(VLOOKUP(C25,TR!$B$2:$F$612,2,0),"")</f>
        <v>0.24652777777777779</v>
      </c>
      <c r="F25" s="311">
        <f>IFERROR(VLOOKUP(C25,TR!$B$2:$F$612,3,0),"")</f>
        <v>0.5444444444444444</v>
      </c>
      <c r="G25" s="321">
        <f t="shared" si="6"/>
        <v>0.29791666666666661</v>
      </c>
      <c r="H25" s="310">
        <f>IFERROR(VLOOKUP(C25,TR!$B$2:$F$612,4,0),"")</f>
        <v>0</v>
      </c>
      <c r="I25" s="311">
        <f>IFERROR(VLOOKUP(C25,TR!$B$2:$F$612,5,0),"")</f>
        <v>0</v>
      </c>
      <c r="J25" s="321">
        <f t="shared" si="7"/>
        <v>0</v>
      </c>
      <c r="K25" s="322" t="str">
        <f t="shared" si="0"/>
        <v/>
      </c>
      <c r="L25" s="323" t="str">
        <f t="shared" si="1"/>
        <v/>
      </c>
      <c r="M25" s="324" t="str">
        <f t="shared" si="2"/>
        <v/>
      </c>
      <c r="N25" s="37" t="str">
        <f t="shared" si="8"/>
        <v/>
      </c>
      <c r="O25" s="315" t="str">
        <f t="shared" si="3"/>
        <v/>
      </c>
      <c r="P25" s="408" t="str">
        <f>IF(AND(L25="",M25=""),IF(OR(SUMPRODUCT(N(ISNUMBER(FIND({"s";"d";"f"},C25))))&gt;0,G25+J25&lt;0,AND(G25&gt;0,J25&gt;0,I25&gt;"20:30"*1),AND(I25&lt;="20:30"*1,SUM(I25,R25)&gt;="20:31"*1)),1,""),"")</f>
        <v/>
      </c>
      <c r="Q25" s="326" t="str">
        <f t="shared" si="9"/>
        <v/>
      </c>
      <c r="R25" s="31"/>
      <c r="S25" s="327">
        <f t="shared" si="4"/>
        <v>0.29791666666666661</v>
      </c>
      <c r="T25" s="34">
        <f t="shared" si="5"/>
        <v>0.29791666666666661</v>
      </c>
      <c r="U25" s="154">
        <f t="shared" si="11"/>
        <v>7.1499999999999986</v>
      </c>
      <c r="V25" s="188"/>
      <c r="W25" s="156">
        <f t="shared" si="10"/>
        <v>7.1499999999999986</v>
      </c>
    </row>
    <row r="26" spans="1:23" ht="14.4" x14ac:dyDescent="0.3">
      <c r="A26" s="40"/>
      <c r="B26" s="304">
        <v>43243</v>
      </c>
      <c r="C26" s="319" t="s">
        <v>46</v>
      </c>
      <c r="D26" s="320"/>
      <c r="E26" s="310">
        <f>IFERROR(VLOOKUP(C26,TR!$B$2:$F$612,2,0),"")</f>
        <v>0</v>
      </c>
      <c r="F26" s="311">
        <f>IFERROR(VLOOKUP(C26,TR!$B$2:$F$612,3,0),"")</f>
        <v>0</v>
      </c>
      <c r="G26" s="321">
        <f t="shared" si="6"/>
        <v>0</v>
      </c>
      <c r="H26" s="310">
        <f>IFERROR(VLOOKUP(C26,TR!$B$2:$F$612,4,0),"")</f>
        <v>0</v>
      </c>
      <c r="I26" s="311">
        <f>IFERROR(VLOOKUP(C26,TR!$B$2:$F$612,5,0),"")</f>
        <v>0</v>
      </c>
      <c r="J26" s="321">
        <f t="shared" si="7"/>
        <v>0</v>
      </c>
      <c r="K26" s="322" t="str">
        <f t="shared" si="0"/>
        <v/>
      </c>
      <c r="L26" s="323" t="str">
        <f t="shared" si="1"/>
        <v/>
      </c>
      <c r="M26" s="324" t="str">
        <f t="shared" si="2"/>
        <v/>
      </c>
      <c r="N26" s="37" t="str">
        <f t="shared" si="8"/>
        <v/>
      </c>
      <c r="O26" s="315" t="str">
        <f t="shared" si="3"/>
        <v/>
      </c>
      <c r="P26" s="408" t="str">
        <f>IF(AND(L26="",M26=""),IF(OR(SUMPRODUCT(N(ISNUMBER(FIND({"s";"d";"f"},C26))))&gt;0,G26+J26&lt;0,AND(G26&gt;0,J26&gt;0,I26&gt;"20:30"*1),AND(I26&lt;="20:30"*1,SUM(I26,R26)&gt;="20:31"*1)),1,""),"")</f>
        <v/>
      </c>
      <c r="Q26" s="326" t="str">
        <f t="shared" si="9"/>
        <v/>
      </c>
      <c r="R26" s="31"/>
      <c r="S26" s="327" t="str">
        <f t="shared" si="4"/>
        <v/>
      </c>
      <c r="T26" s="34">
        <f t="shared" si="5"/>
        <v>0</v>
      </c>
      <c r="U26" s="154">
        <f t="shared" si="11"/>
        <v>0</v>
      </c>
      <c r="V26" s="188"/>
      <c r="W26" s="156" t="str">
        <f t="shared" si="10"/>
        <v>0,00</v>
      </c>
    </row>
    <row r="27" spans="1:23" ht="14.4" x14ac:dyDescent="0.3">
      <c r="A27" s="40"/>
      <c r="B27" s="304">
        <v>43244</v>
      </c>
      <c r="C27" s="319" t="s">
        <v>45</v>
      </c>
      <c r="D27" s="320"/>
      <c r="E27" s="310">
        <f>IFERROR(VLOOKUP(C27,TR!$B$2:$F$612,2,0),"")</f>
        <v>0</v>
      </c>
      <c r="F27" s="311">
        <f>IFERROR(VLOOKUP(C27,TR!$B$2:$F$612,3,0),"")</f>
        <v>0</v>
      </c>
      <c r="G27" s="321">
        <f t="shared" si="6"/>
        <v>0</v>
      </c>
      <c r="H27" s="310">
        <f>IFERROR(VLOOKUP(C27,TR!$B$2:$F$612,4,0),"")</f>
        <v>0</v>
      </c>
      <c r="I27" s="311">
        <f>IFERROR(VLOOKUP(C27,TR!$B$2:$F$612,5,0),"")</f>
        <v>0</v>
      </c>
      <c r="J27" s="321">
        <f t="shared" si="7"/>
        <v>0</v>
      </c>
      <c r="K27" s="322" t="str">
        <f t="shared" si="0"/>
        <v/>
      </c>
      <c r="L27" s="323" t="str">
        <f t="shared" si="1"/>
        <v/>
      </c>
      <c r="M27" s="324" t="str">
        <f t="shared" si="2"/>
        <v/>
      </c>
      <c r="N27" s="37" t="str">
        <f t="shared" si="8"/>
        <v/>
      </c>
      <c r="O27" s="315" t="str">
        <f t="shared" si="3"/>
        <v/>
      </c>
      <c r="P27" s="408" t="str">
        <f>IF(AND(L27="",M27=""),IF(OR(SUMPRODUCT(N(ISNUMBER(FIND({"s";"d";"f"},C27))))&gt;0,G27+J27&lt;0,AND(G27&gt;0,J27&gt;0,I27&gt;"20:30"*1),AND(I27&lt;="20:30"*1,SUM(I27,R27)&gt;="20:31"*1)),1,""),"")</f>
        <v/>
      </c>
      <c r="Q27" s="326" t="str">
        <f t="shared" si="9"/>
        <v/>
      </c>
      <c r="R27" s="31"/>
      <c r="S27" s="327" t="str">
        <f t="shared" si="4"/>
        <v/>
      </c>
      <c r="T27" s="34">
        <f t="shared" si="5"/>
        <v>0</v>
      </c>
      <c r="U27" s="154">
        <f t="shared" si="11"/>
        <v>0</v>
      </c>
      <c r="V27" s="188"/>
      <c r="W27" s="156" t="str">
        <f t="shared" si="10"/>
        <v>0,00</v>
      </c>
    </row>
    <row r="28" spans="1:23" ht="14.4" x14ac:dyDescent="0.3">
      <c r="A28" s="40"/>
      <c r="B28" s="304">
        <v>43245</v>
      </c>
      <c r="C28" s="319" t="s">
        <v>109</v>
      </c>
      <c r="D28" s="320"/>
      <c r="E28" s="310">
        <f>IFERROR(VLOOKUP(C28,TR!$B$2:$F$612,2,0),"")</f>
        <v>0.24583333333333335</v>
      </c>
      <c r="F28" s="311">
        <f>IFERROR(VLOOKUP(C28,TR!$B$2:$F$612,3,0),"")</f>
        <v>0.56666666666666665</v>
      </c>
      <c r="G28" s="321">
        <f t="shared" si="6"/>
        <v>0.3208333333333333</v>
      </c>
      <c r="H28" s="310">
        <f>IFERROR(VLOOKUP(C28,TR!$B$2:$F$612,4,0),"")</f>
        <v>0</v>
      </c>
      <c r="I28" s="311">
        <f>IFERROR(VLOOKUP(C28,TR!$B$2:$F$612,5,0),"")</f>
        <v>0</v>
      </c>
      <c r="J28" s="321">
        <f t="shared" si="7"/>
        <v>0</v>
      </c>
      <c r="K28" s="322" t="str">
        <f t="shared" si="0"/>
        <v/>
      </c>
      <c r="L28" s="323">
        <f t="shared" si="1"/>
        <v>1</v>
      </c>
      <c r="M28" s="324" t="str">
        <f t="shared" si="2"/>
        <v/>
      </c>
      <c r="N28" s="37" t="str">
        <f t="shared" si="8"/>
        <v/>
      </c>
      <c r="O28" s="315" t="str">
        <f t="shared" si="3"/>
        <v/>
      </c>
      <c r="P28" s="408" t="str">
        <f>IF(AND(L28="",M28=""),IF(OR(SUMPRODUCT(N(ISNUMBER(FIND({"s";"d";"f"},C28))))&gt;0,G28+J28&lt;0,AND(G28&gt;0,J28&gt;0,I28&gt;"20:30"*1),AND(I28&lt;="20:30"*1,SUM(I28,R28)&gt;="20:31"*1)),1,""),"")</f>
        <v/>
      </c>
      <c r="Q28" s="326" t="str">
        <f t="shared" si="9"/>
        <v/>
      </c>
      <c r="R28" s="31"/>
      <c r="S28" s="327">
        <f t="shared" si="4"/>
        <v>0.3208333333333333</v>
      </c>
      <c r="T28" s="34">
        <f t="shared" si="5"/>
        <v>0.3208333333333333</v>
      </c>
      <c r="U28" s="154">
        <f t="shared" si="11"/>
        <v>7.6999999999999993</v>
      </c>
      <c r="V28" s="188"/>
      <c r="W28" s="156">
        <f t="shared" si="10"/>
        <v>7.6999999999999993</v>
      </c>
    </row>
    <row r="29" spans="1:23" ht="14.4" x14ac:dyDescent="0.3">
      <c r="A29" s="40"/>
      <c r="B29" s="304">
        <v>43246</v>
      </c>
      <c r="C29" s="319" t="s">
        <v>110</v>
      </c>
      <c r="D29" s="320"/>
      <c r="E29" s="310">
        <f>IFERROR(VLOOKUP(C29,TR!$B$2:$F$612,2,0),"")</f>
        <v>0.26597222222222222</v>
      </c>
      <c r="F29" s="311">
        <f>IFERROR(VLOOKUP(C29,TR!$B$2:$F$612,3,0),"")</f>
        <v>0.56458333333333333</v>
      </c>
      <c r="G29" s="321">
        <f t="shared" si="6"/>
        <v>0.2986111111111111</v>
      </c>
      <c r="H29" s="310">
        <f>IFERROR(VLOOKUP(C29,TR!$B$2:$F$612,4,0),"")</f>
        <v>0</v>
      </c>
      <c r="I29" s="311">
        <f>IFERROR(VLOOKUP(C29,TR!$B$2:$F$612,5,0),"")</f>
        <v>0</v>
      </c>
      <c r="J29" s="321">
        <f t="shared" si="7"/>
        <v>0</v>
      </c>
      <c r="K29" s="322" t="str">
        <f t="shared" si="0"/>
        <v/>
      </c>
      <c r="L29" s="323">
        <f t="shared" si="1"/>
        <v>1</v>
      </c>
      <c r="M29" s="324" t="str">
        <f t="shared" si="2"/>
        <v/>
      </c>
      <c r="N29" s="37" t="str">
        <f t="shared" si="8"/>
        <v/>
      </c>
      <c r="O29" s="315" t="str">
        <f t="shared" si="3"/>
        <v/>
      </c>
      <c r="P29" s="408" t="str">
        <f>IF(AND(L29="",M29=""),IF(OR(SUMPRODUCT(N(ISNUMBER(FIND({"s";"d";"f"},C29))))&gt;0,G29+J29&lt;0,AND(G29&gt;0,J29&gt;0,I29&gt;"20:30"*1),AND(I29&lt;="20:30"*1,SUM(I29,R29)&gt;="20:31"*1)),1,""),"")</f>
        <v/>
      </c>
      <c r="Q29" s="326" t="str">
        <f t="shared" si="9"/>
        <v/>
      </c>
      <c r="R29" s="31"/>
      <c r="S29" s="327">
        <f t="shared" si="4"/>
        <v>0.2986111111111111</v>
      </c>
      <c r="T29" s="34">
        <f t="shared" si="5"/>
        <v>0.2986111111111111</v>
      </c>
      <c r="U29" s="154">
        <f t="shared" si="11"/>
        <v>7.1666666666666661</v>
      </c>
      <c r="V29" s="188"/>
      <c r="W29" s="156">
        <f t="shared" si="10"/>
        <v>7.1666666666666661</v>
      </c>
    </row>
    <row r="30" spans="1:23" ht="14.4" x14ac:dyDescent="0.3">
      <c r="A30" s="40"/>
      <c r="B30" s="304">
        <v>43247</v>
      </c>
      <c r="C30" s="329" t="s">
        <v>47</v>
      </c>
      <c r="D30" s="330"/>
      <c r="E30" s="310">
        <f>IFERROR(VLOOKUP(C30,TR!$B$2:$F$612,2,0),"")</f>
        <v>0</v>
      </c>
      <c r="F30" s="311">
        <f>IFERROR(VLOOKUP(C30,TR!$B$2:$F$612,3,0),"")</f>
        <v>0</v>
      </c>
      <c r="G30" s="321">
        <f t="shared" si="6"/>
        <v>0</v>
      </c>
      <c r="H30" s="310">
        <f>IFERROR(VLOOKUP(C30,TR!$B$2:$F$612,4,0),"")</f>
        <v>0</v>
      </c>
      <c r="I30" s="311">
        <f>IFERROR(VLOOKUP(C30,TR!$B$2:$F$612,5,0),"")</f>
        <v>0</v>
      </c>
      <c r="J30" s="321">
        <f t="shared" si="7"/>
        <v>0</v>
      </c>
      <c r="K30" s="322" t="str">
        <f t="shared" si="0"/>
        <v/>
      </c>
      <c r="L30" s="323" t="str">
        <f t="shared" si="1"/>
        <v/>
      </c>
      <c r="M30" s="324" t="str">
        <f t="shared" si="2"/>
        <v/>
      </c>
      <c r="N30" s="37" t="str">
        <f t="shared" si="8"/>
        <v/>
      </c>
      <c r="O30" s="315" t="str">
        <f t="shared" si="3"/>
        <v/>
      </c>
      <c r="P30" s="408" t="str">
        <f>IF(AND(L30="",M30=""),IF(OR(SUMPRODUCT(N(ISNUMBER(FIND({"s";"d";"f"},C30))))&gt;0,G30+J30&lt;0,AND(G30&gt;0,J30&gt;0,I30&gt;"20:30"*1),AND(I30&lt;="20:30"*1,SUM(I30,R30)&gt;="20:31"*1)),1,""),"")</f>
        <v/>
      </c>
      <c r="Q30" s="326" t="str">
        <f t="shared" si="9"/>
        <v/>
      </c>
      <c r="R30" s="31"/>
      <c r="S30" s="327" t="str">
        <f t="shared" si="4"/>
        <v/>
      </c>
      <c r="T30" s="34">
        <f t="shared" si="5"/>
        <v>0</v>
      </c>
      <c r="U30" s="154">
        <f t="shared" si="11"/>
        <v>0</v>
      </c>
      <c r="V30" s="188"/>
      <c r="W30" s="156" t="str">
        <f t="shared" si="10"/>
        <v>0,00</v>
      </c>
    </row>
    <row r="31" spans="1:23" ht="14.4" x14ac:dyDescent="0.3">
      <c r="A31" s="40"/>
      <c r="B31" s="304">
        <v>43248</v>
      </c>
      <c r="C31" s="329" t="s">
        <v>46</v>
      </c>
      <c r="D31" s="330"/>
      <c r="E31" s="310">
        <f>IFERROR(VLOOKUP(C31,TR!$B$2:$F$612,2,0),"")</f>
        <v>0</v>
      </c>
      <c r="F31" s="311">
        <f>IFERROR(VLOOKUP(C31,TR!$B$2:$F$612,3,0),"")</f>
        <v>0</v>
      </c>
      <c r="G31" s="321">
        <f t="shared" si="6"/>
        <v>0</v>
      </c>
      <c r="H31" s="310">
        <f>IFERROR(VLOOKUP(C31,TR!$B$2:$F$612,4,0),"")</f>
        <v>0</v>
      </c>
      <c r="I31" s="311">
        <f>IFERROR(VLOOKUP(C31,TR!$B$2:$F$612,5,0),"")</f>
        <v>0</v>
      </c>
      <c r="J31" s="321">
        <f t="shared" si="7"/>
        <v>0</v>
      </c>
      <c r="K31" s="322" t="str">
        <f t="shared" si="0"/>
        <v/>
      </c>
      <c r="L31" s="323" t="str">
        <f t="shared" si="1"/>
        <v/>
      </c>
      <c r="M31" s="324" t="str">
        <f t="shared" si="2"/>
        <v/>
      </c>
      <c r="N31" s="37" t="str">
        <f t="shared" si="8"/>
        <v/>
      </c>
      <c r="O31" s="315" t="str">
        <f t="shared" si="3"/>
        <v/>
      </c>
      <c r="P31" s="408" t="str">
        <f>IF(AND(L31="",M31=""),IF(OR(SUMPRODUCT(N(ISNUMBER(FIND({"s";"d";"f"},C31))))&gt;0,G31+J31&lt;0,AND(G31&gt;0,J31&gt;0,I31&gt;"20:30"*1),AND(I31&lt;="20:30"*1,SUM(I31,R31)&gt;="20:31"*1)),1,""),"")</f>
        <v/>
      </c>
      <c r="Q31" s="326" t="str">
        <f t="shared" si="9"/>
        <v/>
      </c>
      <c r="R31" s="31"/>
      <c r="S31" s="327" t="str">
        <f t="shared" si="4"/>
        <v/>
      </c>
      <c r="T31" s="34">
        <f t="shared" si="5"/>
        <v>0</v>
      </c>
      <c r="U31" s="154">
        <f t="shared" si="11"/>
        <v>0</v>
      </c>
      <c r="V31" s="188"/>
      <c r="W31" s="156" t="str">
        <f t="shared" si="10"/>
        <v>0,00</v>
      </c>
    </row>
    <row r="32" spans="1:23" ht="14.4" x14ac:dyDescent="0.3">
      <c r="A32" s="40"/>
      <c r="B32" s="304">
        <v>43249</v>
      </c>
      <c r="C32" s="329" t="s">
        <v>208</v>
      </c>
      <c r="D32" s="330"/>
      <c r="E32" s="310">
        <f>IFERROR(VLOOKUP(C32,TR!$B$2:$F$612,2,0),"")</f>
        <v>0.39444444444444443</v>
      </c>
      <c r="F32" s="311">
        <f>IFERROR(VLOOKUP(C32,TR!$B$2:$F$612,3,0),"")</f>
        <v>0.58124999999999993</v>
      </c>
      <c r="G32" s="321">
        <f t="shared" si="6"/>
        <v>0.1868055555555555</v>
      </c>
      <c r="H32" s="310">
        <f>IFERROR(VLOOKUP(C32,TR!$B$2:$F$612,4,0),"")</f>
        <v>0.69305555555555554</v>
      </c>
      <c r="I32" s="311">
        <f>IFERROR(VLOOKUP(C32,TR!$B$2:$F$612,5,0),"")</f>
        <v>0.8520833333333333</v>
      </c>
      <c r="J32" s="321">
        <f t="shared" si="7"/>
        <v>0.15902777777777777</v>
      </c>
      <c r="K32" s="322" t="str">
        <f t="shared" si="0"/>
        <v/>
      </c>
      <c r="L32" s="323">
        <f t="shared" si="1"/>
        <v>1</v>
      </c>
      <c r="M32" s="324" t="str">
        <f t="shared" si="2"/>
        <v/>
      </c>
      <c r="N32" s="37" t="str">
        <f t="shared" si="8"/>
        <v/>
      </c>
      <c r="O32" s="315" t="str">
        <f t="shared" si="3"/>
        <v/>
      </c>
      <c r="P32" s="408" t="str">
        <f>IF(AND(L32="",M32=""),IF(OR(SUMPRODUCT(N(ISNUMBER(FIND({"s";"d";"f"},C32))))&gt;0,G32+J32&lt;0,AND(G32&gt;0,J32&gt;0,I32&gt;"20:30"*1),AND(I32&lt;="20:30"*1,SUM(I32,R32)&gt;="20:31"*1)),1,""),"")</f>
        <v/>
      </c>
      <c r="Q32" s="326" t="str">
        <f t="shared" si="9"/>
        <v/>
      </c>
      <c r="R32" s="31"/>
      <c r="S32" s="327">
        <f t="shared" si="4"/>
        <v>0.45763888888888887</v>
      </c>
      <c r="T32" s="34">
        <f t="shared" si="5"/>
        <v>0.34583333333333327</v>
      </c>
      <c r="U32" s="154">
        <f t="shared" si="11"/>
        <v>8.2999999999999989</v>
      </c>
      <c r="V32" s="188"/>
      <c r="W32" s="156">
        <f t="shared" si="10"/>
        <v>8.2999999999999989</v>
      </c>
    </row>
    <row r="33" spans="1:24" ht="14.4" x14ac:dyDescent="0.3">
      <c r="A33" s="40"/>
      <c r="B33" s="304">
        <v>43250</v>
      </c>
      <c r="C33" s="329" t="s">
        <v>209</v>
      </c>
      <c r="D33" s="330"/>
      <c r="E33" s="310">
        <f>IFERROR(VLOOKUP(C33,TR!$B$2:$F$612,2,0),"")</f>
        <v>0</v>
      </c>
      <c r="F33" s="311">
        <f>IFERROR(VLOOKUP(C33,TR!$B$2:$F$612,3,0),"")</f>
        <v>0</v>
      </c>
      <c r="G33" s="321">
        <f t="shared" si="6"/>
        <v>0</v>
      </c>
      <c r="H33" s="310">
        <f>IFERROR(VLOOKUP(C33,TR!$B$2:$F$612,4,0),"")</f>
        <v>0.51666666666666672</v>
      </c>
      <c r="I33" s="311">
        <f>IFERROR(VLOOKUP(C33,TR!$B$2:$F$612,5,0),"")</f>
        <v>0.78055555555555556</v>
      </c>
      <c r="J33" s="321">
        <f t="shared" si="7"/>
        <v>0.26388888888888884</v>
      </c>
      <c r="K33" s="322" t="str">
        <f t="shared" si="0"/>
        <v/>
      </c>
      <c r="L33" s="323" t="str">
        <f t="shared" si="1"/>
        <v/>
      </c>
      <c r="M33" s="324" t="str">
        <f t="shared" si="2"/>
        <v/>
      </c>
      <c r="N33" s="37" t="str">
        <f t="shared" si="8"/>
        <v/>
      </c>
      <c r="O33" s="315" t="str">
        <f t="shared" si="3"/>
        <v/>
      </c>
      <c r="P33" s="408" t="str">
        <f>IF(AND(L33="",M33=""),IF(OR(SUMPRODUCT(N(ISNUMBER(FIND({"s";"d";"f"},C33))))&gt;0,G33+J33&lt;0,AND(G33&gt;0,J33&gt;0,I33&gt;"20:30"*1),AND(I33&lt;="20:30"*1,SUM(I33,R33)&gt;="20:31"*1)),1,""),"")</f>
        <v/>
      </c>
      <c r="Q33" s="326" t="str">
        <f t="shared" si="9"/>
        <v/>
      </c>
      <c r="R33" s="31"/>
      <c r="S33" s="327">
        <f t="shared" si="4"/>
        <v>0.26388888888888884</v>
      </c>
      <c r="T33" s="34">
        <f t="shared" si="5"/>
        <v>0.26388888888888884</v>
      </c>
      <c r="U33" s="154">
        <f t="shared" si="11"/>
        <v>6.3333333333333321</v>
      </c>
      <c r="V33" s="188"/>
      <c r="W33" s="156">
        <f t="shared" si="10"/>
        <v>6.3333333333333321</v>
      </c>
    </row>
    <row r="34" spans="1:24" ht="15" thickBot="1" x14ac:dyDescent="0.35">
      <c r="A34" s="40"/>
      <c r="B34" s="354">
        <v>43251</v>
      </c>
      <c r="C34" s="355" t="s">
        <v>168</v>
      </c>
      <c r="D34" s="356"/>
      <c r="E34" s="357">
        <f>IFERROR(VLOOKUP(C34,TR!$B$2:$F$612,2,0),"")</f>
        <v>0</v>
      </c>
      <c r="F34" s="358">
        <f>IFERROR(VLOOKUP(C34,TR!$B$2:$F$612,3,0),"")</f>
        <v>0</v>
      </c>
      <c r="G34" s="472">
        <f t="shared" si="6"/>
        <v>0</v>
      </c>
      <c r="H34" s="357">
        <f>IFERROR(VLOOKUP(C34,TR!$B$2:$F$612,4,0),"")</f>
        <v>0.54999999999999993</v>
      </c>
      <c r="I34" s="358">
        <f>IFERROR(VLOOKUP(C34,TR!$B$2:$F$612,5,0),"")</f>
        <v>0.8534722222222223</v>
      </c>
      <c r="J34" s="472">
        <f t="shared" si="7"/>
        <v>0.30347222222222237</v>
      </c>
      <c r="K34" s="360" t="str">
        <f t="shared" si="0"/>
        <v/>
      </c>
      <c r="L34" s="361" t="str">
        <f t="shared" si="1"/>
        <v/>
      </c>
      <c r="M34" s="362" t="str">
        <f t="shared" si="2"/>
        <v/>
      </c>
      <c r="N34" s="38" t="str">
        <f t="shared" si="8"/>
        <v/>
      </c>
      <c r="O34" s="363" t="str">
        <f t="shared" si="3"/>
        <v/>
      </c>
      <c r="P34" s="440" t="str">
        <f>IF(AND(L34="",M34=""),IF(OR(SUMPRODUCT(N(ISNUMBER(FIND({"s";"d";"f"},C34))))&gt;0,G34+J34&lt;0,AND(G34&gt;0,J34&gt;0,I34&gt;"20:30"*1),AND(I34&lt;="20:30"*1,SUM(I34,R34)&gt;="20:31"*1)),1,""),"")</f>
        <v/>
      </c>
      <c r="Q34" s="365" t="str">
        <f t="shared" si="9"/>
        <v/>
      </c>
      <c r="R34" s="32"/>
      <c r="S34" s="366">
        <f t="shared" si="4"/>
        <v>0.30347222222222237</v>
      </c>
      <c r="T34" s="39">
        <f t="shared" si="5"/>
        <v>0.30347222222222237</v>
      </c>
      <c r="U34" s="155">
        <f t="shared" si="11"/>
        <v>7.2833333333333368</v>
      </c>
      <c r="V34" s="189"/>
      <c r="W34" s="157">
        <f t="shared" si="10"/>
        <v>7.2833333333333368</v>
      </c>
    </row>
    <row r="35" spans="1:24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Q35" s="372"/>
      <c r="S35" s="54"/>
      <c r="T35" s="55"/>
      <c r="U35" s="56"/>
      <c r="V35" s="57"/>
    </row>
    <row r="36" spans="1:24" ht="14.4" x14ac:dyDescent="0.3">
      <c r="A36" s="40"/>
      <c r="B36" s="373" t="s">
        <v>17</v>
      </c>
      <c r="C36" s="142">
        <f>(COUNTIF(Avril!C24:C34,"&lt;&gt;")+COUNTIF(Mai!C4:C23,"&lt;&gt;"))-(COUNTIF(Avril!C24:C34,"CC*")+COUNTIF(Mai!C4:C23,"CC*"))-(COUNTIF(Mars!C24:C34,"CH*")+COUNTIF(Mai!C4:C23,"CH*"))-(COUNTIF(Avril!C24:C34,"RT*")+COUNTIF(Mai!C4:C23,"RT*"))-(COUNTIF(Avril!C24:C34,"Férié*")+COUNTIF(Mai!C4:C23,"Férié*"))-(COUNTIF(Avril!C24:C34,"Mal*")+COUNTIF(Mai!C4:C23,"Mal*"))-(COUNTIF(Avril!C24:C34,"CP*")+COUNTIF(Mai!C4:C23,"CP*"))</f>
        <v>19</v>
      </c>
      <c r="E36" s="370"/>
      <c r="F36" s="40"/>
      <c r="G36" s="40"/>
      <c r="I36" s="613" t="s">
        <v>55</v>
      </c>
      <c r="J36" s="613"/>
      <c r="K36" s="72">
        <f>SUM(Avril!$K$24:$K$34,K4:K23)</f>
        <v>2</v>
      </c>
      <c r="L36" s="73">
        <f>SUM(Avril!$L$24:$L$34,L4:L23)</f>
        <v>10</v>
      </c>
      <c r="M36" s="214">
        <f>SUM(Avril!$M$24:$M$34,M4:M23)</f>
        <v>1</v>
      </c>
      <c r="N36" s="75">
        <f>SUM(Avril!$N$24:$N$34,N4:N23)</f>
        <v>1</v>
      </c>
      <c r="O36" s="76">
        <f>SUM(Avril!$O$24:$O$34,O4:O23)</f>
        <v>1</v>
      </c>
      <c r="P36" s="213">
        <f>SUM(Avril!$P$24:$P$34,P4:P23)</f>
        <v>2</v>
      </c>
      <c r="Q36" s="77">
        <f>SUM(Avril!$Q$24:$Q$34,Q4:Q23)</f>
        <v>0</v>
      </c>
      <c r="R36" s="231">
        <f>SUM(Avril!$R$24:$R$34,R4:R23)</f>
        <v>1.1111111111111112E-2</v>
      </c>
      <c r="S36" s="78"/>
      <c r="T36" s="79">
        <f>SUM(Avril!T24:T34)+SUM(Mai!T4:T23)</f>
        <v>5.7298611111111111</v>
      </c>
      <c r="U36" s="80">
        <f>SUM(U4:U34)</f>
        <v>128.56666666666666</v>
      </c>
      <c r="V36" s="186">
        <f>SUM(V4:V34)</f>
        <v>0</v>
      </c>
      <c r="W36" s="59"/>
    </row>
    <row r="37" spans="1:24" ht="14.4" thickBot="1" x14ac:dyDescent="0.3">
      <c r="A37" s="40"/>
      <c r="B37" s="374" t="s">
        <v>51</v>
      </c>
      <c r="C37" s="143">
        <f>(COUNTIF(Avril!C24:C34,"CP")+COUNTIF(Mai!C4:C23,"CP"))</f>
        <v>0</v>
      </c>
      <c r="F37" s="40"/>
      <c r="G37" s="40"/>
      <c r="H37" s="40"/>
      <c r="I37" s="40"/>
      <c r="J37" s="40"/>
      <c r="K37" s="375">
        <f>(I39*2)*K36</f>
        <v>35.411200000000001</v>
      </c>
      <c r="L37" s="376">
        <f>Recap!H35*L36</f>
        <v>71.399999999999991</v>
      </c>
      <c r="M37" s="377">
        <f>Recap!H35*M36</f>
        <v>7.14</v>
      </c>
      <c r="N37" s="378">
        <f>(I39*5)*N36</f>
        <v>44.264000000000003</v>
      </c>
      <c r="O37" s="379">
        <f>(Recap!H33)*O36</f>
        <v>104.9325</v>
      </c>
      <c r="P37" s="380">
        <f>7.5*P36</f>
        <v>15</v>
      </c>
      <c r="Q37" s="381">
        <f>(I39*1.5)*Q36</f>
        <v>0</v>
      </c>
      <c r="R37" s="382">
        <f>R36*24</f>
        <v>0.26666666666666666</v>
      </c>
      <c r="S37" s="61"/>
      <c r="T37" s="62"/>
      <c r="U37" s="63"/>
      <c r="V37" s="57"/>
      <c r="W37" s="59"/>
    </row>
    <row r="38" spans="1:24" x14ac:dyDescent="0.25">
      <c r="B38" s="383" t="s">
        <v>47</v>
      </c>
      <c r="C38" s="144">
        <f>(COUNTIF(Avril!C24:C34,"CH")+COUNTIF(Mai!C4:C23,"CH"))</f>
        <v>5</v>
      </c>
      <c r="F38" s="40"/>
      <c r="G38" s="40"/>
      <c r="H38" s="40"/>
      <c r="I38" s="384" t="s">
        <v>54</v>
      </c>
      <c r="J38" s="40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04"/>
      <c r="V38" s="104">
        <v>6.1749999999999998</v>
      </c>
      <c r="W38" s="81">
        <f>V38*24</f>
        <v>148.19999999999999</v>
      </c>
      <c r="X38" s="69"/>
    </row>
    <row r="39" spans="1:24" ht="14.4" thickBot="1" x14ac:dyDescent="0.3">
      <c r="B39" s="385" t="s">
        <v>45</v>
      </c>
      <c r="C39" s="145">
        <f>(COUNTIF(Avril!C24:C34,"RT")+COUNTIF(Mai!C4:C23,"RT"))</f>
        <v>1</v>
      </c>
      <c r="F39" s="40"/>
      <c r="G39" s="40"/>
      <c r="H39" s="40"/>
      <c r="I39" s="386">
        <v>8.8528000000000002</v>
      </c>
      <c r="J39" s="40"/>
      <c r="K39" s="40"/>
      <c r="L39" s="40"/>
      <c r="M39" s="40"/>
      <c r="N39" s="387"/>
      <c r="O39" s="387"/>
      <c r="V39" s="388"/>
      <c r="W39" s="388"/>
      <c r="X39" s="389"/>
    </row>
    <row r="40" spans="1:24" x14ac:dyDescent="0.25">
      <c r="B40" s="390" t="s">
        <v>46</v>
      </c>
      <c r="C40" s="146">
        <f>(COUNTIF(Avril!C24:C34,"CC")+COUNTIF(Mai!C4:C23,"CC"))</f>
        <v>3</v>
      </c>
      <c r="T40" s="615" t="s">
        <v>16</v>
      </c>
      <c r="U40" s="604"/>
      <c r="V40" s="391" t="str">
        <f>IF(V38&gt;T36,"-","")&amp;TEXT(ABS(T36-V38),"[h]:mm")</f>
        <v>-10:41</v>
      </c>
      <c r="W40" s="471">
        <f>(T36-V38)*24</f>
        <v>-10.68333333333333</v>
      </c>
      <c r="X40" s="69"/>
    </row>
    <row r="41" spans="1:24" ht="14.4" thickBot="1" x14ac:dyDescent="0.3">
      <c r="B41" s="393" t="s">
        <v>11</v>
      </c>
      <c r="C41" s="147">
        <f>(COUNTIF(Avril!C24:C34,"Férié")+COUNTIF(Mai!C4:C23,"Férié"))</f>
        <v>2</v>
      </c>
      <c r="W41" s="389"/>
    </row>
    <row r="42" spans="1:24" ht="15" thickTop="1" thickBot="1" x14ac:dyDescent="0.3">
      <c r="B42" s="394" t="s">
        <v>153</v>
      </c>
      <c r="C42" s="230">
        <f>(COUNTIF(Avril!C24:C34,"FériéCC")+COUNTIF(Mai!C4:C23,"FériéCH"))</f>
        <v>0</v>
      </c>
      <c r="R42" s="616" t="s">
        <v>201</v>
      </c>
      <c r="S42" s="623"/>
      <c r="T42" s="395">
        <f>SUM(T4:T34)</f>
        <v>5.3569444444444443</v>
      </c>
      <c r="W42" s="70"/>
    </row>
    <row r="43" spans="1:24" ht="15.6" thickTop="1" thickBot="1" x14ac:dyDescent="0.35">
      <c r="B43" s="387"/>
      <c r="S43" s="71"/>
      <c r="T43" s="257">
        <f>T42*24</f>
        <v>128.56666666666666</v>
      </c>
      <c r="W43" s="397">
        <f>(T42-V38)*24</f>
        <v>-19.633333333333333</v>
      </c>
    </row>
    <row r="44" spans="1:24" ht="15.6" thickTop="1" thickBot="1" x14ac:dyDescent="0.35">
      <c r="B44" s="387"/>
      <c r="P44" s="71"/>
      <c r="Q44" s="71"/>
    </row>
    <row r="45" spans="1:24" ht="14.4" thickBot="1" x14ac:dyDescent="0.3">
      <c r="F45" s="605" t="s">
        <v>57</v>
      </c>
      <c r="G45" s="606"/>
      <c r="H45" s="606"/>
      <c r="I45" s="606"/>
      <c r="J45" s="606"/>
      <c r="K45" s="606"/>
      <c r="L45" s="606"/>
      <c r="M45" s="606"/>
      <c r="N45" s="606"/>
      <c r="O45" s="606"/>
      <c r="P45" s="606"/>
      <c r="Q45" s="607"/>
    </row>
    <row r="46" spans="1:24" ht="14.4" thickTop="1" x14ac:dyDescent="0.25">
      <c r="F46" s="444"/>
      <c r="G46" s="445"/>
      <c r="H46" s="445"/>
      <c r="I46" s="445"/>
      <c r="J46" s="445"/>
      <c r="K46" s="445"/>
      <c r="L46" s="445"/>
      <c r="M46" s="445"/>
      <c r="N46" s="445"/>
      <c r="O46" s="445"/>
      <c r="P46" s="445"/>
      <c r="Q46" s="446"/>
    </row>
    <row r="47" spans="1:24" x14ac:dyDescent="0.25">
      <c r="F47" s="398"/>
      <c r="G47" s="399"/>
      <c r="H47" s="399"/>
      <c r="I47" s="399"/>
      <c r="J47" s="399"/>
      <c r="K47" s="399"/>
      <c r="L47" s="399"/>
      <c r="M47" s="399"/>
      <c r="N47" s="399"/>
      <c r="O47" s="399"/>
      <c r="P47" s="399"/>
      <c r="Q47" s="400"/>
    </row>
    <row r="48" spans="1:24" x14ac:dyDescent="0.25">
      <c r="F48" s="398"/>
      <c r="G48" s="399"/>
      <c r="H48" s="399"/>
      <c r="I48" s="399"/>
      <c r="J48" s="399"/>
      <c r="K48" s="399"/>
      <c r="L48" s="399"/>
      <c r="M48" s="399"/>
      <c r="N48" s="399"/>
      <c r="O48" s="399"/>
      <c r="P48" s="399"/>
      <c r="Q48" s="400"/>
    </row>
    <row r="49" spans="6:17" x14ac:dyDescent="0.25">
      <c r="F49" s="398"/>
      <c r="G49" s="399"/>
      <c r="H49" s="399"/>
      <c r="I49" s="399"/>
      <c r="J49" s="399"/>
      <c r="K49" s="399"/>
      <c r="L49" s="399"/>
      <c r="M49" s="399"/>
      <c r="N49" s="399"/>
      <c r="O49" s="399"/>
      <c r="P49" s="399"/>
      <c r="Q49" s="400"/>
    </row>
    <row r="50" spans="6:17" x14ac:dyDescent="0.25">
      <c r="F50" s="398"/>
      <c r="G50" s="399"/>
      <c r="H50" s="399"/>
      <c r="I50" s="399"/>
      <c r="J50" s="399"/>
      <c r="K50" s="399"/>
      <c r="L50" s="399"/>
      <c r="M50" s="399"/>
      <c r="N50" s="399"/>
      <c r="O50" s="399"/>
      <c r="P50" s="399"/>
      <c r="Q50" s="400"/>
    </row>
    <row r="51" spans="6:17" x14ac:dyDescent="0.25">
      <c r="F51" s="398"/>
      <c r="G51" s="399"/>
      <c r="H51" s="399"/>
      <c r="I51" s="399"/>
      <c r="J51" s="399"/>
      <c r="K51" s="399"/>
      <c r="L51" s="399"/>
      <c r="M51" s="399"/>
      <c r="N51" s="399"/>
      <c r="O51" s="399"/>
      <c r="P51" s="399"/>
      <c r="Q51" s="400"/>
    </row>
    <row r="52" spans="6:17" x14ac:dyDescent="0.25">
      <c r="F52" s="398"/>
      <c r="G52" s="399"/>
      <c r="H52" s="399"/>
      <c r="I52" s="399"/>
      <c r="J52" s="399"/>
      <c r="K52" s="399"/>
      <c r="L52" s="399"/>
      <c r="M52" s="399"/>
      <c r="N52" s="399"/>
      <c r="O52" s="399"/>
      <c r="P52" s="399"/>
      <c r="Q52" s="400"/>
    </row>
    <row r="53" spans="6:17" x14ac:dyDescent="0.25">
      <c r="F53" s="398"/>
      <c r="G53" s="399"/>
      <c r="H53" s="399"/>
      <c r="I53" s="399"/>
      <c r="J53" s="399"/>
      <c r="K53" s="399"/>
      <c r="L53" s="399"/>
      <c r="M53" s="399"/>
      <c r="N53" s="399"/>
      <c r="O53" s="399"/>
      <c r="P53" s="399"/>
      <c r="Q53" s="400"/>
    </row>
    <row r="54" spans="6:17" x14ac:dyDescent="0.25">
      <c r="F54" s="398"/>
      <c r="G54" s="399"/>
      <c r="H54" s="399"/>
      <c r="I54" s="399"/>
      <c r="J54" s="399"/>
      <c r="K54" s="399"/>
      <c r="L54" s="399"/>
      <c r="M54" s="399"/>
      <c r="N54" s="399"/>
      <c r="O54" s="399"/>
      <c r="P54" s="399"/>
      <c r="Q54" s="400"/>
    </row>
    <row r="55" spans="6:17" x14ac:dyDescent="0.25">
      <c r="F55" s="398"/>
      <c r="G55" s="399"/>
      <c r="H55" s="399"/>
      <c r="I55" s="399"/>
      <c r="J55" s="399"/>
      <c r="K55" s="399"/>
      <c r="L55" s="399"/>
      <c r="M55" s="399"/>
      <c r="N55" s="399"/>
      <c r="O55" s="399"/>
      <c r="P55" s="399"/>
      <c r="Q55" s="400"/>
    </row>
    <row r="56" spans="6:17" x14ac:dyDescent="0.25">
      <c r="F56" s="398"/>
      <c r="G56" s="399"/>
      <c r="H56" s="399"/>
      <c r="I56" s="399"/>
      <c r="J56" s="399"/>
      <c r="K56" s="399"/>
      <c r="L56" s="399"/>
      <c r="M56" s="399"/>
      <c r="N56" s="399"/>
      <c r="O56" s="399"/>
      <c r="P56" s="399"/>
      <c r="Q56" s="400"/>
    </row>
    <row r="57" spans="6:17" x14ac:dyDescent="0.25">
      <c r="F57" s="398"/>
      <c r="G57" s="399"/>
      <c r="H57" s="399"/>
      <c r="I57" s="399"/>
      <c r="J57" s="399"/>
      <c r="K57" s="399"/>
      <c r="L57" s="399"/>
      <c r="M57" s="399"/>
      <c r="N57" s="399"/>
      <c r="O57" s="399"/>
      <c r="P57" s="399"/>
      <c r="Q57" s="400"/>
    </row>
    <row r="58" spans="6:17" x14ac:dyDescent="0.25">
      <c r="F58" s="398"/>
      <c r="G58" s="399"/>
      <c r="H58" s="399"/>
      <c r="I58" s="399"/>
      <c r="J58" s="399"/>
      <c r="K58" s="399"/>
      <c r="L58" s="399"/>
      <c r="M58" s="399"/>
      <c r="N58" s="399"/>
      <c r="O58" s="399"/>
      <c r="P58" s="399"/>
      <c r="Q58" s="400"/>
    </row>
    <row r="59" spans="6:17" ht="14.4" thickBot="1" x14ac:dyDescent="0.3">
      <c r="F59" s="401"/>
      <c r="G59" s="402"/>
      <c r="H59" s="402"/>
      <c r="I59" s="402"/>
      <c r="J59" s="402"/>
      <c r="K59" s="402"/>
      <c r="L59" s="402"/>
      <c r="M59" s="402"/>
      <c r="N59" s="402"/>
      <c r="O59" s="402"/>
      <c r="P59" s="402"/>
      <c r="Q59" s="403"/>
    </row>
    <row r="60" spans="6:17" ht="14.4" thickTop="1" x14ac:dyDescent="0.25"/>
  </sheetData>
  <sheetProtection selectLockedCells="1"/>
  <mergeCells count="9">
    <mergeCell ref="B1:W1"/>
    <mergeCell ref="T2:W2"/>
    <mergeCell ref="F45:Q45"/>
    <mergeCell ref="E3:F3"/>
    <mergeCell ref="H3:I3"/>
    <mergeCell ref="I36:J36"/>
    <mergeCell ref="T38:U38"/>
    <mergeCell ref="T40:U40"/>
    <mergeCell ref="R42:S42"/>
  </mergeCells>
  <conditionalFormatting sqref="V40:W40">
    <cfRule type="expression" dxfId="48" priority="13" stopIfTrue="1">
      <formula>$T$36&lt;$V$38</formula>
    </cfRule>
    <cfRule type="expression" dxfId="47" priority="14" stopIfTrue="1">
      <formula>$T$36&gt;$V$38</formula>
    </cfRule>
  </conditionalFormatting>
  <conditionalFormatting sqref="C4:C34">
    <cfRule type="expression" dxfId="46" priority="21" stopIfTrue="1">
      <formula>ISNUMBER(FIND("d",$C4))</formula>
    </cfRule>
  </conditionalFormatting>
  <conditionalFormatting sqref="C4:Q34">
    <cfRule type="expression" dxfId="45" priority="22" stopIfTrue="1">
      <formula>OR(ISNUMBER(FIND("Férié",$C4)),ISNUMBER(FIND("f",$C4)))</formula>
    </cfRule>
    <cfRule type="expression" dxfId="44" priority="23" stopIfTrue="1">
      <formula>ISNUMBER(FIND("CP",$C4))</formula>
    </cfRule>
    <cfRule type="expression" dxfId="43" priority="24" stopIfTrue="1">
      <formula>ISNUMBER(FIND("p",$C4))</formula>
    </cfRule>
  </conditionalFormatting>
  <pageMargins left="0.7" right="0.7" top="0.75" bottom="0.75" header="0.3" footer="0.3"/>
  <pageSetup paperSize="9" orientation="portrait" r:id="rId1"/>
  <ignoredErrors>
    <ignoredError sqref="T42:T43" unlocked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4"/>
  <sheetViews>
    <sheetView topLeftCell="A13" workbookViewId="0">
      <selection activeCell="E39" sqref="E39"/>
    </sheetView>
  </sheetViews>
  <sheetFormatPr baseColWidth="10" defaultColWidth="11" defaultRowHeight="13.8" x14ac:dyDescent="0.25"/>
  <cols>
    <col min="1" max="1" width="3.59765625" style="465" customWidth="1"/>
    <col min="2" max="2" width="14.59765625" style="465" customWidth="1"/>
    <col min="3" max="3" width="8.59765625" style="465" customWidth="1"/>
    <col min="4" max="4" width="7.59765625" style="465" customWidth="1"/>
    <col min="5" max="23" width="8.59765625" style="465" customWidth="1"/>
    <col min="24" max="16384" width="11" style="465"/>
  </cols>
  <sheetData>
    <row r="1" spans="1:24" ht="14.4" thickBot="1" x14ac:dyDescent="0.3">
      <c r="A1" s="40"/>
      <c r="B1" s="602" t="s">
        <v>28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 s="603"/>
      <c r="P1" s="603"/>
      <c r="Q1" s="603"/>
      <c r="R1" s="603"/>
      <c r="S1" s="604"/>
      <c r="T1" s="604"/>
      <c r="U1" s="604"/>
      <c r="V1" s="604"/>
      <c r="W1" s="604"/>
      <c r="X1" s="369"/>
    </row>
    <row r="2" spans="1:24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  <c r="X2" s="369"/>
    </row>
    <row r="3" spans="1:24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303" t="s">
        <v>5</v>
      </c>
      <c r="H3" s="611" t="s">
        <v>6</v>
      </c>
      <c r="I3" s="612"/>
      <c r="J3" s="303" t="s">
        <v>5</v>
      </c>
      <c r="K3" s="41" t="s">
        <v>7</v>
      </c>
      <c r="L3" s="42" t="s">
        <v>8</v>
      </c>
      <c r="M3" s="220" t="s">
        <v>9</v>
      </c>
      <c r="N3" s="43" t="s">
        <v>10</v>
      </c>
      <c r="O3" s="44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  <c r="X3" s="369"/>
    </row>
    <row r="4" spans="1:24" ht="14.4" x14ac:dyDescent="0.3">
      <c r="A4" s="40"/>
      <c r="B4" s="473">
        <v>43252</v>
      </c>
      <c r="C4" s="404" t="s">
        <v>131</v>
      </c>
      <c r="D4" s="405"/>
      <c r="E4" s="307">
        <f>IFERROR(VLOOKUP(C4,TR!$B$2:$F$612,2,0),"")</f>
        <v>0.29375000000000001</v>
      </c>
      <c r="F4" s="308">
        <f>IFERROR(VLOOKUP(C4,TR!$B$2:$F$612,3,0),"")</f>
        <v>0.37708333333333338</v>
      </c>
      <c r="G4" s="309">
        <f>IF(ISERROR(F4-E4),0,F4-E4)</f>
        <v>8.333333333333337E-2</v>
      </c>
      <c r="H4" s="307">
        <f>IFERROR(VLOOKUP(C4,TR!$B$2:$F$612,4,0),"")</f>
        <v>0.62291666666666667</v>
      </c>
      <c r="I4" s="308">
        <f>IFERROR(VLOOKUP(C4,TR!$B$2:$F$612,5,0),"")</f>
        <v>0.83333333333333337</v>
      </c>
      <c r="J4" s="309">
        <f>IF(ISERROR(I4-H4),0,(I4-H4))</f>
        <v>0.2104166666666667</v>
      </c>
      <c r="K4" s="312" t="str">
        <f t="shared" ref="K4:K34" si="0">IF(COUNTA(E4:F4,H4:I4)=5,1,IF(AND(E4&lt;"5:00"*1,E4&gt;"2:00"*1),1,IF(AND(I4&gt;="22:01"*1,I4&lt;="26:01"*1),1,IF(AND(I4&lt;="22:00"*1,SUM(I4,R4)&gt;="22:01"*1),1,""))))</f>
        <v/>
      </c>
      <c r="L4" s="313" t="str">
        <f t="shared" ref="L4:L34" si="1">IF(AND(F4&gt;="13:15"*1,H4&lt;""),1,IF(AND(H4&gt;="11:00"*1,H4&lt;="12:15"*1),1,IF(AND(F4&lt;="13:15"*1,SUM(F4,R4)&gt;="13:15"*1),1,"")))</f>
        <v/>
      </c>
      <c r="M4" s="314" t="str">
        <f t="shared" ref="M4:M34" si="2">IF(AND(I4&gt;="19:30"*1,1,I4&gt;"21:30"*1,C4&lt;&gt;""),1,IF(AND(I4&lt;="21:30"*1,SUM(I4,R4)&gt;="21:30"*1),1,""))</f>
        <v/>
      </c>
      <c r="N4" s="36" t="str">
        <f>IF(AND(LEFT(C4,1)="d",AND(Mai!N34&lt;&gt;1)),1,IF(AND(LEFT(C4,1)="s",I4&gt;="24:01"*1),1,IF(AND(I4&lt;&gt;"",I4&lt;="23:59"*1,SUM(I4,R4)&gt;="24:01"*1),1,"")))</f>
        <v/>
      </c>
      <c r="O4" s="450" t="str">
        <f>IF(AND(I4&gt;"24:00"*1,ISNUMBER(FIND("f",Mai!O34))),1,IF(AND(OR(ISNUMBER(FIND("FériéCC",C4)),ISNUMBER(FIND("FériéCH",C4)),ISNUMBER(FIND("f",C4)))),1,""))</f>
        <v/>
      </c>
      <c r="P4" s="451" t="str">
        <f>IF(AND(L4="",M4=""),IF(OR(SUMPRODUCT(N(ISNUMBER(FIND({"s";"d";"f"},C4))))&gt;0,G4+J4&lt;0,AND(G4&gt;0,J4&gt;0,I4&gt;"20:30"*1),AND(I4&lt;="20:30"*1,SUM(I4,R4)&gt;="20:31"*1)),1,""),"")</f>
        <v/>
      </c>
      <c r="Q4" s="317">
        <f>IF(OR(AND(G4&gt;0,AND(J4=0)),OR(G4=0,AND(J4&gt;0)),OR(G4+J4&gt;0)),IF(S4="","",IF(R4+S4&gt;="13:01"*1,1,"")))</f>
        <v>1</v>
      </c>
      <c r="R4" s="29">
        <v>1.0416666666666666E-2</v>
      </c>
      <c r="S4" s="318">
        <f t="shared" ref="S4:S34" si="3">IF(G4=0,IF(J4=0,"",I4-H4),IF(J4=0,F4-E4,I4-E4))</f>
        <v>0.5395833333333333</v>
      </c>
      <c r="T4" s="34">
        <f t="shared" ref="T4:T34" si="4">IF(ISERROR((F4-E4)+(I4-H4)),0,(F4-E4)+(I4-H4))</f>
        <v>0.29375000000000007</v>
      </c>
      <c r="U4" s="153">
        <f>T4*24</f>
        <v>7.0500000000000016</v>
      </c>
      <c r="V4" s="187"/>
      <c r="W4" s="149">
        <f>IF(U4-V4=0,"0,00",U4-V4)</f>
        <v>7.0500000000000016</v>
      </c>
      <c r="X4" s="369"/>
    </row>
    <row r="5" spans="1:24" ht="14.4" x14ac:dyDescent="0.3">
      <c r="A5" s="40"/>
      <c r="B5" s="474">
        <v>43253</v>
      </c>
      <c r="C5" s="409" t="s">
        <v>68</v>
      </c>
      <c r="D5" s="410"/>
      <c r="E5" s="310">
        <f>IFERROR(VLOOKUP(C5,TR!$B$2:$F$612,2,0),"")</f>
        <v>0.33333333333333331</v>
      </c>
      <c r="F5" s="311">
        <f>IFERROR(VLOOKUP(C5,TR!$B$2:$F$612,3,0),"")</f>
        <v>0.5</v>
      </c>
      <c r="G5" s="321">
        <f t="shared" ref="G5:G34" si="5">IF(ISERROR(F5-E5),0,F5-E5)</f>
        <v>0.16666666666666669</v>
      </c>
      <c r="H5" s="310">
        <f>IFERROR(VLOOKUP(C5,TR!$B$2:$F$612,4,0),"")</f>
        <v>0.58333333333333337</v>
      </c>
      <c r="I5" s="311">
        <f>IFERROR(VLOOKUP(C5,TR!$B$2:$F$612,5,0),"")</f>
        <v>0.73333333333333339</v>
      </c>
      <c r="J5" s="321">
        <f t="shared" ref="J5:J34" si="6">IF(ISERROR(I5-H5),0,(I5-H5))</f>
        <v>0.15000000000000002</v>
      </c>
      <c r="K5" s="322" t="str">
        <f t="shared" si="0"/>
        <v/>
      </c>
      <c r="L5" s="323" t="str">
        <f t="shared" si="1"/>
        <v/>
      </c>
      <c r="M5" s="324" t="str">
        <f t="shared" si="2"/>
        <v/>
      </c>
      <c r="N5" s="37" t="str">
        <f t="shared" ref="N5:N34" si="7">IF(AND(LEFT(C5,1)="d",AND(N4&lt;&gt;1)),1,IF(AND(LEFT(C5,1)="s",I5&gt;="24:01"*1),1,IF(AND(I5&lt;&gt;"",I5&lt;="23:59"*1,SUM(I5,R5)&gt;="24:01"*1),1,"")))</f>
        <v/>
      </c>
      <c r="O5" s="315" t="str">
        <f t="shared" ref="O5:O34" si="8">IF(AND(I5&gt;"24:00"*1,ISNUMBER(FIND("f",C6))),1,IF(AND(OR(ISNUMBER(FIND("FériéCC",C5)),ISNUMBER(FIND("FériéCH",C5)),ISNUMBER(FIND("f",C5)))),1,""))</f>
        <v/>
      </c>
      <c r="P5" s="408" t="str">
        <f>IF(AND(L5="",M5=""),IF(OR(SUMPRODUCT(N(ISNUMBER(FIND({"s";"d";"f"},C5))))&gt;0,G5+J5&lt;0,AND(G5&gt;0,J5&gt;0,I5&gt;"20:30"*1),AND(I5&lt;="20:30"*1,SUM(I5,R5)&gt;="20:31"*1)),1,""),"")</f>
        <v/>
      </c>
      <c r="Q5" s="326" t="str">
        <f t="shared" ref="Q5:Q34" si="9">IF(OR(AND(G5&gt;0,AND(J5=0)),OR(G5=0,AND(J5&gt;0)),OR(G5+J5&gt;0)),IF(S5="","",IF(R5+S5&gt;="13:01"*1,1,"")))</f>
        <v/>
      </c>
      <c r="R5" s="30"/>
      <c r="S5" s="327">
        <f t="shared" si="3"/>
        <v>0.40000000000000008</v>
      </c>
      <c r="T5" s="34">
        <f t="shared" si="4"/>
        <v>0.31666666666666671</v>
      </c>
      <c r="U5" s="154">
        <f>T5*24</f>
        <v>7.6000000000000014</v>
      </c>
      <c r="V5" s="188"/>
      <c r="W5" s="156">
        <f t="shared" ref="W5:W34" si="10">IF(U5-V5=0,"0,00",U5-V5)</f>
        <v>7.6000000000000014</v>
      </c>
      <c r="X5" s="369"/>
    </row>
    <row r="6" spans="1:24" ht="14.4" x14ac:dyDescent="0.3">
      <c r="A6" s="40"/>
      <c r="B6" s="474">
        <v>43254</v>
      </c>
      <c r="C6" s="409" t="s">
        <v>47</v>
      </c>
      <c r="D6" s="410"/>
      <c r="E6" s="310">
        <f>IFERROR(VLOOKUP(C6,TR!$B$2:$F$612,2,0),"")</f>
        <v>0</v>
      </c>
      <c r="F6" s="311">
        <f>IFERROR(VLOOKUP(C6,TR!$B$2:$F$612,3,0),"")</f>
        <v>0</v>
      </c>
      <c r="G6" s="321">
        <f t="shared" si="5"/>
        <v>0</v>
      </c>
      <c r="H6" s="310">
        <f>IFERROR(VLOOKUP(C6,TR!$B$2:$F$612,4,0),"")</f>
        <v>0</v>
      </c>
      <c r="I6" s="311">
        <f>IFERROR(VLOOKUP(C6,TR!$B$2:$F$612,5,0),"")</f>
        <v>0</v>
      </c>
      <c r="J6" s="321">
        <f t="shared" si="6"/>
        <v>0</v>
      </c>
      <c r="K6" s="322" t="str">
        <f t="shared" si="0"/>
        <v/>
      </c>
      <c r="L6" s="323" t="str">
        <f t="shared" si="1"/>
        <v/>
      </c>
      <c r="M6" s="324" t="str">
        <f t="shared" si="2"/>
        <v/>
      </c>
      <c r="N6" s="37" t="str">
        <f t="shared" si="7"/>
        <v/>
      </c>
      <c r="O6" s="315" t="str">
        <f t="shared" si="8"/>
        <v/>
      </c>
      <c r="P6" s="408" t="str">
        <f>IF(AND(L6="",M6=""),IF(OR(SUMPRODUCT(N(ISNUMBER(FIND({"s";"d";"f"},C6))))&gt;0,G6+J6&lt;0,AND(G6&gt;0,J6&gt;0,I6&gt;"20:30"*1),AND(I6&lt;="20:30"*1,SUM(I6,R6)&gt;="20:31"*1)),1,""),"")</f>
        <v/>
      </c>
      <c r="Q6" s="326" t="str">
        <f t="shared" si="9"/>
        <v/>
      </c>
      <c r="R6" s="30"/>
      <c r="S6" s="327" t="str">
        <f t="shared" si="3"/>
        <v/>
      </c>
      <c r="T6" s="34">
        <f t="shared" si="4"/>
        <v>0</v>
      </c>
      <c r="U6" s="154">
        <f>T6*24</f>
        <v>0</v>
      </c>
      <c r="V6" s="188"/>
      <c r="W6" s="156" t="str">
        <f t="shared" si="10"/>
        <v>0,00</v>
      </c>
      <c r="X6" s="369"/>
    </row>
    <row r="7" spans="1:24" ht="14.4" x14ac:dyDescent="0.3">
      <c r="A7" s="40"/>
      <c r="B7" s="474">
        <v>43255</v>
      </c>
      <c r="C7" s="409" t="s">
        <v>104</v>
      </c>
      <c r="D7" s="410"/>
      <c r="E7" s="310">
        <f>IFERROR(VLOOKUP(C7,TR!$B$2:$F$612,2,0),"")</f>
        <v>0.25</v>
      </c>
      <c r="F7" s="311">
        <f>IFERROR(VLOOKUP(C7,TR!$B$2:$F$612,3,0),"")</f>
        <v>0.5756944444444444</v>
      </c>
      <c r="G7" s="321">
        <f t="shared" si="5"/>
        <v>0.3256944444444444</v>
      </c>
      <c r="H7" s="310">
        <f>IFERROR(VLOOKUP(C7,TR!$B$2:$F$612,4,0),"")</f>
        <v>0</v>
      </c>
      <c r="I7" s="311">
        <f>IFERROR(VLOOKUP(C7,TR!$B$2:$F$612,5,0),"")</f>
        <v>0</v>
      </c>
      <c r="J7" s="321">
        <f t="shared" si="6"/>
        <v>0</v>
      </c>
      <c r="K7" s="322" t="str">
        <f t="shared" si="0"/>
        <v/>
      </c>
      <c r="L7" s="323">
        <f t="shared" si="1"/>
        <v>1</v>
      </c>
      <c r="M7" s="324" t="str">
        <f t="shared" si="2"/>
        <v/>
      </c>
      <c r="N7" s="37" t="str">
        <f t="shared" si="7"/>
        <v/>
      </c>
      <c r="O7" s="315" t="str">
        <f t="shared" si="8"/>
        <v/>
      </c>
      <c r="P7" s="408" t="str">
        <f>IF(AND(L7="",M7=""),IF(OR(SUMPRODUCT(N(ISNUMBER(FIND({"s";"d";"f"},C7))))&gt;0,G7+J7&lt;0,AND(G7&gt;0,J7&gt;0,I7&gt;"20:30"*1),AND(I7&lt;="20:30"*1,SUM(I7,R7)&gt;="20:31"*1)),1,""),"")</f>
        <v/>
      </c>
      <c r="Q7" s="326" t="str">
        <f t="shared" si="9"/>
        <v/>
      </c>
      <c r="R7" s="30"/>
      <c r="S7" s="327">
        <f t="shared" si="3"/>
        <v>0.3256944444444444</v>
      </c>
      <c r="T7" s="34">
        <f t="shared" si="4"/>
        <v>0.3256944444444444</v>
      </c>
      <c r="U7" s="154">
        <f t="shared" ref="U7:U34" si="11">T7*24</f>
        <v>7.8166666666666655</v>
      </c>
      <c r="V7" s="188"/>
      <c r="W7" s="156">
        <f t="shared" si="10"/>
        <v>7.8166666666666655</v>
      </c>
      <c r="X7" s="369"/>
    </row>
    <row r="8" spans="1:24" ht="14.4" x14ac:dyDescent="0.3">
      <c r="A8" s="40"/>
      <c r="B8" s="474">
        <v>43256</v>
      </c>
      <c r="C8" s="409" t="s">
        <v>105</v>
      </c>
      <c r="D8" s="410"/>
      <c r="E8" s="310">
        <f>IFERROR(VLOOKUP(C8,TR!$B$2:$F$612,2,0),"")</f>
        <v>0.27430555555555552</v>
      </c>
      <c r="F8" s="311">
        <f>IFERROR(VLOOKUP(C8,TR!$B$2:$F$612,3,0),"")</f>
        <v>0.375</v>
      </c>
      <c r="G8" s="321">
        <f t="shared" si="5"/>
        <v>0.10069444444444448</v>
      </c>
      <c r="H8" s="310">
        <f>IFERROR(VLOOKUP(C8,TR!$B$2:$F$612,4,0),"")</f>
        <v>0.53888888888888886</v>
      </c>
      <c r="I8" s="311">
        <f>IFERROR(VLOOKUP(C8,TR!$B$2:$F$612,5,0),"")</f>
        <v>0.77222222222222225</v>
      </c>
      <c r="J8" s="321">
        <f t="shared" si="6"/>
        <v>0.23333333333333339</v>
      </c>
      <c r="K8" s="322" t="str">
        <f t="shared" si="0"/>
        <v/>
      </c>
      <c r="L8" s="323" t="str">
        <f t="shared" si="1"/>
        <v/>
      </c>
      <c r="M8" s="324" t="str">
        <f t="shared" si="2"/>
        <v/>
      </c>
      <c r="N8" s="37" t="str">
        <f t="shared" si="7"/>
        <v/>
      </c>
      <c r="O8" s="315" t="str">
        <f t="shared" si="8"/>
        <v/>
      </c>
      <c r="P8" s="408" t="str">
        <f>IF(AND(L8="",M8=""),IF(OR(SUMPRODUCT(N(ISNUMBER(FIND({"s";"d";"f"},C8))))&gt;0,G8+J8&lt;0,AND(G8&gt;0,J8&gt;0,I8&gt;"20:30"*1),AND(I8&lt;="20:30"*1,SUM(I8,R8)&gt;="20:31"*1)),1,""),"")</f>
        <v/>
      </c>
      <c r="Q8" s="326" t="str">
        <f t="shared" si="9"/>
        <v/>
      </c>
      <c r="R8" s="30">
        <v>6.9444444444444441E-3</v>
      </c>
      <c r="S8" s="327">
        <f t="shared" si="3"/>
        <v>0.49791666666666673</v>
      </c>
      <c r="T8" s="34">
        <f t="shared" si="4"/>
        <v>0.33402777777777787</v>
      </c>
      <c r="U8" s="154">
        <f t="shared" si="11"/>
        <v>8.0166666666666693</v>
      </c>
      <c r="V8" s="188"/>
      <c r="W8" s="156">
        <f t="shared" si="10"/>
        <v>8.0166666666666693</v>
      </c>
      <c r="X8" s="369"/>
    </row>
    <row r="9" spans="1:24" ht="14.4" x14ac:dyDescent="0.3">
      <c r="A9" s="40"/>
      <c r="B9" s="474">
        <v>43257</v>
      </c>
      <c r="C9" s="409" t="s">
        <v>106</v>
      </c>
      <c r="D9" s="410"/>
      <c r="E9" s="310">
        <f>IFERROR(VLOOKUP(C9,TR!$B$2:$F$612,2,0),"")</f>
        <v>0.27083333333333331</v>
      </c>
      <c r="F9" s="311">
        <f>IFERROR(VLOOKUP(C9,TR!$B$2:$F$612,3,0),"")</f>
        <v>0.40416666666666662</v>
      </c>
      <c r="G9" s="321">
        <f t="shared" si="5"/>
        <v>0.1333333333333333</v>
      </c>
      <c r="H9" s="310">
        <f>IFERROR(VLOOKUP(C9,TR!$B$2:$F$612,4,0),"")</f>
        <v>0.6</v>
      </c>
      <c r="I9" s="311">
        <f>IFERROR(VLOOKUP(C9,TR!$B$2:$F$612,5,0),"")</f>
        <v>0.7944444444444444</v>
      </c>
      <c r="J9" s="321">
        <f t="shared" si="6"/>
        <v>0.19444444444444442</v>
      </c>
      <c r="K9" s="322" t="str">
        <f t="shared" si="0"/>
        <v/>
      </c>
      <c r="L9" s="323" t="str">
        <f t="shared" si="1"/>
        <v/>
      </c>
      <c r="M9" s="324" t="str">
        <f t="shared" si="2"/>
        <v/>
      </c>
      <c r="N9" s="37" t="str">
        <f t="shared" si="7"/>
        <v/>
      </c>
      <c r="O9" s="315" t="str">
        <f t="shared" si="8"/>
        <v/>
      </c>
      <c r="P9" s="408" t="str">
        <f>IF(AND(L9="",M9=""),IF(OR(SUMPRODUCT(N(ISNUMBER(FIND({"s";"d";"f"},C9))))&gt;0,G9+J9&lt;0,AND(G9&gt;0,J9&gt;0,I9&gt;"20:30"*1),AND(I9&lt;="20:30"*1,SUM(I9,R9)&gt;="20:31"*1)),1,""),"")</f>
        <v/>
      </c>
      <c r="Q9" s="326" t="str">
        <f t="shared" si="9"/>
        <v/>
      </c>
      <c r="R9" s="30"/>
      <c r="S9" s="327">
        <f t="shared" si="3"/>
        <v>0.52361111111111103</v>
      </c>
      <c r="T9" s="34">
        <f t="shared" si="4"/>
        <v>0.32777777777777772</v>
      </c>
      <c r="U9" s="154">
        <f t="shared" si="11"/>
        <v>7.8666666666666654</v>
      </c>
      <c r="V9" s="188"/>
      <c r="W9" s="156">
        <f t="shared" si="10"/>
        <v>7.8666666666666654</v>
      </c>
      <c r="X9" s="369"/>
    </row>
    <row r="10" spans="1:24" ht="15" customHeight="1" x14ac:dyDescent="0.3">
      <c r="A10" s="40"/>
      <c r="B10" s="474">
        <v>43258</v>
      </c>
      <c r="C10" s="409" t="s">
        <v>106</v>
      </c>
      <c r="D10" s="410"/>
      <c r="E10" s="310">
        <f>IFERROR(VLOOKUP(C10,TR!$B$2:$F$612,2,0),"")</f>
        <v>0.27083333333333331</v>
      </c>
      <c r="F10" s="311">
        <f>IFERROR(VLOOKUP(C10,TR!$B$2:$F$612,3,0),"")</f>
        <v>0.40416666666666662</v>
      </c>
      <c r="G10" s="321">
        <f t="shared" si="5"/>
        <v>0.1333333333333333</v>
      </c>
      <c r="H10" s="310">
        <f>IFERROR(VLOOKUP(C10,TR!$B$2:$F$612,4,0),"")</f>
        <v>0.6</v>
      </c>
      <c r="I10" s="311">
        <f>IFERROR(VLOOKUP(C10,TR!$B$2:$F$612,5,0),"")</f>
        <v>0.7944444444444444</v>
      </c>
      <c r="J10" s="321">
        <f t="shared" si="6"/>
        <v>0.19444444444444442</v>
      </c>
      <c r="K10" s="322" t="str">
        <f t="shared" si="0"/>
        <v/>
      </c>
      <c r="L10" s="323" t="str">
        <f t="shared" si="1"/>
        <v/>
      </c>
      <c r="M10" s="324" t="str">
        <f t="shared" si="2"/>
        <v/>
      </c>
      <c r="N10" s="37" t="str">
        <f t="shared" si="7"/>
        <v/>
      </c>
      <c r="O10" s="315" t="str">
        <f t="shared" si="8"/>
        <v/>
      </c>
      <c r="P10" s="408" t="str">
        <f>IF(AND(L10="",M10=""),IF(OR(SUMPRODUCT(N(ISNUMBER(FIND({"s";"d";"f"},C10))))&gt;0,G10+J10&lt;0,AND(G10&gt;0,J10&gt;0,I10&gt;"20:30"*1),AND(I10&lt;="20:30"*1,SUM(I10,R10)&gt;="20:31"*1)),1,""),"")</f>
        <v/>
      </c>
      <c r="Q10" s="326" t="str">
        <f t="shared" si="9"/>
        <v/>
      </c>
      <c r="R10" s="30"/>
      <c r="S10" s="327">
        <f t="shared" si="3"/>
        <v>0.52361111111111103</v>
      </c>
      <c r="T10" s="34">
        <f t="shared" si="4"/>
        <v>0.32777777777777772</v>
      </c>
      <c r="U10" s="154">
        <f t="shared" si="11"/>
        <v>7.8666666666666654</v>
      </c>
      <c r="V10" s="188"/>
      <c r="W10" s="156">
        <f t="shared" si="10"/>
        <v>7.8666666666666654</v>
      </c>
      <c r="X10" s="369"/>
    </row>
    <row r="11" spans="1:24" ht="14.4" x14ac:dyDescent="0.3">
      <c r="A11" s="40"/>
      <c r="B11" s="474">
        <v>43259</v>
      </c>
      <c r="C11" s="409" t="s">
        <v>107</v>
      </c>
      <c r="D11" s="410"/>
      <c r="E11" s="310">
        <f>IFERROR(VLOOKUP(C11,TR!$B$2:$F$612,2,0),"")</f>
        <v>0</v>
      </c>
      <c r="F11" s="311">
        <f>IFERROR(VLOOKUP(C11,TR!$B$2:$F$612,3,0),"")</f>
        <v>0</v>
      </c>
      <c r="G11" s="328">
        <f t="shared" si="5"/>
        <v>0</v>
      </c>
      <c r="H11" s="310">
        <f>IFERROR(VLOOKUP(C11,TR!$B$2:$F$612,4,0),"")</f>
        <v>0.5756944444444444</v>
      </c>
      <c r="I11" s="311">
        <f>IFERROR(VLOOKUP(C11,TR!$B$2:$F$612,5,0),"")</f>
        <v>0.89513888888888893</v>
      </c>
      <c r="J11" s="328">
        <f t="shared" si="6"/>
        <v>0.31944444444444453</v>
      </c>
      <c r="K11" s="322" t="str">
        <f t="shared" si="0"/>
        <v/>
      </c>
      <c r="L11" s="323" t="str">
        <f t="shared" si="1"/>
        <v/>
      </c>
      <c r="M11" s="324">
        <f t="shared" si="2"/>
        <v>1</v>
      </c>
      <c r="N11" s="37" t="str">
        <f t="shared" si="7"/>
        <v/>
      </c>
      <c r="O11" s="315" t="str">
        <f t="shared" si="8"/>
        <v/>
      </c>
      <c r="P11" s="408" t="str">
        <f>IF(AND(L11="",M11=""),IF(OR(SUMPRODUCT(N(ISNUMBER(FIND({"s";"d";"f"},C11))))&gt;0,G11+J11&lt;0,AND(G11&gt;0,J11&gt;0,I11&gt;"20:30"*1),AND(I11&lt;="20:30"*1,SUM(I11,R11)&gt;="20:31"*1)),1,""),"")</f>
        <v/>
      </c>
      <c r="Q11" s="326" t="str">
        <f t="shared" si="9"/>
        <v/>
      </c>
      <c r="R11" s="30">
        <v>3.472222222222222E-3</v>
      </c>
      <c r="S11" s="327">
        <f t="shared" si="3"/>
        <v>0.31944444444444453</v>
      </c>
      <c r="T11" s="34">
        <f t="shared" si="4"/>
        <v>0.31944444444444453</v>
      </c>
      <c r="U11" s="154">
        <f t="shared" si="11"/>
        <v>7.6666666666666687</v>
      </c>
      <c r="V11" s="188"/>
      <c r="W11" s="156">
        <f t="shared" si="10"/>
        <v>7.6666666666666687</v>
      </c>
      <c r="X11" s="369"/>
    </row>
    <row r="12" spans="1:24" ht="14.4" x14ac:dyDescent="0.3">
      <c r="A12" s="40"/>
      <c r="B12" s="474">
        <v>43260</v>
      </c>
      <c r="C12" s="409" t="s">
        <v>46</v>
      </c>
      <c r="D12" s="410"/>
      <c r="E12" s="310">
        <f>IFERROR(VLOOKUP(C12,TR!$B$2:$F$612,2,0),"")</f>
        <v>0</v>
      </c>
      <c r="F12" s="311">
        <f>IFERROR(VLOOKUP(C12,TR!$B$2:$F$612,3,0),"")</f>
        <v>0</v>
      </c>
      <c r="G12" s="328">
        <f t="shared" si="5"/>
        <v>0</v>
      </c>
      <c r="H12" s="310">
        <f>IFERROR(VLOOKUP(C12,TR!$B$2:$F$612,4,0),"")</f>
        <v>0</v>
      </c>
      <c r="I12" s="311">
        <f>IFERROR(VLOOKUP(C12,TR!$B$2:$F$612,5,0),"")</f>
        <v>0</v>
      </c>
      <c r="J12" s="328">
        <f t="shared" si="6"/>
        <v>0</v>
      </c>
      <c r="K12" s="322" t="str">
        <f t="shared" si="0"/>
        <v/>
      </c>
      <c r="L12" s="323" t="str">
        <f t="shared" si="1"/>
        <v/>
      </c>
      <c r="M12" s="324" t="str">
        <f t="shared" si="2"/>
        <v/>
      </c>
      <c r="N12" s="37" t="str">
        <f t="shared" si="7"/>
        <v/>
      </c>
      <c r="O12" s="315" t="str">
        <f t="shared" si="8"/>
        <v/>
      </c>
      <c r="P12" s="408" t="str">
        <f>IF(AND(L12="",M12=""),IF(OR(SUMPRODUCT(N(ISNUMBER(FIND({"s";"d";"f"},C12))))&gt;0,G12+J12&lt;0,AND(G12&gt;0,J12&gt;0,I12&gt;"20:30"*1),AND(I12&lt;="20:30"*1,SUM(I12,R12)&gt;="20:31"*1)),1,""),"")</f>
        <v/>
      </c>
      <c r="Q12" s="326" t="str">
        <f t="shared" si="9"/>
        <v/>
      </c>
      <c r="R12" s="30"/>
      <c r="S12" s="327" t="str">
        <f t="shared" si="3"/>
        <v/>
      </c>
      <c r="T12" s="34">
        <f t="shared" si="4"/>
        <v>0</v>
      </c>
      <c r="U12" s="154">
        <f t="shared" si="11"/>
        <v>0</v>
      </c>
      <c r="V12" s="188"/>
      <c r="W12" s="156" t="str">
        <f t="shared" si="10"/>
        <v>0,00</v>
      </c>
      <c r="X12" s="369"/>
    </row>
    <row r="13" spans="1:24" ht="14.4" x14ac:dyDescent="0.3">
      <c r="A13" s="40"/>
      <c r="B13" s="474">
        <v>43261</v>
      </c>
      <c r="C13" s="409" t="s">
        <v>47</v>
      </c>
      <c r="D13" s="410"/>
      <c r="E13" s="310">
        <f>IFERROR(VLOOKUP(C13,TR!$B$2:$F$612,2,0),"")</f>
        <v>0</v>
      </c>
      <c r="F13" s="311">
        <f>IFERROR(VLOOKUP(C13,TR!$B$2:$F$612,3,0),"")</f>
        <v>0</v>
      </c>
      <c r="G13" s="328">
        <f t="shared" si="5"/>
        <v>0</v>
      </c>
      <c r="H13" s="310">
        <f>IFERROR(VLOOKUP(C13,TR!$B$2:$F$612,4,0),"")</f>
        <v>0</v>
      </c>
      <c r="I13" s="311">
        <f>IFERROR(VLOOKUP(C13,TR!$B$2:$F$612,5,0),"")</f>
        <v>0</v>
      </c>
      <c r="J13" s="328">
        <f t="shared" si="6"/>
        <v>0</v>
      </c>
      <c r="K13" s="322" t="str">
        <f t="shared" si="0"/>
        <v/>
      </c>
      <c r="L13" s="323" t="str">
        <f t="shared" si="1"/>
        <v/>
      </c>
      <c r="M13" s="324" t="str">
        <f t="shared" si="2"/>
        <v/>
      </c>
      <c r="N13" s="37" t="str">
        <f t="shared" si="7"/>
        <v/>
      </c>
      <c r="O13" s="315" t="str">
        <f t="shared" si="8"/>
        <v/>
      </c>
      <c r="P13" s="408" t="str">
        <f>IF(AND(L13="",M13=""),IF(OR(SUMPRODUCT(N(ISNUMBER(FIND({"s";"d";"f"},C13))))&gt;0,G13+J13&lt;0,AND(G13&gt;0,J13&gt;0,I13&gt;"20:30"*1),AND(I13&lt;="20:30"*1,SUM(I13,R13)&gt;="20:31"*1)),1,""),"")</f>
        <v/>
      </c>
      <c r="Q13" s="326" t="str">
        <f t="shared" si="9"/>
        <v/>
      </c>
      <c r="R13" s="31"/>
      <c r="S13" s="327" t="str">
        <f t="shared" si="3"/>
        <v/>
      </c>
      <c r="T13" s="34">
        <f t="shared" si="4"/>
        <v>0</v>
      </c>
      <c r="U13" s="154">
        <f t="shared" si="11"/>
        <v>0</v>
      </c>
      <c r="V13" s="188"/>
      <c r="W13" s="156" t="str">
        <f t="shared" si="10"/>
        <v>0,00</v>
      </c>
      <c r="X13" s="369"/>
    </row>
    <row r="14" spans="1:24" ht="14.4" x14ac:dyDescent="0.3">
      <c r="A14" s="40"/>
      <c r="B14" s="474">
        <v>43262</v>
      </c>
      <c r="C14" s="413" t="s">
        <v>101</v>
      </c>
      <c r="D14" s="414"/>
      <c r="E14" s="310">
        <f>IFERROR(VLOOKUP(C14,TR!$B$2:$F$612,2,0),"")</f>
        <v>0.27847222222222223</v>
      </c>
      <c r="F14" s="311">
        <f>IFERROR(VLOOKUP(C14,TR!$B$2:$F$612,3,0),"")</f>
        <v>0.4548611111111111</v>
      </c>
      <c r="G14" s="328">
        <f t="shared" si="5"/>
        <v>0.17638888888888887</v>
      </c>
      <c r="H14" s="310">
        <f>IFERROR(VLOOKUP(C14,TR!$B$2:$F$612,4,0),"")</f>
        <v>0.5541666666666667</v>
      </c>
      <c r="I14" s="311">
        <f>IFERROR(VLOOKUP(C14,TR!$B$2:$F$612,5,0),"")</f>
        <v>0.71458333333333324</v>
      </c>
      <c r="J14" s="328">
        <f t="shared" si="6"/>
        <v>0.16041666666666654</v>
      </c>
      <c r="K14" s="322" t="str">
        <f t="shared" si="0"/>
        <v/>
      </c>
      <c r="L14" s="323" t="str">
        <f t="shared" si="1"/>
        <v/>
      </c>
      <c r="M14" s="324" t="str">
        <f t="shared" si="2"/>
        <v/>
      </c>
      <c r="N14" s="37" t="str">
        <f t="shared" si="7"/>
        <v/>
      </c>
      <c r="O14" s="315" t="str">
        <f t="shared" si="8"/>
        <v/>
      </c>
      <c r="P14" s="408" t="str">
        <f>IF(AND(L14="",M14=""),IF(OR(SUMPRODUCT(N(ISNUMBER(FIND({"s";"d";"f"},C14))))&gt;0,G14+J14&lt;0,AND(G14&gt;0,J14&gt;0,I14&gt;"20:30"*1),AND(I14&lt;="20:30"*1,SUM(I14,R14)&gt;="20:31"*1)),1,""),"")</f>
        <v/>
      </c>
      <c r="Q14" s="326" t="str">
        <f t="shared" si="9"/>
        <v/>
      </c>
      <c r="R14" s="31"/>
      <c r="S14" s="327">
        <f t="shared" si="3"/>
        <v>0.43611111111111101</v>
      </c>
      <c r="T14" s="34">
        <f t="shared" si="4"/>
        <v>0.33680555555555541</v>
      </c>
      <c r="U14" s="154">
        <f t="shared" si="11"/>
        <v>8.0833333333333304</v>
      </c>
      <c r="V14" s="188"/>
      <c r="W14" s="156">
        <f t="shared" si="10"/>
        <v>8.0833333333333304</v>
      </c>
      <c r="X14" s="369"/>
    </row>
    <row r="15" spans="1:24" ht="14.4" x14ac:dyDescent="0.3">
      <c r="A15" s="40"/>
      <c r="B15" s="474">
        <v>43263</v>
      </c>
      <c r="C15" s="413" t="s">
        <v>203</v>
      </c>
      <c r="D15" s="414"/>
      <c r="E15" s="310">
        <f>IFERROR(VLOOKUP(C15,TR!$B$2:$F$612,2,0),"")</f>
        <v>0.29166666666666669</v>
      </c>
      <c r="F15" s="311">
        <f>IFERROR(VLOOKUP(C15,TR!$B$2:$F$612,3,0),"")</f>
        <v>0.45347222222222222</v>
      </c>
      <c r="G15" s="328">
        <f t="shared" si="5"/>
        <v>0.16180555555555554</v>
      </c>
      <c r="H15" s="310">
        <f>IFERROR(VLOOKUP(C15,TR!$B$2:$F$612,4,0),"")</f>
        <v>0.51944444444444449</v>
      </c>
      <c r="I15" s="311">
        <f>IFERROR(VLOOKUP(C15,TR!$B$2:$F$612,5,0),"")</f>
        <v>0.68472222222222223</v>
      </c>
      <c r="J15" s="328">
        <f t="shared" si="6"/>
        <v>0.16527777777777775</v>
      </c>
      <c r="K15" s="322" t="str">
        <f t="shared" si="0"/>
        <v/>
      </c>
      <c r="L15" s="323" t="str">
        <f t="shared" si="1"/>
        <v/>
      </c>
      <c r="M15" s="324" t="str">
        <f>IF(AND(I15&gt;="19:30"*1,1,I15&gt;"21:30"*1,C15&lt;&gt;""),1,IF(AND(I15&lt;="21:30"*1,SUM(I15,R15)&gt;="21:30"*1),1,""))</f>
        <v/>
      </c>
      <c r="N15" s="37" t="str">
        <f t="shared" si="7"/>
        <v/>
      </c>
      <c r="O15" s="315" t="str">
        <f t="shared" si="8"/>
        <v/>
      </c>
      <c r="P15" s="408" t="str">
        <f>IF(AND(L15="",M15=""),IF(OR(SUMPRODUCT(N(ISNUMBER(FIND({"s";"d";"f"},C15))))&gt;0,G15+J15&lt;0,AND(G15&gt;0,J15&gt;0,I15&gt;"20:30"*1),AND(I15&lt;="20:30"*1,SUM(I15,R15)&gt;="20:31"*1)),1,""),"")</f>
        <v/>
      </c>
      <c r="Q15" s="326" t="str">
        <f t="shared" si="9"/>
        <v/>
      </c>
      <c r="R15" s="30"/>
      <c r="S15" s="327">
        <f t="shared" si="3"/>
        <v>0.39305555555555555</v>
      </c>
      <c r="T15" s="34">
        <f t="shared" si="4"/>
        <v>0.32708333333333328</v>
      </c>
      <c r="U15" s="154">
        <f t="shared" si="11"/>
        <v>7.8499999999999988</v>
      </c>
      <c r="V15" s="188"/>
      <c r="W15" s="156">
        <f t="shared" si="10"/>
        <v>7.8499999999999988</v>
      </c>
      <c r="X15" s="369"/>
    </row>
    <row r="16" spans="1:24" ht="14.4" x14ac:dyDescent="0.3">
      <c r="A16" s="40"/>
      <c r="B16" s="474">
        <v>43264</v>
      </c>
      <c r="C16" s="409" t="s">
        <v>45</v>
      </c>
      <c r="D16" s="410"/>
      <c r="E16" s="310">
        <f>IFERROR(VLOOKUP(C16,TR!$B$2:$F$612,2,0),"")</f>
        <v>0</v>
      </c>
      <c r="F16" s="311">
        <f>IFERROR(VLOOKUP(C16,TR!$B$2:$F$612,3,0),"")</f>
        <v>0</v>
      </c>
      <c r="G16" s="328">
        <f t="shared" si="5"/>
        <v>0</v>
      </c>
      <c r="H16" s="310">
        <f>IFERROR(VLOOKUP(C16,TR!$B$2:$F$612,4,0),"")</f>
        <v>0</v>
      </c>
      <c r="I16" s="311">
        <f>IFERROR(VLOOKUP(C16,TR!$B$2:$F$612,5,0),"")</f>
        <v>0</v>
      </c>
      <c r="J16" s="328">
        <f t="shared" si="6"/>
        <v>0</v>
      </c>
      <c r="K16" s="322" t="str">
        <f t="shared" si="0"/>
        <v/>
      </c>
      <c r="L16" s="323" t="str">
        <f t="shared" si="1"/>
        <v/>
      </c>
      <c r="M16" s="324" t="str">
        <f t="shared" si="2"/>
        <v/>
      </c>
      <c r="N16" s="37" t="str">
        <f t="shared" si="7"/>
        <v/>
      </c>
      <c r="O16" s="315" t="str">
        <f t="shared" si="8"/>
        <v/>
      </c>
      <c r="P16" s="408" t="str">
        <f>IF(AND(L16="",M16=""),IF(OR(SUMPRODUCT(N(ISNUMBER(FIND({"s";"d";"f"},C16))))&gt;0,G16+J16&lt;0,AND(G16&gt;0,J16&gt;0,I16&gt;"20:30"*1),AND(I16&lt;="20:30"*1,SUM(I16,R16)&gt;="20:31"*1)),1,""),"")</f>
        <v/>
      </c>
      <c r="Q16" s="326" t="str">
        <f t="shared" si="9"/>
        <v/>
      </c>
      <c r="R16" s="31"/>
      <c r="S16" s="327" t="str">
        <f t="shared" si="3"/>
        <v/>
      </c>
      <c r="T16" s="34">
        <f t="shared" si="4"/>
        <v>0</v>
      </c>
      <c r="U16" s="154">
        <f t="shared" si="11"/>
        <v>0</v>
      </c>
      <c r="V16" s="188"/>
      <c r="W16" s="156" t="str">
        <f t="shared" si="10"/>
        <v>0,00</v>
      </c>
      <c r="X16" s="369"/>
    </row>
    <row r="17" spans="1:24" ht="14.4" x14ac:dyDescent="0.3">
      <c r="A17" s="40"/>
      <c r="B17" s="474">
        <v>43265</v>
      </c>
      <c r="C17" s="409" t="s">
        <v>46</v>
      </c>
      <c r="D17" s="410"/>
      <c r="E17" s="310">
        <f>IFERROR(VLOOKUP(C17,TR!$B$2:$F$612,2,0),"")</f>
        <v>0</v>
      </c>
      <c r="F17" s="311">
        <f>IFERROR(VLOOKUP(C17,TR!$B$2:$F$612,3,0),"")</f>
        <v>0</v>
      </c>
      <c r="G17" s="321">
        <f t="shared" si="5"/>
        <v>0</v>
      </c>
      <c r="H17" s="310">
        <f>IFERROR(VLOOKUP(C17,TR!$B$2:$F$612,4,0),"")</f>
        <v>0</v>
      </c>
      <c r="I17" s="311">
        <f>IFERROR(VLOOKUP(C17,TR!$B$2:$F$612,5,0),"")</f>
        <v>0</v>
      </c>
      <c r="J17" s="321">
        <f t="shared" si="6"/>
        <v>0</v>
      </c>
      <c r="K17" s="322" t="str">
        <f t="shared" si="0"/>
        <v/>
      </c>
      <c r="L17" s="323" t="str">
        <f t="shared" si="1"/>
        <v/>
      </c>
      <c r="M17" s="324" t="str">
        <f t="shared" si="2"/>
        <v/>
      </c>
      <c r="N17" s="37" t="str">
        <f t="shared" si="7"/>
        <v/>
      </c>
      <c r="O17" s="315" t="str">
        <f t="shared" si="8"/>
        <v/>
      </c>
      <c r="P17" s="408" t="str">
        <f>IF(AND(L17="",M17=""),IF(OR(SUMPRODUCT(N(ISNUMBER(FIND({"s";"d";"f"},C17))))&gt;0,G17+J17&lt;0,AND(G17&gt;0,J17&gt;0,I17&gt;"20:30"*1),AND(I17&lt;="20:30"*1,SUM(I17,R17)&gt;="20:31"*1)),1,""),"")</f>
        <v/>
      </c>
      <c r="Q17" s="326" t="str">
        <f t="shared" si="9"/>
        <v/>
      </c>
      <c r="R17" s="31"/>
      <c r="S17" s="327" t="str">
        <f t="shared" si="3"/>
        <v/>
      </c>
      <c r="T17" s="34">
        <f t="shared" si="4"/>
        <v>0</v>
      </c>
      <c r="U17" s="154">
        <f t="shared" si="11"/>
        <v>0</v>
      </c>
      <c r="V17" s="188"/>
      <c r="W17" s="156" t="str">
        <f t="shared" si="10"/>
        <v>0,00</v>
      </c>
      <c r="X17" s="369"/>
    </row>
    <row r="18" spans="1:24" ht="14.4" x14ac:dyDescent="0.3">
      <c r="A18" s="40"/>
      <c r="B18" s="474">
        <v>43266</v>
      </c>
      <c r="C18" s="409" t="s">
        <v>210</v>
      </c>
      <c r="D18" s="410"/>
      <c r="E18" s="310">
        <f>IFERROR(VLOOKUP(C18,TR!$B$2:$F$612,2,0),"")</f>
        <v>0</v>
      </c>
      <c r="F18" s="311">
        <f>IFERROR(VLOOKUP(C18,TR!$B$2:$F$612,3,0),"")</f>
        <v>0</v>
      </c>
      <c r="G18" s="321">
        <f t="shared" si="5"/>
        <v>0</v>
      </c>
      <c r="H18" s="310">
        <f>IFERROR(VLOOKUP(C18,TR!$B$2:$F$612,4,0),"")</f>
        <v>0.55486111111111114</v>
      </c>
      <c r="I18" s="311">
        <f>IFERROR(VLOOKUP(C18,TR!$B$2:$F$612,5,0),"")</f>
        <v>0.87430555555555556</v>
      </c>
      <c r="J18" s="321">
        <f t="shared" si="6"/>
        <v>0.31944444444444442</v>
      </c>
      <c r="K18" s="322" t="str">
        <f t="shared" si="0"/>
        <v/>
      </c>
      <c r="L18" s="323" t="str">
        <f t="shared" si="1"/>
        <v/>
      </c>
      <c r="M18" s="324" t="str">
        <f>IF(AND(I18&gt;="19:30"*1,1,I18&gt;"21:30"*1,C18&lt;&gt;""),1,IF(AND(I18&lt;="21:30"*1,SUM(I18,R18)&gt;="21:30"*1),1,""))</f>
        <v/>
      </c>
      <c r="N18" s="37" t="str">
        <f t="shared" si="7"/>
        <v/>
      </c>
      <c r="O18" s="315" t="str">
        <f t="shared" si="8"/>
        <v/>
      </c>
      <c r="P18" s="408" t="str">
        <f>IF(AND(L18="",M18=""),IF(OR(SUMPRODUCT(N(ISNUMBER(FIND({"s";"d";"f"},C18))))&gt;0,G18+J18&lt;0,AND(G18&gt;0,J18&gt;0,I18&gt;"20:30"*1),AND(I18&lt;="20:30"*1,SUM(I18,R18)&gt;="20:31"*1)),1,""),"")</f>
        <v/>
      </c>
      <c r="Q18" s="326" t="str">
        <f t="shared" si="9"/>
        <v/>
      </c>
      <c r="R18" s="31"/>
      <c r="S18" s="327">
        <f t="shared" si="3"/>
        <v>0.31944444444444442</v>
      </c>
      <c r="T18" s="34">
        <f t="shared" si="4"/>
        <v>0.31944444444444442</v>
      </c>
      <c r="U18" s="154">
        <f t="shared" si="11"/>
        <v>7.6666666666666661</v>
      </c>
      <c r="V18" s="188"/>
      <c r="W18" s="156">
        <f t="shared" si="10"/>
        <v>7.6666666666666661</v>
      </c>
      <c r="X18" s="369"/>
    </row>
    <row r="19" spans="1:24" ht="14.4" x14ac:dyDescent="0.3">
      <c r="A19" s="40"/>
      <c r="B19" s="474">
        <v>43267</v>
      </c>
      <c r="C19" s="409" t="s">
        <v>102</v>
      </c>
      <c r="D19" s="410"/>
      <c r="E19" s="310">
        <f>IFERROR(VLOOKUP(C19,TR!$B$2:$F$612,2,0),"")</f>
        <v>0</v>
      </c>
      <c r="F19" s="311">
        <f>IFERROR(VLOOKUP(C19,TR!$B$2:$F$612,3,0),"")</f>
        <v>0</v>
      </c>
      <c r="G19" s="321">
        <f t="shared" si="5"/>
        <v>0</v>
      </c>
      <c r="H19" s="310">
        <f>IFERROR(VLOOKUP(C19,TR!$B$2:$F$612,4,0),"")</f>
        <v>0.54166666666666663</v>
      </c>
      <c r="I19" s="311">
        <f>IFERROR(VLOOKUP(C19,TR!$B$2:$F$612,5,0),"")</f>
        <v>0.80486111111111114</v>
      </c>
      <c r="J19" s="321">
        <f t="shared" si="6"/>
        <v>0.26319444444444451</v>
      </c>
      <c r="K19" s="322" t="str">
        <f t="shared" si="0"/>
        <v/>
      </c>
      <c r="L19" s="323" t="str">
        <f t="shared" si="1"/>
        <v/>
      </c>
      <c r="M19" s="324" t="str">
        <f t="shared" si="2"/>
        <v/>
      </c>
      <c r="N19" s="37" t="str">
        <f t="shared" si="7"/>
        <v/>
      </c>
      <c r="O19" s="315" t="str">
        <f t="shared" si="8"/>
        <v/>
      </c>
      <c r="P19" s="408">
        <f>IF(AND(L19="",M19=""),IF(OR(SUMPRODUCT(N(ISNUMBER(FIND({"s";"d";"f"},C19))))&gt;0,G19+J19&lt;0,AND(G19&gt;0,J19&gt;0,I19&gt;"20:30"*1),AND(I19&lt;="20:30"*1,SUM(I19,R19)&gt;="20:31"*1)),1,""),"")</f>
        <v>1</v>
      </c>
      <c r="Q19" s="326" t="str">
        <f t="shared" si="9"/>
        <v/>
      </c>
      <c r="R19" s="31"/>
      <c r="S19" s="327">
        <f t="shared" si="3"/>
        <v>0.26319444444444451</v>
      </c>
      <c r="T19" s="34">
        <f t="shared" si="4"/>
        <v>0.26319444444444451</v>
      </c>
      <c r="U19" s="154">
        <f t="shared" si="11"/>
        <v>6.3166666666666682</v>
      </c>
      <c r="V19" s="188"/>
      <c r="W19" s="156">
        <f t="shared" si="10"/>
        <v>6.3166666666666682</v>
      </c>
      <c r="X19" s="369"/>
    </row>
    <row r="20" spans="1:24" ht="14.4" x14ac:dyDescent="0.3">
      <c r="A20" s="40"/>
      <c r="B20" s="474">
        <v>43268</v>
      </c>
      <c r="C20" s="409" t="s">
        <v>103</v>
      </c>
      <c r="D20" s="410"/>
      <c r="E20" s="310">
        <f>IFERROR(VLOOKUP(C20,TR!$B$2:$F$612,2,0),"")</f>
        <v>0</v>
      </c>
      <c r="F20" s="311">
        <f>IFERROR(VLOOKUP(C20,TR!$B$2:$F$612,3,0),"")</f>
        <v>0</v>
      </c>
      <c r="G20" s="321">
        <f t="shared" si="5"/>
        <v>0</v>
      </c>
      <c r="H20" s="310">
        <f>IFERROR(VLOOKUP(C20,TR!$B$2:$F$612,4,0),"")</f>
        <v>0.51597222222222217</v>
      </c>
      <c r="I20" s="311">
        <f>IFERROR(VLOOKUP(C20,TR!$B$2:$F$612,5,0),"")</f>
        <v>0.83958333333333324</v>
      </c>
      <c r="J20" s="321">
        <f t="shared" si="6"/>
        <v>0.32361111111111107</v>
      </c>
      <c r="K20" s="322" t="str">
        <f t="shared" si="0"/>
        <v/>
      </c>
      <c r="L20" s="323" t="str">
        <f t="shared" si="1"/>
        <v/>
      </c>
      <c r="M20" s="324" t="str">
        <f t="shared" si="2"/>
        <v/>
      </c>
      <c r="N20" s="37">
        <f t="shared" si="7"/>
        <v>1</v>
      </c>
      <c r="O20" s="315" t="str">
        <f t="shared" si="8"/>
        <v/>
      </c>
      <c r="P20" s="408">
        <f>IF(AND(L20="",M20=""),IF(OR(SUMPRODUCT(N(ISNUMBER(FIND({"s";"d";"f"},C20))))&gt;0,G20+J20&lt;0,AND(G20&gt;0,J20&gt;0,I20&gt;"20:30"*1),AND(I20&lt;="20:30"*1,SUM(I20,R20)&gt;="20:31"*1)),1,""),"")</f>
        <v>1</v>
      </c>
      <c r="Q20" s="326" t="str">
        <f t="shared" si="9"/>
        <v/>
      </c>
      <c r="R20" s="31"/>
      <c r="S20" s="327">
        <f t="shared" si="3"/>
        <v>0.32361111111111107</v>
      </c>
      <c r="T20" s="34">
        <f t="shared" si="4"/>
        <v>0.32361111111111107</v>
      </c>
      <c r="U20" s="154">
        <f t="shared" si="11"/>
        <v>7.7666666666666657</v>
      </c>
      <c r="V20" s="188"/>
      <c r="W20" s="156">
        <f t="shared" si="10"/>
        <v>7.7666666666666657</v>
      </c>
      <c r="X20" s="369"/>
    </row>
    <row r="21" spans="1:24" ht="14.4" x14ac:dyDescent="0.3">
      <c r="A21" s="40"/>
      <c r="B21" s="474">
        <v>43269</v>
      </c>
      <c r="C21" s="413" t="s">
        <v>96</v>
      </c>
      <c r="D21" s="414"/>
      <c r="E21" s="310">
        <f>IFERROR(VLOOKUP(C21,TR!$B$2:$F$612,2,0),"")</f>
        <v>0</v>
      </c>
      <c r="F21" s="311">
        <f>IFERROR(VLOOKUP(C21,TR!$B$2:$F$612,3,0),"")</f>
        <v>0</v>
      </c>
      <c r="G21" s="328">
        <f t="shared" si="5"/>
        <v>0</v>
      </c>
      <c r="H21" s="310">
        <f>IFERROR(VLOOKUP(C21,TR!$B$2:$F$612,4,0),"")</f>
        <v>0.5444444444444444</v>
      </c>
      <c r="I21" s="311">
        <f>IFERROR(VLOOKUP(C21,TR!$B$2:$F$612,5,0),"")</f>
        <v>0.87361111111111101</v>
      </c>
      <c r="J21" s="328">
        <f t="shared" si="6"/>
        <v>0.32916666666666661</v>
      </c>
      <c r="K21" s="322" t="str">
        <f t="shared" si="0"/>
        <v/>
      </c>
      <c r="L21" s="323" t="str">
        <f t="shared" si="1"/>
        <v/>
      </c>
      <c r="M21" s="324" t="str">
        <f t="shared" si="2"/>
        <v/>
      </c>
      <c r="N21" s="37" t="str">
        <f t="shared" si="7"/>
        <v/>
      </c>
      <c r="O21" s="315" t="str">
        <f t="shared" si="8"/>
        <v/>
      </c>
      <c r="P21" s="408" t="str">
        <f>IF(AND(L21="",M21=""),IF(OR(SUMPRODUCT(N(ISNUMBER(FIND({"s";"d";"f"},C21))))&gt;0,G21+J21&lt;0,AND(G21&gt;0,J21&gt;0,I21&gt;"20:30"*1),AND(I21&lt;="20:30"*1,SUM(I21,R21)&gt;="20:31"*1)),1,""),"")</f>
        <v/>
      </c>
      <c r="Q21" s="326" t="str">
        <f t="shared" si="9"/>
        <v/>
      </c>
      <c r="R21" s="31"/>
      <c r="S21" s="327">
        <f t="shared" si="3"/>
        <v>0.32916666666666661</v>
      </c>
      <c r="T21" s="34">
        <f t="shared" si="4"/>
        <v>0.32916666666666661</v>
      </c>
      <c r="U21" s="154">
        <f t="shared" si="11"/>
        <v>7.8999999999999986</v>
      </c>
      <c r="V21" s="188"/>
      <c r="W21" s="156">
        <f t="shared" si="10"/>
        <v>7.8999999999999986</v>
      </c>
      <c r="X21" s="369"/>
    </row>
    <row r="22" spans="1:24" ht="14.4" x14ac:dyDescent="0.3">
      <c r="A22" s="40"/>
      <c r="B22" s="474">
        <v>43270</v>
      </c>
      <c r="C22" s="415" t="s">
        <v>46</v>
      </c>
      <c r="D22" s="416"/>
      <c r="E22" s="310">
        <f>IFERROR(VLOOKUP(C22,TR!$B$2:$F$612,2,0),"")</f>
        <v>0</v>
      </c>
      <c r="F22" s="311">
        <f>IFERROR(VLOOKUP(C22,TR!$B$2:$F$612,3,0),"")</f>
        <v>0</v>
      </c>
      <c r="G22" s="328">
        <f t="shared" si="5"/>
        <v>0</v>
      </c>
      <c r="H22" s="310">
        <f>IFERROR(VLOOKUP(C22,TR!$B$2:$F$612,4,0),"")</f>
        <v>0</v>
      </c>
      <c r="I22" s="311">
        <f>IFERROR(VLOOKUP(C22,TR!$B$2:$F$612,5,0),"")</f>
        <v>0</v>
      </c>
      <c r="J22" s="328">
        <f t="shared" si="6"/>
        <v>0</v>
      </c>
      <c r="K22" s="322" t="str">
        <f t="shared" si="0"/>
        <v/>
      </c>
      <c r="L22" s="323" t="str">
        <f t="shared" si="1"/>
        <v/>
      </c>
      <c r="M22" s="324" t="str">
        <f t="shared" si="2"/>
        <v/>
      </c>
      <c r="N22" s="37" t="str">
        <f t="shared" si="7"/>
        <v/>
      </c>
      <c r="O22" s="315" t="str">
        <f t="shared" si="8"/>
        <v/>
      </c>
      <c r="P22" s="408" t="str">
        <f>IF(AND(L22="",M22=""),IF(OR(SUMPRODUCT(N(ISNUMBER(FIND({"s";"d";"f"},C22))))&gt;0,G22+J22&lt;0,AND(G22&gt;0,J22&gt;0,I22&gt;"20:30"*1),AND(I22&lt;="20:30"*1,SUM(I22,R22)&gt;="20:31"*1)),1,""),"")</f>
        <v/>
      </c>
      <c r="Q22" s="326" t="str">
        <f t="shared" si="9"/>
        <v/>
      </c>
      <c r="R22" s="31"/>
      <c r="S22" s="327" t="str">
        <f t="shared" si="3"/>
        <v/>
      </c>
      <c r="T22" s="34">
        <f t="shared" si="4"/>
        <v>0</v>
      </c>
      <c r="U22" s="154">
        <f t="shared" si="11"/>
        <v>0</v>
      </c>
      <c r="V22" s="188"/>
      <c r="W22" s="156" t="str">
        <f t="shared" si="10"/>
        <v>0,00</v>
      </c>
      <c r="X22" s="369"/>
    </row>
    <row r="23" spans="1:24" ht="15" thickBot="1" x14ac:dyDescent="0.35">
      <c r="A23" s="40"/>
      <c r="B23" s="475">
        <v>43271</v>
      </c>
      <c r="C23" s="418" t="s">
        <v>97</v>
      </c>
      <c r="D23" s="419"/>
      <c r="E23" s="420">
        <f>IFERROR(VLOOKUP(C23,TR!$B$2:$F$612,2,0),"")</f>
        <v>0.20277777777777781</v>
      </c>
      <c r="F23" s="421">
        <f>IFERROR(VLOOKUP(C23,TR!$B$2:$F$612,3,0),"")</f>
        <v>0.52500000000000002</v>
      </c>
      <c r="G23" s="422">
        <f t="shared" si="5"/>
        <v>0.32222222222222219</v>
      </c>
      <c r="H23" s="420">
        <f>IFERROR(VLOOKUP(C23,TR!$B$2:$F$612,4,0),"")</f>
        <v>0</v>
      </c>
      <c r="I23" s="421">
        <f>IFERROR(VLOOKUP(C23,TR!$B$2:$F$612,5,0),"")</f>
        <v>0</v>
      </c>
      <c r="J23" s="422">
        <f t="shared" si="6"/>
        <v>0</v>
      </c>
      <c r="K23" s="536">
        <f t="shared" si="0"/>
        <v>1</v>
      </c>
      <c r="L23" s="540" t="str">
        <f t="shared" si="1"/>
        <v/>
      </c>
      <c r="M23" s="538" t="str">
        <f t="shared" si="2"/>
        <v/>
      </c>
      <c r="N23" s="245" t="str">
        <f t="shared" si="7"/>
        <v/>
      </c>
      <c r="O23" s="341" t="str">
        <f t="shared" si="8"/>
        <v/>
      </c>
      <c r="P23" s="424" t="str">
        <f>IF(AND(L23="",M23=""),IF(OR(SUMPRODUCT(N(ISNUMBER(FIND({"s";"d";"f"},C23))))&gt;0,G23+J23&lt;0,AND(G23&gt;0,J23&gt;0,I23&gt;"20:30"*1),AND(I23&lt;="20:30"*1,SUM(I23,R23)&gt;="20:31"*1)),1,""),"")</f>
        <v/>
      </c>
      <c r="Q23" s="343" t="str">
        <f t="shared" si="9"/>
        <v/>
      </c>
      <c r="R23" s="233"/>
      <c r="S23" s="425">
        <f t="shared" si="3"/>
        <v>0.32222222222222219</v>
      </c>
      <c r="T23" s="234">
        <f t="shared" si="4"/>
        <v>0.32222222222222219</v>
      </c>
      <c r="U23" s="235">
        <f t="shared" si="11"/>
        <v>7.7333333333333325</v>
      </c>
      <c r="V23" s="236"/>
      <c r="W23" s="251">
        <f t="shared" si="10"/>
        <v>7.7333333333333325</v>
      </c>
      <c r="X23" s="369"/>
    </row>
    <row r="24" spans="1:24" ht="14.4" x14ac:dyDescent="0.3">
      <c r="A24" s="40"/>
      <c r="B24" s="476">
        <v>43272</v>
      </c>
      <c r="C24" s="427" t="s">
        <v>98</v>
      </c>
      <c r="D24" s="428"/>
      <c r="E24" s="429">
        <f>IFERROR(VLOOKUP(C24,TR!$B$2:$F$612,2,0),"")</f>
        <v>0.18333333333333335</v>
      </c>
      <c r="F24" s="430">
        <f>IFERROR(VLOOKUP(C24,TR!$B$2:$F$612,3,0),"")</f>
        <v>0.5131944444444444</v>
      </c>
      <c r="G24" s="431">
        <f t="shared" si="5"/>
        <v>0.32986111111111105</v>
      </c>
      <c r="H24" s="429">
        <f>IFERROR(VLOOKUP(C24,TR!$B$2:$F$612,4,0),"")</f>
        <v>0</v>
      </c>
      <c r="I24" s="430">
        <f>IFERROR(VLOOKUP(C24,TR!$B$2:$F$612,5,0),"")</f>
        <v>0</v>
      </c>
      <c r="J24" s="431">
        <f t="shared" si="6"/>
        <v>0</v>
      </c>
      <c r="K24" s="533">
        <f t="shared" si="0"/>
        <v>1</v>
      </c>
      <c r="L24" s="539" t="str">
        <f t="shared" si="1"/>
        <v/>
      </c>
      <c r="M24" s="535" t="str">
        <f t="shared" si="2"/>
        <v/>
      </c>
      <c r="N24" s="243" t="str">
        <f t="shared" si="7"/>
        <v/>
      </c>
      <c r="O24" s="350" t="str">
        <f t="shared" si="8"/>
        <v/>
      </c>
      <c r="P24" s="433" t="str">
        <f>IF(AND(L24="",M24=""),IF(OR(SUMPRODUCT(N(ISNUMBER(FIND({"s";"d";"f"},C24))))&gt;0,G24+J24&lt;0,AND(G24&gt;0,J24&gt;0,I24&gt;"20:30"*1),AND(I24&lt;="20:30"*1,SUM(I24,R24)&gt;="20:31"*1)),1,""),"")</f>
        <v/>
      </c>
      <c r="Q24" s="352" t="str">
        <f t="shared" si="9"/>
        <v/>
      </c>
      <c r="R24" s="238"/>
      <c r="S24" s="434">
        <f t="shared" si="3"/>
        <v>0.32986111111111105</v>
      </c>
      <c r="T24" s="239">
        <f t="shared" si="4"/>
        <v>0.32986111111111105</v>
      </c>
      <c r="U24" s="240">
        <f t="shared" si="11"/>
        <v>7.9166666666666652</v>
      </c>
      <c r="V24" s="241"/>
      <c r="W24" s="242">
        <f t="shared" si="10"/>
        <v>7.9166666666666652</v>
      </c>
      <c r="X24" s="369"/>
    </row>
    <row r="25" spans="1:24" ht="14.4" x14ac:dyDescent="0.3">
      <c r="A25" s="40"/>
      <c r="B25" s="474">
        <v>43273</v>
      </c>
      <c r="C25" s="415" t="s">
        <v>99</v>
      </c>
      <c r="D25" s="416"/>
      <c r="E25" s="310">
        <f>IFERROR(VLOOKUP(C25,TR!$B$2:$F$612,2,0),"")</f>
        <v>0.25138888888888888</v>
      </c>
      <c r="F25" s="311">
        <f>IFERROR(VLOOKUP(C25,TR!$B$2:$F$612,3,0),"")</f>
        <v>0.57916666666666672</v>
      </c>
      <c r="G25" s="328">
        <f t="shared" si="5"/>
        <v>0.32777777777777783</v>
      </c>
      <c r="H25" s="310">
        <f>IFERROR(VLOOKUP(C25,TR!$B$2:$F$612,4,0),"")</f>
        <v>0</v>
      </c>
      <c r="I25" s="311">
        <f>IFERROR(VLOOKUP(C25,TR!$B$2:$F$612,5,0),"")</f>
        <v>0</v>
      </c>
      <c r="J25" s="328">
        <f t="shared" si="6"/>
        <v>0</v>
      </c>
      <c r="K25" s="322" t="str">
        <f t="shared" si="0"/>
        <v/>
      </c>
      <c r="L25" s="323">
        <f t="shared" si="1"/>
        <v>1</v>
      </c>
      <c r="M25" s="324" t="str">
        <f t="shared" si="2"/>
        <v/>
      </c>
      <c r="N25" s="37" t="str">
        <f t="shared" si="7"/>
        <v/>
      </c>
      <c r="O25" s="315" t="str">
        <f t="shared" si="8"/>
        <v/>
      </c>
      <c r="P25" s="408" t="str">
        <f>IF(AND(L25="",M25=""),IF(OR(SUMPRODUCT(N(ISNUMBER(FIND({"s";"d";"f"},C25))))&gt;0,G25+J25&lt;0,AND(G25&gt;0,J25&gt;0,I25&gt;"20:30"*1),AND(I25&lt;="20:30"*1,SUM(I25,R25)&gt;="20:31"*1)),1,""),"")</f>
        <v/>
      </c>
      <c r="Q25" s="326" t="str">
        <f t="shared" si="9"/>
        <v/>
      </c>
      <c r="R25" s="31"/>
      <c r="S25" s="327">
        <f t="shared" si="3"/>
        <v>0.32777777777777783</v>
      </c>
      <c r="T25" s="34">
        <f t="shared" si="4"/>
        <v>0.32777777777777783</v>
      </c>
      <c r="U25" s="154">
        <f t="shared" si="11"/>
        <v>7.866666666666668</v>
      </c>
      <c r="V25" s="188"/>
      <c r="W25" s="156">
        <f t="shared" si="10"/>
        <v>7.866666666666668</v>
      </c>
      <c r="X25" s="369"/>
    </row>
    <row r="26" spans="1:24" ht="14.4" x14ac:dyDescent="0.3">
      <c r="A26" s="40"/>
      <c r="B26" s="474">
        <v>43274</v>
      </c>
      <c r="C26" s="409" t="s">
        <v>100</v>
      </c>
      <c r="D26" s="410"/>
      <c r="E26" s="310">
        <f>IFERROR(VLOOKUP(C26,TR!$B$2:$F$612,2,0),"")</f>
        <v>0.24652777777777779</v>
      </c>
      <c r="F26" s="311">
        <f>IFERROR(VLOOKUP(C26,TR!$B$2:$F$612,3,0),"")</f>
        <v>0.53402777777777777</v>
      </c>
      <c r="G26" s="321">
        <f t="shared" si="5"/>
        <v>0.28749999999999998</v>
      </c>
      <c r="H26" s="310">
        <f>IFERROR(VLOOKUP(C26,TR!$B$2:$F$612,4,0),"")</f>
        <v>0</v>
      </c>
      <c r="I26" s="311">
        <f>IFERROR(VLOOKUP(C26,TR!$B$2:$F$612,5,0),"")</f>
        <v>0</v>
      </c>
      <c r="J26" s="321">
        <f t="shared" si="6"/>
        <v>0</v>
      </c>
      <c r="K26" s="322" t="str">
        <f t="shared" si="0"/>
        <v/>
      </c>
      <c r="L26" s="323" t="str">
        <f t="shared" si="1"/>
        <v/>
      </c>
      <c r="M26" s="324" t="str">
        <f t="shared" si="2"/>
        <v/>
      </c>
      <c r="N26" s="37" t="str">
        <f t="shared" si="7"/>
        <v/>
      </c>
      <c r="O26" s="315" t="str">
        <f t="shared" si="8"/>
        <v/>
      </c>
      <c r="P26" s="408">
        <f>IF(AND(L26="",M26=""),IF(OR(SUMPRODUCT(N(ISNUMBER(FIND({"s";"d";"f"},C26))))&gt;0,G26+J26&lt;0,AND(G26&gt;0,J26&gt;0,I26&gt;"20:30"*1),AND(I26&lt;="20:30"*1,SUM(I26,R26)&gt;="20:31"*1)),1,""),"")</f>
        <v>1</v>
      </c>
      <c r="Q26" s="326" t="str">
        <f t="shared" si="9"/>
        <v/>
      </c>
      <c r="R26" s="31"/>
      <c r="S26" s="327">
        <f t="shared" si="3"/>
        <v>0.28749999999999998</v>
      </c>
      <c r="T26" s="34">
        <f t="shared" si="4"/>
        <v>0.28749999999999998</v>
      </c>
      <c r="U26" s="154">
        <f t="shared" si="11"/>
        <v>6.8999999999999995</v>
      </c>
      <c r="V26" s="188"/>
      <c r="W26" s="156">
        <f t="shared" si="10"/>
        <v>6.8999999999999995</v>
      </c>
      <c r="X26" s="369"/>
    </row>
    <row r="27" spans="1:24" ht="14.4" x14ac:dyDescent="0.3">
      <c r="A27" s="40"/>
      <c r="B27" s="474">
        <v>43275</v>
      </c>
      <c r="C27" s="409" t="s">
        <v>47</v>
      </c>
      <c r="D27" s="410"/>
      <c r="E27" s="310">
        <f>IFERROR(VLOOKUP(C27,TR!$B$2:$F$612,2,0),"")</f>
        <v>0</v>
      </c>
      <c r="F27" s="311">
        <f>IFERROR(VLOOKUP(C27,TR!$B$2:$F$612,3,0),"")</f>
        <v>0</v>
      </c>
      <c r="G27" s="321">
        <f t="shared" si="5"/>
        <v>0</v>
      </c>
      <c r="H27" s="310">
        <f>IFERROR(VLOOKUP(C27,TR!$B$2:$F$612,4,0),"")</f>
        <v>0</v>
      </c>
      <c r="I27" s="311">
        <f>IFERROR(VLOOKUP(C27,TR!$B$2:$F$612,5,0),"")</f>
        <v>0</v>
      </c>
      <c r="J27" s="321">
        <f t="shared" si="6"/>
        <v>0</v>
      </c>
      <c r="K27" s="322" t="str">
        <f t="shared" si="0"/>
        <v/>
      </c>
      <c r="L27" s="323" t="str">
        <f t="shared" si="1"/>
        <v/>
      </c>
      <c r="M27" s="324" t="str">
        <f t="shared" si="2"/>
        <v/>
      </c>
      <c r="N27" s="37" t="str">
        <f t="shared" si="7"/>
        <v/>
      </c>
      <c r="O27" s="315" t="str">
        <f t="shared" si="8"/>
        <v/>
      </c>
      <c r="P27" s="408" t="str">
        <f>IF(AND(L27="",M27=""),IF(OR(SUMPRODUCT(N(ISNUMBER(FIND({"s";"d";"f"},C27))))&gt;0,G27+J27&lt;0,AND(G27&gt;0,J27&gt;0,I27&gt;"20:30"*1),AND(I27&lt;="20:30"*1,SUM(I27,R27)&gt;="20:31"*1)),1,""),"")</f>
        <v/>
      </c>
      <c r="Q27" s="326" t="str">
        <f t="shared" si="9"/>
        <v/>
      </c>
      <c r="R27" s="31"/>
      <c r="S27" s="327" t="str">
        <f t="shared" si="3"/>
        <v/>
      </c>
      <c r="T27" s="34">
        <f t="shared" si="4"/>
        <v>0</v>
      </c>
      <c r="U27" s="154">
        <f t="shared" si="11"/>
        <v>0</v>
      </c>
      <c r="V27" s="188"/>
      <c r="W27" s="156" t="str">
        <f t="shared" si="10"/>
        <v>0,00</v>
      </c>
      <c r="X27" s="369"/>
    </row>
    <row r="28" spans="1:24" ht="14.4" x14ac:dyDescent="0.3">
      <c r="A28" s="40"/>
      <c r="B28" s="474">
        <v>43276</v>
      </c>
      <c r="C28" s="409" t="s">
        <v>94</v>
      </c>
      <c r="D28" s="410"/>
      <c r="E28" s="310">
        <f>IFERROR(VLOOKUP(C28,TR!$B$2:$F$612,2,0),"")</f>
        <v>0</v>
      </c>
      <c r="F28" s="311">
        <f>IFERROR(VLOOKUP(C28,TR!$B$2:$F$612,3,0),"")</f>
        <v>0</v>
      </c>
      <c r="G28" s="321">
        <f t="shared" si="5"/>
        <v>0</v>
      </c>
      <c r="H28" s="310">
        <f>IFERROR(VLOOKUP(C28,TR!$B$2:$F$612,4,0),"")</f>
        <v>0.62777777777777777</v>
      </c>
      <c r="I28" s="311">
        <f>IFERROR(VLOOKUP(C28,TR!$B$2:$F$612,5,0),"")</f>
        <v>0.94374999999999998</v>
      </c>
      <c r="J28" s="321">
        <f t="shared" si="6"/>
        <v>0.31597222222222221</v>
      </c>
      <c r="K28" s="322">
        <f t="shared" si="0"/>
        <v>1</v>
      </c>
      <c r="L28" s="323" t="str">
        <f t="shared" si="1"/>
        <v/>
      </c>
      <c r="M28" s="324">
        <f t="shared" si="2"/>
        <v>1</v>
      </c>
      <c r="N28" s="37" t="str">
        <f t="shared" si="7"/>
        <v/>
      </c>
      <c r="O28" s="315" t="str">
        <f t="shared" si="8"/>
        <v/>
      </c>
      <c r="P28" s="408" t="str">
        <f>IF(AND(L28="",M28=""),IF(OR(SUMPRODUCT(N(ISNUMBER(FIND({"s";"d";"f"},C28))))&gt;0,G28+J28&lt;0,AND(G28&gt;0,J28&gt;0,I28&gt;"20:30"*1),AND(I28&lt;="20:30"*1,SUM(I28,R28)&gt;="20:31"*1)),1,""),"")</f>
        <v/>
      </c>
      <c r="Q28" s="326" t="str">
        <f t="shared" si="9"/>
        <v/>
      </c>
      <c r="R28" s="31"/>
      <c r="S28" s="327">
        <f t="shared" si="3"/>
        <v>0.31597222222222221</v>
      </c>
      <c r="T28" s="34">
        <f t="shared" si="4"/>
        <v>0.31597222222222221</v>
      </c>
      <c r="U28" s="154">
        <f t="shared" si="11"/>
        <v>7.583333333333333</v>
      </c>
      <c r="V28" s="188"/>
      <c r="W28" s="156">
        <f t="shared" si="10"/>
        <v>7.583333333333333</v>
      </c>
      <c r="X28" s="369"/>
    </row>
    <row r="29" spans="1:24" ht="14.4" x14ac:dyDescent="0.3">
      <c r="A29" s="40"/>
      <c r="B29" s="474">
        <v>43277</v>
      </c>
      <c r="C29" s="409" t="s">
        <v>94</v>
      </c>
      <c r="D29" s="410"/>
      <c r="E29" s="310">
        <f>IFERROR(VLOOKUP(C29,TR!$B$2:$F$612,2,0),"")</f>
        <v>0</v>
      </c>
      <c r="F29" s="311">
        <f>IFERROR(VLOOKUP(C29,TR!$B$2:$F$612,3,0),"")</f>
        <v>0</v>
      </c>
      <c r="G29" s="321">
        <f t="shared" si="5"/>
        <v>0</v>
      </c>
      <c r="H29" s="310">
        <f>IFERROR(VLOOKUP(C29,TR!$B$2:$F$612,4,0),"")</f>
        <v>0.62777777777777777</v>
      </c>
      <c r="I29" s="311">
        <f>IFERROR(VLOOKUP(C29,TR!$B$2:$F$612,5,0),"")</f>
        <v>0.94374999999999998</v>
      </c>
      <c r="J29" s="321">
        <f t="shared" si="6"/>
        <v>0.31597222222222221</v>
      </c>
      <c r="K29" s="322">
        <f t="shared" si="0"/>
        <v>1</v>
      </c>
      <c r="L29" s="323" t="str">
        <f t="shared" si="1"/>
        <v/>
      </c>
      <c r="M29" s="324">
        <f t="shared" si="2"/>
        <v>1</v>
      </c>
      <c r="N29" s="37" t="str">
        <f t="shared" si="7"/>
        <v/>
      </c>
      <c r="O29" s="315" t="str">
        <f t="shared" si="8"/>
        <v/>
      </c>
      <c r="P29" s="408" t="str">
        <f>IF(AND(L29="",M29=""),IF(OR(SUMPRODUCT(N(ISNUMBER(FIND({"s";"d";"f"},C29))))&gt;0,G29+J29&lt;0,AND(G29&gt;0,J29&gt;0,I29&gt;"20:30"*1),AND(I29&lt;="20:30"*1,SUM(I29,R29)&gt;="20:31"*1)),1,""),"")</f>
        <v/>
      </c>
      <c r="Q29" s="326" t="str">
        <f t="shared" si="9"/>
        <v/>
      </c>
      <c r="R29" s="31"/>
      <c r="S29" s="327">
        <f t="shared" si="3"/>
        <v>0.31597222222222221</v>
      </c>
      <c r="T29" s="34">
        <f t="shared" si="4"/>
        <v>0.31597222222222221</v>
      </c>
      <c r="U29" s="154">
        <f t="shared" si="11"/>
        <v>7.583333333333333</v>
      </c>
      <c r="V29" s="188"/>
      <c r="W29" s="156">
        <f t="shared" si="10"/>
        <v>7.583333333333333</v>
      </c>
      <c r="X29" s="369"/>
    </row>
    <row r="30" spans="1:24" ht="14.4" x14ac:dyDescent="0.3">
      <c r="A30" s="40"/>
      <c r="B30" s="474">
        <v>43278</v>
      </c>
      <c r="C30" s="415" t="s">
        <v>94</v>
      </c>
      <c r="D30" s="416"/>
      <c r="E30" s="310">
        <f>IFERROR(VLOOKUP(C30,TR!$B$2:$F$612,2,0),"")</f>
        <v>0</v>
      </c>
      <c r="F30" s="311">
        <f>IFERROR(VLOOKUP(C30,TR!$B$2:$F$612,3,0),"")</f>
        <v>0</v>
      </c>
      <c r="G30" s="328">
        <f t="shared" si="5"/>
        <v>0</v>
      </c>
      <c r="H30" s="310">
        <f>IFERROR(VLOOKUP(C30,TR!$B$2:$F$612,4,0),"")</f>
        <v>0.62777777777777777</v>
      </c>
      <c r="I30" s="311">
        <f>IFERROR(VLOOKUP(C30,TR!$B$2:$F$612,5,0),"")</f>
        <v>0.94374999999999998</v>
      </c>
      <c r="J30" s="328">
        <f t="shared" si="6"/>
        <v>0.31597222222222221</v>
      </c>
      <c r="K30" s="322">
        <f t="shared" si="0"/>
        <v>1</v>
      </c>
      <c r="L30" s="323" t="str">
        <f t="shared" si="1"/>
        <v/>
      </c>
      <c r="M30" s="324">
        <f t="shared" si="2"/>
        <v>1</v>
      </c>
      <c r="N30" s="37" t="str">
        <f t="shared" si="7"/>
        <v/>
      </c>
      <c r="O30" s="315" t="str">
        <f t="shared" si="8"/>
        <v/>
      </c>
      <c r="P30" s="408" t="str">
        <f>IF(AND(L30="",M30=""),IF(OR(SUMPRODUCT(N(ISNUMBER(FIND({"s";"d";"f"},C30))))&gt;0,G30+J30&lt;0,AND(G30&gt;0,J30&gt;0,I30&gt;"20:30"*1),AND(I30&lt;="20:30"*1,SUM(I30,R30)&gt;="20:31"*1)),1,""),"")</f>
        <v/>
      </c>
      <c r="Q30" s="326" t="str">
        <f t="shared" si="9"/>
        <v/>
      </c>
      <c r="R30" s="31"/>
      <c r="S30" s="327">
        <f t="shared" si="3"/>
        <v>0.31597222222222221</v>
      </c>
      <c r="T30" s="34">
        <f t="shared" si="4"/>
        <v>0.31597222222222221</v>
      </c>
      <c r="U30" s="154">
        <f t="shared" si="11"/>
        <v>7.583333333333333</v>
      </c>
      <c r="V30" s="188"/>
      <c r="W30" s="156">
        <f t="shared" si="10"/>
        <v>7.583333333333333</v>
      </c>
      <c r="X30" s="369"/>
    </row>
    <row r="31" spans="1:24" ht="14.4" x14ac:dyDescent="0.3">
      <c r="A31" s="40"/>
      <c r="B31" s="474">
        <v>43279</v>
      </c>
      <c r="C31" s="415" t="s">
        <v>68</v>
      </c>
      <c r="D31" s="416"/>
      <c r="E31" s="310">
        <f>IFERROR(VLOOKUP(C31,TR!$B$2:$F$612,2,0),"")</f>
        <v>0.33333333333333331</v>
      </c>
      <c r="F31" s="311">
        <f>IFERROR(VLOOKUP(C31,TR!$B$2:$F$612,3,0),"")</f>
        <v>0.5</v>
      </c>
      <c r="G31" s="328">
        <f t="shared" si="5"/>
        <v>0.16666666666666669</v>
      </c>
      <c r="H31" s="310">
        <f>IFERROR(VLOOKUP(C31,TR!$B$2:$F$612,4,0),"")</f>
        <v>0.58333333333333337</v>
      </c>
      <c r="I31" s="311">
        <f>IFERROR(VLOOKUP(C31,TR!$B$2:$F$612,5,0),"")</f>
        <v>0.73333333333333339</v>
      </c>
      <c r="J31" s="328">
        <f t="shared" si="6"/>
        <v>0.15000000000000002</v>
      </c>
      <c r="K31" s="322" t="str">
        <f t="shared" si="0"/>
        <v/>
      </c>
      <c r="L31" s="323" t="str">
        <f t="shared" si="1"/>
        <v/>
      </c>
      <c r="M31" s="324" t="str">
        <f t="shared" si="2"/>
        <v/>
      </c>
      <c r="N31" s="37" t="str">
        <f t="shared" si="7"/>
        <v/>
      </c>
      <c r="O31" s="315" t="str">
        <f t="shared" si="8"/>
        <v/>
      </c>
      <c r="P31" s="408" t="str">
        <f>IF(AND(L31="",M31=""),IF(OR(SUMPRODUCT(N(ISNUMBER(FIND({"s";"d";"f"},C31))))&gt;0,G31+J31&lt;0,AND(G31&gt;0,J31&gt;0,I31&gt;"20:30"*1),AND(I31&lt;="20:30"*1,SUM(I31,R31)&gt;="20:31"*1)),1,""),"")</f>
        <v/>
      </c>
      <c r="Q31" s="326" t="str">
        <f t="shared" si="9"/>
        <v/>
      </c>
      <c r="R31" s="31"/>
      <c r="S31" s="327">
        <f t="shared" si="3"/>
        <v>0.40000000000000008</v>
      </c>
      <c r="T31" s="34">
        <f t="shared" si="4"/>
        <v>0.31666666666666671</v>
      </c>
      <c r="U31" s="154">
        <f t="shared" si="11"/>
        <v>7.6000000000000014</v>
      </c>
      <c r="V31" s="188"/>
      <c r="W31" s="156">
        <f t="shared" si="10"/>
        <v>7.6000000000000014</v>
      </c>
      <c r="X31" s="369"/>
    </row>
    <row r="32" spans="1:24" ht="14.4" x14ac:dyDescent="0.3">
      <c r="A32" s="40"/>
      <c r="B32" s="474">
        <v>43280</v>
      </c>
      <c r="C32" s="415" t="s">
        <v>95</v>
      </c>
      <c r="D32" s="416"/>
      <c r="E32" s="310">
        <f>IFERROR(VLOOKUP(C32,TR!$B$2:$F$612,2,0),"")</f>
        <v>0</v>
      </c>
      <c r="F32" s="311">
        <f>IFERROR(VLOOKUP(C32,TR!$B$2:$F$612,3,0),"")</f>
        <v>0</v>
      </c>
      <c r="G32" s="328">
        <f t="shared" si="5"/>
        <v>0</v>
      </c>
      <c r="H32" s="310">
        <f>IFERROR(VLOOKUP(C32,TR!$B$2:$F$612,4,0),"")</f>
        <v>0.59305555555555556</v>
      </c>
      <c r="I32" s="311">
        <f>IFERROR(VLOOKUP(C32,TR!$B$2:$F$612,5,0),"")</f>
        <v>0.92569444444444438</v>
      </c>
      <c r="J32" s="328">
        <f t="shared" si="6"/>
        <v>0.33263888888888882</v>
      </c>
      <c r="K32" s="322">
        <f t="shared" si="0"/>
        <v>1</v>
      </c>
      <c r="L32" s="323" t="str">
        <f t="shared" si="1"/>
        <v/>
      </c>
      <c r="M32" s="324">
        <f t="shared" si="2"/>
        <v>1</v>
      </c>
      <c r="N32" s="37" t="str">
        <f t="shared" si="7"/>
        <v/>
      </c>
      <c r="O32" s="315" t="str">
        <f t="shared" si="8"/>
        <v/>
      </c>
      <c r="P32" s="408" t="str">
        <f>IF(AND(L32="",M32=""),IF(OR(SUMPRODUCT(N(ISNUMBER(FIND({"s";"d";"f"},C32))))&gt;0,G32+J32&lt;0,AND(G32&gt;0,J32&gt;0,I32&gt;"20:30"*1),AND(I32&lt;="20:30"*1,SUM(I32,R32)&gt;="20:31"*1)),1,""),"")</f>
        <v/>
      </c>
      <c r="Q32" s="326" t="str">
        <f t="shared" si="9"/>
        <v/>
      </c>
      <c r="R32" s="31"/>
      <c r="S32" s="327">
        <f t="shared" si="3"/>
        <v>0.33263888888888882</v>
      </c>
      <c r="T32" s="34">
        <f t="shared" si="4"/>
        <v>0.33263888888888882</v>
      </c>
      <c r="U32" s="154">
        <f t="shared" si="11"/>
        <v>7.9833333333333316</v>
      </c>
      <c r="V32" s="188"/>
      <c r="W32" s="156">
        <f t="shared" si="10"/>
        <v>7.9833333333333316</v>
      </c>
      <c r="X32" s="369"/>
    </row>
    <row r="33" spans="1:24" ht="14.4" x14ac:dyDescent="0.3">
      <c r="A33" s="40"/>
      <c r="B33" s="474">
        <v>43281</v>
      </c>
      <c r="C33" s="415" t="s">
        <v>46</v>
      </c>
      <c r="D33" s="416"/>
      <c r="E33" s="310">
        <f>IFERROR(VLOOKUP(C33,TR!$B$2:$F$612,2,0),"")</f>
        <v>0</v>
      </c>
      <c r="F33" s="311">
        <f>IFERROR(VLOOKUP(C33,TR!$B$2:$F$612,3,0),"")</f>
        <v>0</v>
      </c>
      <c r="G33" s="328">
        <f t="shared" si="5"/>
        <v>0</v>
      </c>
      <c r="H33" s="310">
        <f>IFERROR(VLOOKUP(C33,TR!$B$2:$F$612,4,0),"")</f>
        <v>0</v>
      </c>
      <c r="I33" s="311">
        <f>IFERROR(VLOOKUP(C33,TR!$B$2:$F$612,5,0),"")</f>
        <v>0</v>
      </c>
      <c r="J33" s="328">
        <f t="shared" si="6"/>
        <v>0</v>
      </c>
      <c r="K33" s="322" t="str">
        <f t="shared" si="0"/>
        <v/>
      </c>
      <c r="L33" s="323" t="str">
        <f t="shared" si="1"/>
        <v/>
      </c>
      <c r="M33" s="324" t="str">
        <f t="shared" si="2"/>
        <v/>
      </c>
      <c r="N33" s="37" t="str">
        <f t="shared" si="7"/>
        <v/>
      </c>
      <c r="O33" s="315" t="str">
        <f t="shared" si="8"/>
        <v/>
      </c>
      <c r="P33" s="408" t="str">
        <f>IF(AND(L33="",M33=""),IF(OR(SUMPRODUCT(N(ISNUMBER(FIND({"s";"d";"f"},C33))))&gt;0,G33+J33&lt;0,AND(G33&gt;0,J33&gt;0,I33&gt;"20:30"*1),AND(I33&lt;="20:30"*1,SUM(I33,R33)&gt;="20:31"*1)),1,""),"")</f>
        <v/>
      </c>
      <c r="Q33" s="326" t="str">
        <f t="shared" si="9"/>
        <v/>
      </c>
      <c r="R33" s="31"/>
      <c r="S33" s="327" t="str">
        <f t="shared" si="3"/>
        <v/>
      </c>
      <c r="T33" s="34">
        <f t="shared" si="4"/>
        <v>0</v>
      </c>
      <c r="U33" s="154">
        <f t="shared" si="11"/>
        <v>0</v>
      </c>
      <c r="V33" s="188"/>
      <c r="W33" s="156" t="str">
        <f t="shared" si="10"/>
        <v>0,00</v>
      </c>
      <c r="X33" s="369"/>
    </row>
    <row r="34" spans="1:24" ht="15" thickBot="1" x14ac:dyDescent="0.35">
      <c r="A34" s="40"/>
      <c r="B34" s="477"/>
      <c r="C34" s="436"/>
      <c r="D34" s="437"/>
      <c r="E34" s="357" t="str">
        <f>IFERROR(VLOOKUP(C34,TR!$B$2:$F$612,2,0),"")</f>
        <v/>
      </c>
      <c r="F34" s="358" t="str">
        <f>IFERROR(VLOOKUP(C34,TR!$B$2:$F$612,3,0),"")</f>
        <v/>
      </c>
      <c r="G34" s="359">
        <f t="shared" si="5"/>
        <v>0</v>
      </c>
      <c r="H34" s="357" t="str">
        <f>IFERROR(VLOOKUP(C34,TR!$B$2:$F$612,4,0),"")</f>
        <v/>
      </c>
      <c r="I34" s="358" t="str">
        <f>IFERROR(VLOOKUP(C34,TR!$B$2:$F$612,5,0),"")</f>
        <v/>
      </c>
      <c r="J34" s="359">
        <f t="shared" si="6"/>
        <v>0</v>
      </c>
      <c r="K34" s="360" t="str">
        <f t="shared" si="0"/>
        <v/>
      </c>
      <c r="L34" s="361" t="str">
        <f t="shared" si="1"/>
        <v/>
      </c>
      <c r="M34" s="362" t="str">
        <f t="shared" si="2"/>
        <v/>
      </c>
      <c r="N34" s="38" t="str">
        <f t="shared" si="7"/>
        <v/>
      </c>
      <c r="O34" s="363" t="str">
        <f t="shared" si="8"/>
        <v/>
      </c>
      <c r="P34" s="440" t="str">
        <f>IF(AND(L34="",M34=""),IF(OR(SUMPRODUCT(N(ISNUMBER(FIND({"s";"d";"f"},C34))))&gt;0,G34+J34&lt;0,AND(G34&gt;0,J34&gt;0,I34&gt;"20:30"*1),AND(I34&lt;="20:30"*1,SUM(I34,R34)&gt;="20:31"*1)),1,""),"")</f>
        <v/>
      </c>
      <c r="Q34" s="365" t="str">
        <f t="shared" si="9"/>
        <v/>
      </c>
      <c r="R34" s="32"/>
      <c r="S34" s="366" t="str">
        <f t="shared" si="3"/>
        <v/>
      </c>
      <c r="T34" s="35">
        <f t="shared" si="4"/>
        <v>0</v>
      </c>
      <c r="U34" s="155">
        <f t="shared" si="11"/>
        <v>0</v>
      </c>
      <c r="V34" s="189"/>
      <c r="W34" s="157" t="str">
        <f t="shared" si="10"/>
        <v>0,00</v>
      </c>
      <c r="X34" s="369"/>
    </row>
    <row r="35" spans="1:24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P35" s="369"/>
      <c r="Q35" s="369"/>
      <c r="R35" s="369"/>
      <c r="S35" s="54"/>
      <c r="T35" s="55"/>
      <c r="U35" s="56"/>
      <c r="V35" s="57"/>
      <c r="W35" s="369"/>
      <c r="X35" s="369"/>
    </row>
    <row r="36" spans="1:24" ht="14.4" x14ac:dyDescent="0.3">
      <c r="A36" s="40"/>
      <c r="B36" s="373" t="s">
        <v>17</v>
      </c>
      <c r="C36" s="142">
        <f>(COUNTIF(Mai!C24:C34,"&lt;&gt;")+COUNTIF(Juin!C4:C23,"&lt;&gt;"))-(COUNTIF(Mai!C24:C34,"CC*")+COUNTIF(Juin!C4:C23,"CC*"))-(COUNTIF(Mai!C24:C34,"CH*")+COUNTIF(Juin!C4:C23,"CH*"))-(COUNTIF(Mai!C24:C34,"RT*")+COUNTIF(Juin!C4:C23,"RT*"))-(COUNTIF(Mai!C24:C34,"Férié*")+COUNTIF(Juin!C4:C23,"Férié*"))-(COUNTIF(Mai!C24:C34,"Mal*")+COUNTIF(Juin!C4:C23,"Mal*"))-(COUNTIF(Mai!C24:C34,"CP*")+COUNTIF(Juin!C4:C23,"CP*"))</f>
        <v>20</v>
      </c>
      <c r="D36" s="369"/>
      <c r="E36" s="370"/>
      <c r="F36" s="369"/>
      <c r="G36" s="40"/>
      <c r="H36" s="369"/>
      <c r="I36" s="613" t="s">
        <v>55</v>
      </c>
      <c r="J36" s="613"/>
      <c r="K36" s="72">
        <f>SUM(Mai!$K$24:$K$34,K4:K23)</f>
        <v>1</v>
      </c>
      <c r="L36" s="73">
        <f>SUM(Mai!$L$24:$L$34,L4:L23)</f>
        <v>4</v>
      </c>
      <c r="M36" s="214">
        <f>SUM(Mai!$M$24:$M$34,M4:M23)</f>
        <v>1</v>
      </c>
      <c r="N36" s="75">
        <f>SUM(Mai!$N$24:$N$34,N4:N23)</f>
        <v>1</v>
      </c>
      <c r="O36" s="76">
        <f>SUM(Mai!$O$24:$O$34,O4:O23)</f>
        <v>0</v>
      </c>
      <c r="P36" s="213">
        <f>SUM(Mai!$P$24:$P$34,P4:P23)</f>
        <v>2</v>
      </c>
      <c r="Q36" s="77">
        <f>SUM(Mai!$Q$24:$Q$34,Q4:Q23)</f>
        <v>1</v>
      </c>
      <c r="R36" s="232">
        <f>SUM(Mai!$R$24:$R$34,R4:R23)</f>
        <v>2.0833333333333336E-2</v>
      </c>
      <c r="S36" s="78"/>
      <c r="T36" s="79">
        <f>SUM(Mai!T24:T34)+SUM(Juin!T4:T23)</f>
        <v>6.2972222222222216</v>
      </c>
      <c r="U36" s="80">
        <f>SUM(U4:U34)</f>
        <v>168.2166666666667</v>
      </c>
      <c r="V36" s="186">
        <f>SUM(V4:V34)</f>
        <v>0</v>
      </c>
      <c r="W36" s="59"/>
      <c r="X36" s="369"/>
    </row>
    <row r="37" spans="1:24" ht="14.4" thickBot="1" x14ac:dyDescent="0.3">
      <c r="A37" s="40"/>
      <c r="B37" s="374" t="s">
        <v>51</v>
      </c>
      <c r="C37" s="143">
        <f>(COUNTIF(Mai!C24:C34,"CP")+COUNTIF(Juin!C4:C23,"CP"))</f>
        <v>0</v>
      </c>
      <c r="D37" s="369"/>
      <c r="E37" s="369"/>
      <c r="F37" s="369"/>
      <c r="G37" s="40"/>
      <c r="H37" s="40"/>
      <c r="I37" s="40"/>
      <c r="J37" s="40"/>
      <c r="K37" s="375">
        <f>(I39*2)*K36</f>
        <v>17.7056</v>
      </c>
      <c r="L37" s="376">
        <f>Recap!H35*L36</f>
        <v>28.56</v>
      </c>
      <c r="M37" s="377">
        <f>Recap!H35*M36</f>
        <v>7.14</v>
      </c>
      <c r="N37" s="378">
        <f>(I39*5)*N36</f>
        <v>44.264000000000003</v>
      </c>
      <c r="O37" s="379">
        <f>(Recap!H33)*O36</f>
        <v>0</v>
      </c>
      <c r="P37" s="380">
        <f>7.5*P36</f>
        <v>15</v>
      </c>
      <c r="Q37" s="381">
        <f>(I39*1.5)*Q36</f>
        <v>13.279199999999999</v>
      </c>
      <c r="R37" s="382">
        <f>R36*24</f>
        <v>0.5</v>
      </c>
      <c r="S37" s="61"/>
      <c r="T37" s="62"/>
      <c r="U37" s="63"/>
      <c r="V37" s="57"/>
      <c r="W37" s="59"/>
      <c r="X37" s="369"/>
    </row>
    <row r="38" spans="1:24" x14ac:dyDescent="0.25">
      <c r="A38" s="369"/>
      <c r="B38" s="383" t="s">
        <v>47</v>
      </c>
      <c r="C38" s="144">
        <f>(COUNTIF(Mai!C24:C34,"CH")+COUNTIF(Juin!C4:C23,"CH"))</f>
        <v>3</v>
      </c>
      <c r="D38" s="369"/>
      <c r="E38" s="369"/>
      <c r="F38" s="40"/>
      <c r="G38" s="40"/>
      <c r="H38" s="40"/>
      <c r="I38" s="384" t="s">
        <v>54</v>
      </c>
      <c r="J38" s="40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04"/>
      <c r="V38" s="104">
        <v>6.1749999999999998</v>
      </c>
      <c r="W38" s="81">
        <f>V38*24</f>
        <v>148.19999999999999</v>
      </c>
      <c r="X38" s="69"/>
    </row>
    <row r="39" spans="1:24" ht="14.4" thickBot="1" x14ac:dyDescent="0.3">
      <c r="A39" s="369"/>
      <c r="B39" s="385" t="s">
        <v>45</v>
      </c>
      <c r="C39" s="145">
        <f>(COUNTIF(Mai!C24:C34,"RT")+COUNTIF(Juin!C4:C23,"RT"))</f>
        <v>2</v>
      </c>
      <c r="D39" s="369"/>
      <c r="E39" s="369">
        <f ca="1">31-DAY(TODAY())-SUMPRODUCT(COUNTIF(OFFSET(Juin!$C$3,DAY(TODAY()),0,31-DAY(TODAY()),1),B37:B42))</f>
        <v>5</v>
      </c>
      <c r="F39" s="40"/>
      <c r="G39" s="40"/>
      <c r="H39" s="40"/>
      <c r="I39" s="386">
        <v>8.8528000000000002</v>
      </c>
      <c r="J39" s="40"/>
      <c r="K39" s="40"/>
      <c r="L39" s="40"/>
      <c r="M39" s="40"/>
      <c r="N39" s="387"/>
      <c r="O39" s="387"/>
      <c r="P39" s="369"/>
      <c r="Q39" s="369"/>
      <c r="R39" s="369"/>
      <c r="S39" s="369"/>
      <c r="T39" s="369"/>
      <c r="U39" s="369"/>
      <c r="V39" s="388"/>
      <c r="W39" s="388"/>
      <c r="X39" s="389"/>
    </row>
    <row r="40" spans="1:24" x14ac:dyDescent="0.25">
      <c r="A40" s="369"/>
      <c r="B40" s="390" t="s">
        <v>46</v>
      </c>
      <c r="C40" s="146">
        <f>(COUNTIF(Mai!C24:C34,"CC")+COUNTIF(Juin!C4:C23,"CC"))</f>
        <v>5</v>
      </c>
      <c r="D40" s="369"/>
      <c r="E40" s="369"/>
      <c r="F40" s="369"/>
      <c r="G40" s="369"/>
      <c r="H40" s="369"/>
      <c r="I40" s="369"/>
      <c r="J40" s="369"/>
      <c r="K40" s="369"/>
      <c r="L40" s="369"/>
      <c r="M40" s="369"/>
      <c r="N40" s="369"/>
      <c r="O40" s="369"/>
      <c r="P40" s="369"/>
      <c r="Q40" s="369"/>
      <c r="R40" s="369"/>
      <c r="S40" s="369"/>
      <c r="T40" s="615" t="s">
        <v>16</v>
      </c>
      <c r="U40" s="604"/>
      <c r="V40" s="391" t="str">
        <f>IF(V38&gt;T36,"-","")&amp;TEXT(ABS(T36-V38),"[h]:mm")</f>
        <v>2:56</v>
      </c>
      <c r="W40" s="471">
        <f>(T36-V38)*24</f>
        <v>2.9333333333333229</v>
      </c>
      <c r="X40" s="69"/>
    </row>
    <row r="41" spans="1:24" ht="14.4" thickBot="1" x14ac:dyDescent="0.3">
      <c r="A41" s="369"/>
      <c r="B41" s="393" t="s">
        <v>11</v>
      </c>
      <c r="C41" s="147">
        <f>(COUNTIF(Mai!C24:C34,"Férié")+COUNTIF(Juin!C4:C23,"Férié"))</f>
        <v>1</v>
      </c>
      <c r="D41" s="369"/>
      <c r="E41" s="369"/>
      <c r="F41" s="369"/>
      <c r="G41" s="369"/>
      <c r="H41" s="369"/>
      <c r="I41" s="369"/>
      <c r="J41" s="369"/>
      <c r="K41" s="369"/>
      <c r="L41" s="369"/>
      <c r="M41" s="369"/>
      <c r="N41" s="369"/>
      <c r="O41" s="369"/>
      <c r="P41" s="369"/>
      <c r="Q41" s="369"/>
      <c r="R41" s="369"/>
      <c r="S41" s="369"/>
      <c r="T41" s="369"/>
      <c r="U41" s="369"/>
      <c r="V41" s="369"/>
      <c r="W41" s="369"/>
      <c r="X41" s="369"/>
    </row>
    <row r="42" spans="1:24" ht="15" thickTop="1" thickBot="1" x14ac:dyDescent="0.3">
      <c r="A42" s="369"/>
      <c r="B42" s="394" t="s">
        <v>153</v>
      </c>
      <c r="C42" s="230">
        <f>(COUNTIF(Mai!C24:C34,"FériéCC")+COUNTIF(Juin!C4:C23,"FériéCH"))</f>
        <v>0</v>
      </c>
      <c r="D42" s="369"/>
      <c r="E42" s="369"/>
      <c r="F42" s="369"/>
      <c r="G42" s="369"/>
      <c r="H42" s="369"/>
      <c r="I42" s="369"/>
      <c r="J42" s="369"/>
      <c r="K42" s="369"/>
      <c r="L42" s="369"/>
      <c r="M42" s="369"/>
      <c r="N42" s="369"/>
      <c r="O42" s="369"/>
      <c r="P42" s="369"/>
      <c r="Q42" s="369"/>
      <c r="R42" s="616" t="s">
        <v>201</v>
      </c>
      <c r="S42" s="623"/>
      <c r="T42" s="478">
        <f>SUM(T4:T34)</f>
        <v>7.0090277777777761</v>
      </c>
      <c r="U42" s="369"/>
      <c r="V42" s="369"/>
      <c r="W42" s="369"/>
      <c r="X42" s="369"/>
    </row>
    <row r="43" spans="1:24" ht="15" thickTop="1" thickBot="1" x14ac:dyDescent="0.3">
      <c r="A43" s="369"/>
      <c r="B43" s="369"/>
      <c r="C43" s="369"/>
      <c r="D43" s="369"/>
      <c r="E43" s="369"/>
      <c r="F43" s="369"/>
      <c r="G43" s="369"/>
      <c r="H43" s="369"/>
      <c r="I43" s="369"/>
      <c r="J43" s="369"/>
      <c r="K43" s="369"/>
      <c r="L43" s="369"/>
      <c r="M43" s="369"/>
      <c r="N43" s="369"/>
      <c r="O43" s="369"/>
      <c r="P43" s="369"/>
      <c r="Q43" s="369"/>
      <c r="R43" s="369"/>
      <c r="S43" s="369"/>
      <c r="T43" s="290">
        <f>T42*24</f>
        <v>168.21666666666664</v>
      </c>
      <c r="U43" s="369"/>
      <c r="V43" s="369"/>
      <c r="W43" s="397">
        <f>(T42-V38)*24</f>
        <v>20.01666666666663</v>
      </c>
      <c r="X43" s="369"/>
    </row>
    <row r="44" spans="1:24" ht="15" thickTop="1" thickBot="1" x14ac:dyDescent="0.3">
      <c r="A44" s="369"/>
      <c r="B44" s="387"/>
      <c r="C44" s="369"/>
      <c r="D44" s="369"/>
      <c r="E44" s="369"/>
      <c r="F44" s="369"/>
      <c r="G44" s="369"/>
      <c r="H44" s="369"/>
      <c r="I44" s="369"/>
      <c r="J44" s="369"/>
      <c r="K44" s="369"/>
      <c r="L44" s="369"/>
      <c r="M44" s="369"/>
      <c r="N44" s="369"/>
      <c r="O44" s="369"/>
      <c r="P44" s="369"/>
      <c r="Q44" s="369"/>
      <c r="R44" s="369"/>
      <c r="S44" s="369"/>
      <c r="T44" s="369"/>
      <c r="U44" s="369"/>
      <c r="V44" s="369"/>
      <c r="W44" s="369"/>
      <c r="X44" s="369"/>
    </row>
    <row r="45" spans="1:24" ht="15" thickBot="1" x14ac:dyDescent="0.35">
      <c r="A45" s="369"/>
      <c r="B45" s="387"/>
      <c r="C45" s="369"/>
      <c r="D45" s="369"/>
      <c r="E45" s="369"/>
      <c r="F45" s="605" t="s">
        <v>57</v>
      </c>
      <c r="G45" s="606"/>
      <c r="H45" s="606"/>
      <c r="I45" s="606"/>
      <c r="J45" s="606"/>
      <c r="K45" s="606"/>
      <c r="L45" s="606"/>
      <c r="M45" s="606"/>
      <c r="N45" s="606"/>
      <c r="O45" s="606"/>
      <c r="P45" s="606"/>
      <c r="Q45" s="606"/>
      <c r="R45" s="607"/>
      <c r="S45" s="369"/>
      <c r="T45" s="369"/>
      <c r="U45" s="71"/>
      <c r="V45" s="71"/>
      <c r="W45" s="369"/>
      <c r="X45" s="369"/>
    </row>
    <row r="46" spans="1:24" ht="14.4" thickTop="1" x14ac:dyDescent="0.25">
      <c r="A46" s="369"/>
      <c r="B46" s="387"/>
      <c r="C46" s="369"/>
      <c r="D46" s="369"/>
      <c r="E46" s="369"/>
      <c r="F46" s="444"/>
      <c r="G46" s="445"/>
      <c r="H46" s="445"/>
      <c r="I46" s="445"/>
      <c r="J46" s="445"/>
      <c r="K46" s="445"/>
      <c r="L46" s="445"/>
      <c r="M46" s="445"/>
      <c r="N46" s="445"/>
      <c r="O46" s="445"/>
      <c r="P46" s="445"/>
      <c r="Q46" s="445"/>
      <c r="R46" s="446"/>
      <c r="S46" s="369"/>
      <c r="T46" s="369"/>
      <c r="U46" s="369"/>
      <c r="V46" s="369"/>
      <c r="W46" s="369"/>
      <c r="X46" s="369"/>
    </row>
    <row r="47" spans="1:24" x14ac:dyDescent="0.25">
      <c r="A47" s="369"/>
      <c r="B47" s="369"/>
      <c r="C47" s="369"/>
      <c r="D47" s="369"/>
      <c r="E47" s="369"/>
      <c r="F47" s="398"/>
      <c r="G47" s="399"/>
      <c r="H47" s="399"/>
      <c r="I47" s="399"/>
      <c r="J47" s="399"/>
      <c r="K47" s="399"/>
      <c r="L47" s="399"/>
      <c r="M47" s="399"/>
      <c r="N47" s="399"/>
      <c r="O47" s="399"/>
      <c r="P47" s="399"/>
      <c r="Q47" s="399"/>
      <c r="R47" s="400"/>
      <c r="S47" s="369"/>
      <c r="T47" s="369"/>
      <c r="U47" s="369"/>
      <c r="V47" s="369"/>
      <c r="W47" s="369"/>
      <c r="X47" s="369"/>
    </row>
    <row r="48" spans="1:24" x14ac:dyDescent="0.25">
      <c r="A48" s="369"/>
      <c r="B48" s="369"/>
      <c r="C48" s="369"/>
      <c r="D48" s="369"/>
      <c r="E48" s="369"/>
      <c r="F48" s="398"/>
      <c r="G48" s="399"/>
      <c r="H48" s="399"/>
      <c r="I48" s="399"/>
      <c r="J48" s="399"/>
      <c r="K48" s="399"/>
      <c r="L48" s="399"/>
      <c r="M48" s="399"/>
      <c r="N48" s="399"/>
      <c r="O48" s="399"/>
      <c r="P48" s="399"/>
      <c r="Q48" s="399"/>
      <c r="R48" s="400"/>
      <c r="S48" s="369"/>
      <c r="T48" s="369"/>
      <c r="U48" s="369"/>
      <c r="V48" s="369"/>
      <c r="W48" s="369"/>
      <c r="X48" s="369"/>
    </row>
    <row r="49" spans="1:24" x14ac:dyDescent="0.25">
      <c r="A49" s="369"/>
      <c r="B49" s="369"/>
      <c r="C49" s="369"/>
      <c r="D49" s="369"/>
      <c r="E49" s="369"/>
      <c r="F49" s="398"/>
      <c r="G49" s="399"/>
      <c r="H49" s="399"/>
      <c r="I49" s="399"/>
      <c r="J49" s="399"/>
      <c r="K49" s="399"/>
      <c r="L49" s="399"/>
      <c r="M49" s="399"/>
      <c r="N49" s="399"/>
      <c r="O49" s="399"/>
      <c r="P49" s="399"/>
      <c r="Q49" s="399"/>
      <c r="R49" s="400"/>
      <c r="S49" s="369"/>
      <c r="T49" s="369"/>
      <c r="U49" s="369"/>
      <c r="V49" s="369"/>
      <c r="W49" s="369"/>
      <c r="X49" s="369"/>
    </row>
    <row r="50" spans="1:24" x14ac:dyDescent="0.25">
      <c r="A50" s="369"/>
      <c r="B50" s="369"/>
      <c r="C50" s="369"/>
      <c r="D50" s="369"/>
      <c r="E50" s="369"/>
      <c r="F50" s="398"/>
      <c r="G50" s="399"/>
      <c r="H50" s="399"/>
      <c r="I50" s="399"/>
      <c r="J50" s="399"/>
      <c r="K50" s="399"/>
      <c r="L50" s="399"/>
      <c r="M50" s="399"/>
      <c r="N50" s="399"/>
      <c r="O50" s="399"/>
      <c r="P50" s="399"/>
      <c r="Q50" s="399"/>
      <c r="R50" s="400"/>
      <c r="S50" s="369"/>
      <c r="T50" s="369"/>
      <c r="U50" s="369"/>
      <c r="V50" s="369"/>
      <c r="W50" s="369"/>
      <c r="X50" s="369"/>
    </row>
    <row r="51" spans="1:24" x14ac:dyDescent="0.25">
      <c r="A51" s="369"/>
      <c r="B51" s="369"/>
      <c r="C51" s="369"/>
      <c r="D51" s="369"/>
      <c r="E51" s="369"/>
      <c r="F51" s="398"/>
      <c r="G51" s="399"/>
      <c r="H51" s="399"/>
      <c r="I51" s="399"/>
      <c r="J51" s="399"/>
      <c r="K51" s="399"/>
      <c r="L51" s="399"/>
      <c r="M51" s="399"/>
      <c r="N51" s="399"/>
      <c r="O51" s="399"/>
      <c r="P51" s="399"/>
      <c r="Q51" s="399"/>
      <c r="R51" s="400"/>
      <c r="S51" s="369"/>
      <c r="T51" s="369"/>
      <c r="U51" s="369"/>
      <c r="V51" s="369"/>
      <c r="W51" s="369"/>
      <c r="X51" s="369"/>
    </row>
    <row r="52" spans="1:24" x14ac:dyDescent="0.25">
      <c r="A52" s="369"/>
      <c r="B52" s="369"/>
      <c r="C52" s="369"/>
      <c r="D52" s="369"/>
      <c r="E52" s="369"/>
      <c r="F52" s="398"/>
      <c r="G52" s="399"/>
      <c r="H52" s="399"/>
      <c r="I52" s="399"/>
      <c r="J52" s="399"/>
      <c r="K52" s="399"/>
      <c r="L52" s="399"/>
      <c r="M52" s="399"/>
      <c r="N52" s="399"/>
      <c r="O52" s="399"/>
      <c r="P52" s="399"/>
      <c r="Q52" s="399"/>
      <c r="R52" s="400"/>
      <c r="S52" s="369"/>
      <c r="T52" s="369"/>
      <c r="U52" s="369"/>
      <c r="V52" s="369"/>
      <c r="W52" s="369"/>
      <c r="X52" s="369"/>
    </row>
    <row r="53" spans="1:24" x14ac:dyDescent="0.25">
      <c r="A53" s="369"/>
      <c r="B53" s="369"/>
      <c r="C53" s="369"/>
      <c r="D53" s="369"/>
      <c r="E53" s="369"/>
      <c r="F53" s="398"/>
      <c r="G53" s="399"/>
      <c r="H53" s="399"/>
      <c r="I53" s="399"/>
      <c r="J53" s="399"/>
      <c r="K53" s="399"/>
      <c r="L53" s="399"/>
      <c r="M53" s="399"/>
      <c r="N53" s="399"/>
      <c r="O53" s="399"/>
      <c r="P53" s="399"/>
      <c r="Q53" s="399"/>
      <c r="R53" s="400"/>
      <c r="S53" s="369"/>
      <c r="T53" s="369"/>
      <c r="U53" s="369"/>
      <c r="V53" s="369"/>
      <c r="W53" s="369"/>
      <c r="X53" s="369"/>
    </row>
    <row r="54" spans="1:24" x14ac:dyDescent="0.25">
      <c r="A54" s="369"/>
      <c r="B54" s="369"/>
      <c r="C54" s="369"/>
      <c r="D54" s="369"/>
      <c r="E54" s="369"/>
      <c r="F54" s="398"/>
      <c r="G54" s="399"/>
      <c r="H54" s="399"/>
      <c r="I54" s="399"/>
      <c r="J54" s="399"/>
      <c r="K54" s="399"/>
      <c r="L54" s="399"/>
      <c r="M54" s="399"/>
      <c r="N54" s="399"/>
      <c r="O54" s="399"/>
      <c r="P54" s="399"/>
      <c r="Q54" s="399"/>
      <c r="R54" s="400"/>
      <c r="S54" s="369"/>
      <c r="T54" s="369"/>
      <c r="U54" s="369"/>
      <c r="V54" s="369"/>
      <c r="W54" s="369"/>
      <c r="X54" s="369"/>
    </row>
    <row r="55" spans="1:24" x14ac:dyDescent="0.25">
      <c r="A55" s="369"/>
      <c r="B55" s="369"/>
      <c r="C55" s="369"/>
      <c r="D55" s="369"/>
      <c r="E55" s="369"/>
      <c r="F55" s="398"/>
      <c r="G55" s="399"/>
      <c r="H55" s="399"/>
      <c r="I55" s="399"/>
      <c r="J55" s="399"/>
      <c r="K55" s="399"/>
      <c r="L55" s="399"/>
      <c r="M55" s="399"/>
      <c r="N55" s="399"/>
      <c r="O55" s="399"/>
      <c r="P55" s="399"/>
      <c r="Q55" s="399"/>
      <c r="R55" s="400"/>
      <c r="S55" s="369"/>
      <c r="T55" s="369"/>
      <c r="U55" s="369"/>
      <c r="V55" s="369"/>
      <c r="W55" s="369"/>
      <c r="X55" s="369"/>
    </row>
    <row r="56" spans="1:24" x14ac:dyDescent="0.25">
      <c r="A56" s="369"/>
      <c r="B56" s="369"/>
      <c r="C56" s="369"/>
      <c r="D56" s="369"/>
      <c r="E56" s="369"/>
      <c r="F56" s="398"/>
      <c r="G56" s="399"/>
      <c r="H56" s="399"/>
      <c r="I56" s="399"/>
      <c r="J56" s="399"/>
      <c r="K56" s="399"/>
      <c r="L56" s="399"/>
      <c r="M56" s="399"/>
      <c r="N56" s="399"/>
      <c r="O56" s="399"/>
      <c r="P56" s="399"/>
      <c r="Q56" s="399"/>
      <c r="R56" s="400"/>
      <c r="S56" s="369"/>
      <c r="T56" s="369"/>
      <c r="U56" s="369"/>
      <c r="V56" s="369"/>
      <c r="W56" s="369"/>
      <c r="X56" s="369"/>
    </row>
    <row r="57" spans="1:24" x14ac:dyDescent="0.25">
      <c r="A57" s="369"/>
      <c r="B57" s="369"/>
      <c r="C57" s="369"/>
      <c r="D57" s="369"/>
      <c r="E57" s="369"/>
      <c r="F57" s="398"/>
      <c r="G57" s="399"/>
      <c r="H57" s="399"/>
      <c r="I57" s="399"/>
      <c r="J57" s="399"/>
      <c r="K57" s="399"/>
      <c r="L57" s="399"/>
      <c r="M57" s="399"/>
      <c r="N57" s="399"/>
      <c r="O57" s="399"/>
      <c r="P57" s="399"/>
      <c r="Q57" s="399"/>
      <c r="R57" s="400"/>
      <c r="S57" s="369"/>
      <c r="T57" s="369"/>
      <c r="U57" s="369"/>
      <c r="V57" s="369"/>
      <c r="W57" s="369"/>
      <c r="X57" s="369"/>
    </row>
    <row r="58" spans="1:24" x14ac:dyDescent="0.25">
      <c r="A58" s="369"/>
      <c r="B58" s="369"/>
      <c r="C58" s="369"/>
      <c r="D58" s="369"/>
      <c r="E58" s="369"/>
      <c r="F58" s="398"/>
      <c r="G58" s="399"/>
      <c r="H58" s="399"/>
      <c r="I58" s="399"/>
      <c r="J58" s="399"/>
      <c r="K58" s="399"/>
      <c r="L58" s="399"/>
      <c r="M58" s="399"/>
      <c r="N58" s="399"/>
      <c r="O58" s="399"/>
      <c r="P58" s="399"/>
      <c r="Q58" s="399"/>
      <c r="R58" s="400"/>
      <c r="S58" s="369"/>
      <c r="T58" s="369"/>
      <c r="U58" s="369"/>
      <c r="V58" s="369"/>
      <c r="W58" s="369"/>
      <c r="X58" s="369"/>
    </row>
    <row r="59" spans="1:24" ht="14.4" thickBot="1" x14ac:dyDescent="0.3">
      <c r="A59" s="369"/>
      <c r="B59" s="369"/>
      <c r="C59" s="369"/>
      <c r="D59" s="369"/>
      <c r="E59" s="369"/>
      <c r="F59" s="401"/>
      <c r="G59" s="402"/>
      <c r="H59" s="402"/>
      <c r="I59" s="402"/>
      <c r="J59" s="402"/>
      <c r="K59" s="402"/>
      <c r="L59" s="402"/>
      <c r="M59" s="402"/>
      <c r="N59" s="402"/>
      <c r="O59" s="402"/>
      <c r="P59" s="402"/>
      <c r="Q59" s="402"/>
      <c r="R59" s="403"/>
      <c r="S59" s="369"/>
      <c r="T59" s="369"/>
      <c r="U59" s="369"/>
      <c r="V59" s="369"/>
      <c r="W59" s="369"/>
      <c r="X59" s="369"/>
    </row>
    <row r="60" spans="1:24" ht="14.4" thickTop="1" x14ac:dyDescent="0.25">
      <c r="A60" s="369"/>
      <c r="B60" s="369"/>
      <c r="C60" s="369"/>
      <c r="D60" s="369"/>
      <c r="E60" s="369"/>
      <c r="F60" s="369"/>
      <c r="G60" s="369"/>
      <c r="H60" s="369"/>
      <c r="I60" s="369"/>
      <c r="J60" s="369"/>
      <c r="K60" s="369"/>
      <c r="L60" s="369"/>
      <c r="M60" s="369"/>
      <c r="N60" s="369"/>
      <c r="O60" s="369"/>
      <c r="P60" s="369"/>
      <c r="Q60" s="369"/>
      <c r="R60" s="369"/>
      <c r="S60" s="369"/>
      <c r="T60" s="369"/>
      <c r="U60" s="369"/>
      <c r="V60" s="369"/>
      <c r="W60" s="369"/>
      <c r="X60" s="369"/>
    </row>
    <row r="61" spans="1:24" x14ac:dyDescent="0.25">
      <c r="A61" s="369"/>
      <c r="B61" s="369"/>
      <c r="C61" s="369"/>
      <c r="D61" s="369"/>
      <c r="E61" s="369"/>
      <c r="F61" s="369"/>
      <c r="G61" s="369"/>
      <c r="H61" s="369"/>
      <c r="I61" s="369"/>
      <c r="J61" s="369"/>
      <c r="K61" s="369"/>
      <c r="L61" s="369"/>
      <c r="M61" s="369"/>
      <c r="N61" s="369"/>
      <c r="O61" s="369"/>
      <c r="P61" s="369"/>
      <c r="Q61" s="369"/>
      <c r="R61" s="369"/>
      <c r="S61" s="369"/>
      <c r="T61" s="369"/>
      <c r="U61" s="369"/>
      <c r="V61" s="369"/>
      <c r="W61" s="369"/>
      <c r="X61" s="369"/>
    </row>
    <row r="62" spans="1:24" x14ac:dyDescent="0.25">
      <c r="A62" s="369"/>
      <c r="B62" s="369"/>
      <c r="C62" s="369"/>
      <c r="D62" s="369"/>
      <c r="E62" s="369"/>
      <c r="F62" s="369"/>
      <c r="G62" s="369"/>
      <c r="H62" s="369"/>
      <c r="I62" s="369"/>
      <c r="J62" s="369"/>
      <c r="K62" s="369"/>
      <c r="L62" s="369"/>
      <c r="M62" s="369"/>
      <c r="N62" s="369"/>
      <c r="O62" s="369"/>
      <c r="P62" s="369"/>
      <c r="Q62" s="369"/>
      <c r="R62" s="369"/>
      <c r="S62" s="369"/>
      <c r="T62" s="369"/>
      <c r="U62" s="369"/>
      <c r="V62" s="369"/>
      <c r="W62" s="369"/>
      <c r="X62" s="369"/>
    </row>
    <row r="63" spans="1:24" x14ac:dyDescent="0.25">
      <c r="A63" s="369"/>
      <c r="B63" s="369"/>
      <c r="C63" s="369"/>
      <c r="D63" s="369"/>
      <c r="E63" s="369"/>
      <c r="F63" s="369"/>
      <c r="G63" s="369"/>
      <c r="H63" s="369"/>
      <c r="I63" s="369"/>
      <c r="J63" s="369"/>
      <c r="K63" s="369"/>
      <c r="L63" s="369"/>
      <c r="M63" s="369"/>
      <c r="N63" s="369"/>
      <c r="O63" s="369"/>
      <c r="P63" s="369"/>
      <c r="Q63" s="369"/>
      <c r="R63" s="369"/>
      <c r="S63" s="369"/>
      <c r="T63" s="369"/>
      <c r="U63" s="369"/>
      <c r="V63" s="369"/>
      <c r="W63" s="369"/>
      <c r="X63" s="369"/>
    </row>
    <row r="64" spans="1:24" x14ac:dyDescent="0.25">
      <c r="A64" s="369"/>
      <c r="B64" s="369"/>
      <c r="C64" s="369"/>
      <c r="D64" s="369"/>
      <c r="E64" s="369"/>
      <c r="F64" s="369"/>
      <c r="G64" s="369"/>
      <c r="H64" s="369"/>
      <c r="I64" s="369"/>
      <c r="J64" s="369"/>
      <c r="K64" s="369"/>
      <c r="L64" s="369"/>
      <c r="M64" s="369"/>
      <c r="N64" s="369"/>
      <c r="O64" s="369"/>
      <c r="P64" s="369"/>
      <c r="Q64" s="369"/>
      <c r="R64" s="369"/>
      <c r="S64" s="369"/>
      <c r="T64" s="369"/>
      <c r="U64" s="369"/>
      <c r="V64" s="369"/>
      <c r="W64" s="369"/>
      <c r="X64" s="369"/>
    </row>
  </sheetData>
  <mergeCells count="9">
    <mergeCell ref="B1:W1"/>
    <mergeCell ref="F45:R45"/>
    <mergeCell ref="T2:W2"/>
    <mergeCell ref="E3:F3"/>
    <mergeCell ref="H3:I3"/>
    <mergeCell ref="I36:J36"/>
    <mergeCell ref="T38:U38"/>
    <mergeCell ref="T40:U40"/>
    <mergeCell ref="R42:S42"/>
  </mergeCells>
  <conditionalFormatting sqref="C4:C34">
    <cfRule type="expression" dxfId="42" priority="15" stopIfTrue="1">
      <formula>ISNUMBER(FIND("d",$C4))</formula>
    </cfRule>
  </conditionalFormatting>
  <conditionalFormatting sqref="V40:W40">
    <cfRule type="expression" dxfId="41" priority="10" stopIfTrue="1">
      <formula>$T$36&lt;$V$38</formula>
    </cfRule>
    <cfRule type="expression" dxfId="40" priority="14" stopIfTrue="1">
      <formula>$T$36&gt;$V$38</formula>
    </cfRule>
  </conditionalFormatting>
  <conditionalFormatting sqref="C4:Q34">
    <cfRule type="expression" dxfId="39" priority="22">
      <formula>ISNUMBER(FIND("e",$C4))</formula>
    </cfRule>
    <cfRule type="expression" dxfId="38" priority="25" stopIfTrue="1">
      <formula>OR(ISNUMBER(FIND("Férié",$C4)),ISNUMBER(FIND("f",$C4)))</formula>
    </cfRule>
    <cfRule type="expression" dxfId="37" priority="28" stopIfTrue="1">
      <formula>ISNUMBER(FIND("CP",$C4))</formula>
    </cfRule>
  </conditionalFormatting>
  <pageMargins left="0.70866141732283472" right="0.70866141732283472" top="0.74803149606299213" bottom="0.74803149606299213" header="0.31496062992125984" footer="0.31496062992125984"/>
  <pageSetup paperSize="9" scale="56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0"/>
  <sheetViews>
    <sheetView topLeftCell="A5" workbookViewId="0">
      <selection activeCell="C34" sqref="C34"/>
    </sheetView>
  </sheetViews>
  <sheetFormatPr baseColWidth="10" defaultColWidth="11" defaultRowHeight="13.8" x14ac:dyDescent="0.25"/>
  <cols>
    <col min="1" max="1" width="3.59765625" style="369" customWidth="1"/>
    <col min="2" max="2" width="14.59765625" style="369" customWidth="1"/>
    <col min="3" max="3" width="8.59765625" style="369" customWidth="1"/>
    <col min="4" max="4" width="7.59765625" style="369" customWidth="1"/>
    <col min="5" max="23" width="8.59765625" style="369" customWidth="1"/>
    <col min="24" max="16384" width="11" style="369"/>
  </cols>
  <sheetData>
    <row r="1" spans="1:23" ht="14.4" thickBot="1" x14ac:dyDescent="0.3">
      <c r="A1" s="40"/>
      <c r="B1" s="602" t="s">
        <v>27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 s="603"/>
      <c r="P1" s="603"/>
      <c r="Q1" s="603"/>
      <c r="R1" s="603"/>
      <c r="S1" s="604"/>
      <c r="T1" s="604"/>
      <c r="U1" s="604"/>
      <c r="V1" s="604"/>
      <c r="W1" s="604"/>
    </row>
    <row r="2" spans="1:23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</row>
    <row r="3" spans="1:23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303" t="s">
        <v>5</v>
      </c>
      <c r="H3" s="611" t="s">
        <v>6</v>
      </c>
      <c r="I3" s="612"/>
      <c r="J3" s="303" t="s">
        <v>5</v>
      </c>
      <c r="K3" s="114" t="s">
        <v>7</v>
      </c>
      <c r="L3" s="42" t="s">
        <v>8</v>
      </c>
      <c r="M3" s="220" t="s">
        <v>9</v>
      </c>
      <c r="N3" s="43" t="s">
        <v>10</v>
      </c>
      <c r="O3" s="44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</row>
    <row r="4" spans="1:23" ht="14.4" x14ac:dyDescent="0.3">
      <c r="A4" s="40"/>
      <c r="B4" s="473">
        <v>43282</v>
      </c>
      <c r="C4" s="479" t="s">
        <v>47</v>
      </c>
      <c r="D4" s="480"/>
      <c r="E4" s="481">
        <f>IFERROR(VLOOKUP(C4,TR!$B$2:$F$612,2,0),"")</f>
        <v>0</v>
      </c>
      <c r="F4" s="482">
        <f>IFERROR(VLOOKUP(C4,TR!$B$2:$F$612,3,0),"")</f>
        <v>0</v>
      </c>
      <c r="G4" s="483">
        <f>IF(ISERROR(F4-E4),0,F4-E4)</f>
        <v>0</v>
      </c>
      <c r="H4" s="481">
        <f>IFERROR(VLOOKUP(C4,TR!$B$2:$F$612,4,0),"")</f>
        <v>0</v>
      </c>
      <c r="I4" s="482">
        <f>IFERROR(VLOOKUP(C4,TR!$B$2:$F$612,5,0),"")</f>
        <v>0</v>
      </c>
      <c r="J4" s="483">
        <f>IF(ISERROR(I4-H4),0,(I4-H4))</f>
        <v>0</v>
      </c>
      <c r="K4" s="484" t="str">
        <f t="shared" ref="K4:K34" si="0">IF(COUNTA(E4:F4,H4:I4)=5,1,IF(AND(E4&lt;"5:00"*1,E4&gt;"2:00"*1),1,IF(AND(I4&gt;="22:01"*1,I4&lt;="26:01"*1),1,IF(AND(I4&lt;="22:00"*1,SUM(I4,R4)&gt;="22:01"*1),1,""))))</f>
        <v/>
      </c>
      <c r="L4" s="485" t="str">
        <f t="shared" ref="L4:L34" si="1">IF(AND(F4&gt;="13:15"*1,H4&lt;""),1,IF(AND(H4&gt;="11:00"*1,H4&lt;="12:15"*1),1,IF(AND(F4&lt;="13:15"*1,SUM(F4,R4)&gt;="13:15"*1),1,"")))</f>
        <v/>
      </c>
      <c r="M4" s="314" t="str">
        <f t="shared" ref="M4:M34" si="2">IF(AND(I4&gt;="19:30"*1,1,I4&gt;"21:30"*1,C4&lt;&gt;""),1,IF(AND(I4&lt;="21:30"*1,SUM(I4,R4)&gt;="21:30"*1),1,""))</f>
        <v/>
      </c>
      <c r="N4" s="486" t="str">
        <f>IF(AND(LEFT(C4,1)="d",AND(N3&lt;&gt;1)),1,IF(AND(LEFT(C4,1)="s",I4&gt;="24:01"*1),1,IF(AND(I4&lt;&gt;"",I4&lt;="23:59"*1,SUM(I4,R4)&gt;="24:01"*1),1,"")))</f>
        <v/>
      </c>
      <c r="O4" s="450" t="str">
        <f>IF(AND(I4&gt;"24:00"*1,ISNUMBER(FIND("f",C5))),1,IF(AND(OR(ISNUMBER(FIND("FériéCC",C4)),ISNUMBER(FIND("FériéCH",C4)),ISNUMBER(FIND("f",C4)))),1,""))</f>
        <v/>
      </c>
      <c r="P4" s="487" t="str">
        <f>IF(AND(L4="",M4=""),IF(OR(SUMPRODUCT(N(ISNUMBER(FIND({"s";"d";"f"},C4))))&gt;0,G4+J4&lt;0,AND(G4&gt;0,J4&gt;0,I4&gt;"20:30"*1),AND(I4&lt;="20:30"*1,SUM(I4,R4)&gt;="20:31"*1)),1,""),"")</f>
        <v/>
      </c>
      <c r="Q4" s="559" t="str">
        <f>IF(OR(AND(G4&gt;0,AND(J4=0)),OR(G4=0,AND(J4&gt;0)),OR(G4+J4&gt;0)),IF(S4="","",IF(R4+S4&gt;="13:01"*1,1,"")))</f>
        <v/>
      </c>
      <c r="R4" s="221"/>
      <c r="S4" s="318" t="str">
        <f t="shared" ref="S4:S34" si="3">IF(G4=0,IF(J4=0,"",I4-H4),IF(J4=0,F4-E4,I4-E4))</f>
        <v/>
      </c>
      <c r="T4" s="34">
        <f t="shared" ref="T4:T34" si="4">IF(ISERROR((F4-E4)+(I4-H4)),0,(F4-E4)+(I4-H4))</f>
        <v>0</v>
      </c>
      <c r="U4" s="153">
        <f>T4*24</f>
        <v>0</v>
      </c>
      <c r="V4" s="222"/>
      <c r="W4" s="149" t="str">
        <f>IF(U4-V4=0,"0,00",U4-V4)</f>
        <v>0,00</v>
      </c>
    </row>
    <row r="5" spans="1:23" ht="14.4" x14ac:dyDescent="0.3">
      <c r="A5" s="40"/>
      <c r="B5" s="474">
        <v>43283</v>
      </c>
      <c r="C5" s="488" t="s">
        <v>45</v>
      </c>
      <c r="D5" s="489"/>
      <c r="E5" s="490">
        <f>IFERROR(VLOOKUP(C5,TR!$B$2:$F$612,2,0),"")</f>
        <v>0</v>
      </c>
      <c r="F5" s="491">
        <f>IFERROR(VLOOKUP(C5,TR!$B$2:$F$612,3,0),"")</f>
        <v>0</v>
      </c>
      <c r="G5" s="492">
        <f t="shared" ref="G5:G34" si="5">IF(ISERROR(F5-E5),0,F5-E5)</f>
        <v>0</v>
      </c>
      <c r="H5" s="490">
        <f>IFERROR(VLOOKUP(C5,TR!$B$2:$F$612,4,0),"")</f>
        <v>0</v>
      </c>
      <c r="I5" s="491">
        <f>IFERROR(VLOOKUP(C5,TR!$B$2:$F$612,5,0),"")</f>
        <v>0</v>
      </c>
      <c r="J5" s="492">
        <f t="shared" ref="J5:J34" si="6">IF(ISERROR(I5-H5),0,(I5-H5))</f>
        <v>0</v>
      </c>
      <c r="K5" s="493" t="str">
        <f t="shared" si="0"/>
        <v/>
      </c>
      <c r="L5" s="494" t="str">
        <f t="shared" si="1"/>
        <v/>
      </c>
      <c r="M5" s="324" t="str">
        <f t="shared" si="2"/>
        <v/>
      </c>
      <c r="N5" s="486" t="str">
        <f>IF(AND(LEFT(C5,1)="d",AND(N4&lt;&gt;1)),1,IF(AND(LEFT(C5,1)="s",I5&gt;="24:01"*1),1,IF(AND(I5&lt;&gt;"",I5&lt;="23:59"*1,SUM(I5,R5)&gt;="24:01"*1),1,"")))</f>
        <v/>
      </c>
      <c r="O5" s="315" t="str">
        <f t="shared" ref="O5:O34" si="7">IF(AND(I5&gt;"24:00"*1,ISNUMBER(FIND("f",C6))),1,IF(AND(OR(ISNUMBER(FIND("FériéCC",C5)),ISNUMBER(FIND("FériéCH",C5)),ISNUMBER(FIND("f",C5)))),1,""))</f>
        <v/>
      </c>
      <c r="P5" s="495" t="str">
        <f>IF(AND(L5="",M5=""),IF(OR(SUMPRODUCT(N(ISNUMBER(FIND({"s";"d";"f"},C5))))&gt;0,G5+J5&lt;0,AND(G5&gt;0,J5&gt;0,I5&gt;"20:30"*1),AND(I5&lt;="20:30"*1,SUM(I5,R5)&gt;="20:31"*1)),1,""),"")</f>
        <v/>
      </c>
      <c r="Q5" s="560" t="str">
        <f t="shared" ref="Q5:Q34" si="8">IF(OR(AND(G5&gt;0,AND(J5=0)),OR(G5=0,AND(J5&gt;0)),OR(G5+J5&gt;0)),IF(S5="","",IF(R5+S5&gt;="13:01"*1,1,"")))</f>
        <v/>
      </c>
      <c r="R5" s="223"/>
      <c r="S5" s="327" t="str">
        <f t="shared" si="3"/>
        <v/>
      </c>
      <c r="T5" s="34">
        <f t="shared" si="4"/>
        <v>0</v>
      </c>
      <c r="U5" s="154">
        <f>T5*24</f>
        <v>0</v>
      </c>
      <c r="V5" s="224"/>
      <c r="W5" s="150" t="str">
        <f t="shared" ref="W5:W34" si="9">IF(U5-V5=0,"0,00",U5-V5)</f>
        <v>0,00</v>
      </c>
    </row>
    <row r="6" spans="1:23" ht="14.4" x14ac:dyDescent="0.3">
      <c r="A6" s="40"/>
      <c r="B6" s="474">
        <v>43284</v>
      </c>
      <c r="C6" s="488" t="s">
        <v>46</v>
      </c>
      <c r="D6" s="489"/>
      <c r="E6" s="490">
        <f>IFERROR(VLOOKUP(C6,TR!$B$2:$F$612,2,0),"")</f>
        <v>0</v>
      </c>
      <c r="F6" s="491">
        <f>IFERROR(VLOOKUP(C6,TR!$B$2:$F$612,3,0),"")</f>
        <v>0</v>
      </c>
      <c r="G6" s="492">
        <f t="shared" si="5"/>
        <v>0</v>
      </c>
      <c r="H6" s="490">
        <f>IFERROR(VLOOKUP(C6,TR!$B$2:$F$612,4,0),"")</f>
        <v>0</v>
      </c>
      <c r="I6" s="491">
        <f>IFERROR(VLOOKUP(C6,TR!$B$2:$F$612,5,0),"")</f>
        <v>0</v>
      </c>
      <c r="J6" s="492">
        <f t="shared" si="6"/>
        <v>0</v>
      </c>
      <c r="K6" s="493" t="str">
        <f t="shared" si="0"/>
        <v/>
      </c>
      <c r="L6" s="494" t="str">
        <f t="shared" si="1"/>
        <v/>
      </c>
      <c r="M6" s="324" t="str">
        <f t="shared" si="2"/>
        <v/>
      </c>
      <c r="N6" s="486" t="str">
        <f>IF(AND(LEFT(C6,1)="d",AND(N5&lt;&gt;1)),1,IF(AND(LEFT(C6,1)="s",I6&gt;="24:01"*1),1,IF(AND(I6&lt;&gt;"",I6&lt;="23:59"*1,SUM(I6,R6)&gt;="24:01"*1),1,"")))</f>
        <v/>
      </c>
      <c r="O6" s="315" t="str">
        <f t="shared" si="7"/>
        <v/>
      </c>
      <c r="P6" s="495" t="str">
        <f>IF(AND(L6="",M6=""),IF(OR(SUMPRODUCT(N(ISNUMBER(FIND({"s";"d";"f"},C6))))&gt;0,G6+J6&lt;0,AND(G6&gt;0,J6&gt;0,I6&gt;"20:30"*1),AND(I6&lt;="20:30"*1,SUM(I6,R6)&gt;="20:31"*1)),1,""),"")</f>
        <v/>
      </c>
      <c r="Q6" s="560" t="str">
        <f t="shared" si="8"/>
        <v/>
      </c>
      <c r="R6" s="223"/>
      <c r="S6" s="327" t="str">
        <f t="shared" si="3"/>
        <v/>
      </c>
      <c r="T6" s="34">
        <f t="shared" si="4"/>
        <v>0</v>
      </c>
      <c r="U6" s="154">
        <f>T6*24</f>
        <v>0</v>
      </c>
      <c r="V6" s="224"/>
      <c r="W6" s="150" t="str">
        <f t="shared" si="9"/>
        <v>0,00</v>
      </c>
    </row>
    <row r="7" spans="1:23" ht="16.8" x14ac:dyDescent="0.3">
      <c r="A7" s="40"/>
      <c r="B7" s="474">
        <v>43285</v>
      </c>
      <c r="C7" s="488" t="s">
        <v>68</v>
      </c>
      <c r="D7" s="489"/>
      <c r="E7" s="490">
        <f>IFERROR(VLOOKUP(C7,TR!$B$2:$F$612,2,0),"")</f>
        <v>0.33333333333333331</v>
      </c>
      <c r="F7" s="491">
        <f>IFERROR(VLOOKUP(C7,TR!$B$2:$F$612,3,0),"")</f>
        <v>0.5</v>
      </c>
      <c r="G7" s="492">
        <f t="shared" si="5"/>
        <v>0.16666666666666669</v>
      </c>
      <c r="H7" s="490">
        <f>IFERROR(VLOOKUP(C7,TR!$B$2:$F$612,4,0),"")</f>
        <v>0.58333333333333337</v>
      </c>
      <c r="I7" s="491">
        <f>IFERROR(VLOOKUP(C7,TR!$B$2:$F$612,5,0),"")</f>
        <v>0.73333333333333339</v>
      </c>
      <c r="J7" s="492">
        <f t="shared" si="6"/>
        <v>0.15000000000000002</v>
      </c>
      <c r="K7" s="493" t="str">
        <f t="shared" si="0"/>
        <v/>
      </c>
      <c r="L7" s="494" t="str">
        <f t="shared" si="1"/>
        <v/>
      </c>
      <c r="M7" s="324" t="str">
        <f t="shared" si="2"/>
        <v/>
      </c>
      <c r="N7" s="496"/>
      <c r="O7" s="315" t="str">
        <f t="shared" si="7"/>
        <v/>
      </c>
      <c r="P7" s="495" t="str">
        <f>IF(AND(L7="",M7=""),IF(OR(SUMPRODUCT(N(ISNUMBER(FIND({"s";"d";"f"},C7))))&gt;0,G7+J7&lt;0,AND(G7&gt;0,J7&gt;0,I7&gt;"20:30"*1),AND(I7&lt;="20:30"*1,SUM(I7,R7)&gt;="20:31"*1)),1,""),"")</f>
        <v/>
      </c>
      <c r="Q7" s="560" t="str">
        <f t="shared" si="8"/>
        <v/>
      </c>
      <c r="R7" s="223"/>
      <c r="S7" s="327">
        <f t="shared" si="3"/>
        <v>0.40000000000000008</v>
      </c>
      <c r="T7" s="34">
        <f t="shared" si="4"/>
        <v>0.31666666666666671</v>
      </c>
      <c r="U7" s="154">
        <f t="shared" ref="U7:U34" si="10">T7*24</f>
        <v>7.6000000000000014</v>
      </c>
      <c r="V7" s="224"/>
      <c r="W7" s="150">
        <f t="shared" si="9"/>
        <v>7.6000000000000014</v>
      </c>
    </row>
    <row r="8" spans="1:23" ht="16.8" x14ac:dyDescent="0.3">
      <c r="A8" s="497"/>
      <c r="B8" s="474">
        <v>43286</v>
      </c>
      <c r="C8" s="488" t="s">
        <v>211</v>
      </c>
      <c r="D8" s="489"/>
      <c r="E8" s="490">
        <f>IFERROR(VLOOKUP(C8,TR!$B$2:$F$612,2,0),"")</f>
        <v>0.42777777777777781</v>
      </c>
      <c r="F8" s="491">
        <f>IFERROR(VLOOKUP(C8,TR!$B$2:$F$612,3,0),"")</f>
        <v>0.56458333333333333</v>
      </c>
      <c r="G8" s="492">
        <f t="shared" si="5"/>
        <v>0.13680555555555551</v>
      </c>
      <c r="H8" s="490">
        <f>IFERROR(VLOOKUP(C8,TR!$B$2:$F$612,4,0),"")</f>
        <v>0.68055555555555547</v>
      </c>
      <c r="I8" s="491">
        <f>IFERROR(VLOOKUP(C8,TR!$B$2:$F$612,5,0),"")</f>
        <v>0.8930555555555556</v>
      </c>
      <c r="J8" s="492">
        <f t="shared" si="6"/>
        <v>0.21250000000000013</v>
      </c>
      <c r="K8" s="493" t="str">
        <f t="shared" si="0"/>
        <v/>
      </c>
      <c r="L8" s="494">
        <f t="shared" si="1"/>
        <v>1</v>
      </c>
      <c r="M8" s="324" t="str">
        <f t="shared" si="2"/>
        <v/>
      </c>
      <c r="N8" s="496"/>
      <c r="O8" s="315" t="str">
        <f t="shared" si="7"/>
        <v/>
      </c>
      <c r="P8" s="495" t="str">
        <f>IF(AND(L8="",M8=""),IF(OR(SUMPRODUCT(N(ISNUMBER(FIND({"s";"d";"f"},C8))))&gt;0,G8+J8&lt;0,AND(G8&gt;0,J8&gt;0,I8&gt;"20:30"*1),AND(I8&lt;="20:30"*1,SUM(I8,R8)&gt;="20:31"*1)),1,""),"")</f>
        <v/>
      </c>
      <c r="Q8" s="560" t="str">
        <f t="shared" si="8"/>
        <v/>
      </c>
      <c r="R8" s="223"/>
      <c r="S8" s="498">
        <f t="shared" si="3"/>
        <v>0.46527777777777779</v>
      </c>
      <c r="T8" s="225">
        <f t="shared" si="4"/>
        <v>0.34930555555555565</v>
      </c>
      <c r="U8" s="226">
        <f t="shared" si="10"/>
        <v>8.3833333333333364</v>
      </c>
      <c r="V8" s="227"/>
      <c r="W8" s="228">
        <f t="shared" si="9"/>
        <v>8.3833333333333364</v>
      </c>
    </row>
    <row r="9" spans="1:23" ht="16.8" x14ac:dyDescent="0.3">
      <c r="A9" s="40"/>
      <c r="B9" s="474">
        <v>43287</v>
      </c>
      <c r="C9" s="488" t="s">
        <v>228</v>
      </c>
      <c r="D9" s="489"/>
      <c r="E9" s="490">
        <f>IFERROR(VLOOKUP(C9,TR!$B$2:$F$612,2,0),"")</f>
        <v>0</v>
      </c>
      <c r="F9" s="491">
        <f>IFERROR(VLOOKUP(C9,TR!$B$2:$F$612,3,0),"")</f>
        <v>0</v>
      </c>
      <c r="G9" s="492">
        <f t="shared" si="5"/>
        <v>0</v>
      </c>
      <c r="H9" s="490">
        <f>IFERROR(VLOOKUP(C9,TR!$B$2:$F$612,4,0),"")</f>
        <v>0.60763888888888895</v>
      </c>
      <c r="I9" s="491">
        <f>IFERROR(VLOOKUP(C9,TR!$B$2:$F$612,5,0),"")</f>
        <v>0.90972222222222221</v>
      </c>
      <c r="J9" s="492">
        <f t="shared" si="6"/>
        <v>0.30208333333333326</v>
      </c>
      <c r="K9" s="493" t="str">
        <f t="shared" si="0"/>
        <v/>
      </c>
      <c r="L9" s="494" t="str">
        <f t="shared" si="1"/>
        <v/>
      </c>
      <c r="M9" s="324">
        <f t="shared" si="2"/>
        <v>1</v>
      </c>
      <c r="N9" s="496"/>
      <c r="O9" s="315" t="str">
        <f t="shared" si="7"/>
        <v/>
      </c>
      <c r="P9" s="495" t="str">
        <f>IF(AND(L9="",M9=""),IF(OR(SUMPRODUCT(N(ISNUMBER(FIND({"s";"d";"f"},C9))))&gt;0,G9+J9&lt;0,AND(G9&gt;0,J9&gt;0,I9&gt;"20:30"*1),AND(I9&lt;="20:30"*1,SUM(I9,R9)&gt;="20:31"*1)),1,""),"")</f>
        <v/>
      </c>
      <c r="Q9" s="560" t="str">
        <f t="shared" si="8"/>
        <v/>
      </c>
      <c r="R9" s="223"/>
      <c r="S9" s="327">
        <f t="shared" si="3"/>
        <v>0.30208333333333326</v>
      </c>
      <c r="T9" s="34">
        <f t="shared" si="4"/>
        <v>0.30208333333333326</v>
      </c>
      <c r="U9" s="154">
        <f t="shared" si="10"/>
        <v>7.2499999999999982</v>
      </c>
      <c r="V9" s="224"/>
      <c r="W9" s="150">
        <f t="shared" si="9"/>
        <v>7.2499999999999982</v>
      </c>
    </row>
    <row r="10" spans="1:23" ht="16.8" x14ac:dyDescent="0.3">
      <c r="A10" s="40"/>
      <c r="B10" s="474">
        <v>43288</v>
      </c>
      <c r="C10" s="488" t="s">
        <v>227</v>
      </c>
      <c r="D10" s="489"/>
      <c r="E10" s="490">
        <f>IFERROR(VLOOKUP(C10,TR!$B$2:$F$612,2,0),"")</f>
        <v>0</v>
      </c>
      <c r="F10" s="491">
        <f>IFERROR(VLOOKUP(C10,TR!$B$2:$F$612,3,0),"")</f>
        <v>0</v>
      </c>
      <c r="G10" s="492">
        <f t="shared" si="5"/>
        <v>0</v>
      </c>
      <c r="H10" s="490">
        <f>IFERROR(VLOOKUP(C10,TR!$B$2:$F$612,4,0),"")</f>
        <v>0.53333333333333333</v>
      </c>
      <c r="I10" s="491">
        <f>IFERROR(VLOOKUP(C10,TR!$B$2:$F$612,5,0),"")</f>
        <v>0.83888888888888891</v>
      </c>
      <c r="J10" s="492">
        <f t="shared" si="6"/>
        <v>0.30555555555555558</v>
      </c>
      <c r="K10" s="493" t="str">
        <f t="shared" si="0"/>
        <v/>
      </c>
      <c r="L10" s="494" t="str">
        <f t="shared" si="1"/>
        <v/>
      </c>
      <c r="M10" s="324" t="str">
        <f t="shared" si="2"/>
        <v/>
      </c>
      <c r="N10" s="496"/>
      <c r="O10" s="315" t="str">
        <f t="shared" si="7"/>
        <v/>
      </c>
      <c r="P10" s="495">
        <f>IF(AND(L10="",M10=""),IF(OR(SUMPRODUCT(N(ISNUMBER(FIND({"s";"d";"f"},C10))))&gt;0,G10+J10&lt;0,AND(G10&gt;0,J10&gt;0,I10&gt;"20:30"*1),AND(I10&lt;="20:30"*1,SUM(I10,R10)&gt;="20:31"*1)),1,""),"")</f>
        <v>1</v>
      </c>
      <c r="Q10" s="560" t="str">
        <f t="shared" si="8"/>
        <v/>
      </c>
      <c r="R10" s="223"/>
      <c r="S10" s="327">
        <f t="shared" si="3"/>
        <v>0.30555555555555558</v>
      </c>
      <c r="T10" s="34">
        <f t="shared" si="4"/>
        <v>0.30555555555555558</v>
      </c>
      <c r="U10" s="154">
        <f t="shared" si="10"/>
        <v>7.3333333333333339</v>
      </c>
      <c r="V10" s="224"/>
      <c r="W10" s="150">
        <f t="shared" si="9"/>
        <v>7.3333333333333339</v>
      </c>
    </row>
    <row r="11" spans="1:23" ht="16.8" x14ac:dyDescent="0.3">
      <c r="A11" s="40"/>
      <c r="B11" s="474">
        <v>43289</v>
      </c>
      <c r="C11" s="488" t="s">
        <v>47</v>
      </c>
      <c r="D11" s="489"/>
      <c r="E11" s="490">
        <f>IFERROR(VLOOKUP(C11,TR!$B$2:$F$612,2,0),"")</f>
        <v>0</v>
      </c>
      <c r="F11" s="491">
        <f>IFERROR(VLOOKUP(C11,TR!$B$2:$F$612,3,0),"")</f>
        <v>0</v>
      </c>
      <c r="G11" s="492">
        <f t="shared" si="5"/>
        <v>0</v>
      </c>
      <c r="H11" s="490">
        <f>IFERROR(VLOOKUP(C11,TR!$B$2:$F$612,4,0),"")</f>
        <v>0</v>
      </c>
      <c r="I11" s="491">
        <f>IFERROR(VLOOKUP(C11,TR!$B$2:$F$612,5,0),"")</f>
        <v>0</v>
      </c>
      <c r="J11" s="492">
        <f t="shared" si="6"/>
        <v>0</v>
      </c>
      <c r="K11" s="493" t="str">
        <f t="shared" si="0"/>
        <v/>
      </c>
      <c r="L11" s="494" t="str">
        <f t="shared" si="1"/>
        <v/>
      </c>
      <c r="M11" s="324" t="str">
        <f t="shared" si="2"/>
        <v/>
      </c>
      <c r="N11" s="496"/>
      <c r="O11" s="315" t="str">
        <f t="shared" si="7"/>
        <v/>
      </c>
      <c r="P11" s="495" t="str">
        <f>IF(AND(L11="",M11=""),IF(OR(SUMPRODUCT(N(ISNUMBER(FIND({"s";"d";"f"},C11))))&gt;0,G11+J11&lt;0,AND(G11&gt;0,J11&gt;0,I11&gt;"20:30"*1),AND(I11&lt;="20:30"*1,SUM(I11,R11)&gt;="20:31"*1)),1,""),"")</f>
        <v/>
      </c>
      <c r="Q11" s="560" t="str">
        <f t="shared" si="8"/>
        <v/>
      </c>
      <c r="R11" s="223"/>
      <c r="S11" s="327" t="str">
        <f t="shared" si="3"/>
        <v/>
      </c>
      <c r="T11" s="34">
        <f t="shared" si="4"/>
        <v>0</v>
      </c>
      <c r="U11" s="154">
        <f t="shared" si="10"/>
        <v>0</v>
      </c>
      <c r="V11" s="224"/>
      <c r="W11" s="150" t="str">
        <f t="shared" si="9"/>
        <v>0,00</v>
      </c>
    </row>
    <row r="12" spans="1:23" ht="16.8" x14ac:dyDescent="0.3">
      <c r="A12" s="40"/>
      <c r="B12" s="474">
        <v>43290</v>
      </c>
      <c r="C12" s="488" t="s">
        <v>46</v>
      </c>
      <c r="D12" s="489"/>
      <c r="E12" s="490">
        <f>IFERROR(VLOOKUP(C12,TR!$B$2:$F$612,2,0),"")</f>
        <v>0</v>
      </c>
      <c r="F12" s="491">
        <f>IFERROR(VLOOKUP(C12,TR!$B$2:$F$612,3,0),"")</f>
        <v>0</v>
      </c>
      <c r="G12" s="492">
        <f t="shared" si="5"/>
        <v>0</v>
      </c>
      <c r="H12" s="490">
        <f>IFERROR(VLOOKUP(C12,TR!$B$2:$F$612,4,0),"")</f>
        <v>0</v>
      </c>
      <c r="I12" s="491">
        <f>IFERROR(VLOOKUP(C12,TR!$B$2:$F$612,5,0),"")</f>
        <v>0</v>
      </c>
      <c r="J12" s="492">
        <f t="shared" si="6"/>
        <v>0</v>
      </c>
      <c r="K12" s="493" t="str">
        <f t="shared" si="0"/>
        <v/>
      </c>
      <c r="L12" s="494" t="str">
        <f t="shared" si="1"/>
        <v/>
      </c>
      <c r="M12" s="324" t="str">
        <f t="shared" si="2"/>
        <v/>
      </c>
      <c r="N12" s="496"/>
      <c r="O12" s="315" t="str">
        <f t="shared" si="7"/>
        <v/>
      </c>
      <c r="P12" s="495" t="str">
        <f>IF(AND(L12="",M12=""),IF(OR(SUMPRODUCT(N(ISNUMBER(FIND({"s";"d";"f"},C12))))&gt;0,G12+J12&lt;0,AND(G12&gt;0,J12&gt;0,I12&gt;"20:30"*1),AND(I12&lt;="20:30"*1,SUM(I12,R12)&gt;="20:31"*1)),1,""),"")</f>
        <v/>
      </c>
      <c r="Q12" s="560" t="str">
        <f t="shared" si="8"/>
        <v/>
      </c>
      <c r="R12" s="223"/>
      <c r="S12" s="327" t="str">
        <f t="shared" si="3"/>
        <v/>
      </c>
      <c r="T12" s="34">
        <f t="shared" si="4"/>
        <v>0</v>
      </c>
      <c r="U12" s="154">
        <f t="shared" si="10"/>
        <v>0</v>
      </c>
      <c r="V12" s="224"/>
      <c r="W12" s="150" t="str">
        <f t="shared" si="9"/>
        <v>0,00</v>
      </c>
    </row>
    <row r="13" spans="1:23" ht="16.8" x14ac:dyDescent="0.3">
      <c r="A13" s="40"/>
      <c r="B13" s="474">
        <v>43291</v>
      </c>
      <c r="C13" s="488" t="s">
        <v>68</v>
      </c>
      <c r="D13" s="489"/>
      <c r="E13" s="490">
        <f>IFERROR(VLOOKUP(C13,TR!$B$2:$F$612,2,0),"")</f>
        <v>0.33333333333333331</v>
      </c>
      <c r="F13" s="491">
        <f>IFERROR(VLOOKUP(C13,TR!$B$2:$F$612,3,0),"")</f>
        <v>0.5</v>
      </c>
      <c r="G13" s="492">
        <f t="shared" si="5"/>
        <v>0.16666666666666669</v>
      </c>
      <c r="H13" s="490">
        <f>IFERROR(VLOOKUP(C13,TR!$B$2:$F$612,4,0),"")</f>
        <v>0.58333333333333337</v>
      </c>
      <c r="I13" s="491">
        <f>IFERROR(VLOOKUP(C13,TR!$B$2:$F$612,5,0),"")</f>
        <v>0.73333333333333339</v>
      </c>
      <c r="J13" s="492">
        <f t="shared" si="6"/>
        <v>0.15000000000000002</v>
      </c>
      <c r="K13" s="493" t="str">
        <f t="shared" si="0"/>
        <v/>
      </c>
      <c r="L13" s="494" t="str">
        <f t="shared" si="1"/>
        <v/>
      </c>
      <c r="M13" s="324" t="str">
        <f t="shared" si="2"/>
        <v/>
      </c>
      <c r="N13" s="496"/>
      <c r="O13" s="315" t="str">
        <f t="shared" si="7"/>
        <v/>
      </c>
      <c r="P13" s="495" t="str">
        <f>IF(AND(L13="",M13=""),IF(OR(SUMPRODUCT(N(ISNUMBER(FIND({"s";"d";"f"},C13))))&gt;0,G13+J13&lt;0,AND(G13&gt;0,J13&gt;0,I13&gt;"20:30"*1),AND(I13&lt;="20:30"*1,SUM(I13,R13)&gt;="20:31"*1)),1,""),"")</f>
        <v/>
      </c>
      <c r="Q13" s="560" t="str">
        <f t="shared" si="8"/>
        <v/>
      </c>
      <c r="R13" s="223"/>
      <c r="S13" s="327">
        <f t="shared" si="3"/>
        <v>0.40000000000000008</v>
      </c>
      <c r="T13" s="34">
        <f t="shared" si="4"/>
        <v>0.31666666666666671</v>
      </c>
      <c r="U13" s="154">
        <f t="shared" si="10"/>
        <v>7.6000000000000014</v>
      </c>
      <c r="V13" s="224"/>
      <c r="W13" s="150">
        <f t="shared" si="9"/>
        <v>7.6000000000000014</v>
      </c>
    </row>
    <row r="14" spans="1:23" ht="14.4" x14ac:dyDescent="0.3">
      <c r="A14" s="40"/>
      <c r="B14" s="474">
        <v>43292</v>
      </c>
      <c r="C14" s="488" t="s">
        <v>212</v>
      </c>
      <c r="D14" s="499"/>
      <c r="E14" s="490">
        <f>IFERROR(VLOOKUP(C14,TR!$B$2:$F$612,2,0),"")</f>
        <v>0</v>
      </c>
      <c r="F14" s="491">
        <f>IFERROR(VLOOKUP(C14,TR!$B$2:$F$612,3,0),"")</f>
        <v>0</v>
      </c>
      <c r="G14" s="492">
        <f t="shared" si="5"/>
        <v>0</v>
      </c>
      <c r="H14" s="490">
        <f>IFERROR(VLOOKUP(C14,TR!$B$2:$F$612,4,0),"")</f>
        <v>0.55625000000000002</v>
      </c>
      <c r="I14" s="491">
        <f>IFERROR(VLOOKUP(C14,TR!$B$2:$F$612,5,0),"")</f>
        <v>0.88888888888888884</v>
      </c>
      <c r="J14" s="492">
        <f t="shared" si="6"/>
        <v>0.33263888888888882</v>
      </c>
      <c r="K14" s="493" t="str">
        <f t="shared" si="0"/>
        <v/>
      </c>
      <c r="L14" s="494" t="str">
        <f t="shared" si="1"/>
        <v/>
      </c>
      <c r="M14" s="324" t="str">
        <f t="shared" si="2"/>
        <v/>
      </c>
      <c r="N14" s="486" t="str">
        <f>IF(AND(LEFT(C14,1)="d",AND(N13&lt;&gt;1)),1,IF(AND(LEFT(C14,1)="s",I14&gt;="24:01"*1),1,IF(AND(I14&lt;&gt;"",I14&lt;="23:59"*1,SUM(I14,R14)&gt;="24:01"*1),1,"")))</f>
        <v/>
      </c>
      <c r="O14" s="315" t="str">
        <f t="shared" si="7"/>
        <v/>
      </c>
      <c r="P14" s="495" t="str">
        <f>IF(AND(L14="",M14=""),IF(OR(SUMPRODUCT(N(ISNUMBER(FIND({"s";"d";"f"},C14))))&gt;0,G14+J14&lt;0,AND(G14&gt;0,J14&gt;0,I14&gt;"20:30"*1),AND(I14&lt;="20:30"*1,SUM(I14,R14)&gt;="20:31"*1)),1,""),"")</f>
        <v/>
      </c>
      <c r="Q14" s="560" t="str">
        <f t="shared" si="8"/>
        <v/>
      </c>
      <c r="R14" s="223"/>
      <c r="S14" s="327">
        <f t="shared" si="3"/>
        <v>0.33263888888888882</v>
      </c>
      <c r="T14" s="34">
        <f t="shared" si="4"/>
        <v>0.33263888888888882</v>
      </c>
      <c r="U14" s="154">
        <f t="shared" si="10"/>
        <v>7.9833333333333316</v>
      </c>
      <c r="V14" s="224"/>
      <c r="W14" s="150">
        <f t="shared" si="9"/>
        <v>7.9833333333333316</v>
      </c>
    </row>
    <row r="15" spans="1:23" ht="14.4" x14ac:dyDescent="0.3">
      <c r="A15" s="40"/>
      <c r="B15" s="474">
        <v>43293</v>
      </c>
      <c r="C15" s="488" t="s">
        <v>68</v>
      </c>
      <c r="D15" s="414"/>
      <c r="E15" s="490">
        <f>IFERROR(VLOOKUP(C15,TR!$B$2:$F$612,2,0),"")</f>
        <v>0.33333333333333331</v>
      </c>
      <c r="F15" s="491">
        <f>IFERROR(VLOOKUP(C15,TR!$B$2:$F$612,3,0),"")</f>
        <v>0.5</v>
      </c>
      <c r="G15" s="328">
        <f t="shared" si="5"/>
        <v>0.16666666666666669</v>
      </c>
      <c r="H15" s="490">
        <f>IFERROR(VLOOKUP(C15,TR!$B$2:$F$612,4,0),"")</f>
        <v>0.58333333333333337</v>
      </c>
      <c r="I15" s="491">
        <f>IFERROR(VLOOKUP(C15,TR!$B$2:$F$612,5,0),"")</f>
        <v>0.73333333333333339</v>
      </c>
      <c r="J15" s="328">
        <f t="shared" si="6"/>
        <v>0.15000000000000002</v>
      </c>
      <c r="K15" s="493" t="str">
        <f t="shared" si="0"/>
        <v/>
      </c>
      <c r="L15" s="494" t="str">
        <f t="shared" si="1"/>
        <v/>
      </c>
      <c r="M15" s="324" t="str">
        <f t="shared" si="2"/>
        <v/>
      </c>
      <c r="N15" s="37" t="str">
        <f>IF(OR(AND(LEFT(C15,1)="d",OR(E15&gt;="0:00"*1,H15&gt;"14:00"*1)),AND(LEFT(C15,1)="s",I15&gt;="24:01"*1)),1,IF(AND(I15&lt;&gt;"",I15&lt;="23:59"*1,SUM(I15,R15)&gt;="24:01"*1),1,""))</f>
        <v/>
      </c>
      <c r="O15" s="315" t="str">
        <f t="shared" si="7"/>
        <v/>
      </c>
      <c r="P15" s="495" t="str">
        <f>IF(AND(L15="",M15=""),IF(OR(SUMPRODUCT(N(ISNUMBER(FIND({"s";"d";"f"},C15))))&gt;0,G15+J15&lt;0,AND(G15&gt;0,J15&gt;0,I15&gt;"20:30"*1),AND(I15&lt;="20:30"*1,SUM(I15,R15)&gt;="20:31"*1)),1,""),"")</f>
        <v/>
      </c>
      <c r="Q15" s="560" t="str">
        <f t="shared" si="8"/>
        <v/>
      </c>
      <c r="R15" s="30"/>
      <c r="S15" s="327">
        <f t="shared" si="3"/>
        <v>0.40000000000000008</v>
      </c>
      <c r="T15" s="34">
        <f t="shared" si="4"/>
        <v>0.31666666666666671</v>
      </c>
      <c r="U15" s="154">
        <f t="shared" si="10"/>
        <v>7.6000000000000014</v>
      </c>
      <c r="V15" s="224"/>
      <c r="W15" s="150">
        <f t="shared" si="9"/>
        <v>7.6000000000000014</v>
      </c>
    </row>
    <row r="16" spans="1:23" ht="14.4" x14ac:dyDescent="0.3">
      <c r="A16" s="40"/>
      <c r="B16" s="474">
        <v>43294</v>
      </c>
      <c r="C16" s="488" t="s">
        <v>229</v>
      </c>
      <c r="D16" s="410"/>
      <c r="E16" s="490">
        <f>IFERROR(VLOOKUP(C16,TR!$B$2:$F$612,2,0),"")</f>
        <v>0</v>
      </c>
      <c r="F16" s="491">
        <f>IFERROR(VLOOKUP(C16,TR!$B$2:$F$612,3,0),"")</f>
        <v>0</v>
      </c>
      <c r="G16" s="328">
        <f t="shared" si="5"/>
        <v>0</v>
      </c>
      <c r="H16" s="490">
        <f>IFERROR(VLOOKUP(C16,TR!$B$2:$F$612,4,0),"")</f>
        <v>0.57916666666666672</v>
      </c>
      <c r="I16" s="491">
        <f>IFERROR(VLOOKUP(C16,TR!$B$2:$F$612,5,0),"")</f>
        <v>0.90763888888888899</v>
      </c>
      <c r="J16" s="328">
        <f t="shared" si="6"/>
        <v>0.32847222222222228</v>
      </c>
      <c r="K16" s="493" t="str">
        <f t="shared" si="0"/>
        <v/>
      </c>
      <c r="L16" s="494" t="str">
        <f t="shared" si="1"/>
        <v/>
      </c>
      <c r="M16" s="324">
        <f t="shared" si="2"/>
        <v>1</v>
      </c>
      <c r="N16" s="37" t="str">
        <f>IF(OR(AND(LEFT(C16,1)="d",OR(E16&gt;="0:00"*1,H16&gt;"14:00"*1)),AND(LEFT(C16,1)="s",I16&gt;="24:01"*1)),1,IF(AND(I16&lt;&gt;"",I16&lt;="23:59"*1,SUM(I16,R16)&gt;="24:01"*1),1,""))</f>
        <v/>
      </c>
      <c r="O16" s="315" t="str">
        <f t="shared" si="7"/>
        <v/>
      </c>
      <c r="P16" s="495" t="str">
        <f>IF(AND(L16="",M16=""),IF(OR(SUMPRODUCT(N(ISNUMBER(FIND({"s";"d";"f"},C16))))&gt;0,G16+J16&lt;0,AND(G16&gt;0,J16&gt;0,I16&gt;"20:30"*1),AND(I16&lt;="20:30"*1,SUM(I16,R16)&gt;="20:31"*1)),1,""),"")</f>
        <v/>
      </c>
      <c r="Q16" s="560" t="str">
        <f t="shared" si="8"/>
        <v/>
      </c>
      <c r="R16" s="31"/>
      <c r="S16" s="327">
        <f t="shared" si="3"/>
        <v>0.32847222222222228</v>
      </c>
      <c r="T16" s="34">
        <f t="shared" si="4"/>
        <v>0.32847222222222228</v>
      </c>
      <c r="U16" s="154">
        <f t="shared" si="10"/>
        <v>7.8833333333333346</v>
      </c>
      <c r="V16" s="224"/>
      <c r="W16" s="150">
        <f t="shared" si="9"/>
        <v>7.8833333333333346</v>
      </c>
    </row>
    <row r="17" spans="1:23" ht="14.4" x14ac:dyDescent="0.3">
      <c r="A17" s="40"/>
      <c r="B17" s="474">
        <v>43295</v>
      </c>
      <c r="C17" s="488" t="s">
        <v>11</v>
      </c>
      <c r="D17" s="410"/>
      <c r="E17" s="490">
        <f>IFERROR(VLOOKUP(C17,TR!$B$2:$F$612,2,0),"")</f>
        <v>0</v>
      </c>
      <c r="F17" s="491">
        <f>IFERROR(VLOOKUP(C17,TR!$B$2:$F$612,3,0),"")</f>
        <v>0</v>
      </c>
      <c r="G17" s="321">
        <f t="shared" si="5"/>
        <v>0</v>
      </c>
      <c r="H17" s="490">
        <f>IFERROR(VLOOKUP(C17,TR!$B$2:$F$612,4,0),"")</f>
        <v>0</v>
      </c>
      <c r="I17" s="491">
        <f>IFERROR(VLOOKUP(C17,TR!$B$2:$F$612,5,0),"")</f>
        <v>0</v>
      </c>
      <c r="J17" s="321">
        <f t="shared" si="6"/>
        <v>0</v>
      </c>
      <c r="K17" s="493" t="str">
        <f t="shared" si="0"/>
        <v/>
      </c>
      <c r="L17" s="494" t="str">
        <f t="shared" si="1"/>
        <v/>
      </c>
      <c r="M17" s="324" t="str">
        <f t="shared" si="2"/>
        <v/>
      </c>
      <c r="N17" s="37" t="str">
        <f>IF(OR(AND(LEFT(C17,1)="d",OR(E17&gt;="0:00"*1,H17&gt;"14:00"*1)),AND(LEFT(C17,1)="s",I17&gt;="24:01"*1)),1,IF(AND(I17&lt;&gt;"",I17&lt;="23:59"*1,SUM(I17,R17)&gt;="24:01"*1),1,""))</f>
        <v/>
      </c>
      <c r="O17" s="315" t="str">
        <f t="shared" si="7"/>
        <v/>
      </c>
      <c r="P17" s="495" t="str">
        <f>IF(AND(L17="",M17=""),IF(OR(SUMPRODUCT(N(ISNUMBER(FIND({"s";"d";"f"},C17))))&gt;0,G17+J17&lt;0,AND(G17&gt;0,J17&gt;0,I17&gt;"20:30"*1),AND(I17&lt;="20:30"*1,SUM(I17,R17)&gt;="20:31"*1)),1,""),"")</f>
        <v/>
      </c>
      <c r="Q17" s="560" t="str">
        <f t="shared" si="8"/>
        <v/>
      </c>
      <c r="R17" s="31"/>
      <c r="S17" s="327" t="str">
        <f t="shared" si="3"/>
        <v/>
      </c>
      <c r="T17" s="34">
        <f t="shared" si="4"/>
        <v>0</v>
      </c>
      <c r="U17" s="154">
        <f t="shared" si="10"/>
        <v>0</v>
      </c>
      <c r="V17" s="224"/>
      <c r="W17" s="150" t="str">
        <f t="shared" si="9"/>
        <v>0,00</v>
      </c>
    </row>
    <row r="18" spans="1:23" ht="14.4" x14ac:dyDescent="0.3">
      <c r="A18" s="40"/>
      <c r="B18" s="474">
        <v>43296</v>
      </c>
      <c r="C18" s="488" t="s">
        <v>47</v>
      </c>
      <c r="D18" s="410"/>
      <c r="E18" s="490">
        <f>IFERROR(VLOOKUP(C18,TR!$B$2:$F$612,2,0),"")</f>
        <v>0</v>
      </c>
      <c r="F18" s="491">
        <f>IFERROR(VLOOKUP(C18,TR!$B$2:$F$612,3,0),"")</f>
        <v>0</v>
      </c>
      <c r="G18" s="321">
        <f t="shared" si="5"/>
        <v>0</v>
      </c>
      <c r="H18" s="490">
        <f>IFERROR(VLOOKUP(C18,TR!$B$2:$F$612,4,0),"")</f>
        <v>0</v>
      </c>
      <c r="I18" s="491">
        <f>IFERROR(VLOOKUP(C18,TR!$B$2:$F$612,5,0),"")</f>
        <v>0</v>
      </c>
      <c r="J18" s="321">
        <f t="shared" si="6"/>
        <v>0</v>
      </c>
      <c r="K18" s="493" t="str">
        <f t="shared" si="0"/>
        <v/>
      </c>
      <c r="L18" s="494" t="str">
        <f t="shared" si="1"/>
        <v/>
      </c>
      <c r="M18" s="324" t="str">
        <f t="shared" si="2"/>
        <v/>
      </c>
      <c r="N18" s="37" t="str">
        <f t="shared" ref="N18:N33" si="11">IF(OR(AND(LEFT(C18,1)="d",OR(E18&gt;="0:00"*1,H18&gt;"14:00"*1)),AND(LEFT(C18,1)="s",I18&gt;="24:01"*1)),1,"")</f>
        <v/>
      </c>
      <c r="O18" s="315" t="str">
        <f t="shared" si="7"/>
        <v/>
      </c>
      <c r="P18" s="495" t="str">
        <f>IF(AND(L18="",M18=""),IF(OR(SUMPRODUCT(N(ISNUMBER(FIND({"s";"d";"f"},C18))))&gt;0,G18+J18&lt;0,AND(G18&gt;0,J18&gt;0,I18&gt;"20:30"*1),AND(I18&lt;="20:30"*1,SUM(I18,R18)&gt;="20:31"*1)),1,""),"")</f>
        <v/>
      </c>
      <c r="Q18" s="560" t="str">
        <f t="shared" si="8"/>
        <v/>
      </c>
      <c r="R18" s="31"/>
      <c r="S18" s="327" t="str">
        <f t="shared" si="3"/>
        <v/>
      </c>
      <c r="T18" s="34">
        <f t="shared" si="4"/>
        <v>0</v>
      </c>
      <c r="U18" s="154">
        <f t="shared" si="10"/>
        <v>0</v>
      </c>
      <c r="V18" s="224"/>
      <c r="W18" s="150" t="str">
        <f t="shared" si="9"/>
        <v>0,00</v>
      </c>
    </row>
    <row r="19" spans="1:23" ht="14.4" x14ac:dyDescent="0.3">
      <c r="A19" s="40"/>
      <c r="B19" s="474">
        <v>43297</v>
      </c>
      <c r="C19" s="488" t="s">
        <v>213</v>
      </c>
      <c r="D19" s="410"/>
      <c r="E19" s="490">
        <f>IFERROR(VLOOKUP(C19,TR!$B$2:$F$612,2,0),"")</f>
        <v>0.19166666666666665</v>
      </c>
      <c r="F19" s="491">
        <f>IFERROR(VLOOKUP(C19,TR!$B$2:$F$612,3,0),"")</f>
        <v>0.51874999999999993</v>
      </c>
      <c r="G19" s="321">
        <f t="shared" si="5"/>
        <v>0.32708333333333328</v>
      </c>
      <c r="H19" s="490">
        <f>IFERROR(VLOOKUP(C19,TR!$B$2:$F$612,4,0),"")</f>
        <v>0</v>
      </c>
      <c r="I19" s="491">
        <f>IFERROR(VLOOKUP(C19,TR!$B$2:$F$612,5,0),"")</f>
        <v>0</v>
      </c>
      <c r="J19" s="321">
        <f t="shared" si="6"/>
        <v>0</v>
      </c>
      <c r="K19" s="493">
        <f t="shared" si="0"/>
        <v>1</v>
      </c>
      <c r="L19" s="494" t="str">
        <f t="shared" si="1"/>
        <v/>
      </c>
      <c r="M19" s="324" t="str">
        <f t="shared" si="2"/>
        <v/>
      </c>
      <c r="N19" s="37" t="str">
        <f t="shared" si="11"/>
        <v/>
      </c>
      <c r="O19" s="315" t="str">
        <f t="shared" si="7"/>
        <v/>
      </c>
      <c r="P19" s="495" t="str">
        <f>IF(AND(L19="",M19=""),IF(OR(SUMPRODUCT(N(ISNUMBER(FIND({"s";"d";"f"},C19))))&gt;0,G19+J19&lt;0,AND(G19&gt;0,J19&gt;0,I19&gt;"20:30"*1),AND(I19&lt;="20:30"*1,SUM(I19,R19)&gt;="20:31"*1)),1,""),"")</f>
        <v/>
      </c>
      <c r="Q19" s="560" t="str">
        <f t="shared" si="8"/>
        <v/>
      </c>
      <c r="R19" s="31"/>
      <c r="S19" s="327">
        <f t="shared" si="3"/>
        <v>0.32708333333333328</v>
      </c>
      <c r="T19" s="34">
        <f t="shared" si="4"/>
        <v>0.32708333333333328</v>
      </c>
      <c r="U19" s="154">
        <f t="shared" si="10"/>
        <v>7.8499999999999988</v>
      </c>
      <c r="V19" s="224"/>
      <c r="W19" s="150">
        <f t="shared" si="9"/>
        <v>7.8499999999999988</v>
      </c>
    </row>
    <row r="20" spans="1:23" ht="14.4" x14ac:dyDescent="0.3">
      <c r="A20" s="40"/>
      <c r="B20" s="474">
        <v>43298</v>
      </c>
      <c r="C20" s="488" t="s">
        <v>69</v>
      </c>
      <c r="D20" s="410"/>
      <c r="E20" s="490">
        <f>IFERROR(VLOOKUP(C20,TR!$B$2:$F$612,2,0),"")</f>
        <v>0.33333333333333331</v>
      </c>
      <c r="F20" s="491">
        <f>IFERROR(VLOOKUP(C20,TR!$B$2:$F$612,3,0),"")</f>
        <v>0.5</v>
      </c>
      <c r="G20" s="321">
        <f t="shared" si="5"/>
        <v>0.16666666666666669</v>
      </c>
      <c r="H20" s="490">
        <f>IFERROR(VLOOKUP(C20,TR!$B$2:$F$612,4,0),"")</f>
        <v>0.58333333333333337</v>
      </c>
      <c r="I20" s="491">
        <f>IFERROR(VLOOKUP(C20,TR!$B$2:$F$612,5,0),"")</f>
        <v>0.73333333333333339</v>
      </c>
      <c r="J20" s="321">
        <f t="shared" si="6"/>
        <v>0.15000000000000002</v>
      </c>
      <c r="K20" s="493" t="str">
        <f t="shared" si="0"/>
        <v/>
      </c>
      <c r="L20" s="494" t="str">
        <f t="shared" si="1"/>
        <v/>
      </c>
      <c r="M20" s="324" t="str">
        <f t="shared" si="2"/>
        <v/>
      </c>
      <c r="N20" s="37" t="str">
        <f t="shared" si="11"/>
        <v/>
      </c>
      <c r="O20" s="315" t="str">
        <f t="shared" si="7"/>
        <v/>
      </c>
      <c r="P20" s="495" t="str">
        <f>IF(AND(L20="",M20=""),IF(OR(SUMPRODUCT(N(ISNUMBER(FIND({"s";"d";"f"},C20))))&gt;0,G20+J20&lt;0,AND(G20&gt;0,J20&gt;0,I20&gt;"20:30"*1),AND(I20&lt;="20:30"*1,SUM(I20,R20)&gt;="20:31"*1)),1,""),"")</f>
        <v/>
      </c>
      <c r="Q20" s="560" t="str">
        <f t="shared" si="8"/>
        <v/>
      </c>
      <c r="R20" s="31"/>
      <c r="S20" s="327">
        <f t="shared" si="3"/>
        <v>0.40000000000000008</v>
      </c>
      <c r="T20" s="34">
        <f t="shared" si="4"/>
        <v>0.31666666666666671</v>
      </c>
      <c r="U20" s="154">
        <f t="shared" si="10"/>
        <v>7.6000000000000014</v>
      </c>
      <c r="V20" s="224"/>
      <c r="W20" s="150">
        <f t="shared" si="9"/>
        <v>7.6000000000000014</v>
      </c>
    </row>
    <row r="21" spans="1:23" ht="14.4" x14ac:dyDescent="0.3">
      <c r="A21" s="40"/>
      <c r="B21" s="474">
        <v>43299</v>
      </c>
      <c r="C21" s="488" t="s">
        <v>69</v>
      </c>
      <c r="D21" s="414"/>
      <c r="E21" s="490">
        <f>IFERROR(VLOOKUP(C21,TR!$B$2:$F$612,2,0),"")</f>
        <v>0.33333333333333331</v>
      </c>
      <c r="F21" s="491">
        <f>IFERROR(VLOOKUP(C21,TR!$B$2:$F$612,3,0),"")</f>
        <v>0.5</v>
      </c>
      <c r="G21" s="328">
        <f t="shared" si="5"/>
        <v>0.16666666666666669</v>
      </c>
      <c r="H21" s="490">
        <f>IFERROR(VLOOKUP(C21,TR!$B$2:$F$612,4,0),"")</f>
        <v>0.58333333333333337</v>
      </c>
      <c r="I21" s="491">
        <f>IFERROR(VLOOKUP(C21,TR!$B$2:$F$612,5,0),"")</f>
        <v>0.73333333333333339</v>
      </c>
      <c r="J21" s="328">
        <f t="shared" si="6"/>
        <v>0.15000000000000002</v>
      </c>
      <c r="K21" s="493" t="str">
        <f t="shared" si="0"/>
        <v/>
      </c>
      <c r="L21" s="494" t="str">
        <f t="shared" si="1"/>
        <v/>
      </c>
      <c r="M21" s="324" t="str">
        <f t="shared" si="2"/>
        <v/>
      </c>
      <c r="N21" s="37" t="str">
        <f>IF(OR(AND(LEFT(C21,1)="d",OR(E21&gt;="0:00"*1,H21&gt;"14:00"*1)),AND(LEFT(C21,1)="s",I21&gt;="24:01"*1)),1,"")</f>
        <v/>
      </c>
      <c r="O21" s="315" t="str">
        <f t="shared" si="7"/>
        <v/>
      </c>
      <c r="P21" s="495" t="str">
        <f>IF(AND(L21="",M21=""),IF(OR(SUMPRODUCT(N(ISNUMBER(FIND({"s";"d";"f"},C21))))&gt;0,G21+J21&lt;0,AND(G21&gt;0,J21&gt;0,I21&gt;"20:30"*1),AND(I21&lt;="20:30"*1,SUM(I21,R21)&gt;="20:31"*1)),1,""),"")</f>
        <v/>
      </c>
      <c r="Q21" s="560" t="str">
        <f t="shared" si="8"/>
        <v/>
      </c>
      <c r="R21" s="31"/>
      <c r="S21" s="327">
        <f t="shared" si="3"/>
        <v>0.40000000000000008</v>
      </c>
      <c r="T21" s="34">
        <f t="shared" si="4"/>
        <v>0.31666666666666671</v>
      </c>
      <c r="U21" s="154">
        <f t="shared" si="10"/>
        <v>7.6000000000000014</v>
      </c>
      <c r="V21" s="224"/>
      <c r="W21" s="150">
        <f t="shared" si="9"/>
        <v>7.6000000000000014</v>
      </c>
    </row>
    <row r="22" spans="1:23" ht="14.4" x14ac:dyDescent="0.3">
      <c r="A22" s="40"/>
      <c r="B22" s="474">
        <v>43300</v>
      </c>
      <c r="C22" s="488" t="s">
        <v>214</v>
      </c>
      <c r="D22" s="416"/>
      <c r="E22" s="490">
        <f>IFERROR(VLOOKUP(C22,TR!$B$2:$F$612,2,0),"")</f>
        <v>0.26597222222222222</v>
      </c>
      <c r="F22" s="491">
        <f>IFERROR(VLOOKUP(C22,TR!$B$2:$F$612,3,0),"")</f>
        <v>0.56458333333333333</v>
      </c>
      <c r="G22" s="328">
        <f t="shared" si="5"/>
        <v>0.2986111111111111</v>
      </c>
      <c r="H22" s="490">
        <f>IFERROR(VLOOKUP(C22,TR!$B$2:$F$612,4,0),"")</f>
        <v>0</v>
      </c>
      <c r="I22" s="491">
        <f>IFERROR(VLOOKUP(C22,TR!$B$2:$F$612,5,0),"")</f>
        <v>0</v>
      </c>
      <c r="J22" s="328">
        <f t="shared" si="6"/>
        <v>0</v>
      </c>
      <c r="K22" s="493" t="str">
        <f t="shared" si="0"/>
        <v/>
      </c>
      <c r="L22" s="494">
        <f t="shared" si="1"/>
        <v>1</v>
      </c>
      <c r="M22" s="324" t="str">
        <f t="shared" si="2"/>
        <v/>
      </c>
      <c r="N22" s="37" t="str">
        <f>IF(OR(AND(LEFT(C22,1)="d",OR(E22&gt;="0:00"*1,H22&gt;"14:00"*1)),AND(LEFT(C22,1)="s",I22&gt;="24:01"*1)),1,"")</f>
        <v/>
      </c>
      <c r="O22" s="315" t="str">
        <f t="shared" si="7"/>
        <v/>
      </c>
      <c r="P22" s="495" t="str">
        <f>IF(AND(L22="",M22=""),IF(OR(SUMPRODUCT(N(ISNUMBER(FIND({"s";"d";"f"},C22))))&gt;0,G22+J22&lt;0,AND(G22&gt;0,J22&gt;0,I22&gt;"20:30"*1),AND(I22&lt;="20:30"*1,SUM(I22,R22)&gt;="20:31"*1)),1,""),"")</f>
        <v/>
      </c>
      <c r="Q22" s="560" t="str">
        <f t="shared" si="8"/>
        <v/>
      </c>
      <c r="R22" s="31"/>
      <c r="S22" s="327">
        <f t="shared" si="3"/>
        <v>0.2986111111111111</v>
      </c>
      <c r="T22" s="34">
        <f t="shared" si="4"/>
        <v>0.2986111111111111</v>
      </c>
      <c r="U22" s="154">
        <f t="shared" si="10"/>
        <v>7.1666666666666661</v>
      </c>
      <c r="V22" s="224"/>
      <c r="W22" s="150">
        <f t="shared" si="9"/>
        <v>7.1666666666666661</v>
      </c>
    </row>
    <row r="23" spans="1:23" ht="15" thickBot="1" x14ac:dyDescent="0.35">
      <c r="A23" s="40"/>
      <c r="B23" s="475">
        <v>43301</v>
      </c>
      <c r="C23" s="500" t="s">
        <v>69</v>
      </c>
      <c r="D23" s="419"/>
      <c r="E23" s="501">
        <f>IFERROR(VLOOKUP(C23,TR!$B$2:$F$612,2,0),"")</f>
        <v>0.33333333333333331</v>
      </c>
      <c r="F23" s="502">
        <f>IFERROR(VLOOKUP(C23,TR!$B$2:$F$612,3,0),"")</f>
        <v>0.5</v>
      </c>
      <c r="G23" s="340">
        <f t="shared" si="5"/>
        <v>0.16666666666666669</v>
      </c>
      <c r="H23" s="501">
        <f>IFERROR(VLOOKUP(C23,TR!$B$2:$F$612,4,0),"")</f>
        <v>0.58333333333333337</v>
      </c>
      <c r="I23" s="502">
        <f>IFERROR(VLOOKUP(C23,TR!$B$2:$F$612,5,0),"")</f>
        <v>0.73333333333333339</v>
      </c>
      <c r="J23" s="340">
        <f t="shared" si="6"/>
        <v>0.15000000000000002</v>
      </c>
      <c r="K23" s="547" t="str">
        <f t="shared" si="0"/>
        <v/>
      </c>
      <c r="L23" s="548" t="str">
        <f t="shared" si="1"/>
        <v/>
      </c>
      <c r="M23" s="538" t="str">
        <f t="shared" si="2"/>
        <v/>
      </c>
      <c r="N23" s="245" t="str">
        <f t="shared" si="11"/>
        <v/>
      </c>
      <c r="O23" s="341" t="str">
        <f t="shared" si="7"/>
        <v/>
      </c>
      <c r="P23" s="503" t="str">
        <f>IF(AND(L23="",M23=""),IF(OR(SUMPRODUCT(N(ISNUMBER(FIND({"s";"d";"f"},C23))))&gt;0,G23+J23&lt;0,AND(G23&gt;0,J23&gt;0,I23&gt;"20:30"*1),AND(I23&lt;="20:30"*1,SUM(I23,R23)&gt;="20:31"*1)),1,""),"")</f>
        <v/>
      </c>
      <c r="Q23" s="561" t="str">
        <f t="shared" si="8"/>
        <v/>
      </c>
      <c r="R23" s="233"/>
      <c r="S23" s="425">
        <f t="shared" si="3"/>
        <v>0.40000000000000008</v>
      </c>
      <c r="T23" s="234">
        <f t="shared" si="4"/>
        <v>0.31666666666666671</v>
      </c>
      <c r="U23" s="235">
        <f t="shared" si="10"/>
        <v>7.6000000000000014</v>
      </c>
      <c r="V23" s="253"/>
      <c r="W23" s="237">
        <f t="shared" si="9"/>
        <v>7.6000000000000014</v>
      </c>
    </row>
    <row r="24" spans="1:23" ht="14.4" x14ac:dyDescent="0.3">
      <c r="A24" s="40"/>
      <c r="B24" s="476">
        <v>43302</v>
      </c>
      <c r="C24" s="504" t="s">
        <v>46</v>
      </c>
      <c r="D24" s="428"/>
      <c r="E24" s="505">
        <f>IFERROR(VLOOKUP(C24,TR!$B$2:$F$612,2,0),"")</f>
        <v>0</v>
      </c>
      <c r="F24" s="506">
        <f>IFERROR(VLOOKUP(C24,TR!$B$2:$F$612,3,0),"")</f>
        <v>0</v>
      </c>
      <c r="G24" s="349">
        <f t="shared" si="5"/>
        <v>0</v>
      </c>
      <c r="H24" s="505">
        <f>IFERROR(VLOOKUP(C24,TR!$B$2:$F$612,4,0),"")</f>
        <v>0</v>
      </c>
      <c r="I24" s="506">
        <f>IFERROR(VLOOKUP(C24,TR!$B$2:$F$612,5,0),"")</f>
        <v>0</v>
      </c>
      <c r="J24" s="349">
        <f t="shared" si="6"/>
        <v>0</v>
      </c>
      <c r="K24" s="545" t="str">
        <f t="shared" si="0"/>
        <v/>
      </c>
      <c r="L24" s="546" t="str">
        <f t="shared" si="1"/>
        <v/>
      </c>
      <c r="M24" s="535" t="str">
        <f t="shared" si="2"/>
        <v/>
      </c>
      <c r="N24" s="243" t="str">
        <f t="shared" si="11"/>
        <v/>
      </c>
      <c r="O24" s="350" t="str">
        <f t="shared" si="7"/>
        <v/>
      </c>
      <c r="P24" s="507" t="str">
        <f>IF(AND(L24="",M24=""),IF(OR(SUMPRODUCT(N(ISNUMBER(FIND({"s";"d";"f"},C24))))&gt;0,G24+J24&lt;0,AND(G24&gt;0,J24&gt;0,I24&gt;"20:30"*1),AND(I24&lt;="20:30"*1,SUM(I24,R24)&gt;="20:31"*1)),1,""),"")</f>
        <v/>
      </c>
      <c r="Q24" s="562" t="str">
        <f t="shared" si="8"/>
        <v/>
      </c>
      <c r="R24" s="238"/>
      <c r="S24" s="434" t="str">
        <f t="shared" si="3"/>
        <v/>
      </c>
      <c r="T24" s="239">
        <f t="shared" si="4"/>
        <v>0</v>
      </c>
      <c r="U24" s="240">
        <f t="shared" si="10"/>
        <v>0</v>
      </c>
      <c r="V24" s="254"/>
      <c r="W24" s="242" t="str">
        <f t="shared" si="9"/>
        <v>0,00</v>
      </c>
    </row>
    <row r="25" spans="1:23" ht="14.4" x14ac:dyDescent="0.3">
      <c r="A25" s="40"/>
      <c r="B25" s="474">
        <v>43303</v>
      </c>
      <c r="C25" s="415" t="s">
        <v>47</v>
      </c>
      <c r="D25" s="416"/>
      <c r="E25" s="490">
        <f>IFERROR(VLOOKUP(C25,TR!$B$2:$F$612,2,0),"")</f>
        <v>0</v>
      </c>
      <c r="F25" s="491">
        <f>IFERROR(VLOOKUP(C25,TR!$B$2:$F$612,3,0),"")</f>
        <v>0</v>
      </c>
      <c r="G25" s="328">
        <f t="shared" si="5"/>
        <v>0</v>
      </c>
      <c r="H25" s="490">
        <f>IFERROR(VLOOKUP(C25,TR!$B$2:$F$612,4,0),"")</f>
        <v>0</v>
      </c>
      <c r="I25" s="491">
        <f>IFERROR(VLOOKUP(C25,TR!$B$2:$F$612,5,0),"")</f>
        <v>0</v>
      </c>
      <c r="J25" s="328">
        <f t="shared" si="6"/>
        <v>0</v>
      </c>
      <c r="K25" s="493" t="str">
        <f t="shared" si="0"/>
        <v/>
      </c>
      <c r="L25" s="494" t="str">
        <f t="shared" si="1"/>
        <v/>
      </c>
      <c r="M25" s="324" t="str">
        <f t="shared" si="2"/>
        <v/>
      </c>
      <c r="N25" s="37" t="str">
        <f t="shared" si="11"/>
        <v/>
      </c>
      <c r="O25" s="315" t="str">
        <f t="shared" si="7"/>
        <v/>
      </c>
      <c r="P25" s="495" t="str">
        <f>IF(AND(L25="",M25=""),IF(OR(SUMPRODUCT(N(ISNUMBER(FIND({"s";"d";"f"},C25))))&gt;0,G25+J25&lt;0,AND(G25&gt;0,J25&gt;0,I25&gt;"20:30"*1),AND(I25&lt;="20:30"*1,SUM(I25,R25)&gt;="20:31"*1)),1,""),"")</f>
        <v/>
      </c>
      <c r="Q25" s="560" t="str">
        <f t="shared" si="8"/>
        <v/>
      </c>
      <c r="R25" s="31"/>
      <c r="S25" s="327" t="str">
        <f t="shared" si="3"/>
        <v/>
      </c>
      <c r="T25" s="34">
        <f t="shared" si="4"/>
        <v>0</v>
      </c>
      <c r="U25" s="154">
        <f t="shared" si="10"/>
        <v>0</v>
      </c>
      <c r="V25" s="224"/>
      <c r="W25" s="150" t="str">
        <f t="shared" si="9"/>
        <v>0,00</v>
      </c>
    </row>
    <row r="26" spans="1:23" ht="14.4" x14ac:dyDescent="0.3">
      <c r="A26" s="40"/>
      <c r="B26" s="474">
        <v>43304</v>
      </c>
      <c r="C26" s="409" t="s">
        <v>215</v>
      </c>
      <c r="D26" s="410"/>
      <c r="E26" s="490">
        <f>IFERROR(VLOOKUP(C26,TR!$B$2:$F$612,2,0),"")</f>
        <v>0.24374999999999999</v>
      </c>
      <c r="F26" s="491">
        <f>IFERROR(VLOOKUP(C26,TR!$B$2:$F$612,3,0),"")</f>
        <v>0.57152777777777775</v>
      </c>
      <c r="G26" s="321">
        <f t="shared" si="5"/>
        <v>0.32777777777777772</v>
      </c>
      <c r="H26" s="490">
        <f>IFERROR(VLOOKUP(C26,TR!$B$2:$F$612,4,0),"")</f>
        <v>0</v>
      </c>
      <c r="I26" s="491">
        <f>IFERROR(VLOOKUP(C26,TR!$B$2:$F$612,5,0),"")</f>
        <v>0</v>
      </c>
      <c r="J26" s="321">
        <f t="shared" si="6"/>
        <v>0</v>
      </c>
      <c r="K26" s="493" t="str">
        <f t="shared" si="0"/>
        <v/>
      </c>
      <c r="L26" s="494">
        <f t="shared" si="1"/>
        <v>1</v>
      </c>
      <c r="M26" s="324" t="str">
        <f t="shared" si="2"/>
        <v/>
      </c>
      <c r="N26" s="37" t="str">
        <f t="shared" si="11"/>
        <v/>
      </c>
      <c r="O26" s="315" t="str">
        <f t="shared" si="7"/>
        <v/>
      </c>
      <c r="P26" s="495" t="str">
        <f>IF(AND(L26="",M26=""),IF(OR(SUMPRODUCT(N(ISNUMBER(FIND({"s";"d";"f"},C26))))&gt;0,G26+J26&lt;0,AND(G26&gt;0,J26&gt;0,I26&gt;"20:30"*1),AND(I26&lt;="20:30"*1,SUM(I26,R26)&gt;="20:31"*1)),1,""),"")</f>
        <v/>
      </c>
      <c r="Q26" s="560" t="str">
        <f t="shared" si="8"/>
        <v/>
      </c>
      <c r="R26" s="31"/>
      <c r="S26" s="327">
        <f t="shared" si="3"/>
        <v>0.32777777777777772</v>
      </c>
      <c r="T26" s="34">
        <f t="shared" si="4"/>
        <v>0.32777777777777772</v>
      </c>
      <c r="U26" s="154">
        <f t="shared" si="10"/>
        <v>7.8666666666666654</v>
      </c>
      <c r="V26" s="224"/>
      <c r="W26" s="150">
        <f t="shared" si="9"/>
        <v>7.8666666666666654</v>
      </c>
    </row>
    <row r="27" spans="1:23" ht="14.4" x14ac:dyDescent="0.3">
      <c r="A27" s="40"/>
      <c r="B27" s="474">
        <v>43305</v>
      </c>
      <c r="C27" s="409" t="s">
        <v>213</v>
      </c>
      <c r="D27" s="410"/>
      <c r="E27" s="490">
        <f>IFERROR(VLOOKUP(C27,TR!$B$2:$F$612,2,0),"")</f>
        <v>0.19166666666666665</v>
      </c>
      <c r="F27" s="491">
        <f>IFERROR(VLOOKUP(C27,TR!$B$2:$F$612,3,0),"")</f>
        <v>0.51874999999999993</v>
      </c>
      <c r="G27" s="321">
        <f t="shared" si="5"/>
        <v>0.32708333333333328</v>
      </c>
      <c r="H27" s="490">
        <f>IFERROR(VLOOKUP(C27,TR!$B$2:$F$612,4,0),"")</f>
        <v>0</v>
      </c>
      <c r="I27" s="491">
        <f>IFERROR(VLOOKUP(C27,TR!$B$2:$F$612,5,0),"")</f>
        <v>0</v>
      </c>
      <c r="J27" s="321">
        <f t="shared" si="6"/>
        <v>0</v>
      </c>
      <c r="K27" s="493">
        <f t="shared" si="0"/>
        <v>1</v>
      </c>
      <c r="L27" s="494" t="str">
        <f t="shared" si="1"/>
        <v/>
      </c>
      <c r="M27" s="324" t="str">
        <f t="shared" si="2"/>
        <v/>
      </c>
      <c r="N27" s="37" t="str">
        <f t="shared" si="11"/>
        <v/>
      </c>
      <c r="O27" s="315" t="str">
        <f t="shared" si="7"/>
        <v/>
      </c>
      <c r="P27" s="495" t="str">
        <f>IF(AND(L27="",M27=""),IF(OR(SUMPRODUCT(N(ISNUMBER(FIND({"s";"d";"f"},C27))))&gt;0,G27+J27&lt;0,AND(G27&gt;0,J27&gt;0,I27&gt;"20:30"*1),AND(I27&lt;="20:30"*1,SUM(I27,R27)&gt;="20:31"*1)),1,""),"")</f>
        <v/>
      </c>
      <c r="Q27" s="560" t="str">
        <f t="shared" si="8"/>
        <v/>
      </c>
      <c r="R27" s="31"/>
      <c r="S27" s="327">
        <f t="shared" si="3"/>
        <v>0.32708333333333328</v>
      </c>
      <c r="T27" s="34">
        <f t="shared" si="4"/>
        <v>0.32708333333333328</v>
      </c>
      <c r="U27" s="154">
        <f t="shared" si="10"/>
        <v>7.8499999999999988</v>
      </c>
      <c r="V27" s="224"/>
      <c r="W27" s="150">
        <f t="shared" si="9"/>
        <v>7.8499999999999988</v>
      </c>
    </row>
    <row r="28" spans="1:23" ht="14.4" x14ac:dyDescent="0.3">
      <c r="A28" s="40"/>
      <c r="B28" s="474">
        <v>43306</v>
      </c>
      <c r="C28" s="409" t="s">
        <v>46</v>
      </c>
      <c r="D28" s="410"/>
      <c r="E28" s="490">
        <f>IFERROR(VLOOKUP(C28,TR!$B$2:$F$612,2,0),"")</f>
        <v>0</v>
      </c>
      <c r="F28" s="491">
        <f>IFERROR(VLOOKUP(C28,TR!$B$2:$F$612,3,0),"")</f>
        <v>0</v>
      </c>
      <c r="G28" s="321">
        <f t="shared" si="5"/>
        <v>0</v>
      </c>
      <c r="H28" s="490">
        <f>IFERROR(VLOOKUP(C28,TR!$B$2:$F$612,4,0),"")</f>
        <v>0</v>
      </c>
      <c r="I28" s="491">
        <f>IFERROR(VLOOKUP(C28,TR!$B$2:$F$612,5,0),"")</f>
        <v>0</v>
      </c>
      <c r="J28" s="321">
        <f t="shared" si="6"/>
        <v>0</v>
      </c>
      <c r="K28" s="493" t="str">
        <f t="shared" si="0"/>
        <v/>
      </c>
      <c r="L28" s="494" t="str">
        <f t="shared" si="1"/>
        <v/>
      </c>
      <c r="M28" s="324" t="str">
        <f t="shared" si="2"/>
        <v/>
      </c>
      <c r="N28" s="37" t="str">
        <f t="shared" si="11"/>
        <v/>
      </c>
      <c r="O28" s="315" t="str">
        <f t="shared" si="7"/>
        <v/>
      </c>
      <c r="P28" s="495" t="str">
        <f>IF(AND(L28="",M28=""),IF(OR(SUMPRODUCT(N(ISNUMBER(FIND({"s";"d";"f"},C28))))&gt;0,G28+J28&lt;0,AND(G28&gt;0,J28&gt;0,I28&gt;"20:30"*1),AND(I28&lt;="20:30"*1,SUM(I28,R28)&gt;="20:31"*1)),1,""),"")</f>
        <v/>
      </c>
      <c r="Q28" s="560" t="str">
        <f t="shared" si="8"/>
        <v/>
      </c>
      <c r="R28" s="31"/>
      <c r="S28" s="327" t="str">
        <f t="shared" si="3"/>
        <v/>
      </c>
      <c r="T28" s="34">
        <f t="shared" si="4"/>
        <v>0</v>
      </c>
      <c r="U28" s="154">
        <f t="shared" si="10"/>
        <v>0</v>
      </c>
      <c r="V28" s="224"/>
      <c r="W28" s="150" t="str">
        <f t="shared" si="9"/>
        <v>0,00</v>
      </c>
    </row>
    <row r="29" spans="1:23" ht="14.4" x14ac:dyDescent="0.3">
      <c r="A29" s="40"/>
      <c r="B29" s="474">
        <v>43307</v>
      </c>
      <c r="C29" s="409" t="s">
        <v>47</v>
      </c>
      <c r="D29" s="410"/>
      <c r="E29" s="490">
        <f>IFERROR(VLOOKUP(C29,TR!$B$2:$F$612,2,0),"")</f>
        <v>0</v>
      </c>
      <c r="F29" s="491">
        <f>IFERROR(VLOOKUP(C29,TR!$B$2:$F$612,3,0),"")</f>
        <v>0</v>
      </c>
      <c r="G29" s="321">
        <f t="shared" si="5"/>
        <v>0</v>
      </c>
      <c r="H29" s="490">
        <f>IFERROR(VLOOKUP(C29,TR!$B$2:$F$612,4,0),"")</f>
        <v>0</v>
      </c>
      <c r="I29" s="491">
        <f>IFERROR(VLOOKUP(C29,TR!$B$2:$F$612,5,0),"")</f>
        <v>0</v>
      </c>
      <c r="J29" s="321">
        <f t="shared" si="6"/>
        <v>0</v>
      </c>
      <c r="K29" s="493" t="str">
        <f t="shared" si="0"/>
        <v/>
      </c>
      <c r="L29" s="494" t="str">
        <f t="shared" si="1"/>
        <v/>
      </c>
      <c r="M29" s="324" t="str">
        <f t="shared" si="2"/>
        <v/>
      </c>
      <c r="N29" s="37" t="str">
        <f t="shared" si="11"/>
        <v/>
      </c>
      <c r="O29" s="315" t="str">
        <f t="shared" si="7"/>
        <v/>
      </c>
      <c r="P29" s="495" t="str">
        <f>IF(AND(L29="",M29=""),IF(OR(SUMPRODUCT(N(ISNUMBER(FIND({"s";"d";"f"},C29))))&gt;0,G29+J29&lt;0,AND(G29&gt;0,J29&gt;0,I29&gt;"20:30"*1),AND(I29&lt;="20:30"*1,SUM(I29,R29)&gt;="20:31"*1)),1,""),"")</f>
        <v/>
      </c>
      <c r="Q29" s="560" t="str">
        <f t="shared" si="8"/>
        <v/>
      </c>
      <c r="R29" s="31"/>
      <c r="S29" s="327" t="str">
        <f t="shared" si="3"/>
        <v/>
      </c>
      <c r="T29" s="34">
        <f t="shared" si="4"/>
        <v>0</v>
      </c>
      <c r="U29" s="154">
        <f t="shared" si="10"/>
        <v>0</v>
      </c>
      <c r="V29" s="224"/>
      <c r="W29" s="150" t="str">
        <f t="shared" si="9"/>
        <v>0,00</v>
      </c>
    </row>
    <row r="30" spans="1:23" ht="14.4" x14ac:dyDescent="0.3">
      <c r="A30" s="40"/>
      <c r="B30" s="474">
        <v>43308</v>
      </c>
      <c r="C30" s="415" t="s">
        <v>45</v>
      </c>
      <c r="D30" s="416"/>
      <c r="E30" s="490">
        <f>IFERROR(VLOOKUP(C30,TR!$B$2:$F$612,2,0),"")</f>
        <v>0</v>
      </c>
      <c r="F30" s="491">
        <f>IFERROR(VLOOKUP(C30,TR!$B$2:$F$612,3,0),"")</f>
        <v>0</v>
      </c>
      <c r="G30" s="328">
        <f t="shared" si="5"/>
        <v>0</v>
      </c>
      <c r="H30" s="490">
        <f>IFERROR(VLOOKUP(C30,TR!$B$2:$F$612,4,0),"")</f>
        <v>0</v>
      </c>
      <c r="I30" s="491">
        <f>IFERROR(VLOOKUP(C30,TR!$B$2:$F$612,5,0),"")</f>
        <v>0</v>
      </c>
      <c r="J30" s="328">
        <f t="shared" si="6"/>
        <v>0</v>
      </c>
      <c r="K30" s="493" t="str">
        <f t="shared" si="0"/>
        <v/>
      </c>
      <c r="L30" s="494" t="str">
        <f t="shared" si="1"/>
        <v/>
      </c>
      <c r="M30" s="324" t="str">
        <f t="shared" si="2"/>
        <v/>
      </c>
      <c r="N30" s="37" t="str">
        <f t="shared" si="11"/>
        <v/>
      </c>
      <c r="O30" s="315" t="str">
        <f t="shared" si="7"/>
        <v/>
      </c>
      <c r="P30" s="495" t="str">
        <f>IF(AND(L30="",M30=""),IF(OR(SUMPRODUCT(N(ISNUMBER(FIND({"s";"d";"f"},C30))))&gt;0,G30+J30&lt;0,AND(G30&gt;0,J30&gt;0,I30&gt;"20:30"*1),AND(I30&lt;="20:30"*1,SUM(I30,R30)&gt;="20:31"*1)),1,""),"")</f>
        <v/>
      </c>
      <c r="Q30" s="560" t="str">
        <f t="shared" si="8"/>
        <v/>
      </c>
      <c r="R30" s="31"/>
      <c r="S30" s="327" t="str">
        <f t="shared" si="3"/>
        <v/>
      </c>
      <c r="T30" s="34">
        <f t="shared" si="4"/>
        <v>0</v>
      </c>
      <c r="U30" s="154">
        <f t="shared" si="10"/>
        <v>0</v>
      </c>
      <c r="V30" s="224"/>
      <c r="W30" s="150" t="str">
        <f t="shared" si="9"/>
        <v>0,00</v>
      </c>
    </row>
    <row r="31" spans="1:23" ht="14.4" x14ac:dyDescent="0.3">
      <c r="A31" s="40"/>
      <c r="B31" s="474">
        <v>43309</v>
      </c>
      <c r="C31" s="415" t="s">
        <v>226</v>
      </c>
      <c r="D31" s="416"/>
      <c r="E31" s="490">
        <f>IFERROR(VLOOKUP(C31,TR!$B$2:$F$612,2,0),"")</f>
        <v>0</v>
      </c>
      <c r="F31" s="491">
        <f>IFERROR(VLOOKUP(C31,TR!$B$2:$F$612,3,0),"")</f>
        <v>0</v>
      </c>
      <c r="G31" s="328">
        <f t="shared" si="5"/>
        <v>0</v>
      </c>
      <c r="H31" s="490">
        <f>IFERROR(VLOOKUP(C31,TR!$B$2:$F$612,4,0),"")</f>
        <v>0.50347222222222221</v>
      </c>
      <c r="I31" s="491">
        <f>IFERROR(VLOOKUP(C31,TR!$B$2:$F$612,5,0),"")</f>
        <v>0.83680555555555547</v>
      </c>
      <c r="J31" s="328">
        <f t="shared" si="6"/>
        <v>0.33333333333333326</v>
      </c>
      <c r="K31" s="493" t="str">
        <f t="shared" si="0"/>
        <v/>
      </c>
      <c r="L31" s="494">
        <f t="shared" si="1"/>
        <v>1</v>
      </c>
      <c r="M31" s="324" t="str">
        <f t="shared" si="2"/>
        <v/>
      </c>
      <c r="N31" s="37" t="str">
        <f t="shared" si="11"/>
        <v/>
      </c>
      <c r="O31" s="315" t="str">
        <f t="shared" si="7"/>
        <v/>
      </c>
      <c r="P31" s="495" t="str">
        <f>IF(AND(L31="",M31=""),IF(OR(SUMPRODUCT(N(ISNUMBER(FIND({"s";"d";"f"},C31))))&gt;0,G31+J31&lt;0,AND(G31&gt;0,J31&gt;0,I31&gt;"20:30"*1),AND(I31&lt;="20:30"*1,SUM(I31,R31)&gt;="20:31"*1)),1,""),"")</f>
        <v/>
      </c>
      <c r="Q31" s="560" t="str">
        <f t="shared" si="8"/>
        <v/>
      </c>
      <c r="R31" s="31"/>
      <c r="S31" s="327">
        <f t="shared" si="3"/>
        <v>0.33333333333333326</v>
      </c>
      <c r="T31" s="34">
        <f t="shared" si="4"/>
        <v>0.33333333333333326</v>
      </c>
      <c r="U31" s="154">
        <f t="shared" si="10"/>
        <v>7.9999999999999982</v>
      </c>
      <c r="V31" s="224"/>
      <c r="W31" s="150">
        <f t="shared" si="9"/>
        <v>7.9999999999999982</v>
      </c>
    </row>
    <row r="32" spans="1:23" ht="14.4" x14ac:dyDescent="0.3">
      <c r="A32" s="40"/>
      <c r="B32" s="474">
        <v>43310</v>
      </c>
      <c r="C32" s="415" t="s">
        <v>225</v>
      </c>
      <c r="D32" s="416"/>
      <c r="E32" s="490">
        <f>IFERROR(VLOOKUP(C32,TR!$B$2:$F$612,2,0),"")</f>
        <v>0</v>
      </c>
      <c r="F32" s="491">
        <f>IFERROR(VLOOKUP(C32,TR!$B$2:$F$612,3,0),"")</f>
        <v>0</v>
      </c>
      <c r="G32" s="328">
        <f t="shared" si="5"/>
        <v>0</v>
      </c>
      <c r="H32" s="490">
        <f>IFERROR(VLOOKUP(C32,TR!$B$2:$F$612,4,0),"")</f>
        <v>0.50624999999999998</v>
      </c>
      <c r="I32" s="491">
        <f>IFERROR(VLOOKUP(C32,TR!$B$2:$F$612,5,0),"")</f>
        <v>0.83124999999999993</v>
      </c>
      <c r="J32" s="328">
        <f t="shared" si="6"/>
        <v>0.32499999999999996</v>
      </c>
      <c r="K32" s="493" t="str">
        <f t="shared" si="0"/>
        <v/>
      </c>
      <c r="L32" s="494">
        <f t="shared" si="1"/>
        <v>1</v>
      </c>
      <c r="M32" s="324" t="str">
        <f t="shared" si="2"/>
        <v/>
      </c>
      <c r="N32" s="37">
        <f t="shared" si="11"/>
        <v>1</v>
      </c>
      <c r="O32" s="315" t="str">
        <f t="shared" si="7"/>
        <v/>
      </c>
      <c r="P32" s="495" t="str">
        <f>IF(AND(L32="",M32=""),IF(OR(SUMPRODUCT(N(ISNUMBER(FIND({"s";"d";"f"},C32))))&gt;0,G32+J32&lt;0,AND(G32&gt;0,J32&gt;0,I32&gt;"20:30"*1),AND(I32&lt;="20:30"*1,SUM(I32,R32)&gt;="20:31"*1)),1,""),"")</f>
        <v/>
      </c>
      <c r="Q32" s="560" t="str">
        <f t="shared" si="8"/>
        <v/>
      </c>
      <c r="R32" s="31"/>
      <c r="S32" s="327">
        <f t="shared" si="3"/>
        <v>0.32499999999999996</v>
      </c>
      <c r="T32" s="34">
        <f t="shared" si="4"/>
        <v>0.32499999999999996</v>
      </c>
      <c r="U32" s="154">
        <f t="shared" si="10"/>
        <v>7.7999999999999989</v>
      </c>
      <c r="V32" s="224"/>
      <c r="W32" s="150">
        <f t="shared" si="9"/>
        <v>7.7999999999999989</v>
      </c>
    </row>
    <row r="33" spans="1:24" ht="14.4" x14ac:dyDescent="0.3">
      <c r="A33" s="40"/>
      <c r="B33" s="474">
        <v>43311</v>
      </c>
      <c r="C33" s="415" t="s">
        <v>216</v>
      </c>
      <c r="D33" s="416"/>
      <c r="E33" s="490">
        <f>IFERROR(VLOOKUP(C33,TR!$B$2:$F$612,2,0),"")</f>
        <v>0</v>
      </c>
      <c r="F33" s="491">
        <f>IFERROR(VLOOKUP(C33,TR!$B$2:$F$612,3,0),"")</f>
        <v>0</v>
      </c>
      <c r="G33" s="328">
        <f t="shared" si="5"/>
        <v>0</v>
      </c>
      <c r="H33" s="490">
        <f>IFERROR(VLOOKUP(C33,TR!$B$2:$F$612,4,0),"")</f>
        <v>0.52986111111111112</v>
      </c>
      <c r="I33" s="491">
        <f>IFERROR(VLOOKUP(C33,TR!$B$2:$F$612,5,0),"")</f>
        <v>0.85902777777777783</v>
      </c>
      <c r="J33" s="328">
        <f t="shared" si="6"/>
        <v>0.32916666666666672</v>
      </c>
      <c r="K33" s="493" t="str">
        <f t="shared" si="0"/>
        <v/>
      </c>
      <c r="L33" s="494" t="str">
        <f t="shared" si="1"/>
        <v/>
      </c>
      <c r="M33" s="324" t="str">
        <f t="shared" si="2"/>
        <v/>
      </c>
      <c r="N33" s="37" t="str">
        <f t="shared" si="11"/>
        <v/>
      </c>
      <c r="O33" s="315" t="str">
        <f t="shared" si="7"/>
        <v/>
      </c>
      <c r="P33" s="495" t="str">
        <f>IF(AND(L33="",M33=""),IF(OR(SUMPRODUCT(N(ISNUMBER(FIND({"s";"d";"f"},C33))))&gt;0,G33+J33&lt;0,AND(G33&gt;0,J33&gt;0,I33&gt;"20:30"*1),AND(I33&lt;="20:30"*1,SUM(I33,R33)&gt;="20:31"*1)),1,""),"")</f>
        <v/>
      </c>
      <c r="Q33" s="560" t="str">
        <f t="shared" si="8"/>
        <v/>
      </c>
      <c r="R33" s="31"/>
      <c r="S33" s="327">
        <f t="shared" si="3"/>
        <v>0.32916666666666672</v>
      </c>
      <c r="T33" s="34">
        <f t="shared" si="4"/>
        <v>0.32916666666666672</v>
      </c>
      <c r="U33" s="154">
        <f t="shared" si="10"/>
        <v>7.9000000000000012</v>
      </c>
      <c r="V33" s="224"/>
      <c r="W33" s="150">
        <f t="shared" si="9"/>
        <v>7.9000000000000012</v>
      </c>
    </row>
    <row r="34" spans="1:24" ht="15" thickBot="1" x14ac:dyDescent="0.35">
      <c r="A34" s="40"/>
      <c r="B34" s="477">
        <v>43312</v>
      </c>
      <c r="C34" s="508" t="s">
        <v>217</v>
      </c>
      <c r="D34" s="509"/>
      <c r="E34" s="510">
        <f>IFERROR(VLOOKUP(C34,TR!$B$2:$F$612,2,0),"")</f>
        <v>0</v>
      </c>
      <c r="F34" s="511">
        <f>IFERROR(VLOOKUP(C34,TR!$B$2:$F$612,3,0),"")</f>
        <v>0</v>
      </c>
      <c r="G34" s="359">
        <f t="shared" si="5"/>
        <v>0</v>
      </c>
      <c r="H34" s="510">
        <f>IFERROR(VLOOKUP(C34,TR!$B$2:$F$612,4,0),"")</f>
        <v>0.4993055555555555</v>
      </c>
      <c r="I34" s="511">
        <f>IFERROR(VLOOKUP(C34,TR!$B$2:$F$612,5,0),"")</f>
        <v>0.8305555555555556</v>
      </c>
      <c r="J34" s="359">
        <f t="shared" si="6"/>
        <v>0.3312500000000001</v>
      </c>
      <c r="K34" s="512" t="str">
        <f t="shared" si="0"/>
        <v/>
      </c>
      <c r="L34" s="513">
        <f t="shared" si="1"/>
        <v>1</v>
      </c>
      <c r="M34" s="362" t="str">
        <f t="shared" si="2"/>
        <v/>
      </c>
      <c r="N34" s="229" t="str">
        <f>IF(AND(LEFT(C34,1)="d",AND(N33&lt;&gt;1)),1,IF(AND(LEFT(C34,1)="s",I34&gt;="24:01"*1),1,IF(AND(I34&lt;&gt;"",I34&lt;="23:59"*1,SUM(I34,R34)&gt;="24:01"*1),1,"")))</f>
        <v/>
      </c>
      <c r="O34" s="363" t="str">
        <f t="shared" si="7"/>
        <v/>
      </c>
      <c r="P34" s="514" t="str">
        <f>IF(AND(L34="",M34=""),IF(OR(SUMPRODUCT(N(ISNUMBER(FIND({"s";"d";"f"},C34))))&gt;0,G34+J34&lt;0,AND(G34&gt;0,J34&gt;0,I34&gt;"20:30"*1),AND(I34&lt;="20:30"*1,SUM(I34,R34)&gt;="20:31"*1)),1,""),"")</f>
        <v/>
      </c>
      <c r="Q34" s="563" t="str">
        <f t="shared" si="8"/>
        <v/>
      </c>
      <c r="R34" s="32"/>
      <c r="S34" s="515">
        <f t="shared" si="3"/>
        <v>0.3312500000000001</v>
      </c>
      <c r="T34" s="35">
        <f t="shared" si="4"/>
        <v>0.3312500000000001</v>
      </c>
      <c r="U34" s="155">
        <f t="shared" si="10"/>
        <v>7.9500000000000028</v>
      </c>
      <c r="V34" s="33"/>
      <c r="W34" s="151">
        <f t="shared" si="9"/>
        <v>7.9500000000000028</v>
      </c>
    </row>
    <row r="35" spans="1:24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S35" s="54"/>
      <c r="T35" s="55"/>
      <c r="U35" s="56"/>
      <c r="V35" s="57"/>
    </row>
    <row r="36" spans="1:24" ht="14.4" x14ac:dyDescent="0.3">
      <c r="A36" s="40"/>
      <c r="B36" s="373" t="s">
        <v>17</v>
      </c>
      <c r="C36" s="142">
        <f>(COUNTIF(Juin!C24:C34,"&lt;&gt;")+COUNTIF(Juillet!C4:C23,"&lt;&gt;"))-(COUNTIF(Juin!C24:C34,"CC*")+COUNTIF(Juillet!C4:C23,"CC*"))-(COUNTIF(Juin!C24:C34,"CH*")+COUNTIF(Juillet!C4:C23,"CH*"))-(COUNTIF(Juin!C24:C34,"RT*")+COUNTIF(Juillet!C4:C23,"RT*"))-(COUNTIF(Juin!C24:C34,"Férié*")+COUNTIF(Juillet!C4:C23,"Férié*"))-(COUNTIF(Juin!C24:C34,"Mal*")+COUNTIF(Juillet!C4:C23,"Mal*"))-(COUNTIF(Juin!C24:C34,"CP*")+COUNTIF(Juillet!C4:C23,"CP*"))</f>
        <v>21</v>
      </c>
      <c r="E36" s="370"/>
      <c r="G36" s="40"/>
      <c r="I36" s="613" t="s">
        <v>55</v>
      </c>
      <c r="J36" s="613"/>
      <c r="K36" s="72">
        <f>SUM(Juin!$K$24:$K$34,K4:K23)</f>
        <v>6</v>
      </c>
      <c r="L36" s="73">
        <f>SUM(Juin!$L$24:$L$34,L4:L23)</f>
        <v>3</v>
      </c>
      <c r="M36" s="74">
        <f>SUM(Juin!$M$24:$M$34,M4:M23)</f>
        <v>6</v>
      </c>
      <c r="N36" s="75">
        <f>SUM(Juin!$N$24:$N$34,N4:N23)</f>
        <v>0</v>
      </c>
      <c r="O36" s="76">
        <f>SUM(Juin!$O$24:$O$34,O4:O23)</f>
        <v>0</v>
      </c>
      <c r="P36" s="213">
        <f>SUM(Juin!$P$24:$P$34,P4:P23)</f>
        <v>2</v>
      </c>
      <c r="Q36" s="77">
        <f>SUM(Juin!$Q$24:$Q$34,Q4:Q23)</f>
        <v>0</v>
      </c>
      <c r="R36" s="232">
        <f>SUM(Juin!$R$24:$R$34,R4:R23)</f>
        <v>0</v>
      </c>
      <c r="S36" s="78"/>
      <c r="T36" s="79">
        <f>SUM(Juin!T24:T34)+SUM(Juillet!T4:T23)</f>
        <v>6.6861111111111118</v>
      </c>
      <c r="U36" s="80">
        <f>SUM(U4:U34)</f>
        <v>146.81666666666666</v>
      </c>
      <c r="V36" s="186">
        <f>SUM(V4:V34)</f>
        <v>0</v>
      </c>
      <c r="W36" s="59"/>
    </row>
    <row r="37" spans="1:24" ht="14.4" thickBot="1" x14ac:dyDescent="0.3">
      <c r="A37" s="40"/>
      <c r="B37" s="374" t="s">
        <v>51</v>
      </c>
      <c r="C37" s="143">
        <f>(COUNTIF(Juin!C24:C34,"CP")+COUNTIF(Juillet!C4:C23,"CP"))</f>
        <v>0</v>
      </c>
      <c r="G37" s="40"/>
      <c r="H37" s="40"/>
      <c r="I37" s="40"/>
      <c r="J37" s="40"/>
      <c r="K37" s="375">
        <f>(I39*2)*K36</f>
        <v>106.2336</v>
      </c>
      <c r="L37" s="376">
        <f>Recap!H35*L36</f>
        <v>21.419999999999998</v>
      </c>
      <c r="M37" s="377">
        <f>Recap!H35*M36</f>
        <v>42.839999999999996</v>
      </c>
      <c r="N37" s="378">
        <f>(I39*5)*N36</f>
        <v>0</v>
      </c>
      <c r="O37" s="379">
        <f>(Recap!H33)*O36</f>
        <v>0</v>
      </c>
      <c r="P37" s="380">
        <f>7.5*P36</f>
        <v>15</v>
      </c>
      <c r="Q37" s="381">
        <f>(I39*1.5)*Q36</f>
        <v>0</v>
      </c>
      <c r="R37" s="382">
        <f>R36*24</f>
        <v>0</v>
      </c>
      <c r="S37" s="61"/>
      <c r="T37" s="62"/>
      <c r="U37" s="63"/>
      <c r="V37" s="57"/>
      <c r="W37" s="59"/>
    </row>
    <row r="38" spans="1:24" x14ac:dyDescent="0.25">
      <c r="B38" s="383" t="s">
        <v>47</v>
      </c>
      <c r="C38" s="144">
        <f>(COUNTIF(Juin!C24:C34,"CH")+COUNTIF(Juillet!C4:C23,"CH"))</f>
        <v>4</v>
      </c>
      <c r="F38" s="40"/>
      <c r="G38" s="40"/>
      <c r="H38" s="40"/>
      <c r="I38" s="384" t="s">
        <v>54</v>
      </c>
      <c r="J38" s="40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04"/>
      <c r="V38" s="104">
        <v>6.1749999999999998</v>
      </c>
      <c r="W38" s="81">
        <f>V38*24</f>
        <v>148.19999999999999</v>
      </c>
      <c r="X38" s="69"/>
    </row>
    <row r="39" spans="1:24" ht="14.4" thickBot="1" x14ac:dyDescent="0.3">
      <c r="B39" s="385" t="s">
        <v>45</v>
      </c>
      <c r="C39" s="145">
        <f>(COUNTIF(Juin!C24:C34,"RT")+COUNTIF(Juillet!C4:C23,"RT"))</f>
        <v>1</v>
      </c>
      <c r="F39" s="40"/>
      <c r="G39" s="40"/>
      <c r="H39" s="40"/>
      <c r="I39" s="386">
        <v>8.8528000000000002</v>
      </c>
      <c r="J39" s="40"/>
      <c r="K39" s="40"/>
      <c r="L39" s="40"/>
      <c r="M39" s="40"/>
      <c r="N39" s="387"/>
      <c r="O39" s="387"/>
      <c r="V39" s="388"/>
      <c r="W39" s="388"/>
      <c r="X39" s="389"/>
    </row>
    <row r="40" spans="1:24" x14ac:dyDescent="0.25">
      <c r="B40" s="390" t="s">
        <v>46</v>
      </c>
      <c r="C40" s="146">
        <f>(COUNTIF(Juin!C24:C34,"CC")+COUNTIF(Juillet!C4:C23,"CC"))</f>
        <v>3</v>
      </c>
      <c r="T40" s="615" t="s">
        <v>16</v>
      </c>
      <c r="U40" s="604"/>
      <c r="V40" s="391" t="str">
        <f>IF(V38&gt;T36,"-","")&amp;TEXT(ABS(T36-V38),"[h]:mm")</f>
        <v>12:16</v>
      </c>
      <c r="W40" s="392">
        <f>(T36-V38)*24</f>
        <v>12.266666666666687</v>
      </c>
      <c r="X40" s="69"/>
    </row>
    <row r="41" spans="1:24" ht="14.4" thickBot="1" x14ac:dyDescent="0.3">
      <c r="B41" s="393" t="s">
        <v>11</v>
      </c>
      <c r="C41" s="147">
        <f>(COUNTIF(Juin!C24:C34,"Férié")+COUNTIF(Juillet!C4:C23,"Férié"))</f>
        <v>1</v>
      </c>
    </row>
    <row r="42" spans="1:24" ht="15" thickTop="1" thickBot="1" x14ac:dyDescent="0.3">
      <c r="B42" s="394" t="s">
        <v>153</v>
      </c>
      <c r="C42" s="230">
        <f>(COUNTIF(Juin!C24:C34,"FériéCC")+COUNTIF(Juillet!C4:C23,"FériéCH"))</f>
        <v>0</v>
      </c>
      <c r="R42" s="616" t="s">
        <v>201</v>
      </c>
      <c r="S42" s="642"/>
      <c r="T42" s="395">
        <f>SUM(T4:T34)</f>
        <v>6.1173611111111112</v>
      </c>
    </row>
    <row r="43" spans="1:24" ht="15" thickTop="1" thickBot="1" x14ac:dyDescent="0.3">
      <c r="B43" s="387"/>
      <c r="T43" s="257">
        <f>T42*24</f>
        <v>146.81666666666666</v>
      </c>
      <c r="W43" s="397">
        <f>(T42-V38)*24</f>
        <v>-1.3833333333333258</v>
      </c>
    </row>
    <row r="44" spans="1:24" ht="15" thickTop="1" thickBot="1" x14ac:dyDescent="0.3">
      <c r="B44" s="387"/>
    </row>
    <row r="45" spans="1:24" ht="15" thickBot="1" x14ac:dyDescent="0.35">
      <c r="B45" s="387"/>
      <c r="F45" s="605" t="s">
        <v>57</v>
      </c>
      <c r="G45" s="606"/>
      <c r="H45" s="606"/>
      <c r="I45" s="606"/>
      <c r="J45" s="606"/>
      <c r="K45" s="606"/>
      <c r="L45" s="606"/>
      <c r="M45" s="606"/>
      <c r="N45" s="606"/>
      <c r="O45" s="606"/>
      <c r="P45" s="606"/>
      <c r="Q45" s="606"/>
      <c r="R45" s="607"/>
      <c r="U45" s="71"/>
      <c r="V45" s="71"/>
    </row>
    <row r="46" spans="1:24" ht="14.4" thickTop="1" x14ac:dyDescent="0.25">
      <c r="B46" s="387"/>
      <c r="F46" s="635"/>
      <c r="G46" s="636"/>
      <c r="H46" s="636"/>
      <c r="I46" s="636"/>
      <c r="J46" s="636"/>
      <c r="K46" s="636"/>
      <c r="L46" s="636"/>
      <c r="M46" s="636"/>
      <c r="N46" s="636"/>
      <c r="O46" s="636"/>
      <c r="P46" s="636"/>
      <c r="Q46" s="636"/>
      <c r="R46" s="637"/>
    </row>
    <row r="47" spans="1:24" x14ac:dyDescent="0.25">
      <c r="F47" s="627"/>
      <c r="G47" s="638"/>
      <c r="H47" s="638"/>
      <c r="I47" s="638"/>
      <c r="J47" s="638"/>
      <c r="K47" s="638"/>
      <c r="L47" s="638"/>
      <c r="M47" s="638"/>
      <c r="N47" s="638"/>
      <c r="O47" s="638"/>
      <c r="P47" s="638"/>
      <c r="Q47" s="638"/>
      <c r="R47" s="639"/>
    </row>
    <row r="48" spans="1:24" x14ac:dyDescent="0.25">
      <c r="F48" s="627"/>
      <c r="G48" s="638"/>
      <c r="H48" s="638"/>
      <c r="I48" s="638"/>
      <c r="J48" s="638"/>
      <c r="K48" s="638"/>
      <c r="L48" s="638"/>
      <c r="M48" s="638"/>
      <c r="N48" s="638"/>
      <c r="O48" s="638"/>
      <c r="P48" s="638"/>
      <c r="Q48" s="638"/>
      <c r="R48" s="639"/>
    </row>
    <row r="49" spans="6:18" x14ac:dyDescent="0.25">
      <c r="F49" s="627"/>
      <c r="G49" s="638"/>
      <c r="H49" s="638"/>
      <c r="I49" s="638"/>
      <c r="J49" s="638"/>
      <c r="K49" s="638"/>
      <c r="L49" s="638"/>
      <c r="M49" s="638"/>
      <c r="N49" s="638"/>
      <c r="O49" s="638"/>
      <c r="P49" s="638"/>
      <c r="Q49" s="638"/>
      <c r="R49" s="639"/>
    </row>
    <row r="50" spans="6:18" x14ac:dyDescent="0.25">
      <c r="F50" s="627"/>
      <c r="G50" s="638"/>
      <c r="H50" s="638"/>
      <c r="I50" s="638"/>
      <c r="J50" s="638"/>
      <c r="K50" s="638"/>
      <c r="L50" s="638"/>
      <c r="M50" s="638"/>
      <c r="N50" s="638"/>
      <c r="O50" s="638"/>
      <c r="P50" s="638"/>
      <c r="Q50" s="638"/>
      <c r="R50" s="639"/>
    </row>
    <row r="51" spans="6:18" x14ac:dyDescent="0.25">
      <c r="F51" s="627"/>
      <c r="G51" s="638"/>
      <c r="H51" s="638"/>
      <c r="I51" s="638"/>
      <c r="J51" s="638"/>
      <c r="K51" s="638"/>
      <c r="L51" s="638"/>
      <c r="M51" s="638"/>
      <c r="N51" s="638"/>
      <c r="O51" s="638"/>
      <c r="P51" s="638"/>
      <c r="Q51" s="638"/>
      <c r="R51" s="639"/>
    </row>
    <row r="52" spans="6:18" x14ac:dyDescent="0.25">
      <c r="F52" s="627"/>
      <c r="G52" s="638"/>
      <c r="H52" s="638"/>
      <c r="I52" s="638"/>
      <c r="J52" s="638"/>
      <c r="K52" s="638"/>
      <c r="L52" s="638"/>
      <c r="M52" s="638"/>
      <c r="N52" s="638"/>
      <c r="O52" s="638"/>
      <c r="P52" s="638"/>
      <c r="Q52" s="638"/>
      <c r="R52" s="639"/>
    </row>
    <row r="53" spans="6:18" x14ac:dyDescent="0.25">
      <c r="F53" s="627"/>
      <c r="G53" s="638"/>
      <c r="H53" s="638"/>
      <c r="I53" s="638"/>
      <c r="J53" s="638"/>
      <c r="K53" s="638"/>
      <c r="L53" s="638"/>
      <c r="M53" s="638"/>
      <c r="N53" s="638"/>
      <c r="O53" s="638"/>
      <c r="P53" s="638"/>
      <c r="Q53" s="638"/>
      <c r="R53" s="639"/>
    </row>
    <row r="54" spans="6:18" x14ac:dyDescent="0.25">
      <c r="F54" s="627"/>
      <c r="G54" s="638"/>
      <c r="H54" s="638"/>
      <c r="I54" s="638"/>
      <c r="J54" s="638"/>
      <c r="K54" s="638"/>
      <c r="L54" s="638"/>
      <c r="M54" s="638"/>
      <c r="N54" s="638"/>
      <c r="O54" s="638"/>
      <c r="P54" s="638"/>
      <c r="Q54" s="638"/>
      <c r="R54" s="639"/>
    </row>
    <row r="55" spans="6:18" x14ac:dyDescent="0.25">
      <c r="F55" s="627"/>
      <c r="G55" s="638"/>
      <c r="H55" s="638"/>
      <c r="I55" s="638"/>
      <c r="J55" s="638"/>
      <c r="K55" s="638"/>
      <c r="L55" s="638"/>
      <c r="M55" s="638"/>
      <c r="N55" s="638"/>
      <c r="O55" s="638"/>
      <c r="P55" s="638"/>
      <c r="Q55" s="638"/>
      <c r="R55" s="639"/>
    </row>
    <row r="56" spans="6:18" x14ac:dyDescent="0.25">
      <c r="F56" s="627"/>
      <c r="G56" s="638"/>
      <c r="H56" s="638"/>
      <c r="I56" s="638"/>
      <c r="J56" s="638"/>
      <c r="K56" s="638"/>
      <c r="L56" s="638"/>
      <c r="M56" s="638"/>
      <c r="N56" s="638"/>
      <c r="O56" s="638"/>
      <c r="P56" s="638"/>
      <c r="Q56" s="638"/>
      <c r="R56" s="639"/>
    </row>
    <row r="57" spans="6:18" x14ac:dyDescent="0.25">
      <c r="F57" s="627"/>
      <c r="G57" s="638"/>
      <c r="H57" s="638"/>
      <c r="I57" s="638"/>
      <c r="J57" s="638"/>
      <c r="K57" s="638"/>
      <c r="L57" s="638"/>
      <c r="M57" s="638"/>
      <c r="N57" s="638"/>
      <c r="O57" s="638"/>
      <c r="P57" s="638"/>
      <c r="Q57" s="638"/>
      <c r="R57" s="639"/>
    </row>
    <row r="58" spans="6:18" x14ac:dyDescent="0.25">
      <c r="F58" s="627"/>
      <c r="G58" s="638"/>
      <c r="H58" s="638"/>
      <c r="I58" s="638"/>
      <c r="J58" s="638"/>
      <c r="K58" s="638"/>
      <c r="L58" s="638"/>
      <c r="M58" s="638"/>
      <c r="N58" s="638"/>
      <c r="O58" s="638"/>
      <c r="P58" s="638"/>
      <c r="Q58" s="638"/>
      <c r="R58" s="639"/>
    </row>
    <row r="59" spans="6:18" ht="14.4" thickBot="1" x14ac:dyDescent="0.3">
      <c r="F59" s="632"/>
      <c r="G59" s="640"/>
      <c r="H59" s="640"/>
      <c r="I59" s="640"/>
      <c r="J59" s="640"/>
      <c r="K59" s="640"/>
      <c r="L59" s="640"/>
      <c r="M59" s="640"/>
      <c r="N59" s="640"/>
      <c r="O59" s="640"/>
      <c r="P59" s="640"/>
      <c r="Q59" s="640"/>
      <c r="R59" s="641"/>
    </row>
    <row r="60" spans="6:18" ht="14.4" thickTop="1" x14ac:dyDescent="0.25"/>
  </sheetData>
  <mergeCells count="10">
    <mergeCell ref="F46:R59"/>
    <mergeCell ref="B1:W1"/>
    <mergeCell ref="T2:W2"/>
    <mergeCell ref="E3:F3"/>
    <mergeCell ref="H3:I3"/>
    <mergeCell ref="I36:J36"/>
    <mergeCell ref="T38:U38"/>
    <mergeCell ref="T40:U40"/>
    <mergeCell ref="F45:R45"/>
    <mergeCell ref="R42:S42"/>
  </mergeCells>
  <conditionalFormatting sqref="V40:W40">
    <cfRule type="expression" dxfId="36" priority="7" stopIfTrue="1">
      <formula>$T$36&lt;$V$38</formula>
    </cfRule>
    <cfRule type="expression" dxfId="35" priority="8" stopIfTrue="1">
      <formula>$T$36&gt;$V$38</formula>
    </cfRule>
  </conditionalFormatting>
  <conditionalFormatting sqref="C4:C34">
    <cfRule type="expression" dxfId="34" priority="9" stopIfTrue="1">
      <formula>ISNUMBER(FIND("d",$C4))</formula>
    </cfRule>
  </conditionalFormatting>
  <conditionalFormatting sqref="C4:Q34">
    <cfRule type="expression" dxfId="33" priority="10" stopIfTrue="1">
      <formula>ISNUMBER(FIND("CP",$C4))</formula>
    </cfRule>
    <cfRule type="expression" dxfId="32" priority="11" stopIfTrue="1">
      <formula>ISNUMBER(FIND("e",$C4))</formula>
    </cfRule>
    <cfRule type="expression" dxfId="31" priority="12" stopIfTrue="1">
      <formula>OR(ISNUMBER(FIND("Férié",$C4)),ISNUMBER(FIND("f",$C4)))</formula>
    </cfRule>
  </conditionalFormatting>
  <pageMargins left="0.31496062992125984" right="0.31496062992125984" top="0.35433070866141736" bottom="0.74803149606299213" header="0.31496062992125984" footer="0.31496062992125984"/>
  <pageSetup paperSize="9" orientation="landscape" r:id="rId1"/>
  <ignoredErrors>
    <ignoredError sqref="T43" unlockedFormula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0"/>
  <sheetViews>
    <sheetView topLeftCell="A7" workbookViewId="0">
      <selection activeCell="C28" sqref="C28"/>
    </sheetView>
  </sheetViews>
  <sheetFormatPr baseColWidth="10" defaultColWidth="11" defaultRowHeight="13.8" x14ac:dyDescent="0.25"/>
  <cols>
    <col min="1" max="1" width="3.59765625" style="369" customWidth="1"/>
    <col min="2" max="2" width="14.59765625" style="369" customWidth="1"/>
    <col min="3" max="3" width="8.59765625" style="369" customWidth="1"/>
    <col min="4" max="4" width="7.59765625" style="369" customWidth="1"/>
    <col min="5" max="23" width="8.59765625" style="369" customWidth="1"/>
    <col min="24" max="16384" width="11" style="369"/>
  </cols>
  <sheetData>
    <row r="1" spans="1:23" ht="14.4" thickBot="1" x14ac:dyDescent="0.3">
      <c r="A1" s="40"/>
      <c r="B1" s="602" t="s">
        <v>26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 s="603"/>
      <c r="P1" s="603"/>
      <c r="Q1" s="603"/>
      <c r="R1" s="603"/>
      <c r="S1" s="604"/>
      <c r="T1" s="604"/>
      <c r="U1" s="604"/>
      <c r="V1" s="604"/>
      <c r="W1" s="604"/>
    </row>
    <row r="2" spans="1:23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</row>
    <row r="3" spans="1:23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303" t="s">
        <v>5</v>
      </c>
      <c r="H3" s="611" t="s">
        <v>6</v>
      </c>
      <c r="I3" s="612"/>
      <c r="J3" s="303" t="s">
        <v>5</v>
      </c>
      <c r="K3" s="41" t="s">
        <v>7</v>
      </c>
      <c r="L3" s="42" t="s">
        <v>8</v>
      </c>
      <c r="M3" s="220" t="s">
        <v>9</v>
      </c>
      <c r="N3" s="43" t="s">
        <v>10</v>
      </c>
      <c r="O3" s="103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</row>
    <row r="4" spans="1:23" ht="14.4" x14ac:dyDescent="0.3">
      <c r="A4" s="40"/>
      <c r="B4" s="304">
        <v>43313</v>
      </c>
      <c r="C4" s="305" t="s">
        <v>46</v>
      </c>
      <c r="D4" s="306"/>
      <c r="E4" s="307">
        <f>IFERROR(VLOOKUP(C4,TR!$B$2:$F$612,2,0),"")</f>
        <v>0</v>
      </c>
      <c r="F4" s="308">
        <f>IFERROR(VLOOKUP(C4,TR!$B$2:$F$612,3,0),"")</f>
        <v>0</v>
      </c>
      <c r="G4" s="309">
        <f>IF(ISERROR(F4-E4),0,F4-E4)</f>
        <v>0</v>
      </c>
      <c r="H4" s="310">
        <f>IFERROR(VLOOKUP(C4,TR!$B$2:$F$612,4,0),"")</f>
        <v>0</v>
      </c>
      <c r="I4" s="311">
        <f>IFERROR(VLOOKUP(C4,TR!$B$2:$F$612,5,0),"")</f>
        <v>0</v>
      </c>
      <c r="J4" s="309">
        <f>IF(ISERROR(I4-H4),0,(I4-H4))</f>
        <v>0</v>
      </c>
      <c r="K4" s="312" t="str">
        <f t="shared" ref="K4:K34" si="0">IF(COUNTA(E4:F4,H4:I4)=5,1,IF(AND(E4&lt;"5:00"*1,E4&gt;"2:00"*1),1,IF(AND(I4&gt;="22:01"*1,I4&lt;="26:01"*1),1,IF(AND(I4&lt;="22:00"*1,SUM(I4,R4)&gt;="22:01"*1),1,""))))</f>
        <v/>
      </c>
      <c r="L4" s="313" t="str">
        <f t="shared" ref="L4:L34" si="1">IF(AND(F4&gt;="13:15"*1,H4&lt;""),1,IF(AND(H4&gt;="11:00"*1,H4&lt;="12:15"*1),1,IF(AND(F4&lt;="13:15"*1,SUM(F4,R4)&gt;="13:15"*1),1,"")))</f>
        <v/>
      </c>
      <c r="M4" s="314" t="str">
        <f t="shared" ref="M4:M34" si="2">IF(AND(I4&gt;="19:30"*1,1,I4&gt;"21:30"*1,C4&lt;&gt;""),1,IF(AND(I4&lt;="21:30"*1,SUM(I4,R4)&gt;="21:30"*1),1,""))</f>
        <v/>
      </c>
      <c r="N4" s="36" t="str">
        <f>IF(AND(LEFT(C4,1)="d",AND(Juillet!N34&lt;&gt;1)),1,IF(AND(LEFT(C4,1)="s",I4&gt;="24:01"*1),1,IF(AND(I4&lt;&gt;"",I4&lt;="23:59"*1,SUM(I4,R4)&gt;="24:01"*1),1,"")))</f>
        <v/>
      </c>
      <c r="O4" s="450" t="str">
        <f>IF(AND(I4&gt;"24:00"*1,ISNUMBER(FIND("f",C5))),1,IF(AND(OR(ISNUMBER(FIND("FériéCC",C4)),ISNUMBER(FIND("FériéCH",C4)),ISNUMBER(FIND("f",C4)))),1,""))</f>
        <v/>
      </c>
      <c r="P4" s="451" t="str">
        <f>IF(AND(L4="",M4=""),IF(OR(SUMPRODUCT(N(ISNUMBER(FIND({"s";"d";"f"},C4))))&gt;0,G4+J4&lt;0,AND(G4&gt;0,J4&gt;0,I4&gt;"20:30"*1),AND(I4&lt;="20:30"*1,SUM(I4,R4)&gt;="20:31"*1)),1,""),"")</f>
        <v/>
      </c>
      <c r="Q4" s="559" t="str">
        <f>IF(OR(AND(G4&gt;0,AND(J4=0)),OR(G4=0,AND(J4&gt;0)),OR(G4+J4&gt;0)),IF(S4="","",IF(R4+S4&gt;="13:01"*1,1,"")))</f>
        <v/>
      </c>
      <c r="R4" s="29"/>
      <c r="S4" s="318" t="str">
        <f t="shared" ref="S4:S34" si="3">IF(G4=0,IF(J4=0,"",I4-H4),IF(J4=0,F4-E4,I4-E4))</f>
        <v/>
      </c>
      <c r="T4" s="34">
        <f t="shared" ref="T4:T34" si="4">IF(ISERROR((F4-E4)+(I4-H4)),0,(F4-E4)+(I4-H4))</f>
        <v>0</v>
      </c>
      <c r="U4" s="153">
        <f>T4*24</f>
        <v>0</v>
      </c>
      <c r="V4" s="187"/>
      <c r="W4" s="149" t="str">
        <f>IF(U4-V4=0,"0,00",U4-V4)</f>
        <v>0,00</v>
      </c>
    </row>
    <row r="5" spans="1:23" ht="14.4" x14ac:dyDescent="0.3">
      <c r="A5" s="40"/>
      <c r="B5" s="304">
        <v>43314</v>
      </c>
      <c r="C5" s="319" t="s">
        <v>218</v>
      </c>
      <c r="D5" s="320"/>
      <c r="E5" s="310">
        <f>IFERROR(VLOOKUP(C5,TR!$B$2:$F$612,2,0),"")</f>
        <v>0</v>
      </c>
      <c r="F5" s="311">
        <f>IFERROR(VLOOKUP(C5,TR!$B$2:$F$612,3,0),"")</f>
        <v>0</v>
      </c>
      <c r="G5" s="321">
        <f t="shared" ref="G5:G33" si="5">IF(ISERROR(F5-E5),0,F5-E5)</f>
        <v>0</v>
      </c>
      <c r="H5" s="310">
        <f>IFERROR(VLOOKUP(C5,TR!$B$2:$F$612,4,0),"")</f>
        <v>0.55208333333333337</v>
      </c>
      <c r="I5" s="311">
        <f>IFERROR(VLOOKUP(C5,TR!$B$2:$F$612,5,0),"")</f>
        <v>0.88263888888888886</v>
      </c>
      <c r="J5" s="321">
        <f t="shared" ref="J5:J33" si="6">IF(ISERROR(I5-H5),0,(I5-H5))</f>
        <v>0.33055555555555549</v>
      </c>
      <c r="K5" s="322" t="str">
        <f t="shared" si="0"/>
        <v/>
      </c>
      <c r="L5" s="323" t="str">
        <f t="shared" si="1"/>
        <v/>
      </c>
      <c r="M5" s="324" t="str">
        <f t="shared" si="2"/>
        <v/>
      </c>
      <c r="N5" s="37" t="str">
        <f t="shared" ref="N5:N34" si="7">IF(AND(LEFT(C5,1)="d",AND(N4&lt;&gt;1)),1,IF(AND(LEFT(C5,1)="s",I5&gt;="24:01"*1),1,IF(AND(I5&lt;&gt;"",I5&lt;="23:59"*1,SUM(I5,R5)&gt;="24:01"*1),1,"")))</f>
        <v/>
      </c>
      <c r="O5" s="315" t="str">
        <f t="shared" ref="O5:O34" si="8">IF(AND(I5&gt;"24:00"*1,ISNUMBER(FIND("f",C6))),1,IF(AND(OR(ISNUMBER(FIND("FériéCC",C5)),ISNUMBER(FIND("FériéCH",C5)),ISNUMBER(FIND("f",C5)))),1,""))</f>
        <v/>
      </c>
      <c r="P5" s="408" t="str">
        <f>IF(AND(L5="",M5=""),IF(OR(SUMPRODUCT(N(ISNUMBER(FIND({"s";"d";"f"},C5))))&gt;0,G5+J5&lt;0,AND(G5&gt;0,J5&gt;0,I5&gt;"20:30"*1),AND(I5&lt;="20:30"*1,SUM(I5,R5)&gt;="20:31"*1)),1,""),"")</f>
        <v/>
      </c>
      <c r="Q5" s="560" t="str">
        <f t="shared" ref="Q5:Q34" si="9">IF(OR(AND(G5&gt;0,AND(J5=0)),OR(G5=0,AND(J5&gt;0)),OR(G5+J5&gt;0)),IF(S5="","",IF(R5+S5&gt;="13:01"*1,1,"")))</f>
        <v/>
      </c>
      <c r="R5" s="30"/>
      <c r="S5" s="327">
        <f t="shared" si="3"/>
        <v>0.33055555555555549</v>
      </c>
      <c r="T5" s="34">
        <f t="shared" si="4"/>
        <v>0.33055555555555549</v>
      </c>
      <c r="U5" s="154">
        <f>T5*24</f>
        <v>7.9333333333333318</v>
      </c>
      <c r="V5" s="188"/>
      <c r="W5" s="156">
        <f t="shared" ref="W5:W34" si="10">IF(U5-V5=0,"0,00",U5-V5)</f>
        <v>7.9333333333333318</v>
      </c>
    </row>
    <row r="6" spans="1:23" ht="14.4" x14ac:dyDescent="0.3">
      <c r="A6" s="40"/>
      <c r="B6" s="304">
        <v>43315</v>
      </c>
      <c r="C6" s="319" t="s">
        <v>68</v>
      </c>
      <c r="D6" s="320"/>
      <c r="E6" s="310">
        <f>IFERROR(VLOOKUP(C6,TR!$B$2:$F$612,2,0),"")</f>
        <v>0.33333333333333331</v>
      </c>
      <c r="F6" s="311">
        <f>IFERROR(VLOOKUP(C6,TR!$B$2:$F$612,3,0),"")</f>
        <v>0.5</v>
      </c>
      <c r="G6" s="321">
        <f t="shared" si="5"/>
        <v>0.16666666666666669</v>
      </c>
      <c r="H6" s="310">
        <f>IFERROR(VLOOKUP(C6,TR!$B$2:$F$612,4,0),"")</f>
        <v>0.58333333333333337</v>
      </c>
      <c r="I6" s="311">
        <f>IFERROR(VLOOKUP(C6,TR!$B$2:$F$612,5,0),"")</f>
        <v>0.73333333333333339</v>
      </c>
      <c r="J6" s="321">
        <f t="shared" si="6"/>
        <v>0.15000000000000002</v>
      </c>
      <c r="K6" s="322" t="str">
        <f t="shared" si="0"/>
        <v/>
      </c>
      <c r="L6" s="323" t="str">
        <f t="shared" si="1"/>
        <v/>
      </c>
      <c r="M6" s="324" t="str">
        <f t="shared" si="2"/>
        <v/>
      </c>
      <c r="N6" s="37" t="str">
        <f t="shared" si="7"/>
        <v/>
      </c>
      <c r="O6" s="315" t="str">
        <f t="shared" si="8"/>
        <v/>
      </c>
      <c r="P6" s="408" t="str">
        <f>IF(AND(L6="",M6=""),IF(OR(SUMPRODUCT(N(ISNUMBER(FIND({"s";"d";"f"},C6))))&gt;0,G6+J6&lt;0,AND(G6&gt;0,J6&gt;0,I6&gt;"20:30"*1),AND(I6&lt;="20:30"*1,SUM(I6,R6)&gt;="20:31"*1)),1,""),"")</f>
        <v/>
      </c>
      <c r="Q6" s="560" t="str">
        <f t="shared" si="9"/>
        <v/>
      </c>
      <c r="R6" s="30"/>
      <c r="S6" s="327">
        <f t="shared" si="3"/>
        <v>0.40000000000000008</v>
      </c>
      <c r="T6" s="34">
        <f t="shared" si="4"/>
        <v>0.31666666666666671</v>
      </c>
      <c r="U6" s="154">
        <f>T6*24</f>
        <v>7.6000000000000014</v>
      </c>
      <c r="V6" s="188"/>
      <c r="W6" s="156">
        <f t="shared" si="10"/>
        <v>7.6000000000000014</v>
      </c>
    </row>
    <row r="7" spans="1:23" ht="14.4" x14ac:dyDescent="0.3">
      <c r="A7" s="40"/>
      <c r="B7" s="304">
        <v>43316</v>
      </c>
      <c r="C7" s="319" t="s">
        <v>230</v>
      </c>
      <c r="D7" s="320"/>
      <c r="E7" s="310">
        <f>IFERROR(VLOOKUP(C7,TR!$B$2:$F$612,2,0),"")</f>
        <v>0</v>
      </c>
      <c r="F7" s="311">
        <f>IFERROR(VLOOKUP(C7,TR!$B$2:$F$612,3,0),"")</f>
        <v>0</v>
      </c>
      <c r="G7" s="321">
        <f t="shared" si="5"/>
        <v>0</v>
      </c>
      <c r="H7" s="310">
        <f>IFERROR(VLOOKUP(C7,TR!$B$2:$F$612,4,0),"")</f>
        <v>0.60347222222222219</v>
      </c>
      <c r="I7" s="311">
        <f>IFERROR(VLOOKUP(C7,TR!$B$2:$F$612,5,0),"")</f>
        <v>0.93055555555555547</v>
      </c>
      <c r="J7" s="321">
        <f t="shared" si="6"/>
        <v>0.32708333333333328</v>
      </c>
      <c r="K7" s="322">
        <f t="shared" si="0"/>
        <v>1</v>
      </c>
      <c r="L7" s="323" t="str">
        <f t="shared" si="1"/>
        <v/>
      </c>
      <c r="M7" s="324">
        <f t="shared" si="2"/>
        <v>1</v>
      </c>
      <c r="N7" s="37" t="str">
        <f t="shared" si="7"/>
        <v/>
      </c>
      <c r="O7" s="315" t="str">
        <f t="shared" si="8"/>
        <v/>
      </c>
      <c r="P7" s="408" t="str">
        <f>IF(AND(L7="",M7=""),IF(OR(SUMPRODUCT(N(ISNUMBER(FIND({"s";"d";"f"},C7))))&gt;0,G7+J7&lt;0,AND(G7&gt;0,J7&gt;0,I7&gt;"20:30"*1),AND(I7&lt;="20:30"*1,SUM(I7,R7)&gt;="20:31"*1)),1,""),"")</f>
        <v/>
      </c>
      <c r="Q7" s="560" t="str">
        <f t="shared" si="9"/>
        <v/>
      </c>
      <c r="R7" s="30"/>
      <c r="S7" s="327">
        <f t="shared" si="3"/>
        <v>0.32708333333333328</v>
      </c>
      <c r="T7" s="34">
        <f t="shared" si="4"/>
        <v>0.32708333333333328</v>
      </c>
      <c r="U7" s="154">
        <f t="shared" ref="U7:U34" si="11">T7*24</f>
        <v>7.8499999999999988</v>
      </c>
      <c r="V7" s="188"/>
      <c r="W7" s="156">
        <f t="shared" si="10"/>
        <v>7.8499999999999988</v>
      </c>
    </row>
    <row r="8" spans="1:23" ht="14.4" x14ac:dyDescent="0.3">
      <c r="A8" s="40"/>
      <c r="B8" s="304">
        <v>43317</v>
      </c>
      <c r="C8" s="319" t="s">
        <v>47</v>
      </c>
      <c r="D8" s="320"/>
      <c r="E8" s="310">
        <f>IFERROR(VLOOKUP(C8,TR!$B$2:$F$612,2,0),"")</f>
        <v>0</v>
      </c>
      <c r="F8" s="311">
        <f>IFERROR(VLOOKUP(C8,TR!$B$2:$F$612,3,0),"")</f>
        <v>0</v>
      </c>
      <c r="G8" s="321">
        <f t="shared" si="5"/>
        <v>0</v>
      </c>
      <c r="H8" s="310">
        <f>IFERROR(VLOOKUP(C8,TR!$B$2:$F$612,4,0),"")</f>
        <v>0</v>
      </c>
      <c r="I8" s="311">
        <f>IFERROR(VLOOKUP(C8,TR!$B$2:$F$612,5,0),"")</f>
        <v>0</v>
      </c>
      <c r="J8" s="321">
        <f t="shared" si="6"/>
        <v>0</v>
      </c>
      <c r="K8" s="322" t="str">
        <f t="shared" si="0"/>
        <v/>
      </c>
      <c r="L8" s="323" t="str">
        <f t="shared" si="1"/>
        <v/>
      </c>
      <c r="M8" s="324" t="str">
        <f t="shared" si="2"/>
        <v/>
      </c>
      <c r="N8" s="37" t="str">
        <f t="shared" si="7"/>
        <v/>
      </c>
      <c r="O8" s="315" t="str">
        <f t="shared" si="8"/>
        <v/>
      </c>
      <c r="P8" s="408" t="str">
        <f>IF(AND(L8="",M8=""),IF(OR(SUMPRODUCT(N(ISNUMBER(FIND({"s";"d";"f"},C8))))&gt;0,G8+J8&lt;0,AND(G8&gt;0,J8&gt;0,I8&gt;"20:30"*1),AND(I8&lt;="20:30"*1,SUM(I8,R8)&gt;="20:31"*1)),1,""),"")</f>
        <v/>
      </c>
      <c r="Q8" s="560" t="str">
        <f t="shared" si="9"/>
        <v/>
      </c>
      <c r="R8" s="30"/>
      <c r="S8" s="327" t="str">
        <f t="shared" si="3"/>
        <v/>
      </c>
      <c r="T8" s="34">
        <f t="shared" si="4"/>
        <v>0</v>
      </c>
      <c r="U8" s="154">
        <f t="shared" si="11"/>
        <v>0</v>
      </c>
      <c r="V8" s="188"/>
      <c r="W8" s="156" t="str">
        <f t="shared" si="10"/>
        <v>0,00</v>
      </c>
    </row>
    <row r="9" spans="1:23" ht="14.4" x14ac:dyDescent="0.3">
      <c r="A9" s="40"/>
      <c r="B9" s="304">
        <v>43318</v>
      </c>
      <c r="C9" s="319" t="s">
        <v>219</v>
      </c>
      <c r="D9" s="320"/>
      <c r="E9" s="310">
        <f>IFERROR(VLOOKUP(C9,TR!$B$2:$F$612,2,0),"")</f>
        <v>0</v>
      </c>
      <c r="F9" s="311">
        <f>IFERROR(VLOOKUP(C9,TR!$B$2:$F$612,3,0),"")</f>
        <v>0</v>
      </c>
      <c r="G9" s="321">
        <f t="shared" si="5"/>
        <v>0</v>
      </c>
      <c r="H9" s="310">
        <f>IFERROR(VLOOKUP(C9,TR!$B$2:$F$612,4,0),"")</f>
        <v>0.62847222222222221</v>
      </c>
      <c r="I9" s="311">
        <f>IFERROR(VLOOKUP(C9,TR!$B$2:$F$612,5,0),"")</f>
        <v>0.90763888888888899</v>
      </c>
      <c r="J9" s="321">
        <f t="shared" si="6"/>
        <v>0.27916666666666679</v>
      </c>
      <c r="K9" s="322" t="str">
        <f t="shared" si="0"/>
        <v/>
      </c>
      <c r="L9" s="323" t="str">
        <f t="shared" si="1"/>
        <v/>
      </c>
      <c r="M9" s="324">
        <f t="shared" si="2"/>
        <v>1</v>
      </c>
      <c r="N9" s="37" t="str">
        <f t="shared" si="7"/>
        <v/>
      </c>
      <c r="O9" s="315" t="str">
        <f t="shared" si="8"/>
        <v/>
      </c>
      <c r="P9" s="408" t="str">
        <f>IF(AND(L9="",M9=""),IF(OR(SUMPRODUCT(N(ISNUMBER(FIND({"s";"d";"f"},C9))))&gt;0,G9+J9&lt;0,AND(G9&gt;0,J9&gt;0,I9&gt;"20:30"*1),AND(I9&lt;="20:30"*1,SUM(I9,R9)&gt;="20:31"*1)),1,""),"")</f>
        <v/>
      </c>
      <c r="Q9" s="560" t="str">
        <f t="shared" si="9"/>
        <v/>
      </c>
      <c r="R9" s="30"/>
      <c r="S9" s="327">
        <f t="shared" si="3"/>
        <v>0.27916666666666679</v>
      </c>
      <c r="T9" s="34">
        <f t="shared" si="4"/>
        <v>0.27916666666666679</v>
      </c>
      <c r="U9" s="154">
        <f t="shared" si="11"/>
        <v>6.7000000000000028</v>
      </c>
      <c r="V9" s="188"/>
      <c r="W9" s="156">
        <f t="shared" si="10"/>
        <v>6.7000000000000028</v>
      </c>
    </row>
    <row r="10" spans="1:23" ht="14.4" x14ac:dyDescent="0.3">
      <c r="A10" s="40"/>
      <c r="B10" s="304">
        <v>43319</v>
      </c>
      <c r="C10" s="319" t="s">
        <v>68</v>
      </c>
      <c r="D10" s="320"/>
      <c r="E10" s="310">
        <f>IFERROR(VLOOKUP(C10,TR!$B$2:$F$612,2,0),"")</f>
        <v>0.33333333333333331</v>
      </c>
      <c r="F10" s="311">
        <f>IFERROR(VLOOKUP(C10,TR!$B$2:$F$612,3,0),"")</f>
        <v>0.5</v>
      </c>
      <c r="G10" s="321">
        <f t="shared" si="5"/>
        <v>0.16666666666666669</v>
      </c>
      <c r="H10" s="310">
        <f>IFERROR(VLOOKUP(C10,TR!$B$2:$F$612,4,0),"")</f>
        <v>0.58333333333333337</v>
      </c>
      <c r="I10" s="311">
        <f>IFERROR(VLOOKUP(C10,TR!$B$2:$F$612,5,0),"")</f>
        <v>0.73333333333333339</v>
      </c>
      <c r="J10" s="321">
        <f t="shared" si="6"/>
        <v>0.15000000000000002</v>
      </c>
      <c r="K10" s="322" t="str">
        <f t="shared" si="0"/>
        <v/>
      </c>
      <c r="L10" s="323" t="str">
        <f t="shared" si="1"/>
        <v/>
      </c>
      <c r="M10" s="324" t="str">
        <f t="shared" si="2"/>
        <v/>
      </c>
      <c r="N10" s="37" t="str">
        <f t="shared" si="7"/>
        <v/>
      </c>
      <c r="O10" s="315" t="str">
        <f t="shared" si="8"/>
        <v/>
      </c>
      <c r="P10" s="408" t="str">
        <f>IF(AND(L10="",M10=""),IF(OR(SUMPRODUCT(N(ISNUMBER(FIND({"s";"d";"f"},C10))))&gt;0,G10+J10&lt;0,AND(G10&gt;0,J10&gt;0,I10&gt;"20:30"*1),AND(I10&lt;="20:30"*1,SUM(I10,R10)&gt;="20:31"*1)),1,""),"")</f>
        <v/>
      </c>
      <c r="Q10" s="560" t="str">
        <f t="shared" si="9"/>
        <v/>
      </c>
      <c r="R10" s="30"/>
      <c r="S10" s="327">
        <f t="shared" si="3"/>
        <v>0.40000000000000008</v>
      </c>
      <c r="T10" s="34">
        <f t="shared" si="4"/>
        <v>0.31666666666666671</v>
      </c>
      <c r="U10" s="154">
        <f t="shared" si="11"/>
        <v>7.6000000000000014</v>
      </c>
      <c r="V10" s="188"/>
      <c r="W10" s="156">
        <f t="shared" si="10"/>
        <v>7.6000000000000014</v>
      </c>
    </row>
    <row r="11" spans="1:23" ht="14.4" x14ac:dyDescent="0.3">
      <c r="A11" s="40"/>
      <c r="B11" s="304">
        <v>43320</v>
      </c>
      <c r="C11" s="319" t="s">
        <v>220</v>
      </c>
      <c r="D11" s="320"/>
      <c r="E11" s="310">
        <f>IFERROR(VLOOKUP(C11,TR!$B$2:$F$612,2,0),"")</f>
        <v>0</v>
      </c>
      <c r="F11" s="311">
        <f>IFERROR(VLOOKUP(C11,TR!$B$2:$F$612,3,0),"")</f>
        <v>0</v>
      </c>
      <c r="G11" s="328">
        <f t="shared" si="5"/>
        <v>0</v>
      </c>
      <c r="H11" s="310">
        <f>IFERROR(VLOOKUP(C11,TR!$B$2:$F$612,4,0),"")</f>
        <v>0.52708333333333335</v>
      </c>
      <c r="I11" s="311">
        <f>IFERROR(VLOOKUP(C11,TR!$B$2:$F$612,5,0),"")</f>
        <v>0.90763888888888899</v>
      </c>
      <c r="J11" s="328">
        <f t="shared" si="6"/>
        <v>0.38055555555555565</v>
      </c>
      <c r="K11" s="322" t="str">
        <f t="shared" si="0"/>
        <v/>
      </c>
      <c r="L11" s="323" t="str">
        <f t="shared" si="1"/>
        <v/>
      </c>
      <c r="M11" s="324">
        <f t="shared" si="2"/>
        <v>1</v>
      </c>
      <c r="N11" s="37" t="str">
        <f t="shared" si="7"/>
        <v/>
      </c>
      <c r="O11" s="315" t="str">
        <f t="shared" si="8"/>
        <v/>
      </c>
      <c r="P11" s="408" t="str">
        <f>IF(AND(L11="",M11=""),IF(OR(SUMPRODUCT(N(ISNUMBER(FIND({"s";"d";"f"},C11))))&gt;0,G11+J11&lt;0,AND(G11&gt;0,J11&gt;0,I11&gt;"20:30"*1),AND(I11&lt;="20:30"*1,SUM(I11,R11)&gt;="20:31"*1)),1,""),"")</f>
        <v/>
      </c>
      <c r="Q11" s="560" t="str">
        <f t="shared" si="9"/>
        <v/>
      </c>
      <c r="R11" s="30"/>
      <c r="S11" s="327">
        <f t="shared" si="3"/>
        <v>0.38055555555555565</v>
      </c>
      <c r="T11" s="34">
        <f t="shared" si="4"/>
        <v>0.38055555555555565</v>
      </c>
      <c r="U11" s="154">
        <f t="shared" si="11"/>
        <v>9.1333333333333364</v>
      </c>
      <c r="V11" s="188"/>
      <c r="W11" s="156">
        <f t="shared" si="10"/>
        <v>9.1333333333333364</v>
      </c>
    </row>
    <row r="12" spans="1:23" ht="14.4" x14ac:dyDescent="0.3">
      <c r="A12" s="40"/>
      <c r="B12" s="304">
        <v>43321</v>
      </c>
      <c r="C12" s="319" t="s">
        <v>221</v>
      </c>
      <c r="D12" s="320"/>
      <c r="E12" s="310">
        <f>IFERROR(VLOOKUP(C12,TR!$B$2:$F$612,2,0),"")</f>
        <v>0</v>
      </c>
      <c r="F12" s="311">
        <f>IFERROR(VLOOKUP(C12,TR!$B$2:$F$612,3,0),"")</f>
        <v>0</v>
      </c>
      <c r="G12" s="328">
        <f t="shared" si="5"/>
        <v>0</v>
      </c>
      <c r="H12" s="310">
        <f>IFERROR(VLOOKUP(C12,TR!$B$2:$F$612,4,0),"")</f>
        <v>0.49722222222222223</v>
      </c>
      <c r="I12" s="311">
        <f>IFERROR(VLOOKUP(C12,TR!$B$2:$F$612,5,0),"")</f>
        <v>0.82847222222222217</v>
      </c>
      <c r="J12" s="328">
        <f t="shared" si="6"/>
        <v>0.33124999999999993</v>
      </c>
      <c r="K12" s="322" t="str">
        <f t="shared" si="0"/>
        <v/>
      </c>
      <c r="L12" s="323">
        <f t="shared" si="1"/>
        <v>1</v>
      </c>
      <c r="M12" s="324" t="str">
        <f t="shared" si="2"/>
        <v/>
      </c>
      <c r="N12" s="37" t="str">
        <f t="shared" si="7"/>
        <v/>
      </c>
      <c r="O12" s="315" t="str">
        <f t="shared" si="8"/>
        <v/>
      </c>
      <c r="P12" s="408" t="str">
        <f>IF(AND(L12="",M12=""),IF(OR(SUMPRODUCT(N(ISNUMBER(FIND({"s";"d";"f"},C12))))&gt;0,G12+J12&lt;0,AND(G12&gt;0,J12&gt;0,I12&gt;"20:30"*1),AND(I12&lt;="20:30"*1,SUM(I12,R12)&gt;="20:31"*1)),1,""),"")</f>
        <v/>
      </c>
      <c r="Q12" s="560" t="str">
        <f t="shared" si="9"/>
        <v/>
      </c>
      <c r="R12" s="30"/>
      <c r="S12" s="327">
        <f t="shared" si="3"/>
        <v>0.33124999999999993</v>
      </c>
      <c r="T12" s="34">
        <f t="shared" si="4"/>
        <v>0.33124999999999993</v>
      </c>
      <c r="U12" s="154">
        <f t="shared" si="11"/>
        <v>7.9499999999999984</v>
      </c>
      <c r="V12" s="188"/>
      <c r="W12" s="156">
        <f t="shared" si="10"/>
        <v>7.9499999999999984</v>
      </c>
    </row>
    <row r="13" spans="1:23" ht="14.4" x14ac:dyDescent="0.3">
      <c r="A13" s="40"/>
      <c r="B13" s="304">
        <v>43322</v>
      </c>
      <c r="C13" s="329" t="s">
        <v>231</v>
      </c>
      <c r="D13" s="330"/>
      <c r="E13" s="310">
        <f>IFERROR(VLOOKUP(C13,TR!$B$2:$F$612,2,0),"")</f>
        <v>0</v>
      </c>
      <c r="F13" s="311">
        <f>IFERROR(VLOOKUP(C13,TR!$B$2:$F$612,3,0),"")</f>
        <v>0</v>
      </c>
      <c r="G13" s="328">
        <f t="shared" si="5"/>
        <v>0</v>
      </c>
      <c r="H13" s="310">
        <f>IFERROR(VLOOKUP(C13,TR!$B$2:$F$612,4,0),"")</f>
        <v>0.49722222222222223</v>
      </c>
      <c r="I13" s="311">
        <f>IFERROR(VLOOKUP(C13,TR!$B$2:$F$612,5,0),"")</f>
        <v>0.82847222222222217</v>
      </c>
      <c r="J13" s="328">
        <f t="shared" si="6"/>
        <v>0.33124999999999993</v>
      </c>
      <c r="K13" s="322" t="str">
        <f t="shared" si="0"/>
        <v/>
      </c>
      <c r="L13" s="323">
        <f t="shared" si="1"/>
        <v>1</v>
      </c>
      <c r="M13" s="324" t="str">
        <f t="shared" si="2"/>
        <v/>
      </c>
      <c r="N13" s="37" t="str">
        <f t="shared" si="7"/>
        <v/>
      </c>
      <c r="O13" s="315" t="str">
        <f t="shared" si="8"/>
        <v/>
      </c>
      <c r="P13" s="408" t="str">
        <f>IF(AND(L13="",M13=""),IF(OR(SUMPRODUCT(N(ISNUMBER(FIND({"s";"d";"f"},C13))))&gt;0,G13+J13&lt;0,AND(G13&gt;0,J13&gt;0,I13&gt;"20:30"*1),AND(I13&lt;="20:30"*1,SUM(I13,R13)&gt;="20:31"*1)),1,""),"")</f>
        <v/>
      </c>
      <c r="Q13" s="560" t="str">
        <f t="shared" si="9"/>
        <v/>
      </c>
      <c r="R13" s="31"/>
      <c r="S13" s="327">
        <f t="shared" si="3"/>
        <v>0.33124999999999993</v>
      </c>
      <c r="T13" s="34">
        <f t="shared" si="4"/>
        <v>0.33124999999999993</v>
      </c>
      <c r="U13" s="154">
        <f t="shared" si="11"/>
        <v>7.9499999999999984</v>
      </c>
      <c r="V13" s="188"/>
      <c r="W13" s="156">
        <f t="shared" si="10"/>
        <v>7.9499999999999984</v>
      </c>
    </row>
    <row r="14" spans="1:23" ht="14.4" x14ac:dyDescent="0.3">
      <c r="A14" s="40"/>
      <c r="B14" s="304">
        <v>43323</v>
      </c>
      <c r="C14" s="331" t="s">
        <v>46</v>
      </c>
      <c r="D14" s="332"/>
      <c r="E14" s="310">
        <f>IFERROR(VLOOKUP(C14,TR!$B$2:$F$612,2,0),"")</f>
        <v>0</v>
      </c>
      <c r="F14" s="311">
        <f>IFERROR(VLOOKUP(C14,TR!$B$2:$F$612,3,0),"")</f>
        <v>0</v>
      </c>
      <c r="G14" s="328">
        <f t="shared" si="5"/>
        <v>0</v>
      </c>
      <c r="H14" s="310">
        <f>IFERROR(VLOOKUP(C14,TR!$B$2:$F$612,4,0),"")</f>
        <v>0</v>
      </c>
      <c r="I14" s="311">
        <f>IFERROR(VLOOKUP(C14,TR!$B$2:$F$612,5,0),"")</f>
        <v>0</v>
      </c>
      <c r="J14" s="328">
        <f t="shared" si="6"/>
        <v>0</v>
      </c>
      <c r="K14" s="322" t="str">
        <f t="shared" si="0"/>
        <v/>
      </c>
      <c r="L14" s="323" t="str">
        <f t="shared" si="1"/>
        <v/>
      </c>
      <c r="M14" s="324" t="str">
        <f t="shared" si="2"/>
        <v/>
      </c>
      <c r="N14" s="37" t="str">
        <f t="shared" si="7"/>
        <v/>
      </c>
      <c r="O14" s="315" t="str">
        <f t="shared" si="8"/>
        <v/>
      </c>
      <c r="P14" s="408" t="str">
        <f>IF(AND(L14="",M14=""),IF(OR(SUMPRODUCT(N(ISNUMBER(FIND({"s";"d";"f"},C14))))&gt;0,G14+J14&lt;0,AND(G14&gt;0,J14&gt;0,I14&gt;"20:30"*1),AND(I14&lt;="20:30"*1,SUM(I14,R14)&gt;="20:31"*1)),1,""),"")</f>
        <v/>
      </c>
      <c r="Q14" s="560" t="str">
        <f t="shared" si="9"/>
        <v/>
      </c>
      <c r="R14" s="31"/>
      <c r="S14" s="327" t="str">
        <f t="shared" si="3"/>
        <v/>
      </c>
      <c r="T14" s="34">
        <f t="shared" si="4"/>
        <v>0</v>
      </c>
      <c r="U14" s="154">
        <f t="shared" si="11"/>
        <v>0</v>
      </c>
      <c r="V14" s="188"/>
      <c r="W14" s="156" t="str">
        <f t="shared" si="10"/>
        <v>0,00</v>
      </c>
    </row>
    <row r="15" spans="1:23" ht="14.4" x14ac:dyDescent="0.3">
      <c r="A15" s="40"/>
      <c r="B15" s="304">
        <v>43324</v>
      </c>
      <c r="C15" s="331" t="s">
        <v>47</v>
      </c>
      <c r="D15" s="332"/>
      <c r="E15" s="310">
        <f>IFERROR(VLOOKUP(C15,TR!$B$2:$F$612,2,0),"")</f>
        <v>0</v>
      </c>
      <c r="F15" s="311">
        <f>IFERROR(VLOOKUP(C15,TR!$B$2:$F$612,3,0),"")</f>
        <v>0</v>
      </c>
      <c r="G15" s="328">
        <f t="shared" si="5"/>
        <v>0</v>
      </c>
      <c r="H15" s="310">
        <f>IFERROR(VLOOKUP(C15,TR!$B$2:$F$612,4,0),"")</f>
        <v>0</v>
      </c>
      <c r="I15" s="311">
        <f>IFERROR(VLOOKUP(C15,TR!$B$2:$F$612,5,0),"")</f>
        <v>0</v>
      </c>
      <c r="J15" s="328">
        <f t="shared" si="6"/>
        <v>0</v>
      </c>
      <c r="K15" s="322" t="str">
        <f t="shared" si="0"/>
        <v/>
      </c>
      <c r="L15" s="323" t="str">
        <f t="shared" si="1"/>
        <v/>
      </c>
      <c r="M15" s="324" t="str">
        <f t="shared" si="2"/>
        <v/>
      </c>
      <c r="N15" s="37" t="str">
        <f t="shared" si="7"/>
        <v/>
      </c>
      <c r="O15" s="315" t="str">
        <f t="shared" si="8"/>
        <v/>
      </c>
      <c r="P15" s="408" t="str">
        <f>IF(AND(L15="",M15=""),IF(OR(SUMPRODUCT(N(ISNUMBER(FIND({"s";"d";"f"},C15))))&gt;0,G15+J15&lt;0,AND(G15&gt;0,J15&gt;0,I15&gt;"20:30"*1),AND(I15&lt;="20:30"*1,SUM(I15,R15)&gt;="20:31"*1)),1,""),"")</f>
        <v/>
      </c>
      <c r="Q15" s="560" t="str">
        <f t="shared" si="9"/>
        <v/>
      </c>
      <c r="R15" s="30"/>
      <c r="S15" s="327" t="str">
        <f t="shared" si="3"/>
        <v/>
      </c>
      <c r="T15" s="34">
        <f t="shared" si="4"/>
        <v>0</v>
      </c>
      <c r="U15" s="154">
        <f t="shared" si="11"/>
        <v>0</v>
      </c>
      <c r="V15" s="188"/>
      <c r="W15" s="156" t="str">
        <f t="shared" si="10"/>
        <v>0,00</v>
      </c>
    </row>
    <row r="16" spans="1:23" ht="14.4" x14ac:dyDescent="0.3">
      <c r="A16" s="40"/>
      <c r="B16" s="304">
        <v>43325</v>
      </c>
      <c r="C16" s="329" t="s">
        <v>46</v>
      </c>
      <c r="D16" s="330"/>
      <c r="E16" s="310">
        <f>IFERROR(VLOOKUP(C16,TR!$B$2:$F$612,2,0),"")</f>
        <v>0</v>
      </c>
      <c r="F16" s="311">
        <f>IFERROR(VLOOKUP(C16,TR!$B$2:$F$612,3,0),"")</f>
        <v>0</v>
      </c>
      <c r="G16" s="328">
        <f t="shared" si="5"/>
        <v>0</v>
      </c>
      <c r="H16" s="310">
        <f>IFERROR(VLOOKUP(C16,TR!$B$2:$F$612,4,0),"")</f>
        <v>0</v>
      </c>
      <c r="I16" s="311">
        <f>IFERROR(VLOOKUP(C16,TR!$B$2:$F$612,5,0),"")</f>
        <v>0</v>
      </c>
      <c r="J16" s="328">
        <f t="shared" si="6"/>
        <v>0</v>
      </c>
      <c r="K16" s="322" t="str">
        <f t="shared" si="0"/>
        <v/>
      </c>
      <c r="L16" s="323" t="str">
        <f t="shared" si="1"/>
        <v/>
      </c>
      <c r="M16" s="324" t="str">
        <f t="shared" si="2"/>
        <v/>
      </c>
      <c r="N16" s="37" t="str">
        <f t="shared" si="7"/>
        <v/>
      </c>
      <c r="O16" s="315" t="str">
        <f t="shared" si="8"/>
        <v/>
      </c>
      <c r="P16" s="408" t="str">
        <f>IF(AND(L16="",M16=""),IF(OR(SUMPRODUCT(N(ISNUMBER(FIND({"s";"d";"f"},C16))))&gt;0,G16+J16&lt;0,AND(G16&gt;0,J16&gt;0,I16&gt;"20:30"*1),AND(I16&lt;="20:30"*1,SUM(I16,R16)&gt;="20:31"*1)),1,""),"")</f>
        <v/>
      </c>
      <c r="Q16" s="560" t="str">
        <f t="shared" si="9"/>
        <v/>
      </c>
      <c r="R16" s="31"/>
      <c r="S16" s="327" t="str">
        <f t="shared" si="3"/>
        <v/>
      </c>
      <c r="T16" s="34">
        <f t="shared" si="4"/>
        <v>0</v>
      </c>
      <c r="U16" s="154">
        <f t="shared" si="11"/>
        <v>0</v>
      </c>
      <c r="V16" s="188"/>
      <c r="W16" s="156" t="str">
        <f t="shared" si="10"/>
        <v>0,00</v>
      </c>
    </row>
    <row r="17" spans="1:23" ht="14.4" x14ac:dyDescent="0.3">
      <c r="A17" s="40"/>
      <c r="B17" s="304">
        <v>43326</v>
      </c>
      <c r="C17" s="319" t="s">
        <v>45</v>
      </c>
      <c r="D17" s="320"/>
      <c r="E17" s="310">
        <f>IFERROR(VLOOKUP(C17,TR!$B$2:$F$612,2,0),"")</f>
        <v>0</v>
      </c>
      <c r="F17" s="311">
        <f>IFERROR(VLOOKUP(C17,TR!$B$2:$F$612,3,0),"")</f>
        <v>0</v>
      </c>
      <c r="G17" s="321">
        <f t="shared" si="5"/>
        <v>0</v>
      </c>
      <c r="H17" s="310">
        <f>IFERROR(VLOOKUP(C17,TR!$B$2:$F$612,4,0),"")</f>
        <v>0</v>
      </c>
      <c r="I17" s="311">
        <f>IFERROR(VLOOKUP(C17,TR!$B$2:$F$612,5,0),"")</f>
        <v>0</v>
      </c>
      <c r="J17" s="321">
        <f t="shared" si="6"/>
        <v>0</v>
      </c>
      <c r="K17" s="322" t="str">
        <f t="shared" si="0"/>
        <v/>
      </c>
      <c r="L17" s="323" t="str">
        <f t="shared" si="1"/>
        <v/>
      </c>
      <c r="M17" s="324" t="str">
        <f t="shared" si="2"/>
        <v/>
      </c>
      <c r="N17" s="37" t="str">
        <f t="shared" si="7"/>
        <v/>
      </c>
      <c r="O17" s="315" t="str">
        <f t="shared" si="8"/>
        <v/>
      </c>
      <c r="P17" s="408" t="str">
        <f>IF(AND(L17="",M17=""),IF(OR(SUMPRODUCT(N(ISNUMBER(FIND({"s";"d";"f"},C17))))&gt;0,G17+J17&lt;0,AND(G17&gt;0,J17&gt;0,I17&gt;"20:30"*1),AND(I17&lt;="20:30"*1,SUM(I17,R17)&gt;="20:31"*1)),1,""),"")</f>
        <v/>
      </c>
      <c r="Q17" s="560" t="str">
        <f t="shared" si="9"/>
        <v/>
      </c>
      <c r="R17" s="31"/>
      <c r="S17" s="327" t="str">
        <f t="shared" si="3"/>
        <v/>
      </c>
      <c r="T17" s="34">
        <f t="shared" si="4"/>
        <v>0</v>
      </c>
      <c r="U17" s="154">
        <f t="shared" si="11"/>
        <v>0</v>
      </c>
      <c r="V17" s="188"/>
      <c r="W17" s="156" t="str">
        <f t="shared" si="10"/>
        <v>0,00</v>
      </c>
    </row>
    <row r="18" spans="1:23" ht="14.4" x14ac:dyDescent="0.3">
      <c r="A18" s="40"/>
      <c r="B18" s="304">
        <v>43327</v>
      </c>
      <c r="C18" s="319" t="s">
        <v>11</v>
      </c>
      <c r="D18" s="320"/>
      <c r="E18" s="310">
        <f>IFERROR(VLOOKUP(C18,TR!$B$2:$F$612,2,0),"")</f>
        <v>0</v>
      </c>
      <c r="F18" s="311">
        <f>IFERROR(VLOOKUP(C18,TR!$B$2:$F$612,3,0),"")</f>
        <v>0</v>
      </c>
      <c r="G18" s="321">
        <f t="shared" si="5"/>
        <v>0</v>
      </c>
      <c r="H18" s="310">
        <f>IFERROR(VLOOKUP(C18,TR!$B$2:$F$612,4,0),"")</f>
        <v>0</v>
      </c>
      <c r="I18" s="311">
        <f>IFERROR(VLOOKUP(C18,TR!$B$2:$F$612,5,0),"")</f>
        <v>0</v>
      </c>
      <c r="J18" s="321">
        <f t="shared" si="6"/>
        <v>0</v>
      </c>
      <c r="K18" s="322" t="str">
        <f t="shared" si="0"/>
        <v/>
      </c>
      <c r="L18" s="323" t="str">
        <f t="shared" si="1"/>
        <v/>
      </c>
      <c r="M18" s="324" t="str">
        <f t="shared" si="2"/>
        <v/>
      </c>
      <c r="N18" s="37" t="str">
        <f t="shared" si="7"/>
        <v/>
      </c>
      <c r="O18" s="315" t="str">
        <f t="shared" si="8"/>
        <v/>
      </c>
      <c r="P18" s="408" t="str">
        <f>IF(AND(L18="",M18=""),IF(OR(SUMPRODUCT(N(ISNUMBER(FIND({"s";"d";"f"},C18))))&gt;0,G18+J18&lt;0,AND(G18&gt;0,J18&gt;0,I18&gt;"20:30"*1),AND(I18&lt;="20:30"*1,SUM(I18,R18)&gt;="20:31"*1)),1,""),"")</f>
        <v/>
      </c>
      <c r="Q18" s="560" t="str">
        <f t="shared" si="9"/>
        <v/>
      </c>
      <c r="R18" s="31"/>
      <c r="S18" s="327" t="str">
        <f t="shared" si="3"/>
        <v/>
      </c>
      <c r="T18" s="34">
        <f t="shared" si="4"/>
        <v>0</v>
      </c>
      <c r="U18" s="154">
        <f t="shared" si="11"/>
        <v>0</v>
      </c>
      <c r="V18" s="188"/>
      <c r="W18" s="156" t="str">
        <f t="shared" si="10"/>
        <v>0,00</v>
      </c>
    </row>
    <row r="19" spans="1:23" ht="14.4" x14ac:dyDescent="0.3">
      <c r="A19" s="40"/>
      <c r="B19" s="304">
        <v>43328</v>
      </c>
      <c r="C19" s="319" t="s">
        <v>222</v>
      </c>
      <c r="D19" s="320"/>
      <c r="E19" s="310">
        <f>IFERROR(VLOOKUP(C19,TR!$B$2:$F$612,2,0),"")</f>
        <v>0.20902777777777778</v>
      </c>
      <c r="F19" s="311">
        <f>IFERROR(VLOOKUP(C19,TR!$B$2:$F$612,3,0),"")</f>
        <v>0.53402777777777777</v>
      </c>
      <c r="G19" s="321">
        <f t="shared" si="5"/>
        <v>0.32499999999999996</v>
      </c>
      <c r="H19" s="310">
        <f>IFERROR(VLOOKUP(C19,TR!$B$2:$F$612,4,0),"")</f>
        <v>0</v>
      </c>
      <c r="I19" s="311">
        <f>IFERROR(VLOOKUP(C19,TR!$B$2:$F$612,5,0),"")</f>
        <v>0</v>
      </c>
      <c r="J19" s="321">
        <f t="shared" si="6"/>
        <v>0</v>
      </c>
      <c r="K19" s="322" t="str">
        <f t="shared" si="0"/>
        <v/>
      </c>
      <c r="L19" s="323" t="str">
        <f t="shared" si="1"/>
        <v/>
      </c>
      <c r="M19" s="324" t="str">
        <f t="shared" si="2"/>
        <v/>
      </c>
      <c r="N19" s="37" t="str">
        <f t="shared" si="7"/>
        <v/>
      </c>
      <c r="O19" s="315" t="str">
        <f t="shared" si="8"/>
        <v/>
      </c>
      <c r="P19" s="408" t="str">
        <f>IF(AND(L19="",M19=""),IF(OR(SUMPRODUCT(N(ISNUMBER(FIND({"s";"d";"f"},C19))))&gt;0,G19+J19&lt;0,AND(G19&gt;0,J19&gt;0,I19&gt;"20:30"*1),AND(I19&lt;="20:30"*1,SUM(I19,R19)&gt;="20:31"*1)),1,""),"")</f>
        <v/>
      </c>
      <c r="Q19" s="560" t="str">
        <f t="shared" si="9"/>
        <v/>
      </c>
      <c r="R19" s="31"/>
      <c r="S19" s="327">
        <f t="shared" si="3"/>
        <v>0.32499999999999996</v>
      </c>
      <c r="T19" s="34">
        <f t="shared" si="4"/>
        <v>0.32499999999999996</v>
      </c>
      <c r="U19" s="154">
        <f t="shared" si="11"/>
        <v>7.7999999999999989</v>
      </c>
      <c r="V19" s="188"/>
      <c r="W19" s="156">
        <f t="shared" si="10"/>
        <v>7.7999999999999989</v>
      </c>
    </row>
    <row r="20" spans="1:23" ht="14.4" x14ac:dyDescent="0.3">
      <c r="A20" s="40"/>
      <c r="B20" s="304">
        <v>43329</v>
      </c>
      <c r="C20" s="319" t="s">
        <v>232</v>
      </c>
      <c r="D20" s="320"/>
      <c r="E20" s="310">
        <f>IFERROR(VLOOKUP(C20,TR!$B$2:$F$612,2,0),"")</f>
        <v>0.24652777777777779</v>
      </c>
      <c r="F20" s="311">
        <f>IFERROR(VLOOKUP(C20,TR!$B$2:$F$612,3,0),"")</f>
        <v>0.5708333333333333</v>
      </c>
      <c r="G20" s="321">
        <f t="shared" si="5"/>
        <v>0.32430555555555551</v>
      </c>
      <c r="H20" s="310">
        <f>IFERROR(VLOOKUP(C20,TR!$B$2:$F$612,4,0),"")</f>
        <v>0</v>
      </c>
      <c r="I20" s="311">
        <f>IFERROR(VLOOKUP(C20,TR!$B$2:$F$612,5,0),"")</f>
        <v>0</v>
      </c>
      <c r="J20" s="321">
        <f t="shared" si="6"/>
        <v>0</v>
      </c>
      <c r="K20" s="322" t="str">
        <f t="shared" si="0"/>
        <v/>
      </c>
      <c r="L20" s="323">
        <f t="shared" si="1"/>
        <v>1</v>
      </c>
      <c r="M20" s="324" t="str">
        <f t="shared" si="2"/>
        <v/>
      </c>
      <c r="N20" s="37" t="str">
        <f t="shared" si="7"/>
        <v/>
      </c>
      <c r="O20" s="315" t="str">
        <f t="shared" si="8"/>
        <v/>
      </c>
      <c r="P20" s="408" t="str">
        <f>IF(AND(L20="",M20=""),IF(OR(SUMPRODUCT(N(ISNUMBER(FIND({"s";"d";"f"},C20))))&gt;0,G20+J20&lt;0,AND(G20&gt;0,J20&gt;0,I20&gt;"20:30"*1),AND(I20&lt;="20:30"*1,SUM(I20,R20)&gt;="20:31"*1)),1,""),"")</f>
        <v/>
      </c>
      <c r="Q20" s="560" t="str">
        <f t="shared" si="9"/>
        <v/>
      </c>
      <c r="R20" s="31"/>
      <c r="S20" s="327">
        <f t="shared" si="3"/>
        <v>0.32430555555555551</v>
      </c>
      <c r="T20" s="34">
        <f t="shared" si="4"/>
        <v>0.32430555555555551</v>
      </c>
      <c r="U20" s="154">
        <f t="shared" si="11"/>
        <v>7.7833333333333323</v>
      </c>
      <c r="V20" s="188"/>
      <c r="W20" s="156">
        <f t="shared" si="10"/>
        <v>7.7833333333333323</v>
      </c>
    </row>
    <row r="21" spans="1:23" ht="14.4" x14ac:dyDescent="0.3">
      <c r="A21" s="40"/>
      <c r="B21" s="304">
        <v>43330</v>
      </c>
      <c r="C21" s="331" t="s">
        <v>233</v>
      </c>
      <c r="D21" s="332"/>
      <c r="E21" s="310">
        <f>IFERROR(VLOOKUP(C21,TR!$B$2:$F$612,2,0),"")</f>
        <v>0.20347222222222219</v>
      </c>
      <c r="F21" s="311">
        <f>IFERROR(VLOOKUP(C21,TR!$B$2:$F$612,3,0),"")</f>
        <v>0.50902777777777775</v>
      </c>
      <c r="G21" s="328">
        <f t="shared" si="5"/>
        <v>0.30555555555555558</v>
      </c>
      <c r="H21" s="310">
        <f>IFERROR(VLOOKUP(C21,TR!$B$2:$F$612,4,0),"")</f>
        <v>0</v>
      </c>
      <c r="I21" s="311">
        <f>IFERROR(VLOOKUP(C21,TR!$B$2:$F$612,5,0),"")</f>
        <v>0</v>
      </c>
      <c r="J21" s="328">
        <f t="shared" si="6"/>
        <v>0</v>
      </c>
      <c r="K21" s="322">
        <f t="shared" si="0"/>
        <v>1</v>
      </c>
      <c r="L21" s="323" t="str">
        <f t="shared" si="1"/>
        <v/>
      </c>
      <c r="M21" s="324" t="str">
        <f t="shared" si="2"/>
        <v/>
      </c>
      <c r="N21" s="37" t="str">
        <f t="shared" si="7"/>
        <v/>
      </c>
      <c r="O21" s="315" t="str">
        <f t="shared" si="8"/>
        <v/>
      </c>
      <c r="P21" s="408">
        <f>IF(AND(L21="",M21=""),IF(OR(SUMPRODUCT(N(ISNUMBER(FIND({"s";"d";"f"},C21))))&gt;0,G21+J21&lt;0,AND(G21&gt;0,J21&gt;0,I21&gt;"20:30"*1),AND(I21&lt;="20:30"*1,SUM(I21,R21)&gt;="20:31"*1)),1,""),"")</f>
        <v>1</v>
      </c>
      <c r="Q21" s="560" t="str">
        <f t="shared" si="9"/>
        <v/>
      </c>
      <c r="R21" s="31"/>
      <c r="S21" s="327">
        <f t="shared" si="3"/>
        <v>0.30555555555555558</v>
      </c>
      <c r="T21" s="34">
        <f t="shared" si="4"/>
        <v>0.30555555555555558</v>
      </c>
      <c r="U21" s="154">
        <f t="shared" si="11"/>
        <v>7.3333333333333339</v>
      </c>
      <c r="V21" s="188"/>
      <c r="W21" s="156">
        <f t="shared" si="10"/>
        <v>7.3333333333333339</v>
      </c>
    </row>
    <row r="22" spans="1:23" ht="14.4" x14ac:dyDescent="0.3">
      <c r="A22" s="40"/>
      <c r="B22" s="304">
        <v>43331</v>
      </c>
      <c r="C22" s="329" t="s">
        <v>47</v>
      </c>
      <c r="D22" s="330"/>
      <c r="E22" s="310">
        <f>IFERROR(VLOOKUP(C22,TR!$B$2:$F$612,2,0),"")</f>
        <v>0</v>
      </c>
      <c r="F22" s="311">
        <f>IFERROR(VLOOKUP(C22,TR!$B$2:$F$612,3,0),"")</f>
        <v>0</v>
      </c>
      <c r="G22" s="328">
        <f t="shared" si="5"/>
        <v>0</v>
      </c>
      <c r="H22" s="310">
        <f>IFERROR(VLOOKUP(C22,TR!$B$2:$F$612,4,0),"")</f>
        <v>0</v>
      </c>
      <c r="I22" s="311">
        <f>IFERROR(VLOOKUP(C22,TR!$B$2:$F$612,5,0),"")</f>
        <v>0</v>
      </c>
      <c r="J22" s="328">
        <f t="shared" si="6"/>
        <v>0</v>
      </c>
      <c r="K22" s="322" t="str">
        <f t="shared" si="0"/>
        <v/>
      </c>
      <c r="L22" s="323" t="str">
        <f t="shared" si="1"/>
        <v/>
      </c>
      <c r="M22" s="324" t="str">
        <f t="shared" si="2"/>
        <v/>
      </c>
      <c r="N22" s="37" t="str">
        <f t="shared" si="7"/>
        <v/>
      </c>
      <c r="O22" s="315" t="str">
        <f t="shared" si="8"/>
        <v/>
      </c>
      <c r="P22" s="408" t="str">
        <f>IF(AND(L22="",M22=""),IF(OR(SUMPRODUCT(N(ISNUMBER(FIND({"s";"d";"f"},C22))))&gt;0,G22+J22&lt;0,AND(G22&gt;0,J22&gt;0,I22&gt;"20:30"*1),AND(I22&lt;="20:30"*1,SUM(I22,R22)&gt;="20:31"*1)),1,""),"")</f>
        <v/>
      </c>
      <c r="Q22" s="560" t="str">
        <f t="shared" si="9"/>
        <v/>
      </c>
      <c r="R22" s="31"/>
      <c r="S22" s="327" t="str">
        <f t="shared" si="3"/>
        <v/>
      </c>
      <c r="T22" s="34">
        <f t="shared" si="4"/>
        <v>0</v>
      </c>
      <c r="U22" s="154">
        <f t="shared" si="11"/>
        <v>0</v>
      </c>
      <c r="V22" s="188"/>
      <c r="W22" s="156" t="str">
        <f t="shared" si="10"/>
        <v>0,00</v>
      </c>
    </row>
    <row r="23" spans="1:23" ht="15" thickBot="1" x14ac:dyDescent="0.35">
      <c r="A23" s="40"/>
      <c r="B23" s="417">
        <v>43332</v>
      </c>
      <c r="C23" s="455" t="s">
        <v>223</v>
      </c>
      <c r="D23" s="456"/>
      <c r="E23" s="420">
        <f>IFERROR(VLOOKUP(C23,TR!$B$2:$F$612,2,0),"")</f>
        <v>0</v>
      </c>
      <c r="F23" s="421">
        <f>IFERROR(VLOOKUP(C23,TR!$B$2:$F$612,3,0),"")</f>
        <v>0</v>
      </c>
      <c r="G23" s="422">
        <f t="shared" si="5"/>
        <v>0</v>
      </c>
      <c r="H23" s="420">
        <f>IFERROR(VLOOKUP(C23,TR!$B$2:$F$612,4,0),"")</f>
        <v>0.62430555555555556</v>
      </c>
      <c r="I23" s="421">
        <f>IFERROR(VLOOKUP(C23,TR!$B$2:$F$612,5,0),"")</f>
        <v>0.94652777777777775</v>
      </c>
      <c r="J23" s="422">
        <f t="shared" si="6"/>
        <v>0.32222222222222219</v>
      </c>
      <c r="K23" s="536">
        <f t="shared" si="0"/>
        <v>1</v>
      </c>
      <c r="L23" s="540" t="str">
        <f t="shared" si="1"/>
        <v/>
      </c>
      <c r="M23" s="538">
        <f t="shared" si="2"/>
        <v>1</v>
      </c>
      <c r="N23" s="245" t="str">
        <f t="shared" si="7"/>
        <v/>
      </c>
      <c r="O23" s="341" t="str">
        <f t="shared" si="8"/>
        <v/>
      </c>
      <c r="P23" s="424" t="str">
        <f>IF(AND(L23="",M23=""),IF(OR(SUMPRODUCT(N(ISNUMBER(FIND({"s";"d";"f"},C23))))&gt;0,G23+J23&lt;0,AND(G23&gt;0,J23&gt;0,I23&gt;"20:30"*1),AND(I23&lt;="20:30"*1,SUM(I23,R23)&gt;="20:31"*1)),1,""),"")</f>
        <v/>
      </c>
      <c r="Q23" s="561" t="str">
        <f t="shared" si="9"/>
        <v/>
      </c>
      <c r="R23" s="233"/>
      <c r="S23" s="425">
        <f t="shared" si="3"/>
        <v>0.32222222222222219</v>
      </c>
      <c r="T23" s="234">
        <f t="shared" si="4"/>
        <v>0.32222222222222219</v>
      </c>
      <c r="U23" s="235">
        <f t="shared" si="11"/>
        <v>7.7333333333333325</v>
      </c>
      <c r="V23" s="236"/>
      <c r="W23" s="251">
        <f t="shared" si="10"/>
        <v>7.7333333333333325</v>
      </c>
    </row>
    <row r="24" spans="1:23" ht="14.4" x14ac:dyDescent="0.3">
      <c r="A24" s="40"/>
      <c r="B24" s="426">
        <v>43333</v>
      </c>
      <c r="C24" s="457" t="s">
        <v>216</v>
      </c>
      <c r="D24" s="458"/>
      <c r="E24" s="429">
        <f>IFERROR(VLOOKUP(C24,TR!$B$2:$F$612,2,0),"")</f>
        <v>0</v>
      </c>
      <c r="F24" s="430">
        <f>IFERROR(VLOOKUP(C24,TR!$B$2:$F$612,3,0),"")</f>
        <v>0</v>
      </c>
      <c r="G24" s="431">
        <f t="shared" si="5"/>
        <v>0</v>
      </c>
      <c r="H24" s="429">
        <f>IFERROR(VLOOKUP(C24,TR!$B$2:$F$612,4,0),"")</f>
        <v>0.52986111111111112</v>
      </c>
      <c r="I24" s="430">
        <f>IFERROR(VLOOKUP(C24,TR!$B$2:$F$612,5,0),"")</f>
        <v>0.85902777777777783</v>
      </c>
      <c r="J24" s="431">
        <f t="shared" si="6"/>
        <v>0.32916666666666672</v>
      </c>
      <c r="K24" s="533" t="str">
        <f t="shared" si="0"/>
        <v/>
      </c>
      <c r="L24" s="539" t="str">
        <f t="shared" si="1"/>
        <v/>
      </c>
      <c r="M24" s="535" t="str">
        <f t="shared" si="2"/>
        <v/>
      </c>
      <c r="N24" s="243" t="str">
        <f t="shared" si="7"/>
        <v/>
      </c>
      <c r="O24" s="350" t="str">
        <f t="shared" si="8"/>
        <v/>
      </c>
      <c r="P24" s="433" t="str">
        <f>IF(AND(L24="",M24=""),IF(OR(SUMPRODUCT(N(ISNUMBER(FIND({"s";"d";"f"},C24))))&gt;0,G24+J24&lt;0,AND(G24&gt;0,J24&gt;0,I24&gt;"20:30"*1),AND(I24&lt;="20:30"*1,SUM(I24,R24)&gt;="20:31"*1)),1,""),"")</f>
        <v/>
      </c>
      <c r="Q24" s="562" t="str">
        <f t="shared" si="9"/>
        <v/>
      </c>
      <c r="R24" s="238"/>
      <c r="S24" s="434">
        <f t="shared" si="3"/>
        <v>0.32916666666666672</v>
      </c>
      <c r="T24" s="239">
        <f t="shared" si="4"/>
        <v>0.32916666666666672</v>
      </c>
      <c r="U24" s="240">
        <f t="shared" si="11"/>
        <v>7.9000000000000012</v>
      </c>
      <c r="V24" s="241"/>
      <c r="W24" s="242">
        <f t="shared" si="10"/>
        <v>7.9000000000000012</v>
      </c>
    </row>
    <row r="25" spans="1:23" ht="14.4" x14ac:dyDescent="0.3">
      <c r="A25" s="40"/>
      <c r="B25" s="304">
        <v>43334</v>
      </c>
      <c r="C25" s="329" t="s">
        <v>224</v>
      </c>
      <c r="D25" s="330"/>
      <c r="E25" s="310">
        <f>IFERROR(VLOOKUP(C25,TR!$B$2:$F$612,2,0),"")</f>
        <v>0</v>
      </c>
      <c r="F25" s="311">
        <f>IFERROR(VLOOKUP(C25,TR!$B$2:$F$612,3,0),"")</f>
        <v>0</v>
      </c>
      <c r="G25" s="328">
        <f t="shared" si="5"/>
        <v>0</v>
      </c>
      <c r="H25" s="310">
        <f>IFERROR(VLOOKUP(C25,TR!$B$2:$F$612,4,0),"")</f>
        <v>0.54097222222222219</v>
      </c>
      <c r="I25" s="311">
        <f>IFERROR(VLOOKUP(C25,TR!$B$2:$F$612,5,0),"")</f>
        <v>0.86944444444444446</v>
      </c>
      <c r="J25" s="328">
        <f t="shared" si="6"/>
        <v>0.32847222222222228</v>
      </c>
      <c r="K25" s="322" t="str">
        <f t="shared" si="0"/>
        <v/>
      </c>
      <c r="L25" s="323" t="str">
        <f t="shared" si="1"/>
        <v/>
      </c>
      <c r="M25" s="324" t="str">
        <f t="shared" si="2"/>
        <v/>
      </c>
      <c r="N25" s="37" t="str">
        <f t="shared" si="7"/>
        <v/>
      </c>
      <c r="O25" s="315" t="str">
        <f t="shared" si="8"/>
        <v/>
      </c>
      <c r="P25" s="408" t="str">
        <f>IF(AND(L25="",M25=""),IF(OR(SUMPRODUCT(N(ISNUMBER(FIND({"s";"d";"f"},C25))))&gt;0,G25+J25&lt;0,AND(G25&gt;0,J25&gt;0,I25&gt;"20:30"*1),AND(I25&lt;="20:30"*1,SUM(I25,R25)&gt;="20:31"*1)),1,""),"")</f>
        <v/>
      </c>
      <c r="Q25" s="560" t="str">
        <f t="shared" si="9"/>
        <v/>
      </c>
      <c r="R25" s="31"/>
      <c r="S25" s="327">
        <f t="shared" si="3"/>
        <v>0.32847222222222228</v>
      </c>
      <c r="T25" s="34">
        <f t="shared" si="4"/>
        <v>0.32847222222222228</v>
      </c>
      <c r="U25" s="154">
        <f t="shared" si="11"/>
        <v>7.8833333333333346</v>
      </c>
      <c r="V25" s="188"/>
      <c r="W25" s="156">
        <f t="shared" si="10"/>
        <v>7.8833333333333346</v>
      </c>
    </row>
    <row r="26" spans="1:23" ht="14.4" x14ac:dyDescent="0.3">
      <c r="A26" s="40"/>
      <c r="B26" s="304">
        <v>43335</v>
      </c>
      <c r="C26" s="319" t="s">
        <v>46</v>
      </c>
      <c r="D26" s="320"/>
      <c r="E26" s="310">
        <f>IFERROR(VLOOKUP(C26,TR!$B$2:$F$612,2,0),"")</f>
        <v>0</v>
      </c>
      <c r="F26" s="311">
        <f>IFERROR(VLOOKUP(C26,TR!$B$2:$F$612,3,0),"")</f>
        <v>0</v>
      </c>
      <c r="G26" s="321">
        <f t="shared" si="5"/>
        <v>0</v>
      </c>
      <c r="H26" s="310">
        <f>IFERROR(VLOOKUP(C26,TR!$B$2:$F$612,4,0),"")</f>
        <v>0</v>
      </c>
      <c r="I26" s="311">
        <f>IFERROR(VLOOKUP(C26,TR!$B$2:$F$612,5,0),"")</f>
        <v>0</v>
      </c>
      <c r="J26" s="321">
        <f t="shared" si="6"/>
        <v>0</v>
      </c>
      <c r="K26" s="322" t="str">
        <f t="shared" si="0"/>
        <v/>
      </c>
      <c r="L26" s="323" t="str">
        <f t="shared" si="1"/>
        <v/>
      </c>
      <c r="M26" s="324" t="str">
        <f t="shared" si="2"/>
        <v/>
      </c>
      <c r="N26" s="37" t="str">
        <f t="shared" si="7"/>
        <v/>
      </c>
      <c r="O26" s="315" t="str">
        <f t="shared" si="8"/>
        <v/>
      </c>
      <c r="P26" s="408" t="str">
        <f>IF(AND(L26="",M26=""),IF(OR(SUMPRODUCT(N(ISNUMBER(FIND({"s";"d";"f"},C26))))&gt;0,G26+J26&lt;0,AND(G26&gt;0,J26&gt;0,I26&gt;"20:30"*1),AND(I26&lt;="20:30"*1,SUM(I26,R26)&gt;="20:31"*1)),1,""),"")</f>
        <v/>
      </c>
      <c r="Q26" s="560" t="str">
        <f t="shared" si="9"/>
        <v/>
      </c>
      <c r="R26" s="31"/>
      <c r="S26" s="327" t="str">
        <f t="shared" si="3"/>
        <v/>
      </c>
      <c r="T26" s="34">
        <f t="shared" si="4"/>
        <v>0</v>
      </c>
      <c r="U26" s="154">
        <f t="shared" si="11"/>
        <v>0</v>
      </c>
      <c r="V26" s="188"/>
      <c r="W26" s="156" t="str">
        <f t="shared" si="10"/>
        <v>0,00</v>
      </c>
    </row>
    <row r="27" spans="1:23" ht="14.4" x14ac:dyDescent="0.3">
      <c r="A27" s="40"/>
      <c r="B27" s="304">
        <v>43336</v>
      </c>
      <c r="C27" s="319" t="s">
        <v>234</v>
      </c>
      <c r="D27" s="320"/>
      <c r="E27" s="310">
        <f>IFERROR(VLOOKUP(C27,TR!$B$2:$F$612,2,0),"")</f>
        <v>0</v>
      </c>
      <c r="F27" s="311">
        <f>IFERROR(VLOOKUP(C27,TR!$B$2:$F$612,3,0),"")</f>
        <v>0</v>
      </c>
      <c r="G27" s="321">
        <f t="shared" si="5"/>
        <v>0</v>
      </c>
      <c r="H27" s="310">
        <f>IFERROR(VLOOKUP(C27,TR!$B$2:$F$612,4,0),"")</f>
        <v>0.55208333333333337</v>
      </c>
      <c r="I27" s="311">
        <f>IFERROR(VLOOKUP(C27,TR!$B$2:$F$612,5,0),"")</f>
        <v>0.88263888888888886</v>
      </c>
      <c r="J27" s="321">
        <f t="shared" si="6"/>
        <v>0.33055555555555549</v>
      </c>
      <c r="K27" s="322" t="str">
        <f t="shared" si="0"/>
        <v/>
      </c>
      <c r="L27" s="323" t="str">
        <f t="shared" si="1"/>
        <v/>
      </c>
      <c r="M27" s="324" t="str">
        <f t="shared" si="2"/>
        <v/>
      </c>
      <c r="N27" s="37" t="str">
        <f t="shared" si="7"/>
        <v/>
      </c>
      <c r="O27" s="315" t="str">
        <f t="shared" si="8"/>
        <v/>
      </c>
      <c r="P27" s="408" t="str">
        <f>IF(AND(L27="",M27=""),IF(OR(SUMPRODUCT(N(ISNUMBER(FIND({"s";"d";"f"},C27))))&gt;0,G27+J27&lt;0,AND(G27&gt;0,J27&gt;0,I27&gt;"20:30"*1),AND(I27&lt;="20:30"*1,SUM(I27,R27)&gt;="20:31"*1)),1,""),"")</f>
        <v/>
      </c>
      <c r="Q27" s="560" t="str">
        <f t="shared" si="9"/>
        <v/>
      </c>
      <c r="R27" s="31"/>
      <c r="S27" s="327">
        <f t="shared" si="3"/>
        <v>0.33055555555555549</v>
      </c>
      <c r="T27" s="34">
        <f t="shared" si="4"/>
        <v>0.33055555555555549</v>
      </c>
      <c r="U27" s="154">
        <f t="shared" si="11"/>
        <v>7.9333333333333318</v>
      </c>
      <c r="V27" s="188"/>
      <c r="W27" s="156">
        <f t="shared" si="10"/>
        <v>7.9333333333333318</v>
      </c>
    </row>
    <row r="28" spans="1:23" ht="14.4" x14ac:dyDescent="0.3">
      <c r="A28" s="40"/>
      <c r="B28" s="304">
        <v>43337</v>
      </c>
      <c r="C28" s="319" t="s">
        <v>236</v>
      </c>
      <c r="D28" s="320"/>
      <c r="E28" s="310" t="str">
        <f>IFERROR(VLOOKUP(C28,TR!$B$2:$F$612,2,0),"")</f>
        <v/>
      </c>
      <c r="F28" s="311" t="str">
        <f>IFERROR(VLOOKUP(C28,TR!$B$2:$F$612,3,0),"")</f>
        <v/>
      </c>
      <c r="G28" s="321">
        <f t="shared" si="5"/>
        <v>0</v>
      </c>
      <c r="H28" s="310" t="str">
        <f>IFERROR(VLOOKUP(C28,TR!$B$2:$F$612,4,0),"")</f>
        <v/>
      </c>
      <c r="I28" s="311" t="str">
        <f>IFERROR(VLOOKUP(C28,TR!$B$2:$F$612,5,0),"")</f>
        <v/>
      </c>
      <c r="J28" s="321">
        <f t="shared" si="6"/>
        <v>0</v>
      </c>
      <c r="K28" s="322" t="str">
        <f t="shared" si="0"/>
        <v/>
      </c>
      <c r="L28" s="323" t="str">
        <f t="shared" si="1"/>
        <v/>
      </c>
      <c r="M28" s="324">
        <f t="shared" si="2"/>
        <v>1</v>
      </c>
      <c r="N28" s="37">
        <f t="shared" si="7"/>
        <v>1</v>
      </c>
      <c r="O28" s="315" t="str">
        <f t="shared" si="8"/>
        <v/>
      </c>
      <c r="P28" s="408" t="str">
        <f>IF(AND(L28="",M28=""),IF(OR(SUMPRODUCT(N(ISNUMBER(FIND({"s";"d";"f"},C28))))&gt;0,G28+J28&lt;0,AND(G28&gt;0,J28&gt;0,I28&gt;"20:30"*1),AND(I28&lt;="20:30"*1,SUM(I28,R28)&gt;="20:31"*1)),1,""),"")</f>
        <v/>
      </c>
      <c r="Q28" s="560" t="str">
        <f t="shared" si="9"/>
        <v/>
      </c>
      <c r="R28" s="31"/>
      <c r="S28" s="327" t="str">
        <f t="shared" si="3"/>
        <v/>
      </c>
      <c r="T28" s="34">
        <f t="shared" si="4"/>
        <v>0</v>
      </c>
      <c r="U28" s="154">
        <f t="shared" si="11"/>
        <v>0</v>
      </c>
      <c r="V28" s="188"/>
      <c r="W28" s="156" t="str">
        <f t="shared" si="10"/>
        <v>0,00</v>
      </c>
    </row>
    <row r="29" spans="1:23" ht="14.4" x14ac:dyDescent="0.3">
      <c r="A29" s="40"/>
      <c r="B29" s="304">
        <v>43338</v>
      </c>
      <c r="C29" s="319" t="s">
        <v>47</v>
      </c>
      <c r="D29" s="320"/>
      <c r="E29" s="310">
        <f>IFERROR(VLOOKUP(C29,TR!$B$2:$F$612,2,0),"")</f>
        <v>0</v>
      </c>
      <c r="F29" s="311">
        <f>IFERROR(VLOOKUP(C29,TR!$B$2:$F$612,3,0),"")</f>
        <v>0</v>
      </c>
      <c r="G29" s="321">
        <f t="shared" si="5"/>
        <v>0</v>
      </c>
      <c r="H29" s="310">
        <f>IFERROR(VLOOKUP(C29,TR!$B$2:$F$612,4,0),"")</f>
        <v>0</v>
      </c>
      <c r="I29" s="311">
        <f>IFERROR(VLOOKUP(C29,TR!$B$2:$F$612,5,0),"")</f>
        <v>0</v>
      </c>
      <c r="J29" s="321">
        <f t="shared" si="6"/>
        <v>0</v>
      </c>
      <c r="K29" s="322" t="str">
        <f t="shared" si="0"/>
        <v/>
      </c>
      <c r="L29" s="323" t="str">
        <f t="shared" si="1"/>
        <v/>
      </c>
      <c r="M29" s="324" t="str">
        <f t="shared" si="2"/>
        <v/>
      </c>
      <c r="N29" s="37" t="str">
        <f t="shared" si="7"/>
        <v/>
      </c>
      <c r="O29" s="315" t="str">
        <f t="shared" si="8"/>
        <v/>
      </c>
      <c r="P29" s="408" t="str">
        <f>IF(AND(L29="",M29=""),IF(OR(SUMPRODUCT(N(ISNUMBER(FIND({"s";"d";"f"},C29))))&gt;0,G29+J29&lt;0,AND(G29&gt;0,J29&gt;0,I29&gt;"20:30"*1),AND(I29&lt;="20:30"*1,SUM(I29,R29)&gt;="20:31"*1)),1,""),"")</f>
        <v/>
      </c>
      <c r="Q29" s="560" t="str">
        <f t="shared" si="9"/>
        <v/>
      </c>
      <c r="R29" s="31"/>
      <c r="S29" s="327" t="str">
        <f t="shared" si="3"/>
        <v/>
      </c>
      <c r="T29" s="34">
        <f t="shared" si="4"/>
        <v>0</v>
      </c>
      <c r="U29" s="154">
        <f t="shared" si="11"/>
        <v>0</v>
      </c>
      <c r="V29" s="188"/>
      <c r="W29" s="156" t="str">
        <f t="shared" si="10"/>
        <v>0,00</v>
      </c>
    </row>
    <row r="30" spans="1:23" ht="14.4" x14ac:dyDescent="0.3">
      <c r="A30" s="40"/>
      <c r="B30" s="304">
        <v>43339</v>
      </c>
      <c r="C30" s="329" t="s">
        <v>51</v>
      </c>
      <c r="D30" s="330"/>
      <c r="E30" s="310">
        <f>IFERROR(VLOOKUP(C30,TR!$B$2:$F$612,2,0),"")</f>
        <v>0</v>
      </c>
      <c r="F30" s="311">
        <f>IFERROR(VLOOKUP(C30,TR!$B$2:$F$612,3,0),"")</f>
        <v>0</v>
      </c>
      <c r="G30" s="328">
        <f t="shared" si="5"/>
        <v>0</v>
      </c>
      <c r="H30" s="310">
        <f>IFERROR(VLOOKUP(C30,TR!$B$2:$F$612,4,0),"")</f>
        <v>0</v>
      </c>
      <c r="I30" s="311">
        <f>IFERROR(VLOOKUP(C30,TR!$B$2:$F$612,5,0),"")</f>
        <v>0</v>
      </c>
      <c r="J30" s="328">
        <f t="shared" si="6"/>
        <v>0</v>
      </c>
      <c r="K30" s="322" t="str">
        <f t="shared" si="0"/>
        <v/>
      </c>
      <c r="L30" s="323" t="str">
        <f t="shared" si="1"/>
        <v/>
      </c>
      <c r="M30" s="324" t="str">
        <f t="shared" si="2"/>
        <v/>
      </c>
      <c r="N30" s="37" t="str">
        <f t="shared" si="7"/>
        <v/>
      </c>
      <c r="O30" s="315" t="str">
        <f t="shared" si="8"/>
        <v/>
      </c>
      <c r="P30" s="408" t="str">
        <f>IF(AND(L30="",M30=""),IF(OR(SUMPRODUCT(N(ISNUMBER(FIND({"s";"d";"f"},C30))))&gt;0,G30+J30&lt;0,AND(G30&gt;0,J30&gt;0,I30&gt;"20:30"*1),AND(I30&lt;="20:30"*1,SUM(I30,R30)&gt;="20:31"*1)),1,""),"")</f>
        <v/>
      </c>
      <c r="Q30" s="560" t="str">
        <f t="shared" si="9"/>
        <v/>
      </c>
      <c r="R30" s="31"/>
      <c r="S30" s="327" t="str">
        <f t="shared" si="3"/>
        <v/>
      </c>
      <c r="T30" s="34">
        <f t="shared" si="4"/>
        <v>0</v>
      </c>
      <c r="U30" s="154">
        <f t="shared" si="11"/>
        <v>0</v>
      </c>
      <c r="V30" s="188"/>
      <c r="W30" s="156" t="str">
        <f t="shared" si="10"/>
        <v>0,00</v>
      </c>
    </row>
    <row r="31" spans="1:23" ht="14.4" x14ac:dyDescent="0.3">
      <c r="A31" s="40"/>
      <c r="B31" s="304">
        <v>43340</v>
      </c>
      <c r="C31" s="329" t="s">
        <v>51</v>
      </c>
      <c r="D31" s="330"/>
      <c r="E31" s="310">
        <f>IFERROR(VLOOKUP(C31,TR!$B$2:$F$612,2,0),"")</f>
        <v>0</v>
      </c>
      <c r="F31" s="311">
        <f>IFERROR(VLOOKUP(C31,TR!$B$2:$F$612,3,0),"")</f>
        <v>0</v>
      </c>
      <c r="G31" s="328">
        <f t="shared" si="5"/>
        <v>0</v>
      </c>
      <c r="H31" s="310">
        <f>IFERROR(VLOOKUP(C31,TR!$B$2:$F$612,4,0),"")</f>
        <v>0</v>
      </c>
      <c r="I31" s="311">
        <f>IFERROR(VLOOKUP(C31,TR!$B$2:$F$612,5,0),"")</f>
        <v>0</v>
      </c>
      <c r="J31" s="328">
        <f t="shared" si="6"/>
        <v>0</v>
      </c>
      <c r="K31" s="322" t="str">
        <f t="shared" si="0"/>
        <v/>
      </c>
      <c r="L31" s="323" t="str">
        <f t="shared" si="1"/>
        <v/>
      </c>
      <c r="M31" s="324" t="str">
        <f t="shared" si="2"/>
        <v/>
      </c>
      <c r="N31" s="37" t="str">
        <f t="shared" si="7"/>
        <v/>
      </c>
      <c r="O31" s="315" t="str">
        <f t="shared" si="8"/>
        <v/>
      </c>
      <c r="P31" s="408" t="str">
        <f>IF(AND(L31="",M31=""),IF(OR(SUMPRODUCT(N(ISNUMBER(FIND({"s";"d";"f"},C31))))&gt;0,G31+J31&lt;0,AND(G31&gt;0,J31&gt;0,I31&gt;"20:30"*1),AND(I31&lt;="20:30"*1,SUM(I31,R31)&gt;="20:31"*1)),1,""),"")</f>
        <v/>
      </c>
      <c r="Q31" s="560" t="str">
        <f t="shared" si="9"/>
        <v/>
      </c>
      <c r="R31" s="31"/>
      <c r="S31" s="327" t="str">
        <f t="shared" si="3"/>
        <v/>
      </c>
      <c r="T31" s="34">
        <f t="shared" si="4"/>
        <v>0</v>
      </c>
      <c r="U31" s="154">
        <f t="shared" si="11"/>
        <v>0</v>
      </c>
      <c r="V31" s="188"/>
      <c r="W31" s="156" t="str">
        <f t="shared" si="10"/>
        <v>0,00</v>
      </c>
    </row>
    <row r="32" spans="1:23" ht="14.4" x14ac:dyDescent="0.3">
      <c r="A32" s="40"/>
      <c r="B32" s="304">
        <v>43341</v>
      </c>
      <c r="C32" s="329" t="s">
        <v>51</v>
      </c>
      <c r="D32" s="330"/>
      <c r="E32" s="310">
        <f>IFERROR(VLOOKUP(C32,TR!$B$2:$F$612,2,0),"")</f>
        <v>0</v>
      </c>
      <c r="F32" s="311">
        <f>IFERROR(VLOOKUP(C32,TR!$B$2:$F$612,3,0),"")</f>
        <v>0</v>
      </c>
      <c r="G32" s="328">
        <f t="shared" si="5"/>
        <v>0</v>
      </c>
      <c r="H32" s="310">
        <f>IFERROR(VLOOKUP(C32,TR!$B$2:$F$612,4,0),"")</f>
        <v>0</v>
      </c>
      <c r="I32" s="311">
        <f>IFERROR(VLOOKUP(C32,TR!$B$2:$F$612,5,0),"")</f>
        <v>0</v>
      </c>
      <c r="J32" s="328">
        <f t="shared" si="6"/>
        <v>0</v>
      </c>
      <c r="K32" s="322" t="str">
        <f t="shared" si="0"/>
        <v/>
      </c>
      <c r="L32" s="323" t="str">
        <f t="shared" si="1"/>
        <v/>
      </c>
      <c r="M32" s="324" t="str">
        <f t="shared" si="2"/>
        <v/>
      </c>
      <c r="N32" s="37" t="str">
        <f t="shared" si="7"/>
        <v/>
      </c>
      <c r="O32" s="315" t="str">
        <f t="shared" si="8"/>
        <v/>
      </c>
      <c r="P32" s="408" t="str">
        <f>IF(AND(L32="",M32=""),IF(OR(SUMPRODUCT(N(ISNUMBER(FIND({"s";"d";"f"},C32))))&gt;0,G32+J32&lt;0,AND(G32&gt;0,J32&gt;0,I32&gt;"20:30"*1),AND(I32&lt;="20:30"*1,SUM(I32,R32)&gt;="20:31"*1)),1,""),"")</f>
        <v/>
      </c>
      <c r="Q32" s="560" t="str">
        <f t="shared" si="9"/>
        <v/>
      </c>
      <c r="R32" s="31"/>
      <c r="S32" s="327" t="str">
        <f t="shared" si="3"/>
        <v/>
      </c>
      <c r="T32" s="34">
        <f t="shared" si="4"/>
        <v>0</v>
      </c>
      <c r="U32" s="154">
        <f t="shared" si="11"/>
        <v>0</v>
      </c>
      <c r="V32" s="188"/>
      <c r="W32" s="156" t="str">
        <f t="shared" si="10"/>
        <v>0,00</v>
      </c>
    </row>
    <row r="33" spans="1:24" ht="14.4" x14ac:dyDescent="0.3">
      <c r="A33" s="40"/>
      <c r="B33" s="304">
        <v>43342</v>
      </c>
      <c r="C33" s="329" t="s">
        <v>51</v>
      </c>
      <c r="D33" s="330"/>
      <c r="E33" s="310">
        <f>IFERROR(VLOOKUP(C33,TR!$B$2:$F$612,2,0),"")</f>
        <v>0</v>
      </c>
      <c r="F33" s="311">
        <f>IFERROR(VLOOKUP(C33,TR!$B$2:$F$612,3,0),"")</f>
        <v>0</v>
      </c>
      <c r="G33" s="328">
        <f t="shared" si="5"/>
        <v>0</v>
      </c>
      <c r="H33" s="310">
        <f>IFERROR(VLOOKUP(C33,TR!$B$2:$F$612,4,0),"")</f>
        <v>0</v>
      </c>
      <c r="I33" s="311">
        <f>IFERROR(VLOOKUP(C33,TR!$B$2:$F$612,5,0),"")</f>
        <v>0</v>
      </c>
      <c r="J33" s="328">
        <f t="shared" si="6"/>
        <v>0</v>
      </c>
      <c r="K33" s="322" t="str">
        <f t="shared" si="0"/>
        <v/>
      </c>
      <c r="L33" s="323" t="str">
        <f t="shared" si="1"/>
        <v/>
      </c>
      <c r="M33" s="324" t="str">
        <f t="shared" si="2"/>
        <v/>
      </c>
      <c r="N33" s="37" t="str">
        <f t="shared" si="7"/>
        <v/>
      </c>
      <c r="O33" s="315" t="str">
        <f t="shared" si="8"/>
        <v/>
      </c>
      <c r="P33" s="408" t="str">
        <f>IF(AND(L33="",M33=""),IF(OR(SUMPRODUCT(N(ISNUMBER(FIND({"s";"d";"f"},C33))))&gt;0,G33+J33&lt;0,AND(G33&gt;0,J33&gt;0,I33&gt;"20:30"*1),AND(I33&lt;="20:30"*1,SUM(I33,R33)&gt;="20:31"*1)),1,""),"")</f>
        <v/>
      </c>
      <c r="Q33" s="560" t="str">
        <f t="shared" si="9"/>
        <v/>
      </c>
      <c r="R33" s="31"/>
      <c r="S33" s="327" t="str">
        <f t="shared" si="3"/>
        <v/>
      </c>
      <c r="T33" s="34">
        <f t="shared" si="4"/>
        <v>0</v>
      </c>
      <c r="U33" s="154">
        <f t="shared" si="11"/>
        <v>0</v>
      </c>
      <c r="V33" s="188"/>
      <c r="W33" s="156" t="str">
        <f t="shared" si="10"/>
        <v>0,00</v>
      </c>
    </row>
    <row r="34" spans="1:24" ht="15" thickBot="1" x14ac:dyDescent="0.35">
      <c r="A34" s="40"/>
      <c r="B34" s="354">
        <v>43343</v>
      </c>
      <c r="C34" s="355" t="s">
        <v>51</v>
      </c>
      <c r="D34" s="356"/>
      <c r="E34" s="357">
        <f>IFERROR(VLOOKUP(C34,TR!$B$2:$F$612,2,0),"")</f>
        <v>0</v>
      </c>
      <c r="F34" s="358">
        <f>IFERROR(VLOOKUP(C34,TR!$B$2:$F$612,3,0),"")</f>
        <v>0</v>
      </c>
      <c r="G34" s="359"/>
      <c r="H34" s="357">
        <f>IFERROR(VLOOKUP(C34,TR!$B$2:$F$612,4,0),"")</f>
        <v>0</v>
      </c>
      <c r="I34" s="358">
        <f>IFERROR(VLOOKUP(C34,TR!$B$2:$F$612,5,0),"")</f>
        <v>0</v>
      </c>
      <c r="J34" s="359"/>
      <c r="K34" s="360" t="str">
        <f t="shared" si="0"/>
        <v/>
      </c>
      <c r="L34" s="361" t="str">
        <f t="shared" si="1"/>
        <v/>
      </c>
      <c r="M34" s="362" t="str">
        <f t="shared" si="2"/>
        <v/>
      </c>
      <c r="N34" s="38" t="str">
        <f t="shared" si="7"/>
        <v/>
      </c>
      <c r="O34" s="363" t="str">
        <f t="shared" si="8"/>
        <v/>
      </c>
      <c r="P34" s="440" t="str">
        <f>IF(AND(L34="",M34=""),IF(OR(SUMPRODUCT(N(ISNUMBER(FIND({"s";"d";"f"},C34))))&gt;0,G34+J34&lt;0,AND(G34&gt;0,J34&gt;0,I34&gt;"20:30"*1),AND(I34&lt;="20:30"*1,SUM(I34,R34)&gt;="20:31"*1)),1,""),"")</f>
        <v/>
      </c>
      <c r="Q34" s="563" t="str">
        <f t="shared" si="9"/>
        <v/>
      </c>
      <c r="R34" s="32"/>
      <c r="S34" s="366" t="str">
        <f t="shared" si="3"/>
        <v/>
      </c>
      <c r="T34" s="39">
        <f t="shared" si="4"/>
        <v>0</v>
      </c>
      <c r="U34" s="155">
        <f t="shared" si="11"/>
        <v>0</v>
      </c>
      <c r="V34" s="189"/>
      <c r="W34" s="157" t="str">
        <f t="shared" si="10"/>
        <v>0,00</v>
      </c>
    </row>
    <row r="35" spans="1:24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Q35" s="372"/>
      <c r="S35" s="54"/>
      <c r="T35" s="55"/>
      <c r="U35" s="56"/>
      <c r="V35" s="57"/>
    </row>
    <row r="36" spans="1:24" ht="14.4" x14ac:dyDescent="0.3">
      <c r="A36" s="40"/>
      <c r="B36" s="373" t="s">
        <v>17</v>
      </c>
      <c r="C36" s="142">
        <f>(COUNTIF(Juillet!C24:C34,"&lt;&gt;")+COUNTIF(Août!C4:C23,"&lt;&gt;"))-(COUNTIF(Juillet!C24:C34,"CC*")+COUNTIF(Août!C4:C23,"CC*"))-(COUNTIF(Juillet!C24:C34,"CH*")+COUNTIF(Août!C4:C23,"CH*"))-(COUNTIF(Juillet!C24:C34,"RT*")+COUNTIF(Août!C4:C23,"RT*"))-(COUNTIF(Juillet!C24:C34,"Férié*")+COUNTIF(Août!C4:C23,"Férié*"))-(COUNTIF(Juillet!C24:C34,"Mal*")+COUNTIF(Août!C4:C23,"Mal*"))-(COUNTIF(Juillet!C24:C34,"CP*")+COUNTIF(Août!C4:C23,"CP*"))</f>
        <v>18</v>
      </c>
      <c r="E36" s="370"/>
      <c r="F36" s="40"/>
      <c r="G36" s="40"/>
      <c r="I36" s="613" t="s">
        <v>55</v>
      </c>
      <c r="J36" s="613"/>
      <c r="K36" s="72">
        <f>SUM(Juillet!$K$24:$K$34,K4:K23)</f>
        <v>4</v>
      </c>
      <c r="L36" s="73">
        <f>SUM(Juillet!$L$24:$LJ$34,L4:L23)</f>
        <v>106.68055555555557</v>
      </c>
      <c r="M36" s="214">
        <f>SUM(Juillet!$M$24:$M$34,M4:M23)</f>
        <v>4</v>
      </c>
      <c r="N36" s="75">
        <f>SUM(Juillet!$N$24:$N$34,N4:N23)</f>
        <v>1</v>
      </c>
      <c r="O36" s="76">
        <f>SUM(Juillet!$O$24:$O$34,O4:O23)</f>
        <v>0</v>
      </c>
      <c r="P36" s="213">
        <f>SUM(Juillet!$P$24:$P$34,P4:P23)</f>
        <v>1</v>
      </c>
      <c r="Q36" s="77">
        <f>SUM(Juillet!$Q$24:$Q$34,Q4:Q23)</f>
        <v>0</v>
      </c>
      <c r="R36" s="231">
        <f>SUM(Juillet!$R$24:$R$34,R4:R23)</f>
        <v>0</v>
      </c>
      <c r="S36" s="78"/>
      <c r="T36" s="79">
        <f>SUM(Juillet!T24:T34)+SUM(Août!T4:T23)</f>
        <v>5.863888888888888</v>
      </c>
      <c r="U36" s="80">
        <f>SUM(U4:U34)</f>
        <v>117.08333333333334</v>
      </c>
      <c r="V36" s="186">
        <f>SUM(V4:V34)</f>
        <v>0</v>
      </c>
      <c r="W36" s="59"/>
    </row>
    <row r="37" spans="1:24" ht="14.4" thickBot="1" x14ac:dyDescent="0.3">
      <c r="A37" s="40"/>
      <c r="B37" s="374" t="s">
        <v>51</v>
      </c>
      <c r="C37" s="143">
        <f>(COUNTIF(Juillet!C24:C34,"CP")+COUNTIF(Août!C4:C23,"CP"))</f>
        <v>0</v>
      </c>
      <c r="F37" s="40"/>
      <c r="G37" s="40"/>
      <c r="H37" s="40"/>
      <c r="I37" s="40"/>
      <c r="J37" s="40"/>
      <c r="K37" s="375">
        <f>(I39*2)*K36</f>
        <v>70.822400000000002</v>
      </c>
      <c r="L37" s="376">
        <f>Recap!H35*L36</f>
        <v>761.69916666666677</v>
      </c>
      <c r="M37" s="377">
        <f>Recap!H35*M36</f>
        <v>28.56</v>
      </c>
      <c r="N37" s="378">
        <f>(I39*5)*N36</f>
        <v>44.264000000000003</v>
      </c>
      <c r="O37" s="379">
        <f>(Recap!H33)*O36</f>
        <v>0</v>
      </c>
      <c r="P37" s="380">
        <f>7.5*P36</f>
        <v>7.5</v>
      </c>
      <c r="Q37" s="381">
        <f>(I39*1.5)*Q36</f>
        <v>0</v>
      </c>
      <c r="R37" s="382">
        <f>R36*24</f>
        <v>0</v>
      </c>
      <c r="S37" s="61"/>
      <c r="T37" s="62"/>
      <c r="U37" s="63"/>
      <c r="V37" s="57"/>
      <c r="W37" s="59"/>
    </row>
    <row r="38" spans="1:24" x14ac:dyDescent="0.25">
      <c r="B38" s="383" t="s">
        <v>47</v>
      </c>
      <c r="C38" s="144">
        <f>(COUNTIF(Juillet!C24:C34,"CH")+COUNTIF(Août!C4:C23,"CH"))</f>
        <v>5</v>
      </c>
      <c r="F38" s="40"/>
      <c r="G38" s="40"/>
      <c r="H38" s="40"/>
      <c r="I38" s="384" t="s">
        <v>54</v>
      </c>
      <c r="J38" s="40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04"/>
      <c r="V38" s="104">
        <v>6.1749999999999998</v>
      </c>
      <c r="W38" s="81">
        <f>V38*24</f>
        <v>148.19999999999999</v>
      </c>
      <c r="X38" s="69"/>
    </row>
    <row r="39" spans="1:24" ht="14.4" thickBot="1" x14ac:dyDescent="0.3">
      <c r="B39" s="385" t="s">
        <v>45</v>
      </c>
      <c r="C39" s="145">
        <f>(COUNTIF(Juillet!C24:C34,"RT")+COUNTIF(Août!C4:C23,"RT"))</f>
        <v>2</v>
      </c>
      <c r="F39" s="40"/>
      <c r="G39" s="40"/>
      <c r="H39" s="40"/>
      <c r="I39" s="386">
        <v>8.8528000000000002</v>
      </c>
      <c r="J39" s="40"/>
      <c r="K39" s="40"/>
      <c r="L39" s="40"/>
      <c r="M39" s="40"/>
      <c r="N39" s="387"/>
      <c r="O39" s="387"/>
      <c r="V39" s="388"/>
      <c r="W39" s="388"/>
      <c r="X39" s="389"/>
    </row>
    <row r="40" spans="1:24" x14ac:dyDescent="0.25">
      <c r="B40" s="390" t="s">
        <v>46</v>
      </c>
      <c r="C40" s="146">
        <f>(COUNTIF(Juillet!C24:C34,"CC")+COUNTIF(Août!C4:C23,"CC"))</f>
        <v>5</v>
      </c>
      <c r="T40" s="615" t="s">
        <v>16</v>
      </c>
      <c r="U40" s="604"/>
      <c r="V40" s="391" t="str">
        <f>IF(V38&gt;T36,"-","")&amp;TEXT(ABS(T36-V38),"[h]:mm")</f>
        <v>-7:28</v>
      </c>
      <c r="W40" s="471">
        <f>(T36-V38)*24</f>
        <v>-7.4666666666666828</v>
      </c>
      <c r="X40" s="69"/>
    </row>
    <row r="41" spans="1:24" ht="14.4" thickBot="1" x14ac:dyDescent="0.3">
      <c r="B41" s="393" t="s">
        <v>11</v>
      </c>
      <c r="C41" s="147">
        <f>(COUNTIF(Juillet!C24:C34,"Férié")+COUNTIF(Août!C4:C23,"Férié"))</f>
        <v>1</v>
      </c>
      <c r="W41" s="389"/>
    </row>
    <row r="42" spans="1:24" ht="15" thickTop="1" thickBot="1" x14ac:dyDescent="0.3">
      <c r="B42" s="394" t="s">
        <v>153</v>
      </c>
      <c r="C42" s="230">
        <f>(COUNTIF(Juillet!C24:C34,"FériéCC")+COUNTIF(Août!C4:C23,"FériéCH"))</f>
        <v>0</v>
      </c>
      <c r="R42" s="616" t="s">
        <v>201</v>
      </c>
      <c r="S42" s="642"/>
      <c r="T42" s="395">
        <f>SUM(T4:T34)</f>
        <v>4.8784722222222223</v>
      </c>
      <c r="W42" s="70"/>
    </row>
    <row r="43" spans="1:24" ht="15.6" thickTop="1" thickBot="1" x14ac:dyDescent="0.35">
      <c r="B43" s="387"/>
      <c r="S43" s="71"/>
      <c r="T43" s="257">
        <f>T42*24</f>
        <v>117.08333333333334</v>
      </c>
      <c r="W43" s="397">
        <f>(T42-V38)*24</f>
        <v>-31.11666666666666</v>
      </c>
    </row>
    <row r="44" spans="1:24" ht="15.6" thickTop="1" thickBot="1" x14ac:dyDescent="0.35">
      <c r="B44" s="387"/>
      <c r="P44" s="71"/>
      <c r="Q44" s="71"/>
    </row>
    <row r="45" spans="1:24" ht="14.4" thickBot="1" x14ac:dyDescent="0.3">
      <c r="F45" s="605" t="s">
        <v>57</v>
      </c>
      <c r="G45" s="606"/>
      <c r="H45" s="606"/>
      <c r="I45" s="606"/>
      <c r="J45" s="606"/>
      <c r="K45" s="606"/>
      <c r="L45" s="606"/>
      <c r="M45" s="606"/>
      <c r="N45" s="606"/>
      <c r="O45" s="606"/>
      <c r="P45" s="606"/>
      <c r="Q45" s="607"/>
    </row>
    <row r="46" spans="1:24" ht="14.4" thickTop="1" x14ac:dyDescent="0.25">
      <c r="F46" s="444"/>
      <c r="G46" s="445"/>
      <c r="H46" s="445"/>
      <c r="I46" s="445"/>
      <c r="J46" s="445"/>
      <c r="K46" s="445"/>
      <c r="L46" s="445"/>
      <c r="M46" s="445"/>
      <c r="N46" s="445"/>
      <c r="O46" s="445"/>
      <c r="P46" s="445"/>
      <c r="Q46" s="446"/>
    </row>
    <row r="47" spans="1:24" x14ac:dyDescent="0.25">
      <c r="F47" s="398"/>
      <c r="G47" s="399"/>
      <c r="H47" s="399"/>
      <c r="I47" s="399"/>
      <c r="J47" s="399"/>
      <c r="K47" s="399"/>
      <c r="L47" s="399"/>
      <c r="M47" s="399"/>
      <c r="N47" s="399"/>
      <c r="O47" s="399"/>
      <c r="P47" s="399"/>
      <c r="Q47" s="400"/>
    </row>
    <row r="48" spans="1:24" x14ac:dyDescent="0.25">
      <c r="F48" s="398"/>
      <c r="G48" s="399"/>
      <c r="H48" s="399"/>
      <c r="I48" s="399"/>
      <c r="J48" s="399"/>
      <c r="K48" s="399"/>
      <c r="L48" s="399"/>
      <c r="M48" s="399"/>
      <c r="N48" s="399"/>
      <c r="O48" s="399"/>
      <c r="P48" s="399"/>
      <c r="Q48" s="400"/>
    </row>
    <row r="49" spans="6:17" x14ac:dyDescent="0.25">
      <c r="F49" s="398"/>
      <c r="G49" s="399"/>
      <c r="H49" s="399"/>
      <c r="I49" s="399"/>
      <c r="J49" s="399"/>
      <c r="K49" s="399"/>
      <c r="L49" s="399"/>
      <c r="M49" s="399"/>
      <c r="N49" s="399"/>
      <c r="O49" s="399"/>
      <c r="P49" s="399"/>
      <c r="Q49" s="400"/>
    </row>
    <row r="50" spans="6:17" x14ac:dyDescent="0.25">
      <c r="F50" s="398"/>
      <c r="G50" s="399"/>
      <c r="H50" s="399"/>
      <c r="I50" s="399"/>
      <c r="J50" s="399"/>
      <c r="K50" s="399"/>
      <c r="L50" s="399"/>
      <c r="M50" s="399"/>
      <c r="N50" s="399"/>
      <c r="O50" s="399"/>
      <c r="P50" s="399"/>
      <c r="Q50" s="400"/>
    </row>
    <row r="51" spans="6:17" x14ac:dyDescent="0.25">
      <c r="F51" s="398"/>
      <c r="G51" s="399"/>
      <c r="H51" s="399"/>
      <c r="I51" s="399"/>
      <c r="J51" s="399"/>
      <c r="K51" s="399"/>
      <c r="L51" s="399"/>
      <c r="M51" s="399"/>
      <c r="N51" s="399"/>
      <c r="O51" s="399"/>
      <c r="P51" s="399"/>
      <c r="Q51" s="400"/>
    </row>
    <row r="52" spans="6:17" x14ac:dyDescent="0.25">
      <c r="F52" s="398"/>
      <c r="G52" s="399"/>
      <c r="H52" s="399"/>
      <c r="I52" s="399"/>
      <c r="J52" s="399"/>
      <c r="K52" s="399"/>
      <c r="L52" s="399"/>
      <c r="M52" s="399"/>
      <c r="N52" s="399"/>
      <c r="O52" s="399"/>
      <c r="P52" s="399"/>
      <c r="Q52" s="400"/>
    </row>
    <row r="53" spans="6:17" x14ac:dyDescent="0.25">
      <c r="F53" s="398"/>
      <c r="G53" s="399"/>
      <c r="H53" s="399"/>
      <c r="I53" s="399"/>
      <c r="J53" s="399"/>
      <c r="K53" s="399"/>
      <c r="L53" s="399"/>
      <c r="M53" s="399"/>
      <c r="N53" s="399"/>
      <c r="O53" s="399"/>
      <c r="P53" s="399"/>
      <c r="Q53" s="400"/>
    </row>
    <row r="54" spans="6:17" x14ac:dyDescent="0.25">
      <c r="F54" s="398"/>
      <c r="G54" s="399"/>
      <c r="H54" s="399"/>
      <c r="I54" s="399"/>
      <c r="J54" s="399"/>
      <c r="K54" s="399"/>
      <c r="L54" s="399"/>
      <c r="M54" s="399"/>
      <c r="N54" s="399"/>
      <c r="O54" s="399"/>
      <c r="P54" s="399"/>
      <c r="Q54" s="400"/>
    </row>
    <row r="55" spans="6:17" x14ac:dyDescent="0.25">
      <c r="F55" s="398"/>
      <c r="G55" s="399"/>
      <c r="H55" s="399"/>
      <c r="I55" s="399"/>
      <c r="J55" s="399"/>
      <c r="K55" s="399"/>
      <c r="L55" s="399"/>
      <c r="M55" s="399"/>
      <c r="N55" s="399"/>
      <c r="O55" s="399"/>
      <c r="P55" s="399"/>
      <c r="Q55" s="400"/>
    </row>
    <row r="56" spans="6:17" x14ac:dyDescent="0.25">
      <c r="F56" s="398"/>
      <c r="G56" s="399"/>
      <c r="H56" s="399"/>
      <c r="I56" s="399"/>
      <c r="J56" s="399"/>
      <c r="K56" s="399"/>
      <c r="L56" s="399"/>
      <c r="M56" s="399"/>
      <c r="N56" s="399"/>
      <c r="O56" s="399"/>
      <c r="P56" s="399"/>
      <c r="Q56" s="400"/>
    </row>
    <row r="57" spans="6:17" x14ac:dyDescent="0.25">
      <c r="F57" s="398"/>
      <c r="G57" s="399"/>
      <c r="H57" s="399"/>
      <c r="I57" s="399"/>
      <c r="J57" s="399"/>
      <c r="K57" s="399"/>
      <c r="L57" s="399"/>
      <c r="M57" s="399"/>
      <c r="N57" s="399"/>
      <c r="O57" s="399"/>
      <c r="P57" s="399"/>
      <c r="Q57" s="400"/>
    </row>
    <row r="58" spans="6:17" x14ac:dyDescent="0.25">
      <c r="F58" s="398"/>
      <c r="G58" s="399"/>
      <c r="H58" s="399"/>
      <c r="I58" s="399"/>
      <c r="J58" s="399"/>
      <c r="K58" s="399"/>
      <c r="L58" s="399"/>
      <c r="M58" s="399"/>
      <c r="N58" s="399"/>
      <c r="O58" s="399"/>
      <c r="P58" s="399"/>
      <c r="Q58" s="400"/>
    </row>
    <row r="59" spans="6:17" ht="14.4" thickBot="1" x14ac:dyDescent="0.3">
      <c r="F59" s="401"/>
      <c r="G59" s="402"/>
      <c r="H59" s="402"/>
      <c r="I59" s="402"/>
      <c r="J59" s="402"/>
      <c r="K59" s="402"/>
      <c r="L59" s="402"/>
      <c r="M59" s="402"/>
      <c r="N59" s="402"/>
      <c r="O59" s="402"/>
      <c r="P59" s="402"/>
      <c r="Q59" s="403"/>
    </row>
    <row r="60" spans="6:17" ht="14.4" thickTop="1" x14ac:dyDescent="0.25"/>
  </sheetData>
  <mergeCells count="9">
    <mergeCell ref="B1:W1"/>
    <mergeCell ref="T2:W2"/>
    <mergeCell ref="F45:Q45"/>
    <mergeCell ref="E3:F3"/>
    <mergeCell ref="H3:I3"/>
    <mergeCell ref="I36:J36"/>
    <mergeCell ref="T38:U38"/>
    <mergeCell ref="T40:U40"/>
    <mergeCell ref="R42:S42"/>
  </mergeCells>
  <conditionalFormatting sqref="C4:C34">
    <cfRule type="expression" dxfId="30" priority="21" stopIfTrue="1">
      <formula>ISNUMBER(FIND("d",$C4))</formula>
    </cfRule>
  </conditionalFormatting>
  <conditionalFormatting sqref="V40:W40">
    <cfRule type="expression" dxfId="29" priority="15" stopIfTrue="1">
      <formula>$T$36&gt;$V$38</formula>
    </cfRule>
    <cfRule type="expression" dxfId="28" priority="16" stopIfTrue="1">
      <formula>$T$36&lt;$V$38</formula>
    </cfRule>
  </conditionalFormatting>
  <conditionalFormatting sqref="C4:Q34">
    <cfRule type="expression" dxfId="27" priority="40" stopIfTrue="1">
      <formula>ISNUMBER(FIND("CP",$C4))</formula>
    </cfRule>
    <cfRule type="expression" dxfId="26" priority="41" stopIfTrue="1">
      <formula>ISNUMBER(FIND("e",$C4))</formula>
    </cfRule>
    <cfRule type="expression" dxfId="25" priority="42" stopIfTrue="1">
      <formula>OR(ISNUMBER(FIND("Férié",$C4)),ISNUMBER(FIND("f",$C4)))</formula>
    </cfRule>
  </conditionalFormatting>
  <pageMargins left="0.7" right="0.7" top="0.75" bottom="0.75" header="0.3" footer="0.3"/>
  <pageSetup paperSize="9" orientation="portrait" r:id="rId1"/>
  <ignoredErrors>
    <ignoredError sqref="T42:T43" unlocked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0"/>
  <sheetViews>
    <sheetView topLeftCell="A7" workbookViewId="0">
      <selection activeCell="C17" sqref="C17"/>
    </sheetView>
  </sheetViews>
  <sheetFormatPr baseColWidth="10" defaultColWidth="11" defaultRowHeight="13.8" x14ac:dyDescent="0.25"/>
  <cols>
    <col min="1" max="1" width="3.59765625" style="369" customWidth="1"/>
    <col min="2" max="2" width="14.59765625" style="369" customWidth="1"/>
    <col min="3" max="3" width="8.59765625" style="369" customWidth="1"/>
    <col min="4" max="4" width="7.59765625" style="369" customWidth="1"/>
    <col min="5" max="23" width="8.59765625" style="369" customWidth="1"/>
    <col min="24" max="16384" width="11" style="369"/>
  </cols>
  <sheetData>
    <row r="1" spans="1:23" ht="14.4" thickBot="1" x14ac:dyDescent="0.3">
      <c r="A1" s="40"/>
      <c r="B1" s="602" t="s">
        <v>25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 s="603"/>
      <c r="P1" s="603"/>
      <c r="Q1" s="603"/>
      <c r="R1" s="603"/>
      <c r="S1" s="604"/>
      <c r="T1" s="604"/>
      <c r="U1" s="604"/>
      <c r="V1" s="604"/>
      <c r="W1" s="604"/>
    </row>
    <row r="2" spans="1:23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</row>
    <row r="3" spans="1:23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303" t="s">
        <v>5</v>
      </c>
      <c r="H3" s="611" t="s">
        <v>6</v>
      </c>
      <c r="I3" s="612"/>
      <c r="J3" s="303" t="s">
        <v>5</v>
      </c>
      <c r="K3" s="41" t="s">
        <v>7</v>
      </c>
      <c r="L3" s="42" t="s">
        <v>8</v>
      </c>
      <c r="M3" s="220" t="s">
        <v>9</v>
      </c>
      <c r="N3" s="43" t="s">
        <v>10</v>
      </c>
      <c r="O3" s="44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</row>
    <row r="4" spans="1:23" ht="14.4" x14ac:dyDescent="0.3">
      <c r="A4" s="40"/>
      <c r="B4" s="304">
        <v>43344</v>
      </c>
      <c r="C4" s="305" t="s">
        <v>46</v>
      </c>
      <c r="D4" s="306"/>
      <c r="E4" s="307">
        <f>IFERROR(VLOOKUP(C4,TR!$B$2:$F$612,2,0),"")</f>
        <v>0</v>
      </c>
      <c r="F4" s="308">
        <f>IFERROR(VLOOKUP(C4,TR!$B$2:$F$612,3,0),"")</f>
        <v>0</v>
      </c>
      <c r="G4" s="309">
        <f>IF(ISERROR(F4-E4),0,F4-E4)</f>
        <v>0</v>
      </c>
      <c r="H4" s="310">
        <f>IFERROR(VLOOKUP(C4,TR!$B$2:$F$612,4,0),"")</f>
        <v>0</v>
      </c>
      <c r="I4" s="311">
        <f>IFERROR(VLOOKUP(C4,TR!$B$2:$F$612,5,0),"")</f>
        <v>0</v>
      </c>
      <c r="J4" s="309">
        <f>IF(ISERROR(I4-H4),0,(I4-H4))</f>
        <v>0</v>
      </c>
      <c r="K4" s="312" t="str">
        <f t="shared" ref="K4:K34" si="0">IF(COUNTA(E4:F4,H4:I4)=5,1,IF(AND(E4&lt;"5:00"*1,E4&gt;"2:00"*1),1,IF(AND(I4&gt;="22:01"*1,I4&lt;="26:01"*1),1,IF(AND(I4&lt;="22:00"*1,SUM(I4,R4)&gt;="22:01"*1),1,""))))</f>
        <v/>
      </c>
      <c r="L4" s="313" t="str">
        <f t="shared" ref="L4:L34" si="1">IF(AND(F4&gt;="13:15"*1,H4&lt;""),1,IF(AND(H4&gt;="11:00"*1,H4&lt;="12:15"*1),1,IF(AND(F4&lt;="13:15"*1,SUM(F4,R4)&gt;="13:15"*1),1,"")))</f>
        <v/>
      </c>
      <c r="M4" s="314" t="str">
        <f t="shared" ref="M4:M34" si="2">IF(AND(I4&gt;="19:30"*1,1,I4&gt;"21:30"*1,C4&lt;&gt;""),1,IF(AND(I4&lt;="21:30"*1,SUM(I4,R4)&gt;="21:30"*1),1,""))</f>
        <v/>
      </c>
      <c r="N4" s="36" t="str">
        <f>IF(AND(LEFT(C4,1)="d",AND(Août!N34&lt;&gt;1)),1,IF(AND(LEFT(C4,1)="s",I4&gt;="24:01"*1),1,IF(AND(I4&lt;&gt;"",I4&lt;="23:59"*1,SUM(I4,R4)&gt;="24:01"*1),1,"")))</f>
        <v/>
      </c>
      <c r="O4" s="450" t="str">
        <f>IF(AND(I4&gt;"24:00"*1,ISNUMBER(FIND("f",C5))),1,IF(AND(OR(ISNUMBER(FIND("FériéCC",C4)),ISNUMBER(FIND("FériéCH",C4)),ISNUMBER(FIND("f",C4)))),1,""))</f>
        <v/>
      </c>
      <c r="P4" s="451" t="str">
        <f>IF(AND(L4="",M4=""),IF(OR(SUMPRODUCT(N(ISNUMBER(FIND({"s";"d";"f"},C4))))&gt;0,G4+J4&lt;0,AND(G4&gt;0,J4&gt;0,I4&gt;"20:30"*1),AND(I4&lt;="20:30"*1,SUM(I4,R4)&gt;="20:31"*1)),1,""),"")</f>
        <v/>
      </c>
      <c r="Q4" s="317" t="str">
        <f>IF(OR(AND(G4&gt;0,AND(J4=0)),OR(G4=0,AND(J4&gt;0)),OR(G4+J4&gt;0)),IF(R4="","",IF(#REF!+R4&gt;="13:01"*1,1,"")))</f>
        <v/>
      </c>
      <c r="R4" s="29"/>
      <c r="S4" s="318" t="str">
        <f t="shared" ref="S4:S34" si="3">IF(G4=0,IF(J4=0,"",I4-H4),IF(J4=0,F4-E4,I4-E4))</f>
        <v/>
      </c>
      <c r="T4" s="34">
        <f t="shared" ref="T4:T34" si="4">IF(ISERROR((F4-E4)+(I4-H4)),0,(F4-E4)+(I4-H4))</f>
        <v>0</v>
      </c>
      <c r="U4" s="153">
        <f>T4*24</f>
        <v>0</v>
      </c>
      <c r="V4" s="187"/>
      <c r="W4" s="149" t="str">
        <f>IF(U4-V4=0,"0,00",U4-V4)</f>
        <v>0,00</v>
      </c>
    </row>
    <row r="5" spans="1:23" ht="14.4" x14ac:dyDescent="0.3">
      <c r="A5" s="40"/>
      <c r="B5" s="304">
        <v>43345</v>
      </c>
      <c r="C5" s="319" t="s">
        <v>47</v>
      </c>
      <c r="D5" s="320"/>
      <c r="E5" s="310">
        <f>IFERROR(VLOOKUP(C5,TR!$B$2:$F$612,2,0),"")</f>
        <v>0</v>
      </c>
      <c r="F5" s="311">
        <f>IFERROR(VLOOKUP(C5,TR!$B$2:$F$612,3,0),"")</f>
        <v>0</v>
      </c>
      <c r="G5" s="321">
        <f t="shared" ref="G5:G33" si="5">IF(ISERROR(F5-E5),0,F5-E5)</f>
        <v>0</v>
      </c>
      <c r="H5" s="310">
        <f>IFERROR(VLOOKUP(C5,TR!$B$2:$F$612,4,0),"")</f>
        <v>0</v>
      </c>
      <c r="I5" s="311">
        <f>IFERROR(VLOOKUP(C5,TR!$B$2:$F$612,5,0),"")</f>
        <v>0</v>
      </c>
      <c r="J5" s="321">
        <f t="shared" ref="J5:J33" si="6">IF(ISERROR(I5-H5),0,(I5-H5))</f>
        <v>0</v>
      </c>
      <c r="K5" s="322" t="str">
        <f t="shared" si="0"/>
        <v/>
      </c>
      <c r="L5" s="323" t="str">
        <f t="shared" si="1"/>
        <v/>
      </c>
      <c r="M5" s="324" t="str">
        <f t="shared" si="2"/>
        <v/>
      </c>
      <c r="N5" s="37" t="str">
        <f t="shared" ref="N5:N34" si="7">IF(AND(LEFT(C5,1)="d",AND(N4&lt;&gt;1)),1,IF(AND(LEFT(C5,1)="s",I5&gt;="24:01"*1),1,IF(AND(I5&lt;&gt;"",I5&lt;="23:59"*1,SUM(I5,R5)&gt;="24:01"*1),1,"")))</f>
        <v/>
      </c>
      <c r="O5" s="315" t="str">
        <f t="shared" ref="O5:O34" si="8">IF(AND(I5&gt;"24:00"*1,ISNUMBER(FIND("f",C6))),1,IF(AND(OR(ISNUMBER(FIND("FériéCC",C5)),ISNUMBER(FIND("FériéCH",C5)),ISNUMBER(FIND("f",C5)))),1,""))</f>
        <v/>
      </c>
      <c r="P5" s="408" t="str">
        <f>IF(AND(L5="",M5=""),IF(OR(SUMPRODUCT(N(ISNUMBER(FIND({"s";"d";"f"},C5))))&gt;0,G5+J5&lt;0,AND(G5&gt;0,J5&gt;0,I5&gt;"20:30"*1),AND(I5&lt;="20:30"*1,SUM(I5,R5)&gt;="20:31"*1)),1,""),"")</f>
        <v/>
      </c>
      <c r="Q5" s="326" t="str">
        <f>IF(OR(AND(G5&gt;0,AND(J5=0)),OR(G5=0,AND(J5&gt;0)),OR(G5+J5&gt;0)),IF(R5="","",IF(#REF!+R5&gt;="13:01"*1,1,"")))</f>
        <v/>
      </c>
      <c r="R5" s="30"/>
      <c r="S5" s="327" t="str">
        <f t="shared" si="3"/>
        <v/>
      </c>
      <c r="T5" s="34">
        <f t="shared" si="4"/>
        <v>0</v>
      </c>
      <c r="U5" s="154">
        <f>T5*24</f>
        <v>0</v>
      </c>
      <c r="V5" s="188"/>
      <c r="W5" s="156" t="str">
        <f t="shared" ref="W5:W34" si="9">IF(U5-V5=0,"0,00",U5-V5)</f>
        <v>0,00</v>
      </c>
    </row>
    <row r="6" spans="1:23" ht="14.4" x14ac:dyDescent="0.3">
      <c r="A6" s="40"/>
      <c r="B6" s="304">
        <v>43346</v>
      </c>
      <c r="C6" s="319" t="s">
        <v>45</v>
      </c>
      <c r="D6" s="320"/>
      <c r="E6" s="310">
        <f>IFERROR(VLOOKUP(C6,TR!$B$2:$F$612,2,0),"")</f>
        <v>0</v>
      </c>
      <c r="F6" s="311">
        <f>IFERROR(VLOOKUP(C6,TR!$B$2:$F$612,3,0),"")</f>
        <v>0</v>
      </c>
      <c r="G6" s="321">
        <f t="shared" si="5"/>
        <v>0</v>
      </c>
      <c r="H6" s="310">
        <f>IFERROR(VLOOKUP(C6,TR!$B$2:$F$612,4,0),"")</f>
        <v>0</v>
      </c>
      <c r="I6" s="311">
        <f>IFERROR(VLOOKUP(C6,TR!$B$2:$F$612,5,0),"")</f>
        <v>0</v>
      </c>
      <c r="J6" s="321">
        <f t="shared" si="6"/>
        <v>0</v>
      </c>
      <c r="K6" s="322" t="str">
        <f t="shared" si="0"/>
        <v/>
      </c>
      <c r="L6" s="323" t="str">
        <f t="shared" si="1"/>
        <v/>
      </c>
      <c r="M6" s="324" t="str">
        <f t="shared" si="2"/>
        <v/>
      </c>
      <c r="N6" s="37" t="str">
        <f t="shared" si="7"/>
        <v/>
      </c>
      <c r="O6" s="315" t="str">
        <f t="shared" si="8"/>
        <v/>
      </c>
      <c r="P6" s="408" t="str">
        <f>IF(AND(L6="",M6=""),IF(OR(SUMPRODUCT(N(ISNUMBER(FIND({"s";"d";"f"},C6))))&gt;0,G6+J6&lt;0,AND(G6&gt;0,J6&gt;0,I6&gt;"20:30"*1),AND(I6&lt;="20:30"*1,SUM(I6,R6)&gt;="20:31"*1)),1,""),"")</f>
        <v/>
      </c>
      <c r="Q6" s="326" t="str">
        <f>IF(OR(AND(G6&gt;0,AND(J6=0)),OR(G6=0,AND(J6&gt;0)),OR(G6+J6&gt;0)),IF(R6="","",IF(#REF!+R6&gt;="13:01"*1,1,"")))</f>
        <v/>
      </c>
      <c r="R6" s="30"/>
      <c r="S6" s="327" t="str">
        <f t="shared" si="3"/>
        <v/>
      </c>
      <c r="T6" s="34">
        <f t="shared" si="4"/>
        <v>0</v>
      </c>
      <c r="U6" s="154">
        <f>T6*24</f>
        <v>0</v>
      </c>
      <c r="V6" s="188"/>
      <c r="W6" s="156" t="str">
        <f t="shared" si="9"/>
        <v>0,00</v>
      </c>
    </row>
    <row r="7" spans="1:23" ht="14.4" x14ac:dyDescent="0.3">
      <c r="A7" s="40"/>
      <c r="B7" s="304">
        <v>43347</v>
      </c>
      <c r="C7" s="319" t="s">
        <v>51</v>
      </c>
      <c r="D7" s="320"/>
      <c r="E7" s="310">
        <f>IFERROR(VLOOKUP(C7,TR!$B$2:$F$612,2,0),"")</f>
        <v>0</v>
      </c>
      <c r="F7" s="311">
        <f>IFERROR(VLOOKUP(C7,TR!$B$2:$F$612,3,0),"")</f>
        <v>0</v>
      </c>
      <c r="G7" s="321">
        <f t="shared" si="5"/>
        <v>0</v>
      </c>
      <c r="H7" s="310">
        <f>IFERROR(VLOOKUP(C7,TR!$B$2:$F$612,4,0),"")</f>
        <v>0</v>
      </c>
      <c r="I7" s="311">
        <f>IFERROR(VLOOKUP(C7,TR!$B$2:$F$612,5,0),"")</f>
        <v>0</v>
      </c>
      <c r="J7" s="321">
        <f t="shared" si="6"/>
        <v>0</v>
      </c>
      <c r="K7" s="322" t="str">
        <f t="shared" si="0"/>
        <v/>
      </c>
      <c r="L7" s="323" t="str">
        <f t="shared" si="1"/>
        <v/>
      </c>
      <c r="M7" s="324" t="str">
        <f t="shared" si="2"/>
        <v/>
      </c>
      <c r="N7" s="37" t="str">
        <f t="shared" si="7"/>
        <v/>
      </c>
      <c r="O7" s="315" t="str">
        <f t="shared" si="8"/>
        <v/>
      </c>
      <c r="P7" s="408" t="str">
        <f>IF(AND(L7="",M7=""),IF(OR(SUMPRODUCT(N(ISNUMBER(FIND({"s";"d";"f"},C7))))&gt;0,G7+J7&lt;0,AND(G7&gt;0,J7&gt;0,I7&gt;"20:30"*1),AND(I7&lt;="20:30"*1,SUM(I7,R7)&gt;="20:31"*1)),1,""),"")</f>
        <v/>
      </c>
      <c r="Q7" s="326" t="str">
        <f>IF(OR(AND(G7&gt;0,AND(J7=0)),OR(G7=0,AND(J7&gt;0)),OR(G7+J7&gt;0)),IF(R7="","",IF(#REF!+R7&gt;="13:01"*1,1,"")))</f>
        <v/>
      </c>
      <c r="R7" s="30"/>
      <c r="S7" s="327" t="str">
        <f t="shared" si="3"/>
        <v/>
      </c>
      <c r="T7" s="34">
        <f t="shared" si="4"/>
        <v>0</v>
      </c>
      <c r="U7" s="154">
        <f t="shared" ref="U7:U34" si="10">T7*24</f>
        <v>0</v>
      </c>
      <c r="V7" s="188"/>
      <c r="W7" s="156" t="str">
        <f t="shared" si="9"/>
        <v>0,00</v>
      </c>
    </row>
    <row r="8" spans="1:23" ht="14.4" x14ac:dyDescent="0.3">
      <c r="A8" s="40"/>
      <c r="B8" s="304">
        <v>43348</v>
      </c>
      <c r="C8" s="319" t="s">
        <v>51</v>
      </c>
      <c r="D8" s="320"/>
      <c r="E8" s="310">
        <f>IFERROR(VLOOKUP(C8,TR!$B$2:$F$612,2,0),"")</f>
        <v>0</v>
      </c>
      <c r="F8" s="311">
        <f>IFERROR(VLOOKUP(C8,TR!$B$2:$F$612,3,0),"")</f>
        <v>0</v>
      </c>
      <c r="G8" s="321">
        <f t="shared" si="5"/>
        <v>0</v>
      </c>
      <c r="H8" s="310">
        <f>IFERROR(VLOOKUP(C8,TR!$B$2:$F$612,4,0),"")</f>
        <v>0</v>
      </c>
      <c r="I8" s="311">
        <f>IFERROR(VLOOKUP(C8,TR!$B$2:$F$612,5,0),"")</f>
        <v>0</v>
      </c>
      <c r="J8" s="321">
        <f t="shared" si="6"/>
        <v>0</v>
      </c>
      <c r="K8" s="322" t="str">
        <f t="shared" si="0"/>
        <v/>
      </c>
      <c r="L8" s="323" t="str">
        <f t="shared" si="1"/>
        <v/>
      </c>
      <c r="M8" s="324" t="str">
        <f t="shared" si="2"/>
        <v/>
      </c>
      <c r="N8" s="37" t="str">
        <f t="shared" si="7"/>
        <v/>
      </c>
      <c r="O8" s="315" t="str">
        <f t="shared" si="8"/>
        <v/>
      </c>
      <c r="P8" s="408" t="str">
        <f>IF(AND(L8="",M8=""),IF(OR(SUMPRODUCT(N(ISNUMBER(FIND({"s";"d";"f"},C8))))&gt;0,G8+J8&lt;0,AND(G8&gt;0,J8&gt;0,I8&gt;"20:30"*1),AND(I8&lt;="20:30"*1,SUM(I8,R8)&gt;="20:31"*1)),1,""),"")</f>
        <v/>
      </c>
      <c r="Q8" s="326" t="str">
        <f>IF(OR(AND(G8&gt;0,AND(J8=0)),OR(G8=0,AND(J8&gt;0)),OR(G8+J8&gt;0)),IF(R8="","",IF(#REF!+R8&gt;="13:01"*1,1,"")))</f>
        <v/>
      </c>
      <c r="R8" s="30"/>
      <c r="S8" s="327" t="str">
        <f t="shared" si="3"/>
        <v/>
      </c>
      <c r="T8" s="34">
        <f t="shared" si="4"/>
        <v>0</v>
      </c>
      <c r="U8" s="154">
        <f t="shared" si="10"/>
        <v>0</v>
      </c>
      <c r="V8" s="188"/>
      <c r="W8" s="156" t="str">
        <f t="shared" si="9"/>
        <v>0,00</v>
      </c>
    </row>
    <row r="9" spans="1:23" ht="14.4" x14ac:dyDescent="0.3">
      <c r="A9" s="40"/>
      <c r="B9" s="304">
        <v>43349</v>
      </c>
      <c r="C9" s="319" t="s">
        <v>46</v>
      </c>
      <c r="D9" s="320"/>
      <c r="E9" s="310">
        <f>IFERROR(VLOOKUP(C9,TR!$B$2:$F$612,2,0),"")</f>
        <v>0</v>
      </c>
      <c r="F9" s="311">
        <f>IFERROR(VLOOKUP(C9,TR!$B$2:$F$612,3,0),"")</f>
        <v>0</v>
      </c>
      <c r="G9" s="321">
        <f t="shared" si="5"/>
        <v>0</v>
      </c>
      <c r="H9" s="310">
        <f>IFERROR(VLOOKUP(C9,TR!$B$2:$F$612,4,0),"")</f>
        <v>0</v>
      </c>
      <c r="I9" s="311">
        <f>IFERROR(VLOOKUP(C9,TR!$B$2:$F$612,5,0),"")</f>
        <v>0</v>
      </c>
      <c r="J9" s="321">
        <f t="shared" si="6"/>
        <v>0</v>
      </c>
      <c r="K9" s="322" t="str">
        <f t="shared" si="0"/>
        <v/>
      </c>
      <c r="L9" s="323" t="str">
        <f t="shared" si="1"/>
        <v/>
      </c>
      <c r="M9" s="324" t="str">
        <f t="shared" si="2"/>
        <v/>
      </c>
      <c r="N9" s="37" t="str">
        <f t="shared" si="7"/>
        <v/>
      </c>
      <c r="O9" s="315" t="str">
        <f t="shared" si="8"/>
        <v/>
      </c>
      <c r="P9" s="408" t="str">
        <f>IF(AND(L9="",M9=""),IF(OR(SUMPRODUCT(N(ISNUMBER(FIND({"s";"d";"f"},C9))))&gt;0,G9+J9&lt;0,AND(G9&gt;0,J9&gt;0,I9&gt;"20:30"*1),AND(I9&lt;="20:30"*1,SUM(I9,R9)&gt;="20:31"*1)),1,""),"")</f>
        <v/>
      </c>
      <c r="Q9" s="326" t="str">
        <f>IF(OR(AND(G9&gt;0,AND(J9=0)),OR(G9=0,AND(J9&gt;0)),OR(G9+J9&gt;0)),IF(R9="","",IF(#REF!+R9&gt;="13:01"*1,1,"")))</f>
        <v/>
      </c>
      <c r="R9" s="30"/>
      <c r="S9" s="327" t="str">
        <f t="shared" si="3"/>
        <v/>
      </c>
      <c r="T9" s="34">
        <f t="shared" si="4"/>
        <v>0</v>
      </c>
      <c r="U9" s="154">
        <f t="shared" si="10"/>
        <v>0</v>
      </c>
      <c r="V9" s="188"/>
      <c r="W9" s="156" t="str">
        <f t="shared" si="9"/>
        <v>0,00</v>
      </c>
    </row>
    <row r="10" spans="1:23" ht="14.4" x14ac:dyDescent="0.3">
      <c r="A10" s="40"/>
      <c r="B10" s="304">
        <v>43350</v>
      </c>
      <c r="C10" s="319" t="s">
        <v>47</v>
      </c>
      <c r="D10" s="320"/>
      <c r="E10" s="310">
        <f>IFERROR(VLOOKUP(C10,TR!$B$2:$F$612,2,0),"")</f>
        <v>0</v>
      </c>
      <c r="F10" s="311">
        <f>IFERROR(VLOOKUP(C10,TR!$B$2:$F$612,3,0),"")</f>
        <v>0</v>
      </c>
      <c r="G10" s="321">
        <f t="shared" si="5"/>
        <v>0</v>
      </c>
      <c r="H10" s="310">
        <f>IFERROR(VLOOKUP(C10,TR!$B$2:$F$612,4,0),"")</f>
        <v>0</v>
      </c>
      <c r="I10" s="311">
        <f>IFERROR(VLOOKUP(C10,TR!$B$2:$F$612,5,0),"")</f>
        <v>0</v>
      </c>
      <c r="J10" s="321">
        <f t="shared" si="6"/>
        <v>0</v>
      </c>
      <c r="K10" s="322" t="str">
        <f t="shared" si="0"/>
        <v/>
      </c>
      <c r="L10" s="323" t="str">
        <f t="shared" si="1"/>
        <v/>
      </c>
      <c r="M10" s="324" t="str">
        <f t="shared" si="2"/>
        <v/>
      </c>
      <c r="N10" s="37" t="str">
        <f t="shared" si="7"/>
        <v/>
      </c>
      <c r="O10" s="315" t="str">
        <f t="shared" si="8"/>
        <v/>
      </c>
      <c r="P10" s="408" t="str">
        <f>IF(AND(L10="",M10=""),IF(OR(SUMPRODUCT(N(ISNUMBER(FIND({"s";"d";"f"},C10))))&gt;0,G10+J10&lt;0,AND(G10&gt;0,J10&gt;0,I10&gt;"20:30"*1),AND(I10&lt;="20:30"*1,SUM(I10,R10)&gt;="20:31"*1)),1,""),"")</f>
        <v/>
      </c>
      <c r="Q10" s="326" t="str">
        <f>IF(OR(AND(G10&gt;0,AND(J10=0)),OR(G10=0,AND(J10&gt;0)),OR(G10+J10&gt;0)),IF(R10="","",IF(#REF!+R10&gt;="13:01"*1,1,"")))</f>
        <v/>
      </c>
      <c r="R10" s="30"/>
      <c r="S10" s="327" t="str">
        <f t="shared" si="3"/>
        <v/>
      </c>
      <c r="T10" s="34">
        <f t="shared" si="4"/>
        <v>0</v>
      </c>
      <c r="U10" s="154">
        <f t="shared" si="10"/>
        <v>0</v>
      </c>
      <c r="V10" s="188"/>
      <c r="W10" s="156" t="str">
        <f t="shared" si="9"/>
        <v>0,00</v>
      </c>
    </row>
    <row r="11" spans="1:23" ht="14.4" x14ac:dyDescent="0.3">
      <c r="A11" s="40"/>
      <c r="B11" s="304">
        <v>43351</v>
      </c>
      <c r="C11" s="319" t="s">
        <v>51</v>
      </c>
      <c r="D11" s="320"/>
      <c r="E11" s="310">
        <f>IFERROR(VLOOKUP(C11,TR!$B$2:$F$612,2,0),"")</f>
        <v>0</v>
      </c>
      <c r="F11" s="311">
        <f>IFERROR(VLOOKUP(C11,TR!$B$2:$F$612,3,0),"")</f>
        <v>0</v>
      </c>
      <c r="G11" s="328">
        <f t="shared" si="5"/>
        <v>0</v>
      </c>
      <c r="H11" s="310">
        <f>IFERROR(VLOOKUP(C11,TR!$B$2:$F$612,4,0),"")</f>
        <v>0</v>
      </c>
      <c r="I11" s="311">
        <f>IFERROR(VLOOKUP(C11,TR!$B$2:$F$612,5,0),"")</f>
        <v>0</v>
      </c>
      <c r="J11" s="328">
        <f t="shared" si="6"/>
        <v>0</v>
      </c>
      <c r="K11" s="322" t="str">
        <f t="shared" si="0"/>
        <v/>
      </c>
      <c r="L11" s="323" t="str">
        <f t="shared" si="1"/>
        <v/>
      </c>
      <c r="M11" s="324" t="str">
        <f t="shared" si="2"/>
        <v/>
      </c>
      <c r="N11" s="37" t="str">
        <f t="shared" si="7"/>
        <v/>
      </c>
      <c r="O11" s="315" t="str">
        <f t="shared" si="8"/>
        <v/>
      </c>
      <c r="P11" s="408" t="str">
        <f>IF(AND(L11="",M11=""),IF(OR(SUMPRODUCT(N(ISNUMBER(FIND({"s";"d";"f"},C11))))&gt;0,G11+J11&lt;0,AND(G11&gt;0,J11&gt;0,I11&gt;"20:30"*1),AND(I11&lt;="20:30"*1,SUM(I11,R11)&gt;="20:31"*1)),1,""),"")</f>
        <v/>
      </c>
      <c r="Q11" s="326" t="str">
        <f>IF(OR(AND(G11&gt;0,AND(J11=0)),OR(G11=0,AND(J11&gt;0)),OR(G11+J11&gt;0)),IF(R11="","",IF(#REF!+R11&gt;="13:01"*1,1,"")))</f>
        <v/>
      </c>
      <c r="R11" s="30"/>
      <c r="S11" s="327" t="str">
        <f t="shared" si="3"/>
        <v/>
      </c>
      <c r="T11" s="34">
        <f t="shared" si="4"/>
        <v>0</v>
      </c>
      <c r="U11" s="154">
        <f t="shared" si="10"/>
        <v>0</v>
      </c>
      <c r="V11" s="188"/>
      <c r="W11" s="156" t="str">
        <f t="shared" si="9"/>
        <v>0,00</v>
      </c>
    </row>
    <row r="12" spans="1:23" ht="14.4" x14ac:dyDescent="0.3">
      <c r="A12" s="40"/>
      <c r="B12" s="304">
        <v>43352</v>
      </c>
      <c r="C12" s="319" t="s">
        <v>51</v>
      </c>
      <c r="D12" s="320"/>
      <c r="E12" s="310">
        <f>IFERROR(VLOOKUP(C12,TR!$B$2:$F$612,2,0),"")</f>
        <v>0</v>
      </c>
      <c r="F12" s="311">
        <f>IFERROR(VLOOKUP(C12,TR!$B$2:$F$612,3,0),"")</f>
        <v>0</v>
      </c>
      <c r="G12" s="328">
        <f t="shared" si="5"/>
        <v>0</v>
      </c>
      <c r="H12" s="310">
        <f>IFERROR(VLOOKUP(C12,TR!$B$2:$F$612,4,0),"")</f>
        <v>0</v>
      </c>
      <c r="I12" s="311">
        <f>IFERROR(VLOOKUP(C12,TR!$B$2:$F$612,5,0),"")</f>
        <v>0</v>
      </c>
      <c r="J12" s="328">
        <f t="shared" si="6"/>
        <v>0</v>
      </c>
      <c r="K12" s="322" t="str">
        <f t="shared" si="0"/>
        <v/>
      </c>
      <c r="L12" s="323" t="str">
        <f t="shared" si="1"/>
        <v/>
      </c>
      <c r="M12" s="324" t="str">
        <f t="shared" si="2"/>
        <v/>
      </c>
      <c r="N12" s="37" t="str">
        <f t="shared" si="7"/>
        <v/>
      </c>
      <c r="O12" s="315" t="str">
        <f t="shared" si="8"/>
        <v/>
      </c>
      <c r="P12" s="408" t="str">
        <f>IF(AND(L12="",M12=""),IF(OR(SUMPRODUCT(N(ISNUMBER(FIND({"s";"d";"f"},C12))))&gt;0,G12+J12&lt;0,AND(G12&gt;0,J12&gt;0,I12&gt;"20:30"*1),AND(I12&lt;="20:30"*1,SUM(I12,R12)&gt;="20:31"*1)),1,""),"")</f>
        <v/>
      </c>
      <c r="Q12" s="326" t="str">
        <f>IF(OR(AND(G12&gt;0,AND(J12=0)),OR(G12=0,AND(J12&gt;0)),OR(G12+J12&gt;0)),IF(R12="","",IF(#REF!+R12&gt;="13:01"*1,1,"")))</f>
        <v/>
      </c>
      <c r="R12" s="30"/>
      <c r="S12" s="327" t="str">
        <f t="shared" si="3"/>
        <v/>
      </c>
      <c r="T12" s="34">
        <f t="shared" si="4"/>
        <v>0</v>
      </c>
      <c r="U12" s="154">
        <f t="shared" si="10"/>
        <v>0</v>
      </c>
      <c r="V12" s="188"/>
      <c r="W12" s="156" t="str">
        <f t="shared" si="9"/>
        <v>0,00</v>
      </c>
    </row>
    <row r="13" spans="1:23" ht="14.4" x14ac:dyDescent="0.3">
      <c r="A13" s="40"/>
      <c r="B13" s="304">
        <v>43353</v>
      </c>
      <c r="C13" s="329"/>
      <c r="D13" s="330"/>
      <c r="E13" s="310" t="str">
        <f>IFERROR(VLOOKUP(C13,TR!$B$2:$F$612,2,0),"")</f>
        <v/>
      </c>
      <c r="F13" s="311" t="str">
        <f>IFERROR(VLOOKUP(C13,TR!$B$2:$F$612,3,0),"")</f>
        <v/>
      </c>
      <c r="G13" s="328">
        <f t="shared" si="5"/>
        <v>0</v>
      </c>
      <c r="H13" s="310" t="str">
        <f>IFERROR(VLOOKUP(C13,TR!$B$2:$F$612,4,0),"")</f>
        <v/>
      </c>
      <c r="I13" s="311" t="str">
        <f>IFERROR(VLOOKUP(C13,TR!$B$2:$F$612,5,0),"")</f>
        <v/>
      </c>
      <c r="J13" s="328">
        <f t="shared" si="6"/>
        <v>0</v>
      </c>
      <c r="K13" s="322" t="str">
        <f t="shared" si="0"/>
        <v/>
      </c>
      <c r="L13" s="323" t="str">
        <f t="shared" si="1"/>
        <v/>
      </c>
      <c r="M13" s="324" t="str">
        <f t="shared" si="2"/>
        <v/>
      </c>
      <c r="N13" s="37" t="str">
        <f t="shared" si="7"/>
        <v/>
      </c>
      <c r="O13" s="315" t="str">
        <f t="shared" si="8"/>
        <v/>
      </c>
      <c r="P13" s="408" t="str">
        <f>IF(AND(L13="",M13=""),IF(OR(SUMPRODUCT(N(ISNUMBER(FIND({"s";"d";"f"},C13))))&gt;0,G13+J13&lt;0,AND(G13&gt;0,J13&gt;0,I13&gt;"20:30"*1),AND(I13&lt;="20:30"*1,SUM(I13,R13)&gt;="20:31"*1)),1,""),"")</f>
        <v/>
      </c>
      <c r="Q13" s="326" t="str">
        <f>IF(OR(AND(G13&gt;0,AND(J13=0)),OR(G13=0,AND(J13&gt;0)),OR(G13+J13&gt;0)),IF(R13="","",IF(#REF!+R13&gt;="13:01"*1,1,"")))</f>
        <v/>
      </c>
      <c r="R13" s="31"/>
      <c r="S13" s="327" t="str">
        <f t="shared" si="3"/>
        <v/>
      </c>
      <c r="T13" s="34">
        <f t="shared" si="4"/>
        <v>0</v>
      </c>
      <c r="U13" s="154">
        <f t="shared" si="10"/>
        <v>0</v>
      </c>
      <c r="V13" s="188"/>
      <c r="W13" s="156" t="str">
        <f t="shared" si="9"/>
        <v>0,00</v>
      </c>
    </row>
    <row r="14" spans="1:23" ht="14.4" x14ac:dyDescent="0.3">
      <c r="A14" s="40"/>
      <c r="B14" s="304">
        <v>43354</v>
      </c>
      <c r="C14" s="331" t="s">
        <v>46</v>
      </c>
      <c r="D14" s="332"/>
      <c r="E14" s="310">
        <f>IFERROR(VLOOKUP(C14,TR!$B$2:$F$612,2,0),"")</f>
        <v>0</v>
      </c>
      <c r="F14" s="311">
        <f>IFERROR(VLOOKUP(C14,TR!$B$2:$F$612,3,0),"")</f>
        <v>0</v>
      </c>
      <c r="G14" s="328">
        <f t="shared" si="5"/>
        <v>0</v>
      </c>
      <c r="H14" s="310">
        <f>IFERROR(VLOOKUP(C14,TR!$B$2:$F$612,4,0),"")</f>
        <v>0</v>
      </c>
      <c r="I14" s="311">
        <f>IFERROR(VLOOKUP(C14,TR!$B$2:$F$612,5,0),"")</f>
        <v>0</v>
      </c>
      <c r="J14" s="328">
        <f t="shared" si="6"/>
        <v>0</v>
      </c>
      <c r="K14" s="322" t="str">
        <f t="shared" si="0"/>
        <v/>
      </c>
      <c r="L14" s="323" t="str">
        <f t="shared" si="1"/>
        <v/>
      </c>
      <c r="M14" s="324" t="str">
        <f t="shared" si="2"/>
        <v/>
      </c>
      <c r="N14" s="37" t="str">
        <f t="shared" si="7"/>
        <v/>
      </c>
      <c r="O14" s="315" t="str">
        <f t="shared" si="8"/>
        <v/>
      </c>
      <c r="P14" s="408" t="str">
        <f>IF(AND(L14="",M14=""),IF(OR(SUMPRODUCT(N(ISNUMBER(FIND({"s";"d";"f"},C14))))&gt;0,G14+J14&lt;0,AND(G14&gt;0,J14&gt;0,I14&gt;"20:30"*1),AND(I14&lt;="20:30"*1,SUM(I14,R14)&gt;="20:31"*1)),1,""),"")</f>
        <v/>
      </c>
      <c r="Q14" s="326" t="str">
        <f>IF(OR(AND(G14&gt;0,AND(J14=0)),OR(G14=0,AND(J14&gt;0)),OR(G14+J14&gt;0)),IF(R14="","",IF(#REF!+R14&gt;="13:01"*1,1,"")))</f>
        <v/>
      </c>
      <c r="R14" s="31"/>
      <c r="S14" s="327" t="str">
        <f t="shared" si="3"/>
        <v/>
      </c>
      <c r="T14" s="34">
        <f t="shared" si="4"/>
        <v>0</v>
      </c>
      <c r="U14" s="154">
        <f t="shared" si="10"/>
        <v>0</v>
      </c>
      <c r="V14" s="188"/>
      <c r="W14" s="156" t="str">
        <f t="shared" si="9"/>
        <v>0,00</v>
      </c>
    </row>
    <row r="15" spans="1:23" ht="14.4" x14ac:dyDescent="0.3">
      <c r="A15" s="40"/>
      <c r="B15" s="304">
        <v>43355</v>
      </c>
      <c r="C15" s="331"/>
      <c r="D15" s="332"/>
      <c r="E15" s="310" t="str">
        <f>IFERROR(VLOOKUP(C15,TR!$B$2:$F$612,2,0),"")</f>
        <v/>
      </c>
      <c r="F15" s="311" t="str">
        <f>IFERROR(VLOOKUP(C15,TR!$B$2:$F$612,3,0),"")</f>
        <v/>
      </c>
      <c r="G15" s="328">
        <f t="shared" si="5"/>
        <v>0</v>
      </c>
      <c r="H15" s="310" t="str">
        <f>IFERROR(VLOOKUP(C15,TR!$B$2:$F$612,4,0),"")</f>
        <v/>
      </c>
      <c r="I15" s="311" t="str">
        <f>IFERROR(VLOOKUP(C15,TR!$B$2:$F$612,5,0),"")</f>
        <v/>
      </c>
      <c r="J15" s="328">
        <f t="shared" si="6"/>
        <v>0</v>
      </c>
      <c r="K15" s="322" t="str">
        <f t="shared" si="0"/>
        <v/>
      </c>
      <c r="L15" s="323" t="str">
        <f t="shared" si="1"/>
        <v/>
      </c>
      <c r="M15" s="324" t="str">
        <f t="shared" si="2"/>
        <v/>
      </c>
      <c r="N15" s="37" t="str">
        <f t="shared" si="7"/>
        <v/>
      </c>
      <c r="O15" s="315" t="str">
        <f t="shared" si="8"/>
        <v/>
      </c>
      <c r="P15" s="408" t="str">
        <f>IF(AND(L15="",M15=""),IF(OR(SUMPRODUCT(N(ISNUMBER(FIND({"s";"d";"f"},C15))))&gt;0,G15+J15&lt;0,AND(G15&gt;0,J15&gt;0,I15&gt;"20:30"*1),AND(I15&lt;="20:30"*1,SUM(I15,R15)&gt;="20:31"*1)),1,""),"")</f>
        <v/>
      </c>
      <c r="Q15" s="326" t="str">
        <f>IF(OR(AND(G15&gt;0,AND(J15=0)),OR(G15=0,AND(J15&gt;0)),OR(G15+J15&gt;0)),IF(R15="","",IF(#REF!+R15&gt;="13:01"*1,1,"")))</f>
        <v/>
      </c>
      <c r="R15" s="30"/>
      <c r="S15" s="327" t="str">
        <f t="shared" si="3"/>
        <v/>
      </c>
      <c r="T15" s="34">
        <f t="shared" si="4"/>
        <v>0</v>
      </c>
      <c r="U15" s="154">
        <f t="shared" si="10"/>
        <v>0</v>
      </c>
      <c r="V15" s="188"/>
      <c r="W15" s="156" t="str">
        <f t="shared" si="9"/>
        <v>0,00</v>
      </c>
    </row>
    <row r="16" spans="1:23" ht="14.4" x14ac:dyDescent="0.3">
      <c r="A16" s="40"/>
      <c r="B16" s="304">
        <v>43356</v>
      </c>
      <c r="C16" s="329"/>
      <c r="D16" s="578"/>
      <c r="E16" s="579" t="str">
        <f>IFERROR(VLOOKUP(C16,TR!$B$2:$F$612,2,0),"")</f>
        <v/>
      </c>
      <c r="F16" s="580" t="str">
        <f>IFERROR(VLOOKUP(C16,TR!$B$2:$F$612,3,0),"")</f>
        <v/>
      </c>
      <c r="G16" s="328">
        <f t="shared" si="5"/>
        <v>0</v>
      </c>
      <c r="H16" s="579" t="str">
        <f>IFERROR(VLOOKUP(C16,TR!$B$2:$F$612,4,0),"")</f>
        <v/>
      </c>
      <c r="I16" s="580" t="str">
        <f>IFERROR(VLOOKUP(C16,TR!$B$2:$F$612,5,0),"")</f>
        <v/>
      </c>
      <c r="J16" s="328">
        <f t="shared" si="6"/>
        <v>0</v>
      </c>
      <c r="K16" s="322" t="str">
        <f t="shared" si="0"/>
        <v/>
      </c>
      <c r="L16" s="323" t="str">
        <f t="shared" si="1"/>
        <v/>
      </c>
      <c r="M16" s="324" t="str">
        <f t="shared" si="2"/>
        <v/>
      </c>
      <c r="N16" s="37" t="str">
        <f t="shared" si="7"/>
        <v/>
      </c>
      <c r="O16" s="315" t="str">
        <f t="shared" si="8"/>
        <v/>
      </c>
      <c r="P16" s="408" t="str">
        <f>IF(AND(L16="",M16=""),IF(OR(SUMPRODUCT(N(ISNUMBER(FIND({"s";"d";"f"},C16))))&gt;0,G16+J16&lt;0,AND(G16&gt;0,J16&gt;0,I16&gt;"20:30"*1),AND(I16&lt;="20:30"*1,SUM(I16,R16)&gt;="20:31"*1)),1,""),"")</f>
        <v/>
      </c>
      <c r="Q16" s="326" t="str">
        <f>IF(OR(AND(G16&gt;0,AND(J16=0)),OR(G16=0,AND(J16&gt;0)),OR(G16+J16&gt;0)),IF(R16="","",IF(#REF!+R16&gt;="13:01"*1,1,"")))</f>
        <v/>
      </c>
      <c r="R16" s="31"/>
      <c r="S16" s="327" t="str">
        <f t="shared" si="3"/>
        <v/>
      </c>
      <c r="T16" s="34">
        <f t="shared" si="4"/>
        <v>0</v>
      </c>
      <c r="U16" s="154">
        <f t="shared" si="10"/>
        <v>0</v>
      </c>
      <c r="V16" s="188"/>
      <c r="W16" s="156" t="str">
        <f t="shared" si="9"/>
        <v>0,00</v>
      </c>
    </row>
    <row r="17" spans="1:23" ht="14.4" x14ac:dyDescent="0.3">
      <c r="A17" s="40"/>
      <c r="B17" s="304">
        <v>43357</v>
      </c>
      <c r="C17" s="319"/>
      <c r="D17" s="320"/>
      <c r="E17" s="310" t="str">
        <f>IFERROR(VLOOKUP(C17,TR!$B$2:$F$612,2,0),"")</f>
        <v/>
      </c>
      <c r="F17" s="311" t="str">
        <f>IFERROR(VLOOKUP(C17,TR!$B$2:$F$612,3,0),"")</f>
        <v/>
      </c>
      <c r="G17" s="321">
        <f t="shared" si="5"/>
        <v>0</v>
      </c>
      <c r="H17" s="310" t="str">
        <f>IFERROR(VLOOKUP(C17,TR!$B$2:$F$612,4,0),"")</f>
        <v/>
      </c>
      <c r="I17" s="311" t="str">
        <f>IFERROR(VLOOKUP(C17,TR!$B$2:$F$612,5,0),"")</f>
        <v/>
      </c>
      <c r="J17" s="321">
        <f t="shared" si="6"/>
        <v>0</v>
      </c>
      <c r="K17" s="322" t="str">
        <f t="shared" si="0"/>
        <v/>
      </c>
      <c r="L17" s="323" t="str">
        <f t="shared" si="1"/>
        <v/>
      </c>
      <c r="M17" s="324" t="str">
        <f t="shared" si="2"/>
        <v/>
      </c>
      <c r="N17" s="37" t="str">
        <f t="shared" si="7"/>
        <v/>
      </c>
      <c r="O17" s="315" t="str">
        <f t="shared" si="8"/>
        <v/>
      </c>
      <c r="P17" s="408" t="str">
        <f>IF(AND(L17="",M17=""),IF(OR(SUMPRODUCT(N(ISNUMBER(FIND({"s";"d";"f"},C17))))&gt;0,G17+J17&lt;0,AND(G17&gt;0,J17&gt;0,I17&gt;"20:30"*1),AND(I17&lt;="20:30"*1,SUM(I17,R17)&gt;="20:31"*1)),1,""),"")</f>
        <v/>
      </c>
      <c r="Q17" s="326" t="str">
        <f>IF(OR(AND(G17&gt;0,AND(J17=0)),OR(G17=0,AND(J17&gt;0)),OR(G17+J17&gt;0)),IF(R17="","",IF(#REF!+R17&gt;="13:01"*1,1,"")))</f>
        <v/>
      </c>
      <c r="R17" s="31"/>
      <c r="S17" s="327" t="str">
        <f t="shared" si="3"/>
        <v/>
      </c>
      <c r="T17" s="34">
        <f t="shared" si="4"/>
        <v>0</v>
      </c>
      <c r="U17" s="154">
        <f t="shared" si="10"/>
        <v>0</v>
      </c>
      <c r="V17" s="188"/>
      <c r="W17" s="156" t="str">
        <f t="shared" si="9"/>
        <v>0,00</v>
      </c>
    </row>
    <row r="18" spans="1:23" ht="14.4" x14ac:dyDescent="0.3">
      <c r="A18" s="40"/>
      <c r="B18" s="304">
        <v>43358</v>
      </c>
      <c r="C18" s="319"/>
      <c r="D18" s="320"/>
      <c r="E18" s="310" t="str">
        <f>IFERROR(VLOOKUP(C18,TR!$B$2:$F$612,2,0),"")</f>
        <v/>
      </c>
      <c r="F18" s="311" t="str">
        <f>IFERROR(VLOOKUP(C18,TR!$B$2:$F$612,3,0),"")</f>
        <v/>
      </c>
      <c r="G18" s="321">
        <f t="shared" si="5"/>
        <v>0</v>
      </c>
      <c r="H18" s="310" t="str">
        <f>IFERROR(VLOOKUP(C18,TR!$B$2:$F$612,4,0),"")</f>
        <v/>
      </c>
      <c r="I18" s="311" t="str">
        <f>IFERROR(VLOOKUP(C18,TR!$B$2:$F$612,5,0),"")</f>
        <v/>
      </c>
      <c r="J18" s="321">
        <f t="shared" si="6"/>
        <v>0</v>
      </c>
      <c r="K18" s="322" t="str">
        <f t="shared" si="0"/>
        <v/>
      </c>
      <c r="L18" s="323" t="str">
        <f t="shared" si="1"/>
        <v/>
      </c>
      <c r="M18" s="324" t="str">
        <f t="shared" si="2"/>
        <v/>
      </c>
      <c r="N18" s="37" t="str">
        <f t="shared" si="7"/>
        <v/>
      </c>
      <c r="O18" s="315" t="str">
        <f t="shared" si="8"/>
        <v/>
      </c>
      <c r="P18" s="408" t="str">
        <f>IF(AND(L18="",M18=""),IF(OR(SUMPRODUCT(N(ISNUMBER(FIND({"s";"d";"f"},C18))))&gt;0,G18+J18&lt;0,AND(G18&gt;0,J18&gt;0,I18&gt;"20:30"*1),AND(I18&lt;="20:30"*1,SUM(I18,R18)&gt;="20:31"*1)),1,""),"")</f>
        <v/>
      </c>
      <c r="Q18" s="326" t="str">
        <f>IF(OR(AND(G18&gt;0,AND(J18=0)),OR(G18=0,AND(J18&gt;0)),OR(G18+J18&gt;0)),IF(R18="","",IF(#REF!+R18&gt;="13:01"*1,1,"")))</f>
        <v/>
      </c>
      <c r="R18" s="31"/>
      <c r="S18" s="327" t="str">
        <f t="shared" si="3"/>
        <v/>
      </c>
      <c r="T18" s="34">
        <f t="shared" si="4"/>
        <v>0</v>
      </c>
      <c r="U18" s="154">
        <f t="shared" si="10"/>
        <v>0</v>
      </c>
      <c r="V18" s="188"/>
      <c r="W18" s="156" t="str">
        <f t="shared" si="9"/>
        <v>0,00</v>
      </c>
    </row>
    <row r="19" spans="1:23" ht="14.4" x14ac:dyDescent="0.3">
      <c r="A19" s="40"/>
      <c r="B19" s="304">
        <v>43359</v>
      </c>
      <c r="C19" s="319" t="s">
        <v>47</v>
      </c>
      <c r="D19" s="320"/>
      <c r="E19" s="310">
        <f>IFERROR(VLOOKUP(C19,TR!$B$2:$F$612,2,0),"")</f>
        <v>0</v>
      </c>
      <c r="F19" s="311">
        <f>IFERROR(VLOOKUP(C19,TR!$B$2:$F$612,3,0),"")</f>
        <v>0</v>
      </c>
      <c r="G19" s="321">
        <f t="shared" si="5"/>
        <v>0</v>
      </c>
      <c r="H19" s="310">
        <f>IFERROR(VLOOKUP(C19,TR!$B$2:$F$612,4,0),"")</f>
        <v>0</v>
      </c>
      <c r="I19" s="311">
        <f>IFERROR(VLOOKUP(C19,TR!$B$2:$F$612,5,0),"")</f>
        <v>0</v>
      </c>
      <c r="J19" s="321">
        <f t="shared" si="6"/>
        <v>0</v>
      </c>
      <c r="K19" s="322" t="str">
        <f t="shared" si="0"/>
        <v/>
      </c>
      <c r="L19" s="323" t="str">
        <f t="shared" si="1"/>
        <v/>
      </c>
      <c r="M19" s="324" t="str">
        <f t="shared" si="2"/>
        <v/>
      </c>
      <c r="N19" s="37" t="str">
        <f t="shared" si="7"/>
        <v/>
      </c>
      <c r="O19" s="315" t="str">
        <f t="shared" si="8"/>
        <v/>
      </c>
      <c r="P19" s="408" t="str">
        <f>IF(AND(L19="",M19=""),IF(OR(SUMPRODUCT(N(ISNUMBER(FIND({"s";"d";"f"},C19))))&gt;0,G19+J19&lt;0,AND(G19&gt;0,J19&gt;0,I19&gt;"20:30"*1),AND(I19&lt;="20:30"*1,SUM(I19,R19)&gt;="20:31"*1)),1,""),"")</f>
        <v/>
      </c>
      <c r="Q19" s="326" t="str">
        <f>IF(OR(AND(G19&gt;0,AND(J19=0)),OR(G19=0,AND(J19&gt;0)),OR(G19+J19&gt;0)),IF(R19="","",IF(#REF!+R19&gt;="13:01"*1,1,"")))</f>
        <v/>
      </c>
      <c r="R19" s="31"/>
      <c r="S19" s="327" t="str">
        <f t="shared" si="3"/>
        <v/>
      </c>
      <c r="T19" s="34">
        <f t="shared" si="4"/>
        <v>0</v>
      </c>
      <c r="U19" s="154">
        <f t="shared" si="10"/>
        <v>0</v>
      </c>
      <c r="V19" s="188"/>
      <c r="W19" s="156" t="str">
        <f t="shared" si="9"/>
        <v>0,00</v>
      </c>
    </row>
    <row r="20" spans="1:23" ht="14.4" x14ac:dyDescent="0.3">
      <c r="A20" s="40"/>
      <c r="B20" s="304">
        <v>43360</v>
      </c>
      <c r="C20" s="319"/>
      <c r="D20" s="320"/>
      <c r="E20" s="310" t="str">
        <f>IFERROR(VLOOKUP(C20,TR!$B$2:$F$612,2,0),"")</f>
        <v/>
      </c>
      <c r="F20" s="311" t="str">
        <f>IFERROR(VLOOKUP(C20,TR!$B$2:$F$612,3,0),"")</f>
        <v/>
      </c>
      <c r="G20" s="321">
        <f t="shared" si="5"/>
        <v>0</v>
      </c>
      <c r="H20" s="310" t="str">
        <f>IFERROR(VLOOKUP(C20,TR!$B$2:$F$612,4,0),"")</f>
        <v/>
      </c>
      <c r="I20" s="311" t="str">
        <f>IFERROR(VLOOKUP(C20,TR!$B$2:$F$612,5,0),"")</f>
        <v/>
      </c>
      <c r="J20" s="321">
        <f t="shared" si="6"/>
        <v>0</v>
      </c>
      <c r="K20" s="322" t="str">
        <f t="shared" si="0"/>
        <v/>
      </c>
      <c r="L20" s="323" t="str">
        <f t="shared" si="1"/>
        <v/>
      </c>
      <c r="M20" s="324" t="str">
        <f t="shared" si="2"/>
        <v/>
      </c>
      <c r="N20" s="37" t="str">
        <f t="shared" si="7"/>
        <v/>
      </c>
      <c r="O20" s="315" t="str">
        <f t="shared" si="8"/>
        <v/>
      </c>
      <c r="P20" s="408" t="str">
        <f>IF(AND(L20="",M20=""),IF(OR(SUMPRODUCT(N(ISNUMBER(FIND({"s";"d";"f"},C20))))&gt;0,G20+J20&lt;0,AND(G20&gt;0,J20&gt;0,I20&gt;"20:30"*1),AND(I20&lt;="20:30"*1,SUM(I20,R20)&gt;="20:31"*1)),1,""),"")</f>
        <v/>
      </c>
      <c r="Q20" s="326"/>
      <c r="R20" s="31"/>
      <c r="S20" s="327" t="str">
        <f t="shared" si="3"/>
        <v/>
      </c>
      <c r="T20" s="34">
        <f t="shared" si="4"/>
        <v>0</v>
      </c>
      <c r="U20" s="154">
        <f t="shared" si="10"/>
        <v>0</v>
      </c>
      <c r="V20" s="188"/>
      <c r="W20" s="156" t="str">
        <f t="shared" si="9"/>
        <v>0,00</v>
      </c>
    </row>
    <row r="21" spans="1:23" ht="14.4" x14ac:dyDescent="0.3">
      <c r="A21" s="40"/>
      <c r="B21" s="304">
        <v>43361</v>
      </c>
      <c r="C21" s="331"/>
      <c r="D21" s="332"/>
      <c r="E21" s="310" t="str">
        <f>IFERROR(VLOOKUP(C21,TR!$B$2:$F$612,2,0),"")</f>
        <v/>
      </c>
      <c r="F21" s="311" t="str">
        <f>IFERROR(VLOOKUP(C21,TR!$B$2:$F$612,3,0),"")</f>
        <v/>
      </c>
      <c r="G21" s="328">
        <f t="shared" si="5"/>
        <v>0</v>
      </c>
      <c r="H21" s="310" t="str">
        <f>IFERROR(VLOOKUP(C21,TR!$B$2:$F$612,4,0),"")</f>
        <v/>
      </c>
      <c r="I21" s="311" t="str">
        <f>IFERROR(VLOOKUP(C21,TR!$B$2:$F$612,5,0),"")</f>
        <v/>
      </c>
      <c r="J21" s="328">
        <f t="shared" si="6"/>
        <v>0</v>
      </c>
      <c r="K21" s="322" t="str">
        <f t="shared" si="0"/>
        <v/>
      </c>
      <c r="L21" s="323" t="str">
        <f t="shared" si="1"/>
        <v/>
      </c>
      <c r="M21" s="324" t="str">
        <f t="shared" si="2"/>
        <v/>
      </c>
      <c r="N21" s="37" t="str">
        <f t="shared" si="7"/>
        <v/>
      </c>
      <c r="O21" s="315" t="str">
        <f t="shared" si="8"/>
        <v/>
      </c>
      <c r="P21" s="408" t="str">
        <f>IF(AND(L21="",M21=""),IF(OR(SUMPRODUCT(N(ISNUMBER(FIND({"s";"d";"f"},C21))))&gt;0,G21+J21&lt;0,AND(G21&gt;0,J21&gt;0,I21&gt;"20:30"*1),AND(I21&lt;="20:30"*1,SUM(I21,R21)&gt;="20:31"*1)),1,""),"")</f>
        <v/>
      </c>
      <c r="Q21" s="326" t="str">
        <f>IF(OR(AND(G21&gt;0,AND(J21=0)),OR(G21=0,AND(J21&gt;0)),OR(G21+J21&gt;0)),IF(R21="","",IF(#REF!+R21&gt;="13:01"*1,1,"")))</f>
        <v/>
      </c>
      <c r="R21" s="31"/>
      <c r="S21" s="327" t="str">
        <f t="shared" si="3"/>
        <v/>
      </c>
      <c r="T21" s="34">
        <f t="shared" si="4"/>
        <v>0</v>
      </c>
      <c r="U21" s="154">
        <f t="shared" si="10"/>
        <v>0</v>
      </c>
      <c r="V21" s="188"/>
      <c r="W21" s="156" t="str">
        <f t="shared" si="9"/>
        <v>0,00</v>
      </c>
    </row>
    <row r="22" spans="1:23" ht="14.4" x14ac:dyDescent="0.3">
      <c r="A22" s="40"/>
      <c r="B22" s="304">
        <v>43362</v>
      </c>
      <c r="C22" s="329"/>
      <c r="D22" s="330"/>
      <c r="E22" s="310" t="str">
        <f>IFERROR(VLOOKUP(C22,TR!$B$2:$F$612,2,0),"")</f>
        <v/>
      </c>
      <c r="F22" s="311" t="str">
        <f>IFERROR(VLOOKUP(C22,TR!$B$2:$F$612,3,0),"")</f>
        <v/>
      </c>
      <c r="G22" s="328">
        <f t="shared" si="5"/>
        <v>0</v>
      </c>
      <c r="H22" s="310" t="str">
        <f>IFERROR(VLOOKUP(C22,TR!$B$2:$F$612,4,0),"")</f>
        <v/>
      </c>
      <c r="I22" s="311" t="str">
        <f>IFERROR(VLOOKUP(C22,TR!$B$2:$F$612,5,0),"")</f>
        <v/>
      </c>
      <c r="J22" s="328">
        <f t="shared" si="6"/>
        <v>0</v>
      </c>
      <c r="K22" s="322" t="str">
        <f t="shared" si="0"/>
        <v/>
      </c>
      <c r="L22" s="323" t="str">
        <f t="shared" si="1"/>
        <v/>
      </c>
      <c r="M22" s="324" t="str">
        <f t="shared" si="2"/>
        <v/>
      </c>
      <c r="N22" s="37" t="str">
        <f t="shared" si="7"/>
        <v/>
      </c>
      <c r="O22" s="315" t="str">
        <f t="shared" si="8"/>
        <v/>
      </c>
      <c r="P22" s="408" t="str">
        <f>IF(AND(L22="",M22=""),IF(OR(SUMPRODUCT(N(ISNUMBER(FIND({"s";"d";"f"},C22))))&gt;0,G22+J22&lt;0,AND(G22&gt;0,J22&gt;0,I22&gt;"20:30"*1),AND(I22&lt;="20:30"*1,SUM(I22,R22)&gt;="20:31"*1)),1,""),"")</f>
        <v/>
      </c>
      <c r="Q22" s="326" t="str">
        <f>IF(OR(AND(G22&gt;0,AND(J22=0)),OR(G22=0,AND(J22&gt;0)),OR(G22+J22&gt;0)),IF(R22="","",IF(#REF!+R22&gt;="13:01"*1,1,"")))</f>
        <v/>
      </c>
      <c r="R22" s="31"/>
      <c r="S22" s="327" t="str">
        <f t="shared" si="3"/>
        <v/>
      </c>
      <c r="T22" s="34">
        <f t="shared" si="4"/>
        <v>0</v>
      </c>
      <c r="U22" s="154">
        <f t="shared" si="10"/>
        <v>0</v>
      </c>
      <c r="V22" s="188"/>
      <c r="W22" s="156" t="str">
        <f t="shared" si="9"/>
        <v>0,00</v>
      </c>
    </row>
    <row r="23" spans="1:23" ht="15" thickBot="1" x14ac:dyDescent="0.35">
      <c r="A23" s="40"/>
      <c r="B23" s="417">
        <v>43363</v>
      </c>
      <c r="C23" s="455"/>
      <c r="D23" s="456"/>
      <c r="E23" s="420" t="str">
        <f>IFERROR(VLOOKUP(C23,TR!$B$2:$F$612,2,0),"")</f>
        <v/>
      </c>
      <c r="F23" s="421" t="str">
        <f>IFERROR(VLOOKUP(C23,TR!$B$2:$F$612,3,0),"")</f>
        <v/>
      </c>
      <c r="G23" s="422">
        <f t="shared" si="5"/>
        <v>0</v>
      </c>
      <c r="H23" s="420" t="str">
        <f>IFERROR(VLOOKUP(C23,TR!$B$2:$F$612,4,0),"")</f>
        <v/>
      </c>
      <c r="I23" s="421" t="str">
        <f>IFERROR(VLOOKUP(C23,TR!$B$2:$F$612,5,0),"")</f>
        <v/>
      </c>
      <c r="J23" s="422">
        <f t="shared" si="6"/>
        <v>0</v>
      </c>
      <c r="K23" s="536" t="str">
        <f t="shared" si="0"/>
        <v/>
      </c>
      <c r="L23" s="540" t="str">
        <f t="shared" si="1"/>
        <v/>
      </c>
      <c r="M23" s="538" t="str">
        <f t="shared" si="2"/>
        <v/>
      </c>
      <c r="N23" s="245" t="str">
        <f t="shared" si="7"/>
        <v/>
      </c>
      <c r="O23" s="341" t="str">
        <f t="shared" si="8"/>
        <v/>
      </c>
      <c r="P23" s="424" t="str">
        <f>IF(AND(L23="",M23=""),IF(OR(SUMPRODUCT(N(ISNUMBER(FIND({"s";"d";"f"},C23))))&gt;0,G23+J23&lt;0,AND(G23&gt;0,J23&gt;0,I23&gt;"20:30"*1),AND(I23&lt;="20:30"*1,SUM(I23,R23)&gt;="20:31"*1)),1,""),"")</f>
        <v/>
      </c>
      <c r="Q23" s="343" t="str">
        <f>IF(OR(AND(G23&gt;0,AND(J23=0)),OR(G23=0,AND(J23&gt;0)),OR(G23+J23&gt;0)),IF(R23="","",IF(#REF!+R23&gt;="13:01"*1,1,"")))</f>
        <v/>
      </c>
      <c r="R23" s="233"/>
      <c r="S23" s="425" t="str">
        <f t="shared" si="3"/>
        <v/>
      </c>
      <c r="T23" s="234">
        <f t="shared" si="4"/>
        <v>0</v>
      </c>
      <c r="U23" s="235">
        <f t="shared" si="10"/>
        <v>0</v>
      </c>
      <c r="V23" s="236"/>
      <c r="W23" s="251" t="str">
        <f t="shared" si="9"/>
        <v>0,00</v>
      </c>
    </row>
    <row r="24" spans="1:23" ht="14.4" x14ac:dyDescent="0.3">
      <c r="A24" s="40"/>
      <c r="B24" s="426">
        <v>43364</v>
      </c>
      <c r="C24" s="457"/>
      <c r="D24" s="458"/>
      <c r="E24" s="429" t="str">
        <f>IFERROR(VLOOKUP(C24,TR!$B$2:$F$612,2,0),"")</f>
        <v/>
      </c>
      <c r="F24" s="430" t="str">
        <f>IFERROR(VLOOKUP(C24,TR!$B$2:$F$612,3,0),"")</f>
        <v/>
      </c>
      <c r="G24" s="431">
        <f t="shared" si="5"/>
        <v>0</v>
      </c>
      <c r="H24" s="429" t="str">
        <f>IFERROR(VLOOKUP(C24,TR!$B$2:$F$612,4,0),"")</f>
        <v/>
      </c>
      <c r="I24" s="430" t="str">
        <f>IFERROR(VLOOKUP(C24,TR!$B$2:$F$612,5,0),"")</f>
        <v/>
      </c>
      <c r="J24" s="431">
        <f t="shared" si="6"/>
        <v>0</v>
      </c>
      <c r="K24" s="533" t="str">
        <f t="shared" si="0"/>
        <v/>
      </c>
      <c r="L24" s="539" t="str">
        <f t="shared" si="1"/>
        <v/>
      </c>
      <c r="M24" s="535" t="str">
        <f t="shared" si="2"/>
        <v/>
      </c>
      <c r="N24" s="243" t="str">
        <f t="shared" si="7"/>
        <v/>
      </c>
      <c r="O24" s="350" t="str">
        <f t="shared" si="8"/>
        <v/>
      </c>
      <c r="P24" s="433" t="str">
        <f>IF(AND(L24="",M24=""),IF(OR(SUMPRODUCT(N(ISNUMBER(FIND({"s";"d";"f"},C24))))&gt;0,G24+J24&lt;0,AND(G24&gt;0,J24&gt;0,I24&gt;"20:30"*1),AND(I24&lt;="20:30"*1,SUM(I24,R24)&gt;="20:31"*1)),1,""),"")</f>
        <v/>
      </c>
      <c r="Q24" s="352" t="str">
        <f>IF(OR(AND(G24&gt;0,AND(J24=0)),OR(G24=0,AND(J24&gt;0)),OR(G24+J24&gt;0)),IF(R24="","",IF(#REF!+R24&gt;="13:01"*1,1,"")))</f>
        <v/>
      </c>
      <c r="R24" s="238"/>
      <c r="S24" s="434" t="str">
        <f t="shared" si="3"/>
        <v/>
      </c>
      <c r="T24" s="239">
        <f t="shared" si="4"/>
        <v>0</v>
      </c>
      <c r="U24" s="240">
        <f t="shared" si="10"/>
        <v>0</v>
      </c>
      <c r="V24" s="241"/>
      <c r="W24" s="242" t="str">
        <f t="shared" si="9"/>
        <v>0,00</v>
      </c>
    </row>
    <row r="25" spans="1:23" ht="14.4" x14ac:dyDescent="0.3">
      <c r="A25" s="40"/>
      <c r="B25" s="304">
        <v>43365</v>
      </c>
      <c r="C25" s="329" t="s">
        <v>46</v>
      </c>
      <c r="D25" s="330"/>
      <c r="E25" s="310">
        <f>IFERROR(VLOOKUP(C25,TR!$B$2:$F$612,2,0),"")</f>
        <v>0</v>
      </c>
      <c r="F25" s="311">
        <f>IFERROR(VLOOKUP(C25,TR!$B$2:$F$612,3,0),"")</f>
        <v>0</v>
      </c>
      <c r="G25" s="328">
        <f t="shared" si="5"/>
        <v>0</v>
      </c>
      <c r="H25" s="310">
        <f>IFERROR(VLOOKUP(C25,TR!$B$2:$F$612,4,0),"")</f>
        <v>0</v>
      </c>
      <c r="I25" s="311">
        <f>IFERROR(VLOOKUP(C25,TR!$B$2:$F$612,5,0),"")</f>
        <v>0</v>
      </c>
      <c r="J25" s="328">
        <f t="shared" si="6"/>
        <v>0</v>
      </c>
      <c r="K25" s="322" t="str">
        <f t="shared" si="0"/>
        <v/>
      </c>
      <c r="L25" s="323" t="str">
        <f t="shared" si="1"/>
        <v/>
      </c>
      <c r="M25" s="324" t="str">
        <f t="shared" si="2"/>
        <v/>
      </c>
      <c r="N25" s="37" t="str">
        <f t="shared" si="7"/>
        <v/>
      </c>
      <c r="O25" s="315" t="str">
        <f t="shared" si="8"/>
        <v/>
      </c>
      <c r="P25" s="408" t="str">
        <f>IF(AND(L25="",M25=""),IF(OR(SUMPRODUCT(N(ISNUMBER(FIND({"s";"d";"f"},C25))))&gt;0,G25+J25&lt;0,AND(G25&gt;0,J25&gt;0,I25&gt;"20:30"*1),AND(I25&lt;="20:30"*1,SUM(I25,R25)&gt;="20:31"*1)),1,""),"")</f>
        <v/>
      </c>
      <c r="Q25" s="326" t="str">
        <f>IF(OR(AND(G25&gt;0,AND(J25=0)),OR(G25=0,AND(J25&gt;0)),OR(G25+J25&gt;0)),IF(R25="","",IF(#REF!+R25&gt;="13:01"*1,1,"")))</f>
        <v/>
      </c>
      <c r="R25" s="31"/>
      <c r="S25" s="327" t="str">
        <f t="shared" si="3"/>
        <v/>
      </c>
      <c r="T25" s="34">
        <f t="shared" si="4"/>
        <v>0</v>
      </c>
      <c r="U25" s="154">
        <f t="shared" si="10"/>
        <v>0</v>
      </c>
      <c r="V25" s="188"/>
      <c r="W25" s="156" t="str">
        <f t="shared" si="9"/>
        <v>0,00</v>
      </c>
    </row>
    <row r="26" spans="1:23" ht="14.4" x14ac:dyDescent="0.3">
      <c r="A26" s="40"/>
      <c r="B26" s="304">
        <v>43366</v>
      </c>
      <c r="C26" s="319" t="s">
        <v>47</v>
      </c>
      <c r="D26" s="320"/>
      <c r="E26" s="310">
        <f>IFERROR(VLOOKUP(C26,TR!$B$2:$F$612,2,0),"")</f>
        <v>0</v>
      </c>
      <c r="F26" s="311">
        <f>IFERROR(VLOOKUP(C26,TR!$B$2:$F$612,3,0),"")</f>
        <v>0</v>
      </c>
      <c r="G26" s="321">
        <f t="shared" si="5"/>
        <v>0</v>
      </c>
      <c r="H26" s="310">
        <f>IFERROR(VLOOKUP(C26,TR!$B$2:$F$612,4,0),"")</f>
        <v>0</v>
      </c>
      <c r="I26" s="311">
        <f>IFERROR(VLOOKUP(C26,TR!$B$2:$F$612,5,0),"")</f>
        <v>0</v>
      </c>
      <c r="J26" s="321">
        <f t="shared" si="6"/>
        <v>0</v>
      </c>
      <c r="K26" s="322" t="str">
        <f t="shared" si="0"/>
        <v/>
      </c>
      <c r="L26" s="323" t="str">
        <f t="shared" si="1"/>
        <v/>
      </c>
      <c r="M26" s="324" t="str">
        <f t="shared" si="2"/>
        <v/>
      </c>
      <c r="N26" s="37" t="str">
        <f t="shared" si="7"/>
        <v/>
      </c>
      <c r="O26" s="315" t="str">
        <f t="shared" si="8"/>
        <v/>
      </c>
      <c r="P26" s="408" t="str">
        <f>IF(AND(L26="",M26=""),IF(OR(SUMPRODUCT(N(ISNUMBER(FIND({"s";"d";"f"},C26))))&gt;0,G26+J26&lt;0,AND(G26&gt;0,J26&gt;0,I26&gt;"20:30"*1),AND(I26&lt;="20:30"*1,SUM(I26,R26)&gt;="20:31"*1)),1,""),"")</f>
        <v/>
      </c>
      <c r="Q26" s="326" t="str">
        <f>IF(OR(AND(G26&gt;0,AND(J26=0)),OR(G26=0,AND(J26&gt;0)),OR(G26+J26&gt;0)),IF(R26="","",IF(#REF!+R26&gt;="13:01"*1,1,"")))</f>
        <v/>
      </c>
      <c r="R26" s="31"/>
      <c r="S26" s="327" t="str">
        <f t="shared" si="3"/>
        <v/>
      </c>
      <c r="T26" s="34">
        <f t="shared" si="4"/>
        <v>0</v>
      </c>
      <c r="U26" s="154">
        <f t="shared" si="10"/>
        <v>0</v>
      </c>
      <c r="V26" s="188"/>
      <c r="W26" s="156" t="str">
        <f t="shared" si="9"/>
        <v>0,00</v>
      </c>
    </row>
    <row r="27" spans="1:23" ht="14.4" x14ac:dyDescent="0.3">
      <c r="A27" s="40"/>
      <c r="B27" s="304">
        <v>43367</v>
      </c>
      <c r="C27" s="319"/>
      <c r="D27" s="320"/>
      <c r="E27" s="310" t="str">
        <f>IFERROR(VLOOKUP(C27,TR!$B$2:$F$612,2,0),"")</f>
        <v/>
      </c>
      <c r="F27" s="311" t="str">
        <f>IFERROR(VLOOKUP(C27,TR!$B$2:$F$612,3,0),"")</f>
        <v/>
      </c>
      <c r="G27" s="321">
        <f t="shared" si="5"/>
        <v>0</v>
      </c>
      <c r="H27" s="310" t="str">
        <f>IFERROR(VLOOKUP(C27,TR!$B$2:$F$612,4,0),"")</f>
        <v/>
      </c>
      <c r="I27" s="311" t="str">
        <f>IFERROR(VLOOKUP(C27,TR!$B$2:$F$612,5,0),"")</f>
        <v/>
      </c>
      <c r="J27" s="321">
        <f t="shared" si="6"/>
        <v>0</v>
      </c>
      <c r="K27" s="322" t="str">
        <f t="shared" si="0"/>
        <v/>
      </c>
      <c r="L27" s="323" t="str">
        <f t="shared" si="1"/>
        <v/>
      </c>
      <c r="M27" s="324" t="str">
        <f t="shared" si="2"/>
        <v/>
      </c>
      <c r="N27" s="37" t="str">
        <f t="shared" si="7"/>
        <v/>
      </c>
      <c r="O27" s="315" t="str">
        <f t="shared" si="8"/>
        <v/>
      </c>
      <c r="P27" s="408" t="str">
        <f>IF(AND(L27="",M27=""),IF(OR(SUMPRODUCT(N(ISNUMBER(FIND({"s";"d";"f"},C27))))&gt;0,G27+J27&lt;0,AND(G27&gt;0,J27&gt;0,I27&gt;"20:30"*1),AND(I27&lt;="20:30"*1,SUM(I27,R27)&gt;="20:31"*1)),1,""),"")</f>
        <v/>
      </c>
      <c r="Q27" s="326" t="str">
        <f>IF(OR(AND(G27&gt;0,AND(J27=0)),OR(G27=0,AND(J27&gt;0)),OR(G27+J27&gt;0)),IF(R27="","",IF(#REF!+R27&gt;="13:01"*1,1,"")))</f>
        <v/>
      </c>
      <c r="R27" s="31"/>
      <c r="S27" s="327" t="str">
        <f t="shared" si="3"/>
        <v/>
      </c>
      <c r="T27" s="34">
        <f t="shared" si="4"/>
        <v>0</v>
      </c>
      <c r="U27" s="154">
        <f t="shared" si="10"/>
        <v>0</v>
      </c>
      <c r="V27" s="188"/>
      <c r="W27" s="156" t="str">
        <f t="shared" si="9"/>
        <v>0,00</v>
      </c>
    </row>
    <row r="28" spans="1:23" ht="14.4" x14ac:dyDescent="0.3">
      <c r="A28" s="40"/>
      <c r="B28" s="304">
        <v>43368</v>
      </c>
      <c r="C28" s="319"/>
      <c r="D28" s="320"/>
      <c r="E28" s="310" t="str">
        <f>IFERROR(VLOOKUP(C28,TR!$B$2:$F$612,2,0),"")</f>
        <v/>
      </c>
      <c r="F28" s="311" t="str">
        <f>IFERROR(VLOOKUP(C28,TR!$B$2:$F$612,3,0),"")</f>
        <v/>
      </c>
      <c r="G28" s="321">
        <f t="shared" si="5"/>
        <v>0</v>
      </c>
      <c r="H28" s="310" t="str">
        <f>IFERROR(VLOOKUP(C28,TR!$B$2:$F$612,4,0),"")</f>
        <v/>
      </c>
      <c r="I28" s="311" t="str">
        <f>IFERROR(VLOOKUP(C28,TR!$B$2:$F$612,5,0),"")</f>
        <v/>
      </c>
      <c r="J28" s="321">
        <f t="shared" si="6"/>
        <v>0</v>
      </c>
      <c r="K28" s="322" t="str">
        <f t="shared" si="0"/>
        <v/>
      </c>
      <c r="L28" s="323" t="str">
        <f t="shared" si="1"/>
        <v/>
      </c>
      <c r="M28" s="324" t="str">
        <f t="shared" si="2"/>
        <v/>
      </c>
      <c r="N28" s="37" t="str">
        <f t="shared" si="7"/>
        <v/>
      </c>
      <c r="O28" s="315" t="str">
        <f t="shared" si="8"/>
        <v/>
      </c>
      <c r="P28" s="408" t="str">
        <f>IF(AND(L28="",M28=""),IF(OR(SUMPRODUCT(N(ISNUMBER(FIND({"s";"d";"f"},C28))))&gt;0,G28+J28&lt;0,AND(G28&gt;0,J28&gt;0,I28&gt;"20:30"*1),AND(I28&lt;="20:30"*1,SUM(I28,R28)&gt;="20:31"*1)),1,""),"")</f>
        <v/>
      </c>
      <c r="Q28" s="326" t="str">
        <f>IF(OR(AND(G28&gt;0,AND(J28=0)),OR(G28=0,AND(J28&gt;0)),OR(G28+J28&gt;0)),IF(R28="","",IF(#REF!+R28&gt;="13:01"*1,1,"")))</f>
        <v/>
      </c>
      <c r="R28" s="31"/>
      <c r="S28" s="327" t="str">
        <f t="shared" si="3"/>
        <v/>
      </c>
      <c r="T28" s="34">
        <f t="shared" si="4"/>
        <v>0</v>
      </c>
      <c r="U28" s="154">
        <f t="shared" si="10"/>
        <v>0</v>
      </c>
      <c r="V28" s="188"/>
      <c r="W28" s="156" t="str">
        <f t="shared" si="9"/>
        <v>0,00</v>
      </c>
    </row>
    <row r="29" spans="1:23" ht="14.4" x14ac:dyDescent="0.3">
      <c r="A29" s="40"/>
      <c r="B29" s="304">
        <v>43369</v>
      </c>
      <c r="C29" s="319"/>
      <c r="D29" s="320"/>
      <c r="E29" s="310" t="str">
        <f>IFERROR(VLOOKUP(C29,TR!$B$2:$F$612,2,0),"")</f>
        <v/>
      </c>
      <c r="F29" s="311" t="str">
        <f>IFERROR(VLOOKUP(C29,TR!$B$2:$F$612,3,0),"")</f>
        <v/>
      </c>
      <c r="G29" s="321">
        <f t="shared" si="5"/>
        <v>0</v>
      </c>
      <c r="H29" s="310" t="str">
        <f>IFERROR(VLOOKUP(C29,TR!$B$2:$F$612,4,0),"")</f>
        <v/>
      </c>
      <c r="I29" s="311" t="str">
        <f>IFERROR(VLOOKUP(C29,TR!$B$2:$F$612,5,0),"")</f>
        <v/>
      </c>
      <c r="J29" s="321">
        <f t="shared" si="6"/>
        <v>0</v>
      </c>
      <c r="K29" s="322" t="str">
        <f t="shared" si="0"/>
        <v/>
      </c>
      <c r="L29" s="323" t="str">
        <f t="shared" si="1"/>
        <v/>
      </c>
      <c r="M29" s="324" t="str">
        <f t="shared" si="2"/>
        <v/>
      </c>
      <c r="N29" s="37" t="str">
        <f t="shared" si="7"/>
        <v/>
      </c>
      <c r="O29" s="315" t="str">
        <f t="shared" si="8"/>
        <v/>
      </c>
      <c r="P29" s="408" t="str">
        <f>IF(AND(L29="",M29=""),IF(OR(SUMPRODUCT(N(ISNUMBER(FIND({"s";"d";"f"},C29))))&gt;0,G29+J29&lt;0,AND(G29&gt;0,J29&gt;0,I29&gt;"20:30"*1),AND(I29&lt;="20:30"*1,SUM(I29,R29)&gt;="20:31"*1)),1,""),"")</f>
        <v/>
      </c>
      <c r="Q29" s="326" t="str">
        <f>IF(OR(AND(G29&gt;0,AND(J29=0)),OR(G29=0,AND(J29&gt;0)),OR(G29+J29&gt;0)),IF(R29="","",IF(#REF!+R29&gt;="13:01"*1,1,"")))</f>
        <v/>
      </c>
      <c r="R29" s="31"/>
      <c r="S29" s="327" t="str">
        <f t="shared" si="3"/>
        <v/>
      </c>
      <c r="T29" s="34">
        <f t="shared" si="4"/>
        <v>0</v>
      </c>
      <c r="U29" s="154">
        <f t="shared" si="10"/>
        <v>0</v>
      </c>
      <c r="V29" s="188"/>
      <c r="W29" s="156" t="str">
        <f t="shared" si="9"/>
        <v>0,00</v>
      </c>
    </row>
    <row r="30" spans="1:23" ht="14.4" x14ac:dyDescent="0.3">
      <c r="A30" s="40"/>
      <c r="B30" s="304">
        <v>43370</v>
      </c>
      <c r="C30" s="329"/>
      <c r="D30" s="330"/>
      <c r="E30" s="310" t="str">
        <f>IFERROR(VLOOKUP(C30,TR!$B$2:$F$612,2,0),"")</f>
        <v/>
      </c>
      <c r="F30" s="311" t="str">
        <f>IFERROR(VLOOKUP(C30,TR!$B$2:$F$612,3,0),"")</f>
        <v/>
      </c>
      <c r="G30" s="328">
        <f t="shared" si="5"/>
        <v>0</v>
      </c>
      <c r="H30" s="310" t="str">
        <f>IFERROR(VLOOKUP(C30,TR!$B$2:$F$612,4,0),"")</f>
        <v/>
      </c>
      <c r="I30" s="311" t="str">
        <f>IFERROR(VLOOKUP(C30,TR!$B$2:$F$612,5,0),"")</f>
        <v/>
      </c>
      <c r="J30" s="328">
        <f t="shared" si="6"/>
        <v>0</v>
      </c>
      <c r="K30" s="322" t="str">
        <f t="shared" si="0"/>
        <v/>
      </c>
      <c r="L30" s="323" t="str">
        <f t="shared" si="1"/>
        <v/>
      </c>
      <c r="M30" s="324" t="str">
        <f t="shared" si="2"/>
        <v/>
      </c>
      <c r="N30" s="37" t="str">
        <f t="shared" si="7"/>
        <v/>
      </c>
      <c r="O30" s="315" t="str">
        <f t="shared" si="8"/>
        <v/>
      </c>
      <c r="P30" s="408" t="str">
        <f>IF(AND(L30="",M30=""),IF(OR(SUMPRODUCT(N(ISNUMBER(FIND({"s";"d";"f"},C30))))&gt;0,G30+J30&lt;0,AND(G30&gt;0,J30&gt;0,I30&gt;"20:30"*1),AND(I30&lt;="20:30"*1,SUM(I30,R30)&gt;="20:31"*1)),1,""),"")</f>
        <v/>
      </c>
      <c r="Q30" s="326" t="str">
        <f>IF(OR(AND(G30&gt;0,AND(J30=0)),OR(G30=0,AND(J30&gt;0)),OR(G30+J30&gt;0)),IF(R30="","",IF(#REF!+R30&gt;="13:01"*1,1,"")))</f>
        <v/>
      </c>
      <c r="R30" s="31"/>
      <c r="S30" s="327" t="str">
        <f t="shared" si="3"/>
        <v/>
      </c>
      <c r="T30" s="34">
        <f t="shared" si="4"/>
        <v>0</v>
      </c>
      <c r="U30" s="154">
        <f t="shared" si="10"/>
        <v>0</v>
      </c>
      <c r="V30" s="188"/>
      <c r="W30" s="156" t="str">
        <f t="shared" si="9"/>
        <v>0,00</v>
      </c>
    </row>
    <row r="31" spans="1:23" ht="14.4" x14ac:dyDescent="0.3">
      <c r="A31" s="40"/>
      <c r="B31" s="304">
        <v>43371</v>
      </c>
      <c r="C31" s="329" t="s">
        <v>45</v>
      </c>
      <c r="D31" s="330"/>
      <c r="E31" s="310">
        <f>IFERROR(VLOOKUP(C31,TR!$B$2:$F$612,2,0),"")</f>
        <v>0</v>
      </c>
      <c r="F31" s="311">
        <f>IFERROR(VLOOKUP(C31,TR!$B$2:$F$612,3,0),"")</f>
        <v>0</v>
      </c>
      <c r="G31" s="328">
        <f t="shared" si="5"/>
        <v>0</v>
      </c>
      <c r="H31" s="310">
        <f>IFERROR(VLOOKUP(C31,TR!$B$2:$F$612,4,0),"")</f>
        <v>0</v>
      </c>
      <c r="I31" s="311">
        <f>IFERROR(VLOOKUP(C31,TR!$B$2:$F$612,5,0),"")</f>
        <v>0</v>
      </c>
      <c r="J31" s="328">
        <f t="shared" si="6"/>
        <v>0</v>
      </c>
      <c r="K31" s="322" t="str">
        <f t="shared" si="0"/>
        <v/>
      </c>
      <c r="L31" s="323" t="str">
        <f t="shared" si="1"/>
        <v/>
      </c>
      <c r="M31" s="324" t="str">
        <f t="shared" si="2"/>
        <v/>
      </c>
      <c r="N31" s="37" t="str">
        <f t="shared" si="7"/>
        <v/>
      </c>
      <c r="O31" s="315" t="str">
        <f t="shared" si="8"/>
        <v/>
      </c>
      <c r="P31" s="408" t="str">
        <f>IF(AND(L31="",M31=""),IF(OR(SUMPRODUCT(N(ISNUMBER(FIND({"s";"d";"f"},C31))))&gt;0,G31+J31&lt;0,AND(G31&gt;0,J31&gt;0,I31&gt;"20:30"*1),AND(I31&lt;="20:30"*1,SUM(I31,R31)&gt;="20:31"*1)),1,""),"")</f>
        <v/>
      </c>
      <c r="Q31" s="326" t="str">
        <f>IF(OR(AND(G31&gt;0,AND(J31=0)),OR(G31=0,AND(J31&gt;0)),OR(G31+J31&gt;0)),IF(R31="","",IF(#REF!+R31&gt;="13:01"*1,1,"")))</f>
        <v/>
      </c>
      <c r="R31" s="31"/>
      <c r="S31" s="327" t="str">
        <f t="shared" si="3"/>
        <v/>
      </c>
      <c r="T31" s="34">
        <f t="shared" si="4"/>
        <v>0</v>
      </c>
      <c r="U31" s="154">
        <f t="shared" si="10"/>
        <v>0</v>
      </c>
      <c r="V31" s="188"/>
      <c r="W31" s="156" t="str">
        <f t="shared" si="9"/>
        <v>0,00</v>
      </c>
    </row>
    <row r="32" spans="1:23" ht="14.4" x14ac:dyDescent="0.3">
      <c r="A32" s="40"/>
      <c r="B32" s="304">
        <v>43372</v>
      </c>
      <c r="C32" s="329" t="s">
        <v>46</v>
      </c>
      <c r="D32" s="330"/>
      <c r="E32" s="310">
        <f>IFERROR(VLOOKUP(C32,TR!$B$2:$F$612,2,0),"")</f>
        <v>0</v>
      </c>
      <c r="F32" s="311">
        <f>IFERROR(VLOOKUP(C32,TR!$B$2:$F$612,3,0),"")</f>
        <v>0</v>
      </c>
      <c r="G32" s="328">
        <f t="shared" si="5"/>
        <v>0</v>
      </c>
      <c r="H32" s="310">
        <f>IFERROR(VLOOKUP(C32,TR!$B$2:$F$612,4,0),"")</f>
        <v>0</v>
      </c>
      <c r="I32" s="311">
        <f>IFERROR(VLOOKUP(C32,TR!$B$2:$F$612,5,0),"")</f>
        <v>0</v>
      </c>
      <c r="J32" s="328">
        <f t="shared" si="6"/>
        <v>0</v>
      </c>
      <c r="K32" s="322" t="str">
        <f t="shared" si="0"/>
        <v/>
      </c>
      <c r="L32" s="323" t="str">
        <f t="shared" si="1"/>
        <v/>
      </c>
      <c r="M32" s="324" t="str">
        <f t="shared" si="2"/>
        <v/>
      </c>
      <c r="N32" s="37" t="str">
        <f t="shared" si="7"/>
        <v/>
      </c>
      <c r="O32" s="315" t="str">
        <f t="shared" si="8"/>
        <v/>
      </c>
      <c r="P32" s="408" t="str">
        <f>IF(AND(L32="",M32=""),IF(OR(SUMPRODUCT(N(ISNUMBER(FIND({"s";"d";"f"},C32))))&gt;0,G32+J32&lt;0,AND(G32&gt;0,J32&gt;0,I32&gt;"20:30"*1),AND(I32&lt;="20:30"*1,SUM(I32,R32)&gt;="20:31"*1)),1,""),"")</f>
        <v/>
      </c>
      <c r="Q32" s="326" t="str">
        <f>IF(OR(AND(G32&gt;0,AND(J32=0)),OR(G32=0,AND(J32&gt;0)),OR(G32+J32&gt;0)),IF(R32="","",IF(#REF!+R32&gt;="13:01"*1,1,"")))</f>
        <v/>
      </c>
      <c r="R32" s="31"/>
      <c r="S32" s="327" t="str">
        <f t="shared" si="3"/>
        <v/>
      </c>
      <c r="T32" s="34">
        <f t="shared" si="4"/>
        <v>0</v>
      </c>
      <c r="U32" s="154">
        <f t="shared" si="10"/>
        <v>0</v>
      </c>
      <c r="V32" s="188"/>
      <c r="W32" s="156" t="str">
        <f t="shared" si="9"/>
        <v>0,00</v>
      </c>
    </row>
    <row r="33" spans="1:24" ht="14.4" x14ac:dyDescent="0.3">
      <c r="A33" s="40"/>
      <c r="B33" s="304">
        <v>43373</v>
      </c>
      <c r="C33" s="329" t="s">
        <v>47</v>
      </c>
      <c r="D33" s="330"/>
      <c r="E33" s="310">
        <f>IFERROR(VLOOKUP(C33,TR!$B$2:$F$612,2,0),"")</f>
        <v>0</v>
      </c>
      <c r="F33" s="311">
        <f>IFERROR(VLOOKUP(C33,TR!$B$2:$F$612,3,0),"")</f>
        <v>0</v>
      </c>
      <c r="G33" s="328">
        <f t="shared" si="5"/>
        <v>0</v>
      </c>
      <c r="H33" s="310">
        <f>IFERROR(VLOOKUP(C33,TR!$B$2:$F$612,4,0),"")</f>
        <v>0</v>
      </c>
      <c r="I33" s="311">
        <f>IFERROR(VLOOKUP(C33,TR!$B$2:$F$612,5,0),"")</f>
        <v>0</v>
      </c>
      <c r="J33" s="328">
        <f t="shared" si="6"/>
        <v>0</v>
      </c>
      <c r="K33" s="322" t="str">
        <f t="shared" si="0"/>
        <v/>
      </c>
      <c r="L33" s="323" t="str">
        <f t="shared" si="1"/>
        <v/>
      </c>
      <c r="M33" s="324" t="str">
        <f t="shared" si="2"/>
        <v/>
      </c>
      <c r="N33" s="37" t="str">
        <f t="shared" si="7"/>
        <v/>
      </c>
      <c r="O33" s="315" t="str">
        <f t="shared" si="8"/>
        <v/>
      </c>
      <c r="P33" s="408" t="str">
        <f>IF(AND(L33="",M33=""),IF(OR(SUMPRODUCT(N(ISNUMBER(FIND({"s";"d";"f"},C33))))&gt;0,G33+J33&lt;0,AND(G33&gt;0,J33&gt;0,I33&gt;"20:30"*1),AND(I33&lt;="20:30"*1,SUM(I33,R33)&gt;="20:31"*1)),1,""),"")</f>
        <v/>
      </c>
      <c r="Q33" s="326" t="str">
        <f>IF(OR(AND(G33&gt;0,AND(J33=0)),OR(G33=0,AND(J33&gt;0)),OR(G33+J33&gt;0)),IF(R33="","",IF(#REF!+R33&gt;="13:01"*1,1,"")))</f>
        <v/>
      </c>
      <c r="R33" s="31"/>
      <c r="S33" s="327" t="str">
        <f t="shared" si="3"/>
        <v/>
      </c>
      <c r="T33" s="34">
        <f t="shared" si="4"/>
        <v>0</v>
      </c>
      <c r="U33" s="154">
        <f t="shared" si="10"/>
        <v>0</v>
      </c>
      <c r="V33" s="188"/>
      <c r="W33" s="156" t="str">
        <f t="shared" si="9"/>
        <v>0,00</v>
      </c>
    </row>
    <row r="34" spans="1:24" ht="15" thickBot="1" x14ac:dyDescent="0.35">
      <c r="A34" s="40"/>
      <c r="B34" s="354"/>
      <c r="C34" s="355"/>
      <c r="D34" s="356"/>
      <c r="E34" s="357" t="str">
        <f>IFERROR(VLOOKUP(C34,TR!$B$2:$F$612,2,0),"")</f>
        <v/>
      </c>
      <c r="F34" s="358" t="str">
        <f>IFERROR(VLOOKUP(C34,TR!$B$2:$F$612,3,0),"")</f>
        <v/>
      </c>
      <c r="G34" s="359"/>
      <c r="H34" s="357" t="str">
        <f>IFERROR(VLOOKUP(C34,TR!$B$2:$F$612,4,0),"")</f>
        <v/>
      </c>
      <c r="I34" s="358" t="str">
        <f>IFERROR(VLOOKUP(C34,TR!$B$2:$F$612,5,0),"")</f>
        <v/>
      </c>
      <c r="J34" s="359"/>
      <c r="K34" s="360" t="str">
        <f t="shared" si="0"/>
        <v/>
      </c>
      <c r="L34" s="361" t="str">
        <f t="shared" si="1"/>
        <v/>
      </c>
      <c r="M34" s="362" t="str">
        <f t="shared" si="2"/>
        <v/>
      </c>
      <c r="N34" s="38" t="str">
        <f t="shared" si="7"/>
        <v/>
      </c>
      <c r="O34" s="363" t="str">
        <f t="shared" si="8"/>
        <v/>
      </c>
      <c r="P34" s="440" t="str">
        <f>IF(AND(L34="",M34=""),IF(OR(SUMPRODUCT(N(ISNUMBER(FIND({"s";"d";"f"},C34))))&gt;0,G34+J34&lt;0,AND(G34&gt;0,J34&gt;0,I34&gt;"20:30"*1),AND(I34&lt;="20:30"*1,SUM(I34,R34)&gt;="20:31"*1)),1,""),"")</f>
        <v/>
      </c>
      <c r="Q34" s="365" t="str">
        <f>IF(OR(AND(G34&gt;0,AND(J34=0)),OR(G34=0,AND(J34&gt;0)),OR(G34+J34&gt;0)),IF(R34="","",IF(#REF!+R34&gt;="13:01"*1,1,"")))</f>
        <v/>
      </c>
      <c r="R34" s="32"/>
      <c r="S34" s="366" t="str">
        <f t="shared" si="3"/>
        <v/>
      </c>
      <c r="T34" s="39">
        <f t="shared" si="4"/>
        <v>0</v>
      </c>
      <c r="U34" s="155">
        <f t="shared" si="10"/>
        <v>0</v>
      </c>
      <c r="V34" s="33"/>
      <c r="W34" s="157" t="str">
        <f t="shared" si="9"/>
        <v>0,00</v>
      </c>
    </row>
    <row r="35" spans="1:24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Q35" s="372"/>
      <c r="S35" s="54"/>
      <c r="T35" s="55"/>
      <c r="U35" s="56"/>
      <c r="V35" s="57"/>
    </row>
    <row r="36" spans="1:24" ht="14.4" x14ac:dyDescent="0.3">
      <c r="A36" s="40"/>
      <c r="B36" s="373" t="s">
        <v>17</v>
      </c>
      <c r="C36" s="142">
        <f>(COUNTIF(Août!C24:C34,"&lt;&gt;")+COUNTIF(Septembre!C4:C23,"&lt;&gt;"))-(COUNTIF(Août!C24:C34,"CC*")+COUNTIF(Septembre!C4:C23,"CC*"))-(COUNTIF(Août!C24:C34,"CH*")+COUNTIF(Septembre!C4:C23,"CH*"))-(COUNTIF(Août!C24:C34,"RT*")+COUNTIF(Septembre!C4:C23,"RT*"))-(COUNTIF(Août!C24:C34,"Férié*")+COUNTIF(Septembre!C4:C23,"Férié*"))-(COUNTIF(Août!C24:C34,"Mal*")+COUNTIF(Septembre!C4:C23,"Mal*"))-(COUNTIF(Août!C24:C34,"CP*")+COUNTIF(Septembre!C4:C23,"CP*"))</f>
        <v>4</v>
      </c>
      <c r="E36" s="370"/>
      <c r="F36" s="40"/>
      <c r="G36" s="40"/>
      <c r="I36" s="613" t="s">
        <v>55</v>
      </c>
      <c r="J36" s="613"/>
      <c r="K36" s="72">
        <f>SUM(Août!$K$24:$K$34,K4:K23)</f>
        <v>0</v>
      </c>
      <c r="L36" s="73">
        <f>SUM(Août!$L$24:$L$34,L4:L23)</f>
        <v>0</v>
      </c>
      <c r="M36" s="214">
        <f>SUM(Août!$M$24:$M$34,M4:M23)</f>
        <v>1</v>
      </c>
      <c r="N36" s="75">
        <f>SUM(Août!$N$24:$N$34,N4:N23)</f>
        <v>1</v>
      </c>
      <c r="O36" s="76">
        <f>SUM(Août!$O$24:$O$34,O4:O23)</f>
        <v>0</v>
      </c>
      <c r="P36" s="213">
        <f>SUM(Août!$P$24:$P$34,P4:P23)</f>
        <v>0</v>
      </c>
      <c r="Q36" s="77">
        <f>SUM(Août!$Q$24:$Q$34,Q4:Q23)</f>
        <v>0</v>
      </c>
      <c r="R36" s="231">
        <f>SUM(Août!$R$24:$R$34,R4:R23)</f>
        <v>0</v>
      </c>
      <c r="S36" s="78"/>
      <c r="T36" s="79">
        <f>SUM(Août!T24:T34)+SUM(Septembre!T4:T23)</f>
        <v>0.98819444444444449</v>
      </c>
      <c r="U36" s="80">
        <f>SUM(U4:U34)</f>
        <v>0</v>
      </c>
      <c r="V36" s="186">
        <f>SUM(V4:V34)</f>
        <v>0</v>
      </c>
      <c r="W36" s="59"/>
    </row>
    <row r="37" spans="1:24" ht="14.4" thickBot="1" x14ac:dyDescent="0.3">
      <c r="A37" s="40"/>
      <c r="B37" s="374" t="s">
        <v>51</v>
      </c>
      <c r="C37" s="143">
        <f>(COUNTIF(Août!C24:C34,"CP")+COUNTIF(Septembre!C4:C23,"CP"))</f>
        <v>9</v>
      </c>
      <c r="F37" s="40"/>
      <c r="G37" s="40"/>
      <c r="H37" s="40"/>
      <c r="I37" s="40"/>
      <c r="J37" s="40"/>
      <c r="K37" s="375">
        <f>(I39*2)*K36</f>
        <v>0</v>
      </c>
      <c r="L37" s="376">
        <f>Recap!H35*L36</f>
        <v>0</v>
      </c>
      <c r="M37" s="377">
        <f>Recap!H35*M36</f>
        <v>7.14</v>
      </c>
      <c r="N37" s="378">
        <f>(I39*5)*N36</f>
        <v>44.264000000000003</v>
      </c>
      <c r="O37" s="379">
        <f>(Recap!H33)*O36</f>
        <v>0</v>
      </c>
      <c r="P37" s="380">
        <f>7.5*P36</f>
        <v>0</v>
      </c>
      <c r="Q37" s="381">
        <f>(I39*1.5)*Q36</f>
        <v>0</v>
      </c>
      <c r="R37" s="382">
        <f>R36*24</f>
        <v>0</v>
      </c>
      <c r="S37" s="61"/>
      <c r="T37" s="62"/>
      <c r="U37" s="63"/>
      <c r="V37" s="57"/>
      <c r="W37" s="59"/>
    </row>
    <row r="38" spans="1:24" x14ac:dyDescent="0.25">
      <c r="B38" s="383" t="s">
        <v>47</v>
      </c>
      <c r="C38" s="144">
        <f>(COUNTIF(Août!C24:C34,"CH")+COUNTIF(Septembre!C4:C23,"CH"))</f>
        <v>4</v>
      </c>
      <c r="F38" s="40"/>
      <c r="G38" s="40"/>
      <c r="H38" s="40"/>
      <c r="I38" s="384" t="s">
        <v>54</v>
      </c>
      <c r="J38" s="40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04"/>
      <c r="V38" s="104">
        <v>6.1749999999999998</v>
      </c>
      <c r="W38" s="81">
        <f>V38*24</f>
        <v>148.19999999999999</v>
      </c>
      <c r="X38" s="69"/>
    </row>
    <row r="39" spans="1:24" ht="14.4" thickBot="1" x14ac:dyDescent="0.3">
      <c r="B39" s="385" t="s">
        <v>45</v>
      </c>
      <c r="C39" s="145">
        <f>(COUNTIF(Août!C24:C34,"RT")+COUNTIF(Septembre!C4:C23,"RT"))</f>
        <v>1</v>
      </c>
      <c r="F39" s="40"/>
      <c r="G39" s="40"/>
      <c r="H39" s="40"/>
      <c r="I39" s="386">
        <v>8.8528000000000002</v>
      </c>
      <c r="J39" s="40"/>
      <c r="K39" s="40"/>
      <c r="L39" s="40"/>
      <c r="M39" s="40"/>
      <c r="N39" s="387"/>
      <c r="O39" s="387"/>
      <c r="V39" s="388"/>
      <c r="W39" s="388"/>
      <c r="X39" s="389"/>
    </row>
    <row r="40" spans="1:24" x14ac:dyDescent="0.25">
      <c r="B40" s="390" t="s">
        <v>46</v>
      </c>
      <c r="C40" s="146">
        <f>(COUNTIF(Août!C24:C34,"CC")+COUNTIF(Septembre!C4:C23,"CC"))</f>
        <v>4</v>
      </c>
      <c r="T40" s="615" t="s">
        <v>16</v>
      </c>
      <c r="U40" s="604"/>
      <c r="V40" s="391" t="str">
        <f>IF(V38&gt;T36,"-","")&amp;TEXT(ABS(T36-V38),"[h]:mm")</f>
        <v>-124:29</v>
      </c>
      <c r="W40" s="471">
        <f>(T36-V38)*24</f>
        <v>-124.48333333333332</v>
      </c>
      <c r="X40" s="69"/>
    </row>
    <row r="41" spans="1:24" ht="14.4" thickBot="1" x14ac:dyDescent="0.3">
      <c r="B41" s="393" t="s">
        <v>11</v>
      </c>
      <c r="C41" s="147">
        <f>(COUNTIF(Août!C24:C34,"Férié")+COUNTIF(Septembre!C4:C23,"Férié"))</f>
        <v>0</v>
      </c>
      <c r="W41" s="389"/>
    </row>
    <row r="42" spans="1:24" ht="15" thickTop="1" thickBot="1" x14ac:dyDescent="0.3">
      <c r="B42" s="394" t="s">
        <v>153</v>
      </c>
      <c r="C42" s="230">
        <f>(COUNTIF(Août!C24:C34,"FériéCC")+COUNTIF(Septembre!C4:C23,"FériéCH"))</f>
        <v>0</v>
      </c>
      <c r="R42" s="616" t="s">
        <v>201</v>
      </c>
      <c r="S42" s="642"/>
      <c r="T42" s="395">
        <f>SUM(T4:T34)</f>
        <v>0</v>
      </c>
      <c r="W42" s="70"/>
    </row>
    <row r="43" spans="1:24" ht="15.6" thickTop="1" thickBot="1" x14ac:dyDescent="0.35">
      <c r="B43" s="387"/>
      <c r="S43" s="71"/>
      <c r="T43" s="257">
        <f>T42*24</f>
        <v>0</v>
      </c>
      <c r="W43" s="397">
        <f>(T42-V38)*24</f>
        <v>-148.19999999999999</v>
      </c>
    </row>
    <row r="44" spans="1:24" ht="15.6" thickTop="1" thickBot="1" x14ac:dyDescent="0.35">
      <c r="B44" s="387"/>
      <c r="P44" s="71"/>
      <c r="Q44" s="71"/>
    </row>
    <row r="45" spans="1:24" ht="14.4" thickBot="1" x14ac:dyDescent="0.3">
      <c r="F45" s="605" t="s">
        <v>57</v>
      </c>
      <c r="G45" s="606"/>
      <c r="H45" s="606"/>
      <c r="I45" s="606"/>
      <c r="J45" s="606"/>
      <c r="K45" s="606"/>
      <c r="L45" s="606"/>
      <c r="M45" s="606"/>
      <c r="N45" s="606"/>
      <c r="O45" s="606"/>
      <c r="P45" s="606"/>
      <c r="Q45" s="607"/>
    </row>
    <row r="46" spans="1:24" ht="14.4" thickTop="1" x14ac:dyDescent="0.25">
      <c r="F46" s="444"/>
      <c r="G46" s="445"/>
      <c r="H46" s="445"/>
      <c r="I46" s="445"/>
      <c r="J46" s="445"/>
      <c r="K46" s="445"/>
      <c r="L46" s="445"/>
      <c r="M46" s="445"/>
      <c r="N46" s="445"/>
      <c r="O46" s="445"/>
      <c r="P46" s="445"/>
      <c r="Q46" s="446"/>
    </row>
    <row r="47" spans="1:24" x14ac:dyDescent="0.25">
      <c r="F47" s="398"/>
      <c r="G47" s="399"/>
      <c r="H47" s="399"/>
      <c r="I47" s="399"/>
      <c r="J47" s="399"/>
      <c r="K47" s="399"/>
      <c r="L47" s="399"/>
      <c r="M47" s="399"/>
      <c r="N47" s="399"/>
      <c r="O47" s="399"/>
      <c r="P47" s="399"/>
      <c r="Q47" s="400"/>
    </row>
    <row r="48" spans="1:24" x14ac:dyDescent="0.25">
      <c r="F48" s="398"/>
      <c r="G48" s="399"/>
      <c r="H48" s="399"/>
      <c r="I48" s="399"/>
      <c r="J48" s="399"/>
      <c r="K48" s="399"/>
      <c r="L48" s="399"/>
      <c r="M48" s="399"/>
      <c r="N48" s="399"/>
      <c r="O48" s="399"/>
      <c r="P48" s="399"/>
      <c r="Q48" s="400"/>
    </row>
    <row r="49" spans="6:17" x14ac:dyDescent="0.25">
      <c r="F49" s="398"/>
      <c r="G49" s="399"/>
      <c r="H49" s="399"/>
      <c r="I49" s="399"/>
      <c r="J49" s="399"/>
      <c r="K49" s="399"/>
      <c r="L49" s="399"/>
      <c r="M49" s="399"/>
      <c r="N49" s="399"/>
      <c r="O49" s="399"/>
      <c r="P49" s="399"/>
      <c r="Q49" s="400"/>
    </row>
    <row r="50" spans="6:17" x14ac:dyDescent="0.25">
      <c r="F50" s="398"/>
      <c r="G50" s="399"/>
      <c r="H50" s="399"/>
      <c r="I50" s="399"/>
      <c r="J50" s="399"/>
      <c r="K50" s="399"/>
      <c r="L50" s="399"/>
      <c r="M50" s="399"/>
      <c r="N50" s="399"/>
      <c r="O50" s="399"/>
      <c r="P50" s="399"/>
      <c r="Q50" s="400"/>
    </row>
    <row r="51" spans="6:17" x14ac:dyDescent="0.25">
      <c r="F51" s="398"/>
      <c r="G51" s="399"/>
      <c r="H51" s="399"/>
      <c r="I51" s="399"/>
      <c r="J51" s="399"/>
      <c r="K51" s="399"/>
      <c r="L51" s="399"/>
      <c r="M51" s="399"/>
      <c r="N51" s="399"/>
      <c r="O51" s="399"/>
      <c r="P51" s="399"/>
      <c r="Q51" s="400"/>
    </row>
    <row r="52" spans="6:17" x14ac:dyDescent="0.25">
      <c r="F52" s="398"/>
      <c r="G52" s="399"/>
      <c r="H52" s="399"/>
      <c r="I52" s="399"/>
      <c r="J52" s="399"/>
      <c r="K52" s="399"/>
      <c r="L52" s="399"/>
      <c r="M52" s="399"/>
      <c r="N52" s="399"/>
      <c r="O52" s="399"/>
      <c r="P52" s="399"/>
      <c r="Q52" s="400"/>
    </row>
    <row r="53" spans="6:17" x14ac:dyDescent="0.25">
      <c r="F53" s="398"/>
      <c r="G53" s="399"/>
      <c r="H53" s="399"/>
      <c r="I53" s="399"/>
      <c r="J53" s="399"/>
      <c r="K53" s="399"/>
      <c r="L53" s="399"/>
      <c r="M53" s="399"/>
      <c r="N53" s="399"/>
      <c r="O53" s="399"/>
      <c r="P53" s="399"/>
      <c r="Q53" s="400"/>
    </row>
    <row r="54" spans="6:17" x14ac:dyDescent="0.25">
      <c r="F54" s="398"/>
      <c r="G54" s="399"/>
      <c r="H54" s="399"/>
      <c r="I54" s="399"/>
      <c r="J54" s="399"/>
      <c r="K54" s="399"/>
      <c r="L54" s="399"/>
      <c r="M54" s="399"/>
      <c r="N54" s="399"/>
      <c r="O54" s="399"/>
      <c r="P54" s="399"/>
      <c r="Q54" s="400"/>
    </row>
    <row r="55" spans="6:17" x14ac:dyDescent="0.25">
      <c r="F55" s="398"/>
      <c r="G55" s="399"/>
      <c r="H55" s="399"/>
      <c r="I55" s="399"/>
      <c r="J55" s="399"/>
      <c r="K55" s="399"/>
      <c r="L55" s="399"/>
      <c r="M55" s="399"/>
      <c r="N55" s="399"/>
      <c r="O55" s="399"/>
      <c r="P55" s="399"/>
      <c r="Q55" s="400"/>
    </row>
    <row r="56" spans="6:17" x14ac:dyDescent="0.25">
      <c r="F56" s="398"/>
      <c r="G56" s="399"/>
      <c r="H56" s="399"/>
      <c r="I56" s="399"/>
      <c r="J56" s="399"/>
      <c r="K56" s="399"/>
      <c r="L56" s="399"/>
      <c r="M56" s="399"/>
      <c r="N56" s="399"/>
      <c r="O56" s="399"/>
      <c r="P56" s="399"/>
      <c r="Q56" s="400"/>
    </row>
    <row r="57" spans="6:17" x14ac:dyDescent="0.25">
      <c r="F57" s="398"/>
      <c r="G57" s="399"/>
      <c r="H57" s="399"/>
      <c r="I57" s="399"/>
      <c r="J57" s="399"/>
      <c r="K57" s="399"/>
      <c r="L57" s="399"/>
      <c r="M57" s="399"/>
      <c r="N57" s="399"/>
      <c r="O57" s="399"/>
      <c r="P57" s="399"/>
      <c r="Q57" s="400"/>
    </row>
    <row r="58" spans="6:17" x14ac:dyDescent="0.25">
      <c r="F58" s="398"/>
      <c r="G58" s="399"/>
      <c r="H58" s="399"/>
      <c r="I58" s="399"/>
      <c r="J58" s="399"/>
      <c r="K58" s="399"/>
      <c r="L58" s="399"/>
      <c r="M58" s="399"/>
      <c r="N58" s="399"/>
      <c r="O58" s="399"/>
      <c r="P58" s="399"/>
      <c r="Q58" s="400"/>
    </row>
    <row r="59" spans="6:17" ht="14.4" thickBot="1" x14ac:dyDescent="0.3">
      <c r="F59" s="401"/>
      <c r="G59" s="402"/>
      <c r="H59" s="402"/>
      <c r="I59" s="402"/>
      <c r="J59" s="402"/>
      <c r="K59" s="402"/>
      <c r="L59" s="402"/>
      <c r="M59" s="402"/>
      <c r="N59" s="402"/>
      <c r="O59" s="402"/>
      <c r="P59" s="402"/>
      <c r="Q59" s="403"/>
    </row>
    <row r="60" spans="6:17" ht="14.4" thickTop="1" x14ac:dyDescent="0.25"/>
  </sheetData>
  <mergeCells count="9">
    <mergeCell ref="B1:W1"/>
    <mergeCell ref="T2:W2"/>
    <mergeCell ref="F45:Q45"/>
    <mergeCell ref="E3:F3"/>
    <mergeCell ref="H3:I3"/>
    <mergeCell ref="I36:J36"/>
    <mergeCell ref="T38:U38"/>
    <mergeCell ref="T40:U40"/>
    <mergeCell ref="R42:S42"/>
  </mergeCells>
  <conditionalFormatting sqref="C4:C34">
    <cfRule type="expression" dxfId="24" priority="18" stopIfTrue="1">
      <formula>ISNUMBER(FIND("d",$C4))</formula>
    </cfRule>
  </conditionalFormatting>
  <conditionalFormatting sqref="V40:W40">
    <cfRule type="expression" dxfId="23" priority="2" stopIfTrue="1">
      <formula>$T$36&gt;$V$38</formula>
    </cfRule>
    <cfRule type="expression" dxfId="22" priority="17" stopIfTrue="1">
      <formula>$T$36&lt;$V$38</formula>
    </cfRule>
  </conditionalFormatting>
  <conditionalFormatting sqref="C4:Q34">
    <cfRule type="expression" dxfId="21" priority="1">
      <formula>OR(ISNUMBER(FIND("Férié",$C4)),ISNUMBER(FIND("f",$C4)))</formula>
    </cfRule>
    <cfRule type="expression" dxfId="20" priority="42" stopIfTrue="1">
      <formula>ISNUMBER(FIND("CP",$C4))</formula>
    </cfRule>
    <cfRule type="expression" dxfId="19" priority="43" stopIfTrue="1">
      <formula>ISNUMBER(FIND("e",$C4))</formula>
    </cfRule>
  </conditionalFormatting>
  <pageMargins left="0.7" right="0.7" top="0.75" bottom="0.75" header="0.3" footer="0.3"/>
  <ignoredErrors>
    <ignoredError sqref="T42:T43" unlockedFormula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0"/>
  <sheetViews>
    <sheetView topLeftCell="A16" workbookViewId="0">
      <selection activeCell="C36" sqref="C36"/>
    </sheetView>
  </sheetViews>
  <sheetFormatPr baseColWidth="10" defaultColWidth="11" defaultRowHeight="13.8" x14ac:dyDescent="0.25"/>
  <cols>
    <col min="1" max="1" width="3.59765625" style="369" customWidth="1"/>
    <col min="2" max="2" width="14.59765625" style="369" customWidth="1"/>
    <col min="3" max="3" width="8.59765625" style="369" customWidth="1"/>
    <col min="4" max="4" width="7.59765625" style="369" customWidth="1"/>
    <col min="5" max="23" width="8.59765625" style="369" customWidth="1"/>
    <col min="24" max="16384" width="11" style="369"/>
  </cols>
  <sheetData>
    <row r="1" spans="1:23" ht="14.4" thickBot="1" x14ac:dyDescent="0.3">
      <c r="A1" s="40"/>
      <c r="B1" s="602" t="s">
        <v>24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 s="603"/>
      <c r="P1" s="603"/>
      <c r="Q1" s="603"/>
      <c r="R1" s="603"/>
      <c r="S1" s="604"/>
      <c r="T1" s="604"/>
      <c r="U1" s="604"/>
      <c r="V1" s="604"/>
      <c r="W1" s="604"/>
    </row>
    <row r="2" spans="1:23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</row>
    <row r="3" spans="1:23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303" t="s">
        <v>5</v>
      </c>
      <c r="H3" s="611" t="s">
        <v>6</v>
      </c>
      <c r="I3" s="612"/>
      <c r="J3" s="303" t="s">
        <v>5</v>
      </c>
      <c r="K3" s="41" t="s">
        <v>7</v>
      </c>
      <c r="L3" s="42" t="s">
        <v>8</v>
      </c>
      <c r="M3" s="220" t="s">
        <v>9</v>
      </c>
      <c r="N3" s="43" t="s">
        <v>10</v>
      </c>
      <c r="O3" s="44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</row>
    <row r="4" spans="1:23" ht="14.4" x14ac:dyDescent="0.3">
      <c r="A4" s="40"/>
      <c r="B4" s="304">
        <v>43374</v>
      </c>
      <c r="C4" s="305" t="s">
        <v>46</v>
      </c>
      <c r="D4" s="306"/>
      <c r="E4" s="307">
        <f>IFERROR(VLOOKUP(C4,TR!$B$2:$F$612,2,0),"")</f>
        <v>0</v>
      </c>
      <c r="F4" s="308">
        <f>IFERROR(VLOOKUP(C4,TR!$B$2:$F$612,3,0),"")</f>
        <v>0</v>
      </c>
      <c r="G4" s="309">
        <f>IF(ISERROR(F4-E4),0,F4-E4)</f>
        <v>0</v>
      </c>
      <c r="H4" s="310">
        <f>IFERROR(VLOOKUP(C4,TR!$B$2:$F$612,4,0),"")</f>
        <v>0</v>
      </c>
      <c r="I4" s="311">
        <f>IFERROR(VLOOKUP(C4,TR!$B$2:$F$612,5,0),"")</f>
        <v>0</v>
      </c>
      <c r="J4" s="309">
        <f>IF(ISERROR(I4-H4),0,(I4-H4))</f>
        <v>0</v>
      </c>
      <c r="K4" s="312" t="str">
        <f t="shared" ref="K4:K34" si="0">IF(COUNTA(E4:F4,H4:I4)=5,1,IF(AND(E4&lt;"5:00"*1,E4&gt;"2:00"*1),1,IF(AND(I4&gt;="22:01"*1,I4&lt;="26:01"*1),1,IF(AND(I4&lt;="22:00"*1,SUM(I4,R4)&gt;="22:01"*1),1,""))))</f>
        <v/>
      </c>
      <c r="L4" s="313" t="str">
        <f>IF(AND(F4&gt;="13:15"*1,H4&lt;""),1,IF(AND(H4&gt;="11:00"*1,H4&lt;="12:15"*1),1,IF(AND(F4&lt;="13:15"*1,SUM(F4,R4)&gt;="13:15"*1),1,"")))</f>
        <v/>
      </c>
      <c r="M4" s="581" t="str">
        <f t="shared" ref="M4:M34" si="1">IF(AND(I4&gt;="19:30"*1,1,I4&gt;"21:30"*1,C4&lt;&gt;""),1,IF(AND(I4&lt;="21:30"*1,SUM(I4,R4)&gt;="21:30"*1),1,""))</f>
        <v/>
      </c>
      <c r="N4" s="36" t="str">
        <f>IF(AND(LEFT(C4,1)="d",AND(Septembre!N33&lt;&gt;1)),1,IF(AND(LEFT(C4,1)="s",I4&gt;="24:01"*1),1,IF(AND(I4&lt;&gt;"",I4&lt;="23:59"*1,SUM(I4,R4)&gt;="24:01"*1),1,"")))</f>
        <v/>
      </c>
      <c r="O4" s="450" t="str">
        <f>IF(AND(I4&gt;"24:00"*1,ISNUMBER(FIND("f",C5))),1,IF(AND(OR(ISNUMBER(FIND("FériéCC",C4)),ISNUMBER(FIND("FériéCH",C4)),ISNUMBER(FIND("f",C4)))),1,""))</f>
        <v/>
      </c>
      <c r="P4" s="451" t="str">
        <f>IF(AND(L4="",M4=""),IF(OR(SUMPRODUCT(N(ISNUMBER(FIND({"s";"d";"f"},C4))))&gt;0,G4+J4&lt;0,AND(G4&gt;0,J4&gt;0,I4&gt;"20:30"*1),AND(I4&lt;="20:30"*1,SUM(I4,R4)&gt;="20:31"*1)),1,""),"")</f>
        <v/>
      </c>
      <c r="Q4" s="317" t="str">
        <f>IF(OR(AND(G4&gt;0,AND(J4=0)),OR(G4=0,AND(J4&gt;0)),OR(G4+J4&gt;0)),IF(S4="","",IF(R4+S4&gt;="13:01"*1,1,"")))</f>
        <v/>
      </c>
      <c r="R4" s="29"/>
      <c r="S4" s="318" t="str">
        <f t="shared" ref="S4:S34" si="2">IF(G4=0,IF(J4=0,"",I4-H4),IF(J4=0,F4-E4,I4-E4))</f>
        <v/>
      </c>
      <c r="T4" s="34">
        <f t="shared" ref="T4:T34" si="3">IF(ISERROR((F4-E4)+(I4-H4)),0,(F4-E4)+(I4-H4))</f>
        <v>0</v>
      </c>
      <c r="U4" s="153">
        <f>T4*24</f>
        <v>0</v>
      </c>
      <c r="V4" s="187"/>
      <c r="W4" s="149" t="str">
        <f>IF(U4-V4=0,"0,00",U4-V4)</f>
        <v>0,00</v>
      </c>
    </row>
    <row r="5" spans="1:23" ht="14.4" x14ac:dyDescent="0.3">
      <c r="A5" s="40"/>
      <c r="B5" s="304">
        <v>43375</v>
      </c>
      <c r="C5" s="319"/>
      <c r="D5" s="320"/>
      <c r="E5" s="310" t="str">
        <f>IFERROR(VLOOKUP(C5,TR!$B$2:$F$612,2,0),"")</f>
        <v/>
      </c>
      <c r="F5" s="311" t="str">
        <f>IFERROR(VLOOKUP(C5,TR!$B$2:$F$612,3,0),"")</f>
        <v/>
      </c>
      <c r="G5" s="321">
        <f t="shared" ref="G5:G34" si="4">IF(ISERROR(F5-E5),0,F5-E5)</f>
        <v>0</v>
      </c>
      <c r="H5" s="310" t="str">
        <f>IFERROR(VLOOKUP(C5,TR!$B$2:$F$612,4,0),"")</f>
        <v/>
      </c>
      <c r="I5" s="311" t="str">
        <f>IFERROR(VLOOKUP(C5,TR!$B$2:$F$612,5,0),"")</f>
        <v/>
      </c>
      <c r="J5" s="321">
        <f t="shared" ref="J5:J34" si="5">IF(ISERROR(I5-H5),0,(I5-H5))</f>
        <v>0</v>
      </c>
      <c r="K5" s="322" t="str">
        <f t="shared" si="0"/>
        <v/>
      </c>
      <c r="L5" s="323" t="str">
        <f t="shared" ref="L5:L34" si="6">IF(AND(F5&gt;="13:15"*1,H5&lt;""),1,IF(AND(H5&gt;="11:00"*1,H5&lt;="12:15"*1),1,IF(AND(F5&lt;="13:15"*1,SUM(F5,R5)&gt;="13:15"*1),1,"")))</f>
        <v/>
      </c>
      <c r="M5" s="582" t="str">
        <f t="shared" si="1"/>
        <v/>
      </c>
      <c r="N5" s="37" t="str">
        <f t="shared" ref="N5:N34" si="7">IF(AND(LEFT(C5,1)="d",AND(N4&lt;&gt;1)),1,IF(AND(LEFT(C5,1)="s",I5&gt;="24:01"*1),1,IF(AND(I5&lt;&gt;"",I5&lt;="23:59"*1,SUM(I5,R5)&gt;="24:01"*1),1,"")))</f>
        <v/>
      </c>
      <c r="O5" s="315" t="str">
        <f t="shared" ref="O5:O34" si="8">IF(AND(I5&gt;"24:00"*1,ISNUMBER(FIND("f",C6))),1,IF(AND(OR(ISNUMBER(FIND("FériéCC",C5)),ISNUMBER(FIND("FériéCH",C5)),ISNUMBER(FIND("f",C5)))),1,""))</f>
        <v/>
      </c>
      <c r="P5" s="408" t="str">
        <f>IF(AND(L5="",M5=""),IF(OR(SUMPRODUCT(N(ISNUMBER(FIND({"s";"d";"f"},C5))))&gt;0,G5+J5&lt;0,AND(G5&gt;0,J5&gt;0,I5&gt;"20:30"*1),AND(I5&lt;="20:30"*1,SUM(I5,R5)&gt;="20:31"*1)),1,""),"")</f>
        <v/>
      </c>
      <c r="Q5" s="326" t="str">
        <f t="shared" ref="Q5:Q34" si="9">IF(OR(AND(G5&gt;0,AND(J5=0)),OR(G5=0,AND(J5&gt;0)),OR(G5+J5&gt;0)),IF(S5="","",IF(R5+S5&gt;="13:01"*1,1,"")))</f>
        <v/>
      </c>
      <c r="R5" s="30"/>
      <c r="S5" s="327" t="str">
        <f t="shared" si="2"/>
        <v/>
      </c>
      <c r="T5" s="34">
        <f t="shared" si="3"/>
        <v>0</v>
      </c>
      <c r="U5" s="154">
        <f>T5*24</f>
        <v>0</v>
      </c>
      <c r="V5" s="188"/>
      <c r="W5" s="156" t="str">
        <f t="shared" ref="W5:W34" si="10">IF(U5-V5=0,"0,00",U5-V5)</f>
        <v>0,00</v>
      </c>
    </row>
    <row r="6" spans="1:23" ht="14.4" x14ac:dyDescent="0.3">
      <c r="A6" s="40"/>
      <c r="B6" s="304">
        <v>43376</v>
      </c>
      <c r="C6" s="319"/>
      <c r="D6" s="320"/>
      <c r="E6" s="310" t="str">
        <f>IFERROR(VLOOKUP(C6,TR!$B$2:$F$612,2,0),"")</f>
        <v/>
      </c>
      <c r="F6" s="311" t="str">
        <f>IFERROR(VLOOKUP(C6,TR!$B$2:$F$612,3,0),"")</f>
        <v/>
      </c>
      <c r="G6" s="321">
        <f t="shared" si="4"/>
        <v>0</v>
      </c>
      <c r="H6" s="310" t="str">
        <f>IFERROR(VLOOKUP(C6,TR!$B$2:$F$612,4,0),"")</f>
        <v/>
      </c>
      <c r="I6" s="311" t="str">
        <f>IFERROR(VLOOKUP(C6,TR!$B$2:$F$612,5,0),"")</f>
        <v/>
      </c>
      <c r="J6" s="321">
        <f t="shared" si="5"/>
        <v>0</v>
      </c>
      <c r="K6" s="322" t="str">
        <f t="shared" si="0"/>
        <v/>
      </c>
      <c r="L6" s="323" t="str">
        <f t="shared" si="6"/>
        <v/>
      </c>
      <c r="M6" s="582" t="str">
        <f t="shared" si="1"/>
        <v/>
      </c>
      <c r="N6" s="37" t="str">
        <f t="shared" si="7"/>
        <v/>
      </c>
      <c r="O6" s="315" t="str">
        <f t="shared" si="8"/>
        <v/>
      </c>
      <c r="P6" s="408" t="str">
        <f>IF(AND(L6="",M6=""),IF(OR(SUMPRODUCT(N(ISNUMBER(FIND({"s";"d";"f"},C6))))&gt;0,G6+J6&lt;0,AND(G6&gt;0,J6&gt;0,I6&gt;"20:30"*1),AND(I6&lt;="20:30"*1,SUM(I6,R6)&gt;="20:31"*1)),1,""),"")</f>
        <v/>
      </c>
      <c r="Q6" s="326" t="str">
        <f t="shared" si="9"/>
        <v/>
      </c>
      <c r="R6" s="30"/>
      <c r="S6" s="327" t="str">
        <f t="shared" si="2"/>
        <v/>
      </c>
      <c r="T6" s="34">
        <f t="shared" si="3"/>
        <v>0</v>
      </c>
      <c r="U6" s="154">
        <f>T6*24</f>
        <v>0</v>
      </c>
      <c r="V6" s="188"/>
      <c r="W6" s="156" t="str">
        <f t="shared" si="10"/>
        <v>0,00</v>
      </c>
    </row>
    <row r="7" spans="1:23" ht="14.4" x14ac:dyDescent="0.3">
      <c r="A7" s="40"/>
      <c r="B7" s="304">
        <v>43377</v>
      </c>
      <c r="C7" s="319"/>
      <c r="D7" s="320"/>
      <c r="E7" s="310" t="str">
        <f>IFERROR(VLOOKUP(C7,TR!$B$2:$F$612,2,0),"")</f>
        <v/>
      </c>
      <c r="F7" s="311" t="str">
        <f>IFERROR(VLOOKUP(C7,TR!$B$2:$F$612,3,0),"")</f>
        <v/>
      </c>
      <c r="G7" s="321">
        <f t="shared" si="4"/>
        <v>0</v>
      </c>
      <c r="H7" s="310" t="str">
        <f>IFERROR(VLOOKUP(C7,TR!$B$2:$F$612,4,0),"")</f>
        <v/>
      </c>
      <c r="I7" s="311" t="str">
        <f>IFERROR(VLOOKUP(C7,TR!$B$2:$F$612,5,0),"")</f>
        <v/>
      </c>
      <c r="J7" s="321">
        <f t="shared" si="5"/>
        <v>0</v>
      </c>
      <c r="K7" s="322" t="str">
        <f t="shared" si="0"/>
        <v/>
      </c>
      <c r="L7" s="323" t="str">
        <f t="shared" si="6"/>
        <v/>
      </c>
      <c r="M7" s="582" t="str">
        <f t="shared" si="1"/>
        <v/>
      </c>
      <c r="N7" s="37" t="str">
        <f t="shared" si="7"/>
        <v/>
      </c>
      <c r="O7" s="315" t="str">
        <f t="shared" si="8"/>
        <v/>
      </c>
      <c r="P7" s="408" t="str">
        <f>IF(AND(L7="",M7=""),IF(OR(SUMPRODUCT(N(ISNUMBER(FIND({"s";"d";"f"},C7))))&gt;0,G7+J7&lt;0,AND(G7&gt;0,J7&gt;0,I7&gt;"20:30"*1),AND(I7&lt;="20:30"*1,SUM(I7,R7)&gt;="20:31"*1)),1,""),"")</f>
        <v/>
      </c>
      <c r="Q7" s="326" t="str">
        <f t="shared" si="9"/>
        <v/>
      </c>
      <c r="R7" s="30"/>
      <c r="S7" s="327" t="str">
        <f t="shared" si="2"/>
        <v/>
      </c>
      <c r="T7" s="34">
        <f t="shared" si="3"/>
        <v>0</v>
      </c>
      <c r="U7" s="154">
        <f t="shared" ref="U7:U34" si="11">T7*24</f>
        <v>0</v>
      </c>
      <c r="V7" s="188"/>
      <c r="W7" s="156" t="str">
        <f t="shared" si="10"/>
        <v>0,00</v>
      </c>
    </row>
    <row r="8" spans="1:23" ht="14.4" x14ac:dyDescent="0.3">
      <c r="A8" s="40"/>
      <c r="B8" s="304">
        <v>43378</v>
      </c>
      <c r="C8" s="319"/>
      <c r="D8" s="320"/>
      <c r="E8" s="310" t="str">
        <f>IFERROR(VLOOKUP(C8,TR!$B$2:$F$612,2,0),"")</f>
        <v/>
      </c>
      <c r="F8" s="311" t="str">
        <f>IFERROR(VLOOKUP(C8,TR!$B$2:$F$612,3,0),"")</f>
        <v/>
      </c>
      <c r="G8" s="321">
        <f t="shared" si="4"/>
        <v>0</v>
      </c>
      <c r="H8" s="310" t="str">
        <f>IFERROR(VLOOKUP(C8,TR!$B$2:$F$612,4,0),"")</f>
        <v/>
      </c>
      <c r="I8" s="311" t="str">
        <f>IFERROR(VLOOKUP(C8,TR!$B$2:$F$612,5,0),"")</f>
        <v/>
      </c>
      <c r="J8" s="321">
        <f t="shared" si="5"/>
        <v>0</v>
      </c>
      <c r="K8" s="322" t="str">
        <f t="shared" si="0"/>
        <v/>
      </c>
      <c r="L8" s="323" t="str">
        <f t="shared" si="6"/>
        <v/>
      </c>
      <c r="M8" s="582" t="str">
        <f t="shared" si="1"/>
        <v/>
      </c>
      <c r="N8" s="37" t="str">
        <f t="shared" si="7"/>
        <v/>
      </c>
      <c r="O8" s="315" t="str">
        <f t="shared" si="8"/>
        <v/>
      </c>
      <c r="P8" s="408" t="str">
        <f>IF(AND(L8="",M8=""),IF(OR(SUMPRODUCT(N(ISNUMBER(FIND({"s";"d";"f"},C8))))&gt;0,G8+J8&lt;0,AND(G8&gt;0,J8&gt;0,I8&gt;"20:30"*1),AND(I8&lt;="20:30"*1,SUM(I8,R8)&gt;="20:31"*1)),1,""),"")</f>
        <v/>
      </c>
      <c r="Q8" s="326" t="str">
        <f t="shared" si="9"/>
        <v/>
      </c>
      <c r="R8" s="30"/>
      <c r="S8" s="327" t="str">
        <f t="shared" si="2"/>
        <v/>
      </c>
      <c r="T8" s="34">
        <f t="shared" si="3"/>
        <v>0</v>
      </c>
      <c r="U8" s="154">
        <f t="shared" si="11"/>
        <v>0</v>
      </c>
      <c r="V8" s="188"/>
      <c r="W8" s="156" t="str">
        <f t="shared" si="10"/>
        <v>0,00</v>
      </c>
    </row>
    <row r="9" spans="1:23" ht="14.4" x14ac:dyDescent="0.3">
      <c r="A9" s="40"/>
      <c r="B9" s="304">
        <v>43379</v>
      </c>
      <c r="C9" s="319"/>
      <c r="D9" s="320"/>
      <c r="E9" s="310" t="str">
        <f>IFERROR(VLOOKUP(C9,TR!$B$2:$F$612,2,0),"")</f>
        <v/>
      </c>
      <c r="F9" s="311" t="str">
        <f>IFERROR(VLOOKUP(C9,TR!$B$2:$F$612,3,0),"")</f>
        <v/>
      </c>
      <c r="G9" s="321">
        <f t="shared" si="4"/>
        <v>0</v>
      </c>
      <c r="H9" s="310" t="str">
        <f>IFERROR(VLOOKUP(C9,TR!$B$2:$F$612,4,0),"")</f>
        <v/>
      </c>
      <c r="I9" s="311" t="str">
        <f>IFERROR(VLOOKUP(C9,TR!$B$2:$F$612,5,0),"")</f>
        <v/>
      </c>
      <c r="J9" s="321">
        <f t="shared" si="5"/>
        <v>0</v>
      </c>
      <c r="K9" s="322" t="str">
        <f t="shared" si="0"/>
        <v/>
      </c>
      <c r="L9" s="323" t="str">
        <f t="shared" si="6"/>
        <v/>
      </c>
      <c r="M9" s="582" t="str">
        <f t="shared" si="1"/>
        <v/>
      </c>
      <c r="N9" s="37" t="str">
        <f t="shared" si="7"/>
        <v/>
      </c>
      <c r="O9" s="315" t="str">
        <f t="shared" si="8"/>
        <v/>
      </c>
      <c r="P9" s="408" t="str">
        <f>IF(AND(L9="",M9=""),IF(OR(SUMPRODUCT(N(ISNUMBER(FIND({"s";"d";"f"},C9))))&gt;0,G9+J9&lt;0,AND(G9&gt;0,J9&gt;0,I9&gt;"20:30"*1),AND(I9&lt;="20:30"*1,SUM(I9,R9)&gt;="20:31"*1)),1,""),"")</f>
        <v/>
      </c>
      <c r="Q9" s="326" t="str">
        <f t="shared" si="9"/>
        <v/>
      </c>
      <c r="R9" s="30"/>
      <c r="S9" s="327" t="str">
        <f t="shared" si="2"/>
        <v/>
      </c>
      <c r="T9" s="34">
        <f t="shared" si="3"/>
        <v>0</v>
      </c>
      <c r="U9" s="154">
        <f t="shared" si="11"/>
        <v>0</v>
      </c>
      <c r="V9" s="188"/>
      <c r="W9" s="156" t="str">
        <f t="shared" si="10"/>
        <v>0,00</v>
      </c>
    </row>
    <row r="10" spans="1:23" ht="14.4" x14ac:dyDescent="0.3">
      <c r="A10" s="40"/>
      <c r="B10" s="304">
        <v>43380</v>
      </c>
      <c r="C10" s="319" t="s">
        <v>47</v>
      </c>
      <c r="D10" s="320"/>
      <c r="E10" s="310">
        <f>IFERROR(VLOOKUP(C10,TR!$B$2:$F$612,2,0),"")</f>
        <v>0</v>
      </c>
      <c r="F10" s="311">
        <f>IFERROR(VLOOKUP(C10,TR!$B$2:$F$612,3,0),"")</f>
        <v>0</v>
      </c>
      <c r="G10" s="321">
        <f t="shared" si="4"/>
        <v>0</v>
      </c>
      <c r="H10" s="310">
        <f>IFERROR(VLOOKUP(C10,TR!$B$2:$F$612,4,0),"")</f>
        <v>0</v>
      </c>
      <c r="I10" s="311">
        <f>IFERROR(VLOOKUP(C10,TR!$B$2:$F$612,5,0),"")</f>
        <v>0</v>
      </c>
      <c r="J10" s="321">
        <f t="shared" si="5"/>
        <v>0</v>
      </c>
      <c r="K10" s="322" t="str">
        <f t="shared" si="0"/>
        <v/>
      </c>
      <c r="L10" s="323" t="str">
        <f t="shared" si="6"/>
        <v/>
      </c>
      <c r="M10" s="582" t="str">
        <f t="shared" si="1"/>
        <v/>
      </c>
      <c r="N10" s="37" t="str">
        <f t="shared" si="7"/>
        <v/>
      </c>
      <c r="O10" s="315" t="str">
        <f t="shared" si="8"/>
        <v/>
      </c>
      <c r="P10" s="408" t="str">
        <f>IF(AND(L10="",M10=""),IF(OR(SUMPRODUCT(N(ISNUMBER(FIND({"s";"d";"f"},C10))))&gt;0,G10+J10&lt;0,AND(G10&gt;0,J10&gt;0,I10&gt;"20:30"*1),AND(I10&lt;="20:30"*1,SUM(I10,R10)&gt;="20:31"*1)),1,""),"")</f>
        <v/>
      </c>
      <c r="Q10" s="326" t="str">
        <f t="shared" si="9"/>
        <v/>
      </c>
      <c r="R10" s="30"/>
      <c r="S10" s="327" t="str">
        <f t="shared" si="2"/>
        <v/>
      </c>
      <c r="T10" s="34">
        <f t="shared" si="3"/>
        <v>0</v>
      </c>
      <c r="U10" s="154">
        <f t="shared" si="11"/>
        <v>0</v>
      </c>
      <c r="V10" s="188"/>
      <c r="W10" s="156" t="str">
        <f t="shared" si="10"/>
        <v>0,00</v>
      </c>
    </row>
    <row r="11" spans="1:23" ht="14.4" x14ac:dyDescent="0.3">
      <c r="A11" s="40"/>
      <c r="B11" s="304">
        <v>43381</v>
      </c>
      <c r="C11" s="319"/>
      <c r="D11" s="320"/>
      <c r="E11" s="310" t="str">
        <f>IFERROR(VLOOKUP(C11,TR!$B$2:$F$612,2,0),"")</f>
        <v/>
      </c>
      <c r="F11" s="311" t="str">
        <f>IFERROR(VLOOKUP(C11,TR!$B$2:$F$612,3,0),"")</f>
        <v/>
      </c>
      <c r="G11" s="328">
        <f t="shared" si="4"/>
        <v>0</v>
      </c>
      <c r="H11" s="310" t="str">
        <f>IFERROR(VLOOKUP(C11,TR!$B$2:$F$612,4,0),"")</f>
        <v/>
      </c>
      <c r="I11" s="311" t="str">
        <f>IFERROR(VLOOKUP(C11,TR!$B$2:$F$612,5,0),"")</f>
        <v/>
      </c>
      <c r="J11" s="328">
        <f t="shared" si="5"/>
        <v>0</v>
      </c>
      <c r="K11" s="322" t="str">
        <f t="shared" si="0"/>
        <v/>
      </c>
      <c r="L11" s="323" t="str">
        <f t="shared" si="6"/>
        <v/>
      </c>
      <c r="M11" s="582" t="str">
        <f t="shared" si="1"/>
        <v/>
      </c>
      <c r="N11" s="37" t="str">
        <f t="shared" si="7"/>
        <v/>
      </c>
      <c r="O11" s="315" t="str">
        <f t="shared" si="8"/>
        <v/>
      </c>
      <c r="P11" s="408" t="str">
        <f>IF(AND(L11="",M11=""),IF(OR(SUMPRODUCT(N(ISNUMBER(FIND({"s";"d";"f"},C11))))&gt;0,G11+J11&lt;0,AND(G11&gt;0,J11&gt;0,I11&gt;"20:30"*1),AND(I11&lt;="20:30"*1,SUM(I11,R11)&gt;="20:31"*1)),1,""),"")</f>
        <v/>
      </c>
      <c r="Q11" s="326" t="str">
        <f t="shared" si="9"/>
        <v/>
      </c>
      <c r="R11" s="30"/>
      <c r="S11" s="327" t="str">
        <f t="shared" si="2"/>
        <v/>
      </c>
      <c r="T11" s="34">
        <f t="shared" si="3"/>
        <v>0</v>
      </c>
      <c r="U11" s="154">
        <f t="shared" si="11"/>
        <v>0</v>
      </c>
      <c r="V11" s="188"/>
      <c r="W11" s="156" t="str">
        <f t="shared" si="10"/>
        <v>0,00</v>
      </c>
    </row>
    <row r="12" spans="1:23" ht="14.4" x14ac:dyDescent="0.3">
      <c r="A12" s="40"/>
      <c r="B12" s="304">
        <v>43382</v>
      </c>
      <c r="C12" s="319"/>
      <c r="D12" s="320"/>
      <c r="E12" s="310" t="str">
        <f>IFERROR(VLOOKUP(C12,TR!$B$2:$F$612,2,0),"")</f>
        <v/>
      </c>
      <c r="F12" s="311" t="str">
        <f>IFERROR(VLOOKUP(C12,TR!$B$2:$F$612,3,0),"")</f>
        <v/>
      </c>
      <c r="G12" s="328">
        <f t="shared" si="4"/>
        <v>0</v>
      </c>
      <c r="H12" s="310" t="str">
        <f>IFERROR(VLOOKUP(C12,TR!$B$2:$F$612,4,0),"")</f>
        <v/>
      </c>
      <c r="I12" s="311" t="str">
        <f>IFERROR(VLOOKUP(C12,TR!$B$2:$F$612,5,0),"")</f>
        <v/>
      </c>
      <c r="J12" s="328">
        <f t="shared" si="5"/>
        <v>0</v>
      </c>
      <c r="K12" s="322" t="str">
        <f t="shared" si="0"/>
        <v/>
      </c>
      <c r="L12" s="323" t="str">
        <f t="shared" si="6"/>
        <v/>
      </c>
      <c r="M12" s="582" t="str">
        <f t="shared" si="1"/>
        <v/>
      </c>
      <c r="N12" s="37" t="str">
        <f t="shared" si="7"/>
        <v/>
      </c>
      <c r="O12" s="315" t="str">
        <f t="shared" si="8"/>
        <v/>
      </c>
      <c r="P12" s="408" t="str">
        <f>IF(AND(L12="",M12=""),IF(OR(SUMPRODUCT(N(ISNUMBER(FIND({"s";"d";"f"},C12))))&gt;0,G12+J12&lt;0,AND(G12&gt;0,J12&gt;0,I12&gt;"20:30"*1),AND(I12&lt;="20:30"*1,SUM(I12,R12)&gt;="20:31"*1)),1,""),"")</f>
        <v/>
      </c>
      <c r="Q12" s="326" t="str">
        <f t="shared" si="9"/>
        <v/>
      </c>
      <c r="R12" s="30"/>
      <c r="S12" s="327" t="str">
        <f t="shared" si="2"/>
        <v/>
      </c>
      <c r="T12" s="34">
        <f t="shared" si="3"/>
        <v>0</v>
      </c>
      <c r="U12" s="154">
        <f t="shared" si="11"/>
        <v>0</v>
      </c>
      <c r="V12" s="188"/>
      <c r="W12" s="156" t="str">
        <f t="shared" si="10"/>
        <v>0,00</v>
      </c>
    </row>
    <row r="13" spans="1:23" ht="14.4" x14ac:dyDescent="0.3">
      <c r="A13" s="40"/>
      <c r="B13" s="304">
        <v>43383</v>
      </c>
      <c r="C13" s="329"/>
      <c r="D13" s="330"/>
      <c r="E13" s="310" t="str">
        <f>IFERROR(VLOOKUP(C13,TR!$B$2:$F$612,2,0),"")</f>
        <v/>
      </c>
      <c r="F13" s="311" t="str">
        <f>IFERROR(VLOOKUP(C13,TR!$B$2:$F$612,3,0),"")</f>
        <v/>
      </c>
      <c r="G13" s="328">
        <f t="shared" si="4"/>
        <v>0</v>
      </c>
      <c r="H13" s="310" t="str">
        <f>IFERROR(VLOOKUP(C13,TR!$B$2:$F$612,4,0),"")</f>
        <v/>
      </c>
      <c r="I13" s="311" t="str">
        <f>IFERROR(VLOOKUP(C13,TR!$B$2:$F$612,5,0),"")</f>
        <v/>
      </c>
      <c r="J13" s="328">
        <f t="shared" si="5"/>
        <v>0</v>
      </c>
      <c r="K13" s="322" t="str">
        <f t="shared" si="0"/>
        <v/>
      </c>
      <c r="L13" s="323" t="str">
        <f t="shared" si="6"/>
        <v/>
      </c>
      <c r="M13" s="582" t="str">
        <f t="shared" si="1"/>
        <v/>
      </c>
      <c r="N13" s="37" t="str">
        <f t="shared" si="7"/>
        <v/>
      </c>
      <c r="O13" s="315" t="str">
        <f t="shared" si="8"/>
        <v/>
      </c>
      <c r="P13" s="408" t="str">
        <f>IF(AND(L13="",M13=""),IF(OR(SUMPRODUCT(N(ISNUMBER(FIND({"s";"d";"f"},C13))))&gt;0,G13+J13&lt;0,AND(G13&gt;0,J13&gt;0,I13&gt;"20:30"*1),AND(I13&lt;="20:30"*1,SUM(I13,R13)&gt;="20:31"*1)),1,""),"")</f>
        <v/>
      </c>
      <c r="Q13" s="326" t="str">
        <f t="shared" si="9"/>
        <v/>
      </c>
      <c r="R13" s="31"/>
      <c r="S13" s="327" t="str">
        <f t="shared" si="2"/>
        <v/>
      </c>
      <c r="T13" s="34">
        <f t="shared" si="3"/>
        <v>0</v>
      </c>
      <c r="U13" s="154">
        <f t="shared" si="11"/>
        <v>0</v>
      </c>
      <c r="V13" s="188"/>
      <c r="W13" s="156" t="str">
        <f t="shared" si="10"/>
        <v>0,00</v>
      </c>
    </row>
    <row r="14" spans="1:23" ht="14.4" x14ac:dyDescent="0.3">
      <c r="A14" s="40"/>
      <c r="B14" s="304">
        <v>43384</v>
      </c>
      <c r="C14" s="331"/>
      <c r="D14" s="332"/>
      <c r="E14" s="310" t="str">
        <f>IFERROR(VLOOKUP(C14,TR!$B$2:$F$612,2,0),"")</f>
        <v/>
      </c>
      <c r="F14" s="311" t="str">
        <f>IFERROR(VLOOKUP(C14,TR!$B$2:$F$612,3,0),"")</f>
        <v/>
      </c>
      <c r="G14" s="328">
        <f t="shared" si="4"/>
        <v>0</v>
      </c>
      <c r="H14" s="310" t="str">
        <f>IFERROR(VLOOKUP(C14,TR!$B$2:$F$612,4,0),"")</f>
        <v/>
      </c>
      <c r="I14" s="311" t="str">
        <f>IFERROR(VLOOKUP(C14,TR!$B$2:$F$612,5,0),"")</f>
        <v/>
      </c>
      <c r="J14" s="328">
        <f t="shared" si="5"/>
        <v>0</v>
      </c>
      <c r="K14" s="322" t="str">
        <f t="shared" si="0"/>
        <v/>
      </c>
      <c r="L14" s="323" t="str">
        <f t="shared" si="6"/>
        <v/>
      </c>
      <c r="M14" s="582" t="str">
        <f t="shared" si="1"/>
        <v/>
      </c>
      <c r="N14" s="37" t="str">
        <f t="shared" si="7"/>
        <v/>
      </c>
      <c r="O14" s="315" t="str">
        <f t="shared" si="8"/>
        <v/>
      </c>
      <c r="P14" s="408" t="str">
        <f>IF(AND(L14="",M14=""),IF(OR(SUMPRODUCT(N(ISNUMBER(FIND({"s";"d";"f"},C14))))&gt;0,G14+J14&lt;0,AND(G14&gt;0,J14&gt;0,I14&gt;"20:30"*1),AND(I14&lt;="20:30"*1,SUM(I14,R14)&gt;="20:31"*1)),1,""),"")</f>
        <v/>
      </c>
      <c r="Q14" s="326" t="str">
        <f t="shared" si="9"/>
        <v/>
      </c>
      <c r="R14" s="31"/>
      <c r="S14" s="327" t="str">
        <f t="shared" si="2"/>
        <v/>
      </c>
      <c r="T14" s="34">
        <f t="shared" si="3"/>
        <v>0</v>
      </c>
      <c r="U14" s="154">
        <f t="shared" si="11"/>
        <v>0</v>
      </c>
      <c r="V14" s="188"/>
      <c r="W14" s="156" t="str">
        <f t="shared" si="10"/>
        <v>0,00</v>
      </c>
    </row>
    <row r="15" spans="1:23" ht="14.4" x14ac:dyDescent="0.3">
      <c r="A15" s="40"/>
      <c r="B15" s="304">
        <v>43385</v>
      </c>
      <c r="C15" s="331"/>
      <c r="D15" s="332"/>
      <c r="E15" s="310" t="str">
        <f>IFERROR(VLOOKUP(C15,TR!$B$2:$F$612,2,0),"")</f>
        <v/>
      </c>
      <c r="F15" s="311" t="str">
        <f>IFERROR(VLOOKUP(C15,TR!$B$2:$F$612,3,0),"")</f>
        <v/>
      </c>
      <c r="G15" s="328">
        <f t="shared" si="4"/>
        <v>0</v>
      </c>
      <c r="H15" s="310" t="str">
        <f>IFERROR(VLOOKUP(C15,TR!$B$2:$F$612,4,0),"")</f>
        <v/>
      </c>
      <c r="I15" s="311" t="str">
        <f>IFERROR(VLOOKUP(C15,TR!$B$2:$F$612,5,0),"")</f>
        <v/>
      </c>
      <c r="J15" s="328">
        <f t="shared" si="5"/>
        <v>0</v>
      </c>
      <c r="K15" s="322" t="str">
        <f t="shared" si="0"/>
        <v/>
      </c>
      <c r="L15" s="323" t="str">
        <f t="shared" si="6"/>
        <v/>
      </c>
      <c r="M15" s="582" t="str">
        <f t="shared" si="1"/>
        <v/>
      </c>
      <c r="N15" s="37" t="str">
        <f t="shared" si="7"/>
        <v/>
      </c>
      <c r="O15" s="315" t="str">
        <f t="shared" si="8"/>
        <v/>
      </c>
      <c r="P15" s="408" t="str">
        <f>IF(AND(L15="",M15=""),IF(OR(SUMPRODUCT(N(ISNUMBER(FIND({"s";"d";"f"},C15))))&gt;0,G15+J15&lt;0,AND(G15&gt;0,J15&gt;0,I15&gt;"20:30"*1),AND(I15&lt;="20:30"*1,SUM(I15,R15)&gt;="20:31"*1)),1,""),"")</f>
        <v/>
      </c>
      <c r="Q15" s="326" t="str">
        <f t="shared" si="9"/>
        <v/>
      </c>
      <c r="R15" s="30"/>
      <c r="S15" s="327" t="str">
        <f t="shared" si="2"/>
        <v/>
      </c>
      <c r="T15" s="34">
        <f t="shared" si="3"/>
        <v>0</v>
      </c>
      <c r="U15" s="154">
        <f t="shared" si="11"/>
        <v>0</v>
      </c>
      <c r="V15" s="188"/>
      <c r="W15" s="156" t="str">
        <f t="shared" si="10"/>
        <v>0,00</v>
      </c>
    </row>
    <row r="16" spans="1:23" ht="14.4" x14ac:dyDescent="0.3">
      <c r="A16" s="40"/>
      <c r="B16" s="304">
        <v>43386</v>
      </c>
      <c r="C16" s="329" t="s">
        <v>46</v>
      </c>
      <c r="D16" s="330"/>
      <c r="E16" s="310">
        <f>IFERROR(VLOOKUP(C16,TR!$B$2:$F$612,2,0),"")</f>
        <v>0</v>
      </c>
      <c r="F16" s="311">
        <f>IFERROR(VLOOKUP(C16,TR!$B$2:$F$612,3,0),"")</f>
        <v>0</v>
      </c>
      <c r="G16" s="328">
        <f t="shared" si="4"/>
        <v>0</v>
      </c>
      <c r="H16" s="310">
        <f>IFERROR(VLOOKUP(C16,TR!$B$2:$F$612,4,0),"")</f>
        <v>0</v>
      </c>
      <c r="I16" s="311">
        <f>IFERROR(VLOOKUP(C16,TR!$B$2:$F$612,5,0),"")</f>
        <v>0</v>
      </c>
      <c r="J16" s="328">
        <f t="shared" si="5"/>
        <v>0</v>
      </c>
      <c r="K16" s="322" t="str">
        <f t="shared" si="0"/>
        <v/>
      </c>
      <c r="L16" s="323" t="str">
        <f t="shared" si="6"/>
        <v/>
      </c>
      <c r="M16" s="582" t="str">
        <f t="shared" si="1"/>
        <v/>
      </c>
      <c r="N16" s="37" t="str">
        <f t="shared" si="7"/>
        <v/>
      </c>
      <c r="O16" s="315" t="str">
        <f t="shared" si="8"/>
        <v/>
      </c>
      <c r="P16" s="408" t="str">
        <f>IF(AND(L16="",M16=""),IF(OR(SUMPRODUCT(N(ISNUMBER(FIND({"s";"d";"f"},C16))))&gt;0,G16+J16&lt;0,AND(G16&gt;0,J16&gt;0,I16&gt;"20:30"*1),AND(I16&lt;="20:30"*1,SUM(I16,R16)&gt;="20:31"*1)),1,""),"")</f>
        <v/>
      </c>
      <c r="Q16" s="326" t="str">
        <f t="shared" si="9"/>
        <v/>
      </c>
      <c r="R16" s="31"/>
      <c r="S16" s="327" t="str">
        <f t="shared" si="2"/>
        <v/>
      </c>
      <c r="T16" s="34">
        <f t="shared" si="3"/>
        <v>0</v>
      </c>
      <c r="U16" s="154">
        <f t="shared" si="11"/>
        <v>0</v>
      </c>
      <c r="V16" s="188"/>
      <c r="W16" s="156" t="str">
        <f t="shared" si="10"/>
        <v>0,00</v>
      </c>
    </row>
    <row r="17" spans="1:23" ht="14.4" x14ac:dyDescent="0.3">
      <c r="A17" s="40"/>
      <c r="B17" s="304">
        <v>43387</v>
      </c>
      <c r="C17" s="319" t="s">
        <v>47</v>
      </c>
      <c r="D17" s="320"/>
      <c r="E17" s="310">
        <f>IFERROR(VLOOKUP(C17,TR!$B$2:$F$612,2,0),"")</f>
        <v>0</v>
      </c>
      <c r="F17" s="311">
        <f>IFERROR(VLOOKUP(C17,TR!$B$2:$F$612,3,0),"")</f>
        <v>0</v>
      </c>
      <c r="G17" s="321">
        <f t="shared" si="4"/>
        <v>0</v>
      </c>
      <c r="H17" s="310">
        <f>IFERROR(VLOOKUP(C17,TR!$B$2:$F$612,4,0),"")</f>
        <v>0</v>
      </c>
      <c r="I17" s="311">
        <f>IFERROR(VLOOKUP(C17,TR!$B$2:$F$612,5,0),"")</f>
        <v>0</v>
      </c>
      <c r="J17" s="321">
        <f t="shared" si="5"/>
        <v>0</v>
      </c>
      <c r="K17" s="322" t="str">
        <f t="shared" si="0"/>
        <v/>
      </c>
      <c r="L17" s="323" t="str">
        <f t="shared" si="6"/>
        <v/>
      </c>
      <c r="M17" s="582" t="str">
        <f t="shared" si="1"/>
        <v/>
      </c>
      <c r="N17" s="37" t="str">
        <f t="shared" si="7"/>
        <v/>
      </c>
      <c r="O17" s="315" t="str">
        <f t="shared" si="8"/>
        <v/>
      </c>
      <c r="P17" s="408" t="str">
        <f>IF(AND(L17="",M17=""),IF(OR(SUMPRODUCT(N(ISNUMBER(FIND({"s";"d";"f"},C17))))&gt;0,G17+J17&lt;0,AND(G17&gt;0,J17&gt;0,I17&gt;"20:30"*1),AND(I17&lt;="20:30"*1,SUM(I17,R17)&gt;="20:31"*1)),1,""),"")</f>
        <v/>
      </c>
      <c r="Q17" s="326" t="str">
        <f t="shared" si="9"/>
        <v/>
      </c>
      <c r="R17" s="31"/>
      <c r="S17" s="327" t="str">
        <f t="shared" si="2"/>
        <v/>
      </c>
      <c r="T17" s="34">
        <f t="shared" si="3"/>
        <v>0</v>
      </c>
      <c r="U17" s="154">
        <f t="shared" si="11"/>
        <v>0</v>
      </c>
      <c r="V17" s="188"/>
      <c r="W17" s="156" t="str">
        <f t="shared" si="10"/>
        <v>0,00</v>
      </c>
    </row>
    <row r="18" spans="1:23" ht="14.4" x14ac:dyDescent="0.3">
      <c r="A18" s="40"/>
      <c r="B18" s="304">
        <v>43388</v>
      </c>
      <c r="C18" s="319"/>
      <c r="D18" s="320"/>
      <c r="E18" s="310" t="str">
        <f>IFERROR(VLOOKUP(C18,TR!$B$2:$F$612,2,0),"")</f>
        <v/>
      </c>
      <c r="F18" s="311" t="str">
        <f>IFERROR(VLOOKUP(C18,TR!$B$2:$F$612,3,0),"")</f>
        <v/>
      </c>
      <c r="G18" s="321">
        <f t="shared" si="4"/>
        <v>0</v>
      </c>
      <c r="H18" s="310" t="str">
        <f>IFERROR(VLOOKUP(C18,TR!$B$2:$F$612,4,0),"")</f>
        <v/>
      </c>
      <c r="I18" s="311" t="str">
        <f>IFERROR(VLOOKUP(C18,TR!$B$2:$F$612,5,0),"")</f>
        <v/>
      </c>
      <c r="J18" s="321">
        <f t="shared" si="5"/>
        <v>0</v>
      </c>
      <c r="K18" s="322" t="str">
        <f t="shared" si="0"/>
        <v/>
      </c>
      <c r="L18" s="323" t="str">
        <f t="shared" si="6"/>
        <v/>
      </c>
      <c r="M18" s="582" t="str">
        <f t="shared" si="1"/>
        <v/>
      </c>
      <c r="N18" s="37" t="str">
        <f t="shared" si="7"/>
        <v/>
      </c>
      <c r="O18" s="315" t="str">
        <f t="shared" si="8"/>
        <v/>
      </c>
      <c r="P18" s="408" t="str">
        <f>IF(AND(L18="",M18=""),IF(OR(SUMPRODUCT(N(ISNUMBER(FIND({"s";"d";"f"},C18))))&gt;0,G18+J18&lt;0,AND(G18&gt;0,J18&gt;0,I18&gt;"20:30"*1),AND(I18&lt;="20:30"*1,SUM(I18,R18)&gt;="20:31"*1)),1,""),"")</f>
        <v/>
      </c>
      <c r="Q18" s="326" t="str">
        <f t="shared" si="9"/>
        <v/>
      </c>
      <c r="R18" s="31"/>
      <c r="S18" s="327" t="str">
        <f t="shared" si="2"/>
        <v/>
      </c>
      <c r="T18" s="34">
        <f t="shared" si="3"/>
        <v>0</v>
      </c>
      <c r="U18" s="154">
        <f t="shared" si="11"/>
        <v>0</v>
      </c>
      <c r="V18" s="188"/>
      <c r="W18" s="156" t="str">
        <f t="shared" si="10"/>
        <v>0,00</v>
      </c>
    </row>
    <row r="19" spans="1:23" ht="14.4" x14ac:dyDescent="0.3">
      <c r="A19" s="40"/>
      <c r="B19" s="304">
        <v>43389</v>
      </c>
      <c r="C19" s="319"/>
      <c r="D19" s="320"/>
      <c r="E19" s="310" t="str">
        <f>IFERROR(VLOOKUP(C19,TR!$B$2:$F$612,2,0),"")</f>
        <v/>
      </c>
      <c r="F19" s="311" t="str">
        <f>IFERROR(VLOOKUP(C19,TR!$B$2:$F$612,3,0),"")</f>
        <v/>
      </c>
      <c r="G19" s="321">
        <f t="shared" si="4"/>
        <v>0</v>
      </c>
      <c r="H19" s="310" t="str">
        <f>IFERROR(VLOOKUP(C19,TR!$B$2:$F$612,4,0),"")</f>
        <v/>
      </c>
      <c r="I19" s="311" t="str">
        <f>IFERROR(VLOOKUP(C19,TR!$B$2:$F$612,5,0),"")</f>
        <v/>
      </c>
      <c r="J19" s="321">
        <f t="shared" si="5"/>
        <v>0</v>
      </c>
      <c r="K19" s="322" t="str">
        <f t="shared" si="0"/>
        <v/>
      </c>
      <c r="L19" s="323" t="str">
        <f t="shared" si="6"/>
        <v/>
      </c>
      <c r="M19" s="582" t="str">
        <f t="shared" si="1"/>
        <v/>
      </c>
      <c r="N19" s="37" t="str">
        <f t="shared" si="7"/>
        <v/>
      </c>
      <c r="O19" s="315" t="str">
        <f t="shared" si="8"/>
        <v/>
      </c>
      <c r="P19" s="408" t="str">
        <f>IF(AND(L19="",M19=""),IF(OR(SUMPRODUCT(N(ISNUMBER(FIND({"s";"d";"f"},C19))))&gt;0,G19+J19&lt;0,AND(G19&gt;0,J19&gt;0,I19&gt;"20:30"*1),AND(I19&lt;="20:30"*1,SUM(I19,R19)&gt;="20:31"*1)),1,""),"")</f>
        <v/>
      </c>
      <c r="Q19" s="326" t="str">
        <f t="shared" si="9"/>
        <v/>
      </c>
      <c r="R19" s="31"/>
      <c r="S19" s="327" t="str">
        <f t="shared" si="2"/>
        <v/>
      </c>
      <c r="T19" s="34">
        <f t="shared" si="3"/>
        <v>0</v>
      </c>
      <c r="U19" s="154">
        <f t="shared" si="11"/>
        <v>0</v>
      </c>
      <c r="V19" s="188"/>
      <c r="W19" s="156" t="str">
        <f t="shared" si="10"/>
        <v>0,00</v>
      </c>
    </row>
    <row r="20" spans="1:23" ht="14.4" x14ac:dyDescent="0.3">
      <c r="A20" s="40"/>
      <c r="B20" s="304">
        <v>43390</v>
      </c>
      <c r="C20" s="319" t="s">
        <v>46</v>
      </c>
      <c r="D20" s="320"/>
      <c r="E20" s="310">
        <f>IFERROR(VLOOKUP(C20,TR!$B$2:$F$612,2,0),"")</f>
        <v>0</v>
      </c>
      <c r="F20" s="311">
        <f>IFERROR(VLOOKUP(C20,TR!$B$2:$F$612,3,0),"")</f>
        <v>0</v>
      </c>
      <c r="G20" s="321">
        <f t="shared" si="4"/>
        <v>0</v>
      </c>
      <c r="H20" s="310">
        <f>IFERROR(VLOOKUP(C20,TR!$B$2:$F$612,4,0),"")</f>
        <v>0</v>
      </c>
      <c r="I20" s="311">
        <f>IFERROR(VLOOKUP(C20,TR!$B$2:$F$612,5,0),"")</f>
        <v>0</v>
      </c>
      <c r="J20" s="321">
        <f t="shared" si="5"/>
        <v>0</v>
      </c>
      <c r="K20" s="322" t="str">
        <f t="shared" si="0"/>
        <v/>
      </c>
      <c r="L20" s="323" t="str">
        <f t="shared" si="6"/>
        <v/>
      </c>
      <c r="M20" s="582" t="str">
        <f t="shared" si="1"/>
        <v/>
      </c>
      <c r="N20" s="37" t="str">
        <f t="shared" si="7"/>
        <v/>
      </c>
      <c r="O20" s="315" t="str">
        <f t="shared" si="8"/>
        <v/>
      </c>
      <c r="P20" s="408" t="str">
        <f>IF(AND(L20="",M20=""),IF(OR(SUMPRODUCT(N(ISNUMBER(FIND({"s";"d";"f"},C20))))&gt;0,G20+J20&lt;0,AND(G20&gt;0,J20&gt;0,I20&gt;"20:30"*1),AND(I20&lt;="20:30"*1,SUM(I20,R20)&gt;="20:31"*1)),1,""),"")</f>
        <v/>
      </c>
      <c r="Q20" s="326" t="str">
        <f t="shared" si="9"/>
        <v/>
      </c>
      <c r="R20" s="31"/>
      <c r="S20" s="327" t="str">
        <f t="shared" si="2"/>
        <v/>
      </c>
      <c r="T20" s="34">
        <f t="shared" si="3"/>
        <v>0</v>
      </c>
      <c r="U20" s="154">
        <f t="shared" si="11"/>
        <v>0</v>
      </c>
      <c r="V20" s="188"/>
      <c r="W20" s="156" t="str">
        <f t="shared" si="10"/>
        <v>0,00</v>
      </c>
    </row>
    <row r="21" spans="1:23" ht="14.4" x14ac:dyDescent="0.3">
      <c r="A21" s="40"/>
      <c r="B21" s="304">
        <v>43391</v>
      </c>
      <c r="C21" s="331" t="s">
        <v>47</v>
      </c>
      <c r="D21" s="332"/>
      <c r="E21" s="310">
        <f>IFERROR(VLOOKUP(C21,TR!$B$2:$F$612,2,0),"")</f>
        <v>0</v>
      </c>
      <c r="F21" s="311">
        <f>IFERROR(VLOOKUP(C21,TR!$B$2:$F$612,3,0),"")</f>
        <v>0</v>
      </c>
      <c r="G21" s="328">
        <f t="shared" si="4"/>
        <v>0</v>
      </c>
      <c r="H21" s="310">
        <f>IFERROR(VLOOKUP(C21,TR!$B$2:$F$612,4,0),"")</f>
        <v>0</v>
      </c>
      <c r="I21" s="311">
        <f>IFERROR(VLOOKUP(C21,TR!$B$2:$F$612,5,0),"")</f>
        <v>0</v>
      </c>
      <c r="J21" s="328">
        <f t="shared" si="5"/>
        <v>0</v>
      </c>
      <c r="K21" s="322" t="str">
        <f t="shared" si="0"/>
        <v/>
      </c>
      <c r="L21" s="323" t="str">
        <f t="shared" si="6"/>
        <v/>
      </c>
      <c r="M21" s="582" t="str">
        <f t="shared" si="1"/>
        <v/>
      </c>
      <c r="N21" s="37" t="str">
        <f t="shared" si="7"/>
        <v/>
      </c>
      <c r="O21" s="315" t="str">
        <f t="shared" si="8"/>
        <v/>
      </c>
      <c r="P21" s="408" t="str">
        <f>IF(AND(L21="",M21=""),IF(OR(SUMPRODUCT(N(ISNUMBER(FIND({"s";"d";"f"},C21))))&gt;0,G21+J21&lt;0,AND(G21&gt;0,J21&gt;0,I21&gt;"20:30"*1),AND(I21&lt;="20:30"*1,SUM(I21,R21)&gt;="20:31"*1)),1,""),"")</f>
        <v/>
      </c>
      <c r="Q21" s="326" t="str">
        <f t="shared" si="9"/>
        <v/>
      </c>
      <c r="R21" s="31"/>
      <c r="S21" s="327" t="str">
        <f t="shared" si="2"/>
        <v/>
      </c>
      <c r="T21" s="34">
        <f t="shared" si="3"/>
        <v>0</v>
      </c>
      <c r="U21" s="154">
        <f t="shared" si="11"/>
        <v>0</v>
      </c>
      <c r="V21" s="188"/>
      <c r="W21" s="156" t="str">
        <f t="shared" si="10"/>
        <v>0,00</v>
      </c>
    </row>
    <row r="22" spans="1:23" ht="14.4" x14ac:dyDescent="0.3">
      <c r="A22" s="40"/>
      <c r="B22" s="304">
        <v>43392</v>
      </c>
      <c r="C22" s="329" t="s">
        <v>45</v>
      </c>
      <c r="D22" s="330"/>
      <c r="E22" s="310">
        <f>IFERROR(VLOOKUP(C22,TR!$B$2:$F$612,2,0),"")</f>
        <v>0</v>
      </c>
      <c r="F22" s="311">
        <f>IFERROR(VLOOKUP(C22,TR!$B$2:$F$612,3,0),"")</f>
        <v>0</v>
      </c>
      <c r="G22" s="328">
        <f t="shared" si="4"/>
        <v>0</v>
      </c>
      <c r="H22" s="310">
        <f>IFERROR(VLOOKUP(C22,TR!$B$2:$F$612,4,0),"")</f>
        <v>0</v>
      </c>
      <c r="I22" s="311">
        <f>IFERROR(VLOOKUP(C22,TR!$B$2:$F$612,5,0),"")</f>
        <v>0</v>
      </c>
      <c r="J22" s="328">
        <f t="shared" si="5"/>
        <v>0</v>
      </c>
      <c r="K22" s="322" t="str">
        <f t="shared" si="0"/>
        <v/>
      </c>
      <c r="L22" s="323" t="str">
        <f t="shared" si="6"/>
        <v/>
      </c>
      <c r="M22" s="582" t="str">
        <f t="shared" si="1"/>
        <v/>
      </c>
      <c r="N22" s="37" t="str">
        <f t="shared" si="7"/>
        <v/>
      </c>
      <c r="O22" s="315" t="str">
        <f t="shared" si="8"/>
        <v/>
      </c>
      <c r="P22" s="408" t="str">
        <f>IF(AND(L22="",M22=""),IF(OR(SUMPRODUCT(N(ISNUMBER(FIND({"s";"d";"f"},C22))))&gt;0,G22+J22&lt;0,AND(G22&gt;0,J22&gt;0,I22&gt;"20:30"*1),AND(I22&lt;="20:30"*1,SUM(I22,R22)&gt;="20:31"*1)),1,""),"")</f>
        <v/>
      </c>
      <c r="Q22" s="326" t="str">
        <f t="shared" si="9"/>
        <v/>
      </c>
      <c r="R22" s="31"/>
      <c r="S22" s="327" t="str">
        <f t="shared" si="2"/>
        <v/>
      </c>
      <c r="T22" s="34">
        <f t="shared" si="3"/>
        <v>0</v>
      </c>
      <c r="U22" s="154">
        <f t="shared" si="11"/>
        <v>0</v>
      </c>
      <c r="V22" s="188"/>
      <c r="W22" s="156" t="str">
        <f t="shared" si="10"/>
        <v>0,00</v>
      </c>
    </row>
    <row r="23" spans="1:23" ht="15" thickBot="1" x14ac:dyDescent="0.35">
      <c r="A23" s="40"/>
      <c r="B23" s="417">
        <v>43393</v>
      </c>
      <c r="C23" s="455"/>
      <c r="D23" s="456"/>
      <c r="E23" s="420" t="str">
        <f>IFERROR(VLOOKUP(C23,TR!$B$2:$F$612,2,0),"")</f>
        <v/>
      </c>
      <c r="F23" s="421" t="str">
        <f>IFERROR(VLOOKUP(C23,TR!$B$2:$F$612,3,0),"")</f>
        <v/>
      </c>
      <c r="G23" s="422">
        <f t="shared" si="4"/>
        <v>0</v>
      </c>
      <c r="H23" s="420" t="str">
        <f>IFERROR(VLOOKUP(C23,TR!$B$2:$F$612,4,0),"")</f>
        <v/>
      </c>
      <c r="I23" s="421" t="str">
        <f>IFERROR(VLOOKUP(C23,TR!$B$2:$F$612,5,0),"")</f>
        <v/>
      </c>
      <c r="J23" s="422">
        <f t="shared" si="5"/>
        <v>0</v>
      </c>
      <c r="K23" s="536" t="str">
        <f t="shared" si="0"/>
        <v/>
      </c>
      <c r="L23" s="540" t="str">
        <f t="shared" si="6"/>
        <v/>
      </c>
      <c r="M23" s="583" t="str">
        <f t="shared" si="1"/>
        <v/>
      </c>
      <c r="N23" s="245" t="str">
        <f t="shared" si="7"/>
        <v/>
      </c>
      <c r="O23" s="341" t="str">
        <f t="shared" si="8"/>
        <v/>
      </c>
      <c r="P23" s="424" t="str">
        <f>IF(AND(L23="",M23=""),IF(OR(SUMPRODUCT(N(ISNUMBER(FIND({"s";"d";"f"},C23))))&gt;0,G23+J23&lt;0,AND(G23&gt;0,J23&gt;0,I23&gt;"20:30"*1),AND(I23&lt;="20:30"*1,SUM(I23,R23)&gt;="20:31"*1)),1,""),"")</f>
        <v/>
      </c>
      <c r="Q23" s="343" t="str">
        <f t="shared" si="9"/>
        <v/>
      </c>
      <c r="R23" s="233"/>
      <c r="S23" s="425" t="str">
        <f t="shared" si="2"/>
        <v/>
      </c>
      <c r="T23" s="234">
        <f t="shared" si="3"/>
        <v>0</v>
      </c>
      <c r="U23" s="235">
        <f t="shared" si="11"/>
        <v>0</v>
      </c>
      <c r="V23" s="236"/>
      <c r="W23" s="251" t="str">
        <f t="shared" si="10"/>
        <v>0,00</v>
      </c>
    </row>
    <row r="24" spans="1:23" ht="14.4" x14ac:dyDescent="0.3">
      <c r="A24" s="40"/>
      <c r="B24" s="426">
        <v>43394</v>
      </c>
      <c r="C24" s="457"/>
      <c r="D24" s="458"/>
      <c r="E24" s="429" t="str">
        <f>IFERROR(VLOOKUP(C24,TR!$B$2:$F$612,2,0),"")</f>
        <v/>
      </c>
      <c r="F24" s="430" t="str">
        <f>IFERROR(VLOOKUP(C24,TR!$B$2:$F$612,3,0),"")</f>
        <v/>
      </c>
      <c r="G24" s="431">
        <f t="shared" si="4"/>
        <v>0</v>
      </c>
      <c r="H24" s="429" t="str">
        <f>IFERROR(VLOOKUP(C24,TR!$B$2:$F$612,4,0),"")</f>
        <v/>
      </c>
      <c r="I24" s="430" t="str">
        <f>IFERROR(VLOOKUP(C24,TR!$B$2:$F$612,5,0),"")</f>
        <v/>
      </c>
      <c r="J24" s="431">
        <f t="shared" si="5"/>
        <v>0</v>
      </c>
      <c r="K24" s="533" t="str">
        <f t="shared" si="0"/>
        <v/>
      </c>
      <c r="L24" s="539" t="str">
        <f t="shared" si="6"/>
        <v/>
      </c>
      <c r="M24" s="584" t="str">
        <f t="shared" si="1"/>
        <v/>
      </c>
      <c r="N24" s="243" t="str">
        <f t="shared" si="7"/>
        <v/>
      </c>
      <c r="O24" s="350" t="str">
        <f t="shared" si="8"/>
        <v/>
      </c>
      <c r="P24" s="433" t="str">
        <f>IF(AND(L24="",M24=""),IF(OR(SUMPRODUCT(N(ISNUMBER(FIND({"s";"d";"f"},C24))))&gt;0,G24+J24&lt;0,AND(G24&gt;0,J24&gt;0,I24&gt;"20:30"*1),AND(I24&lt;="20:30"*1,SUM(I24,R24)&gt;="20:31"*1)),1,""),"")</f>
        <v/>
      </c>
      <c r="Q24" s="352" t="str">
        <f t="shared" si="9"/>
        <v/>
      </c>
      <c r="R24" s="238"/>
      <c r="S24" s="434" t="str">
        <f t="shared" si="2"/>
        <v/>
      </c>
      <c r="T24" s="239">
        <f t="shared" si="3"/>
        <v>0</v>
      </c>
      <c r="U24" s="240">
        <f t="shared" si="11"/>
        <v>0</v>
      </c>
      <c r="V24" s="241"/>
      <c r="W24" s="242" t="str">
        <f t="shared" si="10"/>
        <v>0,00</v>
      </c>
    </row>
    <row r="25" spans="1:23" ht="14.4" x14ac:dyDescent="0.3">
      <c r="A25" s="40"/>
      <c r="B25" s="304">
        <v>43395</v>
      </c>
      <c r="C25" s="329"/>
      <c r="D25" s="330"/>
      <c r="E25" s="310" t="str">
        <f>IFERROR(VLOOKUP(C25,TR!$B$2:$F$612,2,0),"")</f>
        <v/>
      </c>
      <c r="F25" s="311" t="str">
        <f>IFERROR(VLOOKUP(C25,TR!$B$2:$F$612,3,0),"")</f>
        <v/>
      </c>
      <c r="G25" s="328">
        <f t="shared" si="4"/>
        <v>0</v>
      </c>
      <c r="H25" s="310" t="str">
        <f>IFERROR(VLOOKUP(C25,TR!$B$2:$F$612,4,0),"")</f>
        <v/>
      </c>
      <c r="I25" s="311" t="str">
        <f>IFERROR(VLOOKUP(C25,TR!$B$2:$F$612,5,0),"")</f>
        <v/>
      </c>
      <c r="J25" s="328">
        <f t="shared" si="5"/>
        <v>0</v>
      </c>
      <c r="K25" s="322" t="str">
        <f t="shared" si="0"/>
        <v/>
      </c>
      <c r="L25" s="323" t="str">
        <f t="shared" si="6"/>
        <v/>
      </c>
      <c r="M25" s="582" t="str">
        <f t="shared" si="1"/>
        <v/>
      </c>
      <c r="N25" s="37" t="str">
        <f t="shared" si="7"/>
        <v/>
      </c>
      <c r="O25" s="315" t="str">
        <f t="shared" si="8"/>
        <v/>
      </c>
      <c r="P25" s="408" t="str">
        <f>IF(AND(L25="",M25=""),IF(OR(SUMPRODUCT(N(ISNUMBER(FIND({"s";"d";"f"},C25))))&gt;0,G25+J25&lt;0,AND(G25&gt;0,J25&gt;0,I25&gt;"20:30"*1),AND(I25&lt;="20:30"*1,SUM(I25,R25)&gt;="20:31"*1)),1,""),"")</f>
        <v/>
      </c>
      <c r="Q25" s="326" t="str">
        <f t="shared" si="9"/>
        <v/>
      </c>
      <c r="R25" s="31"/>
      <c r="S25" s="327" t="str">
        <f t="shared" si="2"/>
        <v/>
      </c>
      <c r="T25" s="34">
        <f t="shared" si="3"/>
        <v>0</v>
      </c>
      <c r="U25" s="154">
        <f t="shared" si="11"/>
        <v>0</v>
      </c>
      <c r="V25" s="188"/>
      <c r="W25" s="156" t="str">
        <f t="shared" si="10"/>
        <v>0,00</v>
      </c>
    </row>
    <row r="26" spans="1:23" ht="14.4" x14ac:dyDescent="0.3">
      <c r="A26" s="40"/>
      <c r="B26" s="304">
        <v>43396</v>
      </c>
      <c r="C26" s="319" t="s">
        <v>46</v>
      </c>
      <c r="D26" s="320"/>
      <c r="E26" s="310">
        <f>IFERROR(VLOOKUP(C26,TR!$B$2:$F$612,2,0),"")</f>
        <v>0</v>
      </c>
      <c r="F26" s="311">
        <f>IFERROR(VLOOKUP(C26,TR!$B$2:$F$612,3,0),"")</f>
        <v>0</v>
      </c>
      <c r="G26" s="321">
        <f t="shared" si="4"/>
        <v>0</v>
      </c>
      <c r="H26" s="310">
        <f>IFERROR(VLOOKUP(C26,TR!$B$2:$F$612,4,0),"")</f>
        <v>0</v>
      </c>
      <c r="I26" s="311">
        <f>IFERROR(VLOOKUP(C26,TR!$B$2:$F$612,5,0),"")</f>
        <v>0</v>
      </c>
      <c r="J26" s="321">
        <f t="shared" si="5"/>
        <v>0</v>
      </c>
      <c r="K26" s="322" t="str">
        <f t="shared" si="0"/>
        <v/>
      </c>
      <c r="L26" s="323" t="str">
        <f t="shared" si="6"/>
        <v/>
      </c>
      <c r="M26" s="582" t="str">
        <f t="shared" si="1"/>
        <v/>
      </c>
      <c r="N26" s="37" t="str">
        <f t="shared" si="7"/>
        <v/>
      </c>
      <c r="O26" s="315" t="str">
        <f t="shared" si="8"/>
        <v/>
      </c>
      <c r="P26" s="408" t="str">
        <f>IF(AND(L26="",M26=""),IF(OR(SUMPRODUCT(N(ISNUMBER(FIND({"s";"d";"f"},C26))))&gt;0,G26+J26&lt;0,AND(G26&gt;0,J26&gt;0,I26&gt;"20:30"*1),AND(I26&lt;="20:30"*1,SUM(I26,R26)&gt;="20:31"*1)),1,""),"")</f>
        <v/>
      </c>
      <c r="Q26" s="326" t="str">
        <f t="shared" si="9"/>
        <v/>
      </c>
      <c r="R26" s="31"/>
      <c r="S26" s="327" t="str">
        <f t="shared" si="2"/>
        <v/>
      </c>
      <c r="T26" s="34">
        <f t="shared" si="3"/>
        <v>0</v>
      </c>
      <c r="U26" s="154">
        <f t="shared" si="11"/>
        <v>0</v>
      </c>
      <c r="V26" s="188"/>
      <c r="W26" s="156" t="str">
        <f t="shared" si="10"/>
        <v>0,00</v>
      </c>
    </row>
    <row r="27" spans="1:23" ht="14.4" x14ac:dyDescent="0.3">
      <c r="A27" s="40"/>
      <c r="B27" s="304">
        <v>43397</v>
      </c>
      <c r="C27" s="319"/>
      <c r="D27" s="320"/>
      <c r="E27" s="310" t="str">
        <f>IFERROR(VLOOKUP(C27,TR!$B$2:$F$612,2,0),"")</f>
        <v/>
      </c>
      <c r="F27" s="311" t="str">
        <f>IFERROR(VLOOKUP(C27,TR!$B$2:$F$612,3,0),"")</f>
        <v/>
      </c>
      <c r="G27" s="321">
        <f t="shared" si="4"/>
        <v>0</v>
      </c>
      <c r="H27" s="310" t="str">
        <f>IFERROR(VLOOKUP(C27,TR!$B$2:$F$612,4,0),"")</f>
        <v/>
      </c>
      <c r="I27" s="311" t="str">
        <f>IFERROR(VLOOKUP(C27,TR!$B$2:$F$612,5,0),"")</f>
        <v/>
      </c>
      <c r="J27" s="321">
        <f t="shared" si="5"/>
        <v>0</v>
      </c>
      <c r="K27" s="322" t="str">
        <f t="shared" si="0"/>
        <v/>
      </c>
      <c r="L27" s="323" t="str">
        <f t="shared" si="6"/>
        <v/>
      </c>
      <c r="M27" s="582" t="str">
        <f t="shared" si="1"/>
        <v/>
      </c>
      <c r="N27" s="37" t="str">
        <f t="shared" si="7"/>
        <v/>
      </c>
      <c r="O27" s="315" t="str">
        <f t="shared" si="8"/>
        <v/>
      </c>
      <c r="P27" s="408" t="str">
        <f>IF(AND(L27="",M27=""),IF(OR(SUMPRODUCT(N(ISNUMBER(FIND({"s";"d";"f"},C27))))&gt;0,G27+J27&lt;0,AND(G27&gt;0,J27&gt;0,I27&gt;"20:30"*1),AND(I27&lt;="20:30"*1,SUM(I27,R27)&gt;="20:31"*1)),1,""),"")</f>
        <v/>
      </c>
      <c r="Q27" s="326" t="str">
        <f t="shared" si="9"/>
        <v/>
      </c>
      <c r="R27" s="31"/>
      <c r="S27" s="327" t="str">
        <f t="shared" si="2"/>
        <v/>
      </c>
      <c r="T27" s="34">
        <f t="shared" si="3"/>
        <v>0</v>
      </c>
      <c r="U27" s="154">
        <f t="shared" si="11"/>
        <v>0</v>
      </c>
      <c r="V27" s="188"/>
      <c r="W27" s="156" t="str">
        <f t="shared" si="10"/>
        <v>0,00</v>
      </c>
    </row>
    <row r="28" spans="1:23" ht="14.4" x14ac:dyDescent="0.3">
      <c r="A28" s="40"/>
      <c r="B28" s="304">
        <v>43398</v>
      </c>
      <c r="C28" s="319"/>
      <c r="D28" s="320"/>
      <c r="E28" s="310" t="str">
        <f>IFERROR(VLOOKUP(C28,TR!$B$2:$F$612,2,0),"")</f>
        <v/>
      </c>
      <c r="F28" s="311" t="str">
        <f>IFERROR(VLOOKUP(C28,TR!$B$2:$F$612,3,0),"")</f>
        <v/>
      </c>
      <c r="G28" s="321">
        <f t="shared" si="4"/>
        <v>0</v>
      </c>
      <c r="H28" s="310" t="str">
        <f>IFERROR(VLOOKUP(C28,TR!$B$2:$F$612,4,0),"")</f>
        <v/>
      </c>
      <c r="I28" s="311" t="str">
        <f>IFERROR(VLOOKUP(C28,TR!$B$2:$F$612,5,0),"")</f>
        <v/>
      </c>
      <c r="J28" s="321">
        <f t="shared" si="5"/>
        <v>0</v>
      </c>
      <c r="K28" s="322" t="str">
        <f t="shared" si="0"/>
        <v/>
      </c>
      <c r="L28" s="323" t="str">
        <f t="shared" si="6"/>
        <v/>
      </c>
      <c r="M28" s="582" t="str">
        <f t="shared" si="1"/>
        <v/>
      </c>
      <c r="N28" s="37" t="str">
        <f t="shared" si="7"/>
        <v/>
      </c>
      <c r="O28" s="315" t="str">
        <f t="shared" si="8"/>
        <v/>
      </c>
      <c r="P28" s="408" t="str">
        <f>IF(AND(L28="",M28=""),IF(OR(SUMPRODUCT(N(ISNUMBER(FIND({"s";"d";"f"},C28))))&gt;0,G28+J28&lt;0,AND(G28&gt;0,J28&gt;0,I28&gt;"20:30"*1),AND(I28&lt;="20:30"*1,SUM(I28,R28)&gt;="20:31"*1)),1,""),"")</f>
        <v/>
      </c>
      <c r="Q28" s="326" t="str">
        <f t="shared" si="9"/>
        <v/>
      </c>
      <c r="R28" s="31"/>
      <c r="S28" s="327" t="str">
        <f t="shared" si="2"/>
        <v/>
      </c>
      <c r="T28" s="34">
        <f t="shared" si="3"/>
        <v>0</v>
      </c>
      <c r="U28" s="154">
        <f t="shared" si="11"/>
        <v>0</v>
      </c>
      <c r="V28" s="188"/>
      <c r="W28" s="156" t="str">
        <f t="shared" si="10"/>
        <v>0,00</v>
      </c>
    </row>
    <row r="29" spans="1:23" ht="14.4" x14ac:dyDescent="0.3">
      <c r="A29" s="40"/>
      <c r="B29" s="304">
        <v>43399</v>
      </c>
      <c r="C29" s="319" t="s">
        <v>237</v>
      </c>
      <c r="D29" s="320"/>
      <c r="E29" s="310">
        <f>IFERROR(VLOOKUP(C29,TR!$B$2:$F$612,2,0),"")</f>
        <v>0</v>
      </c>
      <c r="F29" s="311">
        <f>IFERROR(VLOOKUP(C29,TR!$B$2:$F$612,3,0),"")</f>
        <v>0</v>
      </c>
      <c r="G29" s="321">
        <f t="shared" si="4"/>
        <v>0</v>
      </c>
      <c r="H29" s="310">
        <f>IFERROR(VLOOKUP(C29,TR!$B$2:$F$612,4,0),"")</f>
        <v>0</v>
      </c>
      <c r="I29" s="311">
        <f>IFERROR(VLOOKUP(C29,TR!$B$2:$F$612,5,0),"")</f>
        <v>0</v>
      </c>
      <c r="J29" s="321">
        <f t="shared" si="5"/>
        <v>0</v>
      </c>
      <c r="K29" s="322" t="str">
        <f t="shared" si="0"/>
        <v/>
      </c>
      <c r="L29" s="323" t="str">
        <f t="shared" si="6"/>
        <v/>
      </c>
      <c r="M29" s="582" t="str">
        <f t="shared" si="1"/>
        <v/>
      </c>
      <c r="N29" s="37" t="str">
        <f t="shared" si="7"/>
        <v/>
      </c>
      <c r="O29" s="315" t="str">
        <f t="shared" si="8"/>
        <v/>
      </c>
      <c r="P29" s="408" t="str">
        <f>IF(AND(L29="",M29=""),IF(OR(SUMPRODUCT(N(ISNUMBER(FIND({"s";"d";"f"},C29))))&gt;0,G29+J29&lt;0,AND(G29&gt;0,J29&gt;0,I29&gt;"20:30"*1),AND(I29&lt;="20:30"*1,SUM(I29,R29)&gt;="20:31"*1)),1,""),"")</f>
        <v/>
      </c>
      <c r="Q29" s="326" t="str">
        <f t="shared" si="9"/>
        <v/>
      </c>
      <c r="R29" s="31"/>
      <c r="S29" s="327" t="str">
        <f t="shared" si="2"/>
        <v/>
      </c>
      <c r="T29" s="34">
        <f t="shared" si="3"/>
        <v>0</v>
      </c>
      <c r="U29" s="154">
        <f t="shared" si="11"/>
        <v>0</v>
      </c>
      <c r="V29" s="188"/>
      <c r="W29" s="156" t="str">
        <f t="shared" si="10"/>
        <v>0,00</v>
      </c>
    </row>
    <row r="30" spans="1:23" ht="14.4" x14ac:dyDescent="0.3">
      <c r="A30" s="40"/>
      <c r="B30" s="304">
        <v>43400</v>
      </c>
      <c r="C30" s="329" t="s">
        <v>237</v>
      </c>
      <c r="D30" s="330"/>
      <c r="E30" s="310">
        <f>IFERROR(VLOOKUP(C30,TR!$B$2:$F$612,2,0),"")</f>
        <v>0</v>
      </c>
      <c r="F30" s="311">
        <f>IFERROR(VLOOKUP(C30,TR!$B$2:$F$612,3,0),"")</f>
        <v>0</v>
      </c>
      <c r="G30" s="328">
        <f t="shared" si="4"/>
        <v>0</v>
      </c>
      <c r="H30" s="310">
        <f>IFERROR(VLOOKUP(C30,TR!$B$2:$F$612,4,0),"")</f>
        <v>0</v>
      </c>
      <c r="I30" s="311">
        <f>IFERROR(VLOOKUP(C30,TR!$B$2:$F$612,5,0),"")</f>
        <v>0</v>
      </c>
      <c r="J30" s="328">
        <f t="shared" si="5"/>
        <v>0</v>
      </c>
      <c r="K30" s="322" t="str">
        <f t="shared" si="0"/>
        <v/>
      </c>
      <c r="L30" s="323" t="str">
        <f t="shared" si="6"/>
        <v/>
      </c>
      <c r="M30" s="582" t="str">
        <f t="shared" si="1"/>
        <v/>
      </c>
      <c r="N30" s="37" t="str">
        <f t="shared" si="7"/>
        <v/>
      </c>
      <c r="O30" s="315" t="str">
        <f t="shared" si="8"/>
        <v/>
      </c>
      <c r="P30" s="408" t="str">
        <f>IF(AND(L30="",M30=""),IF(OR(SUMPRODUCT(N(ISNUMBER(FIND({"s";"d";"f"},C30))))&gt;0,G30+J30&lt;0,AND(G30&gt;0,J30&gt;0,I30&gt;"20:30"*1),AND(I30&lt;="20:30"*1,SUM(I30,R30)&gt;="20:31"*1)),1,""),"")</f>
        <v/>
      </c>
      <c r="Q30" s="326" t="str">
        <f t="shared" si="9"/>
        <v/>
      </c>
      <c r="R30" s="31"/>
      <c r="S30" s="327" t="str">
        <f t="shared" si="2"/>
        <v/>
      </c>
      <c r="T30" s="34">
        <f t="shared" si="3"/>
        <v>0</v>
      </c>
      <c r="U30" s="154">
        <f t="shared" si="11"/>
        <v>0</v>
      </c>
      <c r="V30" s="188"/>
      <c r="W30" s="156" t="str">
        <f t="shared" si="10"/>
        <v>0,00</v>
      </c>
    </row>
    <row r="31" spans="1:23" ht="14.4" x14ac:dyDescent="0.3">
      <c r="A31" s="40"/>
      <c r="B31" s="304">
        <v>43401</v>
      </c>
      <c r="C31" s="329" t="s">
        <v>47</v>
      </c>
      <c r="D31" s="330"/>
      <c r="E31" s="310">
        <f>IFERROR(VLOOKUP(C31,TR!$B$2:$F$612,2,0),"")</f>
        <v>0</v>
      </c>
      <c r="F31" s="311">
        <f>IFERROR(VLOOKUP(C31,TR!$B$2:$F$612,3,0),"")</f>
        <v>0</v>
      </c>
      <c r="G31" s="328">
        <f t="shared" si="4"/>
        <v>0</v>
      </c>
      <c r="H31" s="310">
        <f>IFERROR(VLOOKUP(C31,TR!$B$2:$F$612,4,0),"")</f>
        <v>0</v>
      </c>
      <c r="I31" s="311">
        <f>IFERROR(VLOOKUP(C31,TR!$B$2:$F$612,5,0),"")</f>
        <v>0</v>
      </c>
      <c r="J31" s="328">
        <f t="shared" si="5"/>
        <v>0</v>
      </c>
      <c r="K31" s="322" t="str">
        <f t="shared" si="0"/>
        <v/>
      </c>
      <c r="L31" s="323" t="str">
        <f t="shared" si="6"/>
        <v/>
      </c>
      <c r="M31" s="582" t="str">
        <f t="shared" si="1"/>
        <v/>
      </c>
      <c r="N31" s="37" t="str">
        <f t="shared" si="7"/>
        <v/>
      </c>
      <c r="O31" s="315" t="str">
        <f t="shared" si="8"/>
        <v/>
      </c>
      <c r="P31" s="408" t="str">
        <f>IF(AND(L31="",M31=""),IF(OR(SUMPRODUCT(N(ISNUMBER(FIND({"s";"d";"f"},C31))))&gt;0,G31+J31&lt;0,AND(G31&gt;0,J31&gt;0,I31&gt;"20:30"*1),AND(I31&lt;="20:30"*1,SUM(I31,R31)&gt;="20:31"*1)),1,""),"")</f>
        <v/>
      </c>
      <c r="Q31" s="326" t="str">
        <f t="shared" si="9"/>
        <v/>
      </c>
      <c r="R31" s="31"/>
      <c r="S31" s="327" t="str">
        <f t="shared" si="2"/>
        <v/>
      </c>
      <c r="T31" s="34">
        <f t="shared" si="3"/>
        <v>0</v>
      </c>
      <c r="U31" s="154">
        <f t="shared" si="11"/>
        <v>0</v>
      </c>
      <c r="V31" s="188"/>
      <c r="W31" s="156" t="str">
        <f t="shared" si="10"/>
        <v>0,00</v>
      </c>
    </row>
    <row r="32" spans="1:23" ht="14.4" x14ac:dyDescent="0.3">
      <c r="A32" s="40"/>
      <c r="B32" s="304">
        <v>43402</v>
      </c>
      <c r="C32" s="329" t="s">
        <v>237</v>
      </c>
      <c r="D32" s="330"/>
      <c r="E32" s="310">
        <f>IFERROR(VLOOKUP(C32,TR!$B$2:$F$612,2,0),"")</f>
        <v>0</v>
      </c>
      <c r="F32" s="311">
        <f>IFERROR(VLOOKUP(C32,TR!$B$2:$F$612,3,0),"")</f>
        <v>0</v>
      </c>
      <c r="G32" s="328">
        <f t="shared" si="4"/>
        <v>0</v>
      </c>
      <c r="H32" s="310">
        <f>IFERROR(VLOOKUP(C32,TR!$B$2:$F$612,4,0),"")</f>
        <v>0</v>
      </c>
      <c r="I32" s="311">
        <f>IFERROR(VLOOKUP(C32,TR!$B$2:$F$612,5,0),"")</f>
        <v>0</v>
      </c>
      <c r="J32" s="328">
        <f t="shared" si="5"/>
        <v>0</v>
      </c>
      <c r="K32" s="322" t="str">
        <f t="shared" si="0"/>
        <v/>
      </c>
      <c r="L32" s="323" t="str">
        <f t="shared" si="6"/>
        <v/>
      </c>
      <c r="M32" s="582" t="str">
        <f t="shared" si="1"/>
        <v/>
      </c>
      <c r="N32" s="37" t="str">
        <f t="shared" si="7"/>
        <v/>
      </c>
      <c r="O32" s="315" t="str">
        <f t="shared" si="8"/>
        <v/>
      </c>
      <c r="P32" s="408" t="str">
        <f>IF(AND(L32="",M32=""),IF(OR(SUMPRODUCT(N(ISNUMBER(FIND({"s";"d";"f"},C32))))&gt;0,G32+J32&lt;0,AND(G32&gt;0,J32&gt;0,I32&gt;"20:30"*1),AND(I32&lt;="20:30"*1,SUM(I32,R32)&gt;="20:31"*1)),1,""),"")</f>
        <v/>
      </c>
      <c r="Q32" s="326" t="str">
        <f t="shared" si="9"/>
        <v/>
      </c>
      <c r="R32" s="31"/>
      <c r="S32" s="327" t="str">
        <f t="shared" si="2"/>
        <v/>
      </c>
      <c r="T32" s="34">
        <f t="shared" si="3"/>
        <v>0</v>
      </c>
      <c r="U32" s="154">
        <f t="shared" si="11"/>
        <v>0</v>
      </c>
      <c r="V32" s="188"/>
      <c r="W32" s="156" t="str">
        <f t="shared" si="10"/>
        <v>0,00</v>
      </c>
    </row>
    <row r="33" spans="1:24" ht="14.4" x14ac:dyDescent="0.3">
      <c r="A33" s="40"/>
      <c r="B33" s="304">
        <v>43403</v>
      </c>
      <c r="C33" s="329" t="s">
        <v>237</v>
      </c>
      <c r="D33" s="330"/>
      <c r="E33" s="310">
        <f>IFERROR(VLOOKUP(C33,TR!$B$2:$F$612,2,0),"")</f>
        <v>0</v>
      </c>
      <c r="F33" s="311">
        <f>IFERROR(VLOOKUP(C33,TR!$B$2:$F$612,3,0),"")</f>
        <v>0</v>
      </c>
      <c r="G33" s="328">
        <f t="shared" si="4"/>
        <v>0</v>
      </c>
      <c r="H33" s="310">
        <f>IFERROR(VLOOKUP(C33,TR!$B$2:$F$612,4,0),"")</f>
        <v>0</v>
      </c>
      <c r="I33" s="311">
        <f>IFERROR(VLOOKUP(C33,TR!$B$2:$F$612,5,0),"")</f>
        <v>0</v>
      </c>
      <c r="J33" s="328">
        <f t="shared" si="5"/>
        <v>0</v>
      </c>
      <c r="K33" s="322" t="str">
        <f t="shared" si="0"/>
        <v/>
      </c>
      <c r="L33" s="323" t="str">
        <f t="shared" si="6"/>
        <v/>
      </c>
      <c r="M33" s="582" t="str">
        <f t="shared" si="1"/>
        <v/>
      </c>
      <c r="N33" s="37" t="str">
        <f t="shared" si="7"/>
        <v/>
      </c>
      <c r="O33" s="315" t="str">
        <f t="shared" si="8"/>
        <v/>
      </c>
      <c r="P33" s="408" t="str">
        <f>IF(AND(L33="",M33=""),IF(OR(SUMPRODUCT(N(ISNUMBER(FIND({"s";"d";"f"},C33))))&gt;0,G33+J33&lt;0,AND(G33&gt;0,J33&gt;0,I33&gt;"20:30"*1),AND(I33&lt;="20:30"*1,SUM(I33,R33)&gt;="20:31"*1)),1,""),"")</f>
        <v/>
      </c>
      <c r="Q33" s="326" t="str">
        <f t="shared" si="9"/>
        <v/>
      </c>
      <c r="R33" s="31"/>
      <c r="S33" s="327" t="str">
        <f t="shared" si="2"/>
        <v/>
      </c>
      <c r="T33" s="34">
        <f t="shared" si="3"/>
        <v>0</v>
      </c>
      <c r="U33" s="154">
        <f t="shared" si="11"/>
        <v>0</v>
      </c>
      <c r="V33" s="188"/>
      <c r="W33" s="156" t="str">
        <f t="shared" si="10"/>
        <v>0,00</v>
      </c>
    </row>
    <row r="34" spans="1:24" ht="15" thickBot="1" x14ac:dyDescent="0.35">
      <c r="A34" s="40"/>
      <c r="B34" s="354">
        <v>43404</v>
      </c>
      <c r="C34" s="355" t="s">
        <v>237</v>
      </c>
      <c r="D34" s="356"/>
      <c r="E34" s="357">
        <f>IFERROR(VLOOKUP(C34,TR!$B$2:$F$612,2,0),"")</f>
        <v>0</v>
      </c>
      <c r="F34" s="358">
        <f>IFERROR(VLOOKUP(C34,TR!$B$2:$F$612,3,0),"")</f>
        <v>0</v>
      </c>
      <c r="G34" s="359">
        <f t="shared" si="4"/>
        <v>0</v>
      </c>
      <c r="H34" s="357">
        <f>IFERROR(VLOOKUP(C34,TR!$B$2:$F$612,4,0),"")</f>
        <v>0</v>
      </c>
      <c r="I34" s="358">
        <f>IFERROR(VLOOKUP(C34,TR!$B$2:$F$612,5,0),"")</f>
        <v>0</v>
      </c>
      <c r="J34" s="359">
        <f t="shared" si="5"/>
        <v>0</v>
      </c>
      <c r="K34" s="360" t="str">
        <f t="shared" si="0"/>
        <v/>
      </c>
      <c r="L34" s="361" t="str">
        <f t="shared" si="6"/>
        <v/>
      </c>
      <c r="M34" s="585" t="str">
        <f t="shared" si="1"/>
        <v/>
      </c>
      <c r="N34" s="38" t="str">
        <f t="shared" si="7"/>
        <v/>
      </c>
      <c r="O34" s="363" t="str">
        <f t="shared" si="8"/>
        <v/>
      </c>
      <c r="P34" s="440" t="str">
        <f>IF(AND(L34="",M34=""),IF(OR(SUMPRODUCT(N(ISNUMBER(FIND({"s";"d";"f"},C34))))&gt;0,G34+J34&lt;0,AND(G34&gt;0,J34&gt;0,I34&gt;"20:30"*1),AND(I34&lt;="20:30"*1,SUM(I34,R34)&gt;="20:31"*1)),1,""),"")</f>
        <v/>
      </c>
      <c r="Q34" s="365" t="str">
        <f t="shared" si="9"/>
        <v/>
      </c>
      <c r="R34" s="32"/>
      <c r="S34" s="366" t="str">
        <f t="shared" si="2"/>
        <v/>
      </c>
      <c r="T34" s="39">
        <f t="shared" si="3"/>
        <v>0</v>
      </c>
      <c r="U34" s="155">
        <f t="shared" si="11"/>
        <v>0</v>
      </c>
      <c r="V34" s="189"/>
      <c r="W34" s="157" t="str">
        <f t="shared" si="10"/>
        <v>0,00</v>
      </c>
    </row>
    <row r="35" spans="1:24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Q35" s="372"/>
      <c r="S35" s="54"/>
      <c r="T35" s="55"/>
      <c r="U35" s="56"/>
      <c r="V35" s="57"/>
    </row>
    <row r="36" spans="1:24" ht="14.4" x14ac:dyDescent="0.3">
      <c r="A36" s="40"/>
      <c r="B36" s="373" t="s">
        <v>17</v>
      </c>
      <c r="C36" s="142">
        <f>(COUNTIF(Septembre!C24:C34,"&lt;&gt;")+COUNTIF(Octobre!C4:C23,"&lt;&gt;"))-(COUNTIF(Septembre!C24:C34,"CC*")+COUNTIF(Octobre!C4:C23,"CC*"))-(COUNTIF(Septembre!C24:C34,"CH*")+COUNTIF(Octobre!C4:C23,"CH*"))-(COUNTIF(Septembre!C24:C34,"RT*")+COUNTIF(Octobre!C4:C23,"RT*"))-(COUNTIF(Septembre!C24:C34,"Férié*")+COUNTIF(Octobre!C4:C23,"Férié*"))-(COUNTIF(Septembre!C24:C34,"Mal*")+COUNTIF(Octobre!C4:C23,"Mal*"))-(COUNTIF(Septembre!C24:C34,"CP*")+COUNTIF(Octobre!C4:C23,"CP*"))</f>
        <v>0</v>
      </c>
      <c r="E36" s="370"/>
      <c r="F36" s="40"/>
      <c r="G36" s="40"/>
      <c r="I36" s="613" t="s">
        <v>55</v>
      </c>
      <c r="J36" s="613"/>
      <c r="K36" s="72">
        <f>SUM(Septembre!$K$24:$K$34,K4:K23)</f>
        <v>0</v>
      </c>
      <c r="L36" s="73">
        <f>SUM(Septembre!$L$24:$L$34,L4:L23)</f>
        <v>0</v>
      </c>
      <c r="M36" s="214">
        <f>SUM(Septembre!$M$24:$M$34,M4:M23)</f>
        <v>0</v>
      </c>
      <c r="N36" s="75">
        <f>SUM(Septembre!$N$24:$N$34,N4:N23)</f>
        <v>0</v>
      </c>
      <c r="O36" s="76">
        <f>SUM(Septembre!$O$24:$O$34,O4:O23)</f>
        <v>0</v>
      </c>
      <c r="P36" s="213">
        <f>SUM(Septembre!$P$24:$P$34,P4:P23)</f>
        <v>0</v>
      </c>
      <c r="Q36" s="77">
        <f>SUM(Septembre!$Q$24:$Q$34,Q4:Q23)</f>
        <v>0</v>
      </c>
      <c r="R36" s="232">
        <f>SUM(Septembre!$R$24:$R$34,R4:R23)</f>
        <v>0</v>
      </c>
      <c r="S36" s="78"/>
      <c r="T36" s="79">
        <f>SUM(Septembre!T24:T34)+SUM(Octobre!T4:T23)</f>
        <v>0</v>
      </c>
      <c r="U36" s="80">
        <f>SUM(U4:U34)</f>
        <v>0</v>
      </c>
      <c r="V36" s="186">
        <f>SUM(V4:V34)</f>
        <v>0</v>
      </c>
      <c r="W36" s="59"/>
    </row>
    <row r="37" spans="1:24" ht="14.4" thickBot="1" x14ac:dyDescent="0.3">
      <c r="A37" s="40"/>
      <c r="B37" s="374" t="s">
        <v>51</v>
      </c>
      <c r="C37" s="143">
        <f>(COUNTIF(Septembre!C24:C34,"CP")+COUNTIF(Octobre!C4:C23,"CP"))</f>
        <v>0</v>
      </c>
      <c r="F37" s="40"/>
      <c r="G37" s="40"/>
      <c r="H37" s="40"/>
      <c r="I37" s="40"/>
      <c r="J37" s="40"/>
      <c r="K37" s="375">
        <f>(I39*2)*K36</f>
        <v>0</v>
      </c>
      <c r="L37" s="376">
        <f>Recap!H35*L36</f>
        <v>0</v>
      </c>
      <c r="M37" s="377">
        <f>Recap!H35*M36</f>
        <v>0</v>
      </c>
      <c r="N37" s="378">
        <f>(L39*5)*N36</f>
        <v>0</v>
      </c>
      <c r="O37" s="379">
        <f>(Recap!H33)*O36</f>
        <v>0</v>
      </c>
      <c r="P37" s="380">
        <f>7.5*P36</f>
        <v>0</v>
      </c>
      <c r="Q37" s="381">
        <f>(I39*1.5)*Q36</f>
        <v>0</v>
      </c>
      <c r="R37" s="382">
        <f>R36*24</f>
        <v>0</v>
      </c>
      <c r="S37" s="61"/>
      <c r="T37" s="62"/>
      <c r="U37" s="63"/>
      <c r="V37" s="57"/>
      <c r="W37" s="59"/>
    </row>
    <row r="38" spans="1:24" x14ac:dyDescent="0.25">
      <c r="B38" s="383" t="s">
        <v>47</v>
      </c>
      <c r="C38" s="144">
        <f>(COUNTIF(Septembre!C24:C34,"CH")+COUNTIF(Octobre!C4:C23,"CH"))</f>
        <v>5</v>
      </c>
      <c r="F38" s="40"/>
      <c r="G38" s="40"/>
      <c r="H38" s="40"/>
      <c r="I38" s="384" t="s">
        <v>54</v>
      </c>
      <c r="J38" s="40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04"/>
      <c r="V38" s="104">
        <v>6.1749999999999998</v>
      </c>
      <c r="W38" s="81">
        <f>V38*24</f>
        <v>148.19999999999999</v>
      </c>
      <c r="X38" s="69"/>
    </row>
    <row r="39" spans="1:24" ht="14.4" thickBot="1" x14ac:dyDescent="0.3">
      <c r="B39" s="385" t="s">
        <v>45</v>
      </c>
      <c r="C39" s="145">
        <f>(COUNTIF(Septembre!C24:C34,"RT")+COUNTIF(Octobre!C4:C23,"RT"))</f>
        <v>2</v>
      </c>
      <c r="F39" s="40"/>
      <c r="G39" s="40"/>
      <c r="H39" s="40"/>
      <c r="I39" s="386">
        <v>8.8528000000000002</v>
      </c>
      <c r="J39" s="40"/>
      <c r="K39" s="40"/>
      <c r="L39" s="40"/>
      <c r="M39" s="40"/>
      <c r="N39" s="387"/>
      <c r="O39" s="387"/>
      <c r="V39" s="388"/>
      <c r="W39" s="388"/>
      <c r="X39" s="389"/>
    </row>
    <row r="40" spans="1:24" x14ac:dyDescent="0.25">
      <c r="B40" s="390" t="s">
        <v>46</v>
      </c>
      <c r="C40" s="146">
        <f>(COUNTIF(Septembre!C24:C34,"CC")+COUNTIF(Octobre!C4:C23,"CC"))</f>
        <v>5</v>
      </c>
      <c r="T40" s="615" t="s">
        <v>16</v>
      </c>
      <c r="U40" s="604"/>
      <c r="V40" s="391" t="str">
        <f>IF(V38&gt;T36,"-","")&amp;TEXT(ABS(T36-V38),"[h]:mm")</f>
        <v>-148:12</v>
      </c>
      <c r="W40" s="471">
        <f>(T36-V38)*24</f>
        <v>-148.19999999999999</v>
      </c>
      <c r="X40" s="69"/>
    </row>
    <row r="41" spans="1:24" ht="14.4" thickBot="1" x14ac:dyDescent="0.3">
      <c r="B41" s="393" t="s">
        <v>11</v>
      </c>
      <c r="C41" s="147">
        <f>(COUNTIF(Septembre!C24:C34,"Férié")+COUNTIF(Octobre!C4:C23,"Férié"))</f>
        <v>0</v>
      </c>
      <c r="W41" s="389"/>
    </row>
    <row r="42" spans="1:24" ht="15" thickTop="1" thickBot="1" x14ac:dyDescent="0.3">
      <c r="B42" s="394" t="s">
        <v>153</v>
      </c>
      <c r="C42" s="230">
        <f>(COUNTIF(Septembre!C24:C34,"FériéCC")+COUNTIF(Octobre!C4:C23,"FériéCH"))</f>
        <v>0</v>
      </c>
      <c r="R42" s="616" t="s">
        <v>201</v>
      </c>
      <c r="S42" s="642"/>
      <c r="T42" s="395">
        <f>SUM(T4:T34)</f>
        <v>0</v>
      </c>
      <c r="W42" s="70"/>
    </row>
    <row r="43" spans="1:24" ht="15.6" thickTop="1" thickBot="1" x14ac:dyDescent="0.35">
      <c r="B43" s="596" t="s">
        <v>241</v>
      </c>
      <c r="C43" s="597">
        <f>(COUNTIF(Septembre!C24:C34,"CET")+COUNTIF(Octobre!C4:C23,"CET"))</f>
        <v>0</v>
      </c>
      <c r="S43" s="71"/>
      <c r="T43" s="257">
        <f>T42*24</f>
        <v>0</v>
      </c>
      <c r="W43" s="397">
        <f>(T42-V38)*24</f>
        <v>-148.19999999999999</v>
      </c>
    </row>
    <row r="44" spans="1:24" ht="15.6" thickTop="1" thickBot="1" x14ac:dyDescent="0.35">
      <c r="B44" s="387"/>
      <c r="P44" s="71"/>
      <c r="Q44" s="71"/>
    </row>
    <row r="45" spans="1:24" ht="14.4" thickBot="1" x14ac:dyDescent="0.3">
      <c r="F45" s="605" t="s">
        <v>57</v>
      </c>
      <c r="G45" s="606"/>
      <c r="H45" s="606"/>
      <c r="I45" s="606"/>
      <c r="J45" s="606"/>
      <c r="K45" s="606"/>
      <c r="L45" s="606"/>
      <c r="M45" s="606"/>
      <c r="N45" s="606"/>
      <c r="O45" s="606"/>
      <c r="P45" s="606"/>
      <c r="Q45" s="607"/>
    </row>
    <row r="46" spans="1:24" ht="14.4" thickTop="1" x14ac:dyDescent="0.25">
      <c r="F46" s="444"/>
      <c r="G46" s="445"/>
      <c r="H46" s="445"/>
      <c r="I46" s="445"/>
      <c r="J46" s="445"/>
      <c r="K46" s="445"/>
      <c r="L46" s="445"/>
      <c r="M46" s="445"/>
      <c r="N46" s="445"/>
      <c r="O46" s="445"/>
      <c r="P46" s="445"/>
      <c r="Q46" s="446"/>
    </row>
    <row r="47" spans="1:24" x14ac:dyDescent="0.25">
      <c r="F47" s="398"/>
      <c r="G47" s="399"/>
      <c r="H47" s="399"/>
      <c r="I47" s="399"/>
      <c r="J47" s="399"/>
      <c r="K47" s="399"/>
      <c r="L47" s="399"/>
      <c r="M47" s="399"/>
      <c r="N47" s="399"/>
      <c r="O47" s="399"/>
      <c r="P47" s="399"/>
      <c r="Q47" s="400"/>
    </row>
    <row r="48" spans="1:24" x14ac:dyDescent="0.25">
      <c r="F48" s="398"/>
      <c r="G48" s="399"/>
      <c r="H48" s="399"/>
      <c r="I48" s="399"/>
      <c r="J48" s="399"/>
      <c r="K48" s="399"/>
      <c r="L48" s="399"/>
      <c r="M48" s="399"/>
      <c r="N48" s="399"/>
      <c r="O48" s="399"/>
      <c r="P48" s="399"/>
      <c r="Q48" s="400"/>
    </row>
    <row r="49" spans="6:17" x14ac:dyDescent="0.25">
      <c r="F49" s="398"/>
      <c r="G49" s="399"/>
      <c r="H49" s="399"/>
      <c r="I49" s="399"/>
      <c r="J49" s="399"/>
      <c r="K49" s="399"/>
      <c r="L49" s="399"/>
      <c r="M49" s="399"/>
      <c r="N49" s="399"/>
      <c r="O49" s="399"/>
      <c r="P49" s="399"/>
      <c r="Q49" s="400"/>
    </row>
    <row r="50" spans="6:17" x14ac:dyDescent="0.25">
      <c r="F50" s="398"/>
      <c r="G50" s="399"/>
      <c r="H50" s="399"/>
      <c r="I50" s="399"/>
      <c r="J50" s="399"/>
      <c r="K50" s="399"/>
      <c r="L50" s="399"/>
      <c r="M50" s="399"/>
      <c r="N50" s="399"/>
      <c r="O50" s="399"/>
      <c r="P50" s="399"/>
      <c r="Q50" s="400"/>
    </row>
    <row r="51" spans="6:17" x14ac:dyDescent="0.25">
      <c r="F51" s="398"/>
      <c r="G51" s="399"/>
      <c r="H51" s="399"/>
      <c r="I51" s="399"/>
      <c r="J51" s="399"/>
      <c r="K51" s="399"/>
      <c r="L51" s="399"/>
      <c r="M51" s="399"/>
      <c r="N51" s="399"/>
      <c r="O51" s="399"/>
      <c r="P51" s="399"/>
      <c r="Q51" s="400"/>
    </row>
    <row r="52" spans="6:17" x14ac:dyDescent="0.25">
      <c r="F52" s="398"/>
      <c r="G52" s="399"/>
      <c r="H52" s="399"/>
      <c r="I52" s="399"/>
      <c r="J52" s="399"/>
      <c r="K52" s="399"/>
      <c r="L52" s="399"/>
      <c r="M52" s="399"/>
      <c r="N52" s="399"/>
      <c r="O52" s="399"/>
      <c r="P52" s="399"/>
      <c r="Q52" s="400"/>
    </row>
    <row r="53" spans="6:17" x14ac:dyDescent="0.25">
      <c r="F53" s="398"/>
      <c r="G53" s="399"/>
      <c r="H53" s="399"/>
      <c r="I53" s="399"/>
      <c r="J53" s="399"/>
      <c r="K53" s="399"/>
      <c r="L53" s="399"/>
      <c r="M53" s="399"/>
      <c r="N53" s="399"/>
      <c r="O53" s="399"/>
      <c r="P53" s="399"/>
      <c r="Q53" s="400"/>
    </row>
    <row r="54" spans="6:17" x14ac:dyDescent="0.25">
      <c r="F54" s="398"/>
      <c r="G54" s="399"/>
      <c r="H54" s="399"/>
      <c r="I54" s="399"/>
      <c r="J54" s="399"/>
      <c r="K54" s="399"/>
      <c r="L54" s="399"/>
      <c r="M54" s="399"/>
      <c r="N54" s="399"/>
      <c r="O54" s="399"/>
      <c r="P54" s="399"/>
      <c r="Q54" s="400"/>
    </row>
    <row r="55" spans="6:17" x14ac:dyDescent="0.25">
      <c r="F55" s="398"/>
      <c r="G55" s="399"/>
      <c r="H55" s="399"/>
      <c r="I55" s="399"/>
      <c r="J55" s="399"/>
      <c r="K55" s="399"/>
      <c r="L55" s="399"/>
      <c r="M55" s="399"/>
      <c r="N55" s="399"/>
      <c r="O55" s="399"/>
      <c r="P55" s="399"/>
      <c r="Q55" s="400"/>
    </row>
    <row r="56" spans="6:17" x14ac:dyDescent="0.25">
      <c r="F56" s="398"/>
      <c r="G56" s="399"/>
      <c r="H56" s="399"/>
      <c r="I56" s="399"/>
      <c r="J56" s="399"/>
      <c r="K56" s="399"/>
      <c r="L56" s="399"/>
      <c r="M56" s="399"/>
      <c r="N56" s="399"/>
      <c r="O56" s="399"/>
      <c r="P56" s="399"/>
      <c r="Q56" s="400"/>
    </row>
    <row r="57" spans="6:17" x14ac:dyDescent="0.25">
      <c r="F57" s="398"/>
      <c r="G57" s="399"/>
      <c r="H57" s="399"/>
      <c r="I57" s="399"/>
      <c r="J57" s="399"/>
      <c r="K57" s="399"/>
      <c r="L57" s="399"/>
      <c r="M57" s="399"/>
      <c r="N57" s="399"/>
      <c r="O57" s="399"/>
      <c r="P57" s="399"/>
      <c r="Q57" s="400"/>
    </row>
    <row r="58" spans="6:17" x14ac:dyDescent="0.25">
      <c r="F58" s="398"/>
      <c r="G58" s="399"/>
      <c r="H58" s="399"/>
      <c r="I58" s="399"/>
      <c r="J58" s="399"/>
      <c r="K58" s="399"/>
      <c r="L58" s="399"/>
      <c r="M58" s="399"/>
      <c r="N58" s="399"/>
      <c r="O58" s="399"/>
      <c r="P58" s="399"/>
      <c r="Q58" s="400"/>
    </row>
    <row r="59" spans="6:17" ht="14.4" thickBot="1" x14ac:dyDescent="0.3">
      <c r="F59" s="401"/>
      <c r="G59" s="402"/>
      <c r="H59" s="402"/>
      <c r="I59" s="402"/>
      <c r="J59" s="402"/>
      <c r="K59" s="402"/>
      <c r="L59" s="402"/>
      <c r="M59" s="402"/>
      <c r="N59" s="402"/>
      <c r="O59" s="402"/>
      <c r="P59" s="402"/>
      <c r="Q59" s="403"/>
    </row>
    <row r="60" spans="6:17" ht="14.4" thickTop="1" x14ac:dyDescent="0.25"/>
  </sheetData>
  <mergeCells count="9">
    <mergeCell ref="B1:W1"/>
    <mergeCell ref="T2:W2"/>
    <mergeCell ref="F45:Q45"/>
    <mergeCell ref="E3:F3"/>
    <mergeCell ref="H3:I3"/>
    <mergeCell ref="I36:J36"/>
    <mergeCell ref="T38:U38"/>
    <mergeCell ref="T40:U40"/>
    <mergeCell ref="R42:S42"/>
  </mergeCells>
  <conditionalFormatting sqref="C4:C34">
    <cfRule type="expression" dxfId="18" priority="22" stopIfTrue="1">
      <formula>ISNUMBER(FIND("d",$C4))</formula>
    </cfRule>
  </conditionalFormatting>
  <conditionalFormatting sqref="V40:W40">
    <cfRule type="expression" dxfId="17" priority="14" stopIfTrue="1">
      <formula>$T$36&lt;$V$38</formula>
    </cfRule>
    <cfRule type="expression" dxfId="16" priority="15" stopIfTrue="1">
      <formula>$T$36&gt;$V$38</formula>
    </cfRule>
  </conditionalFormatting>
  <conditionalFormatting sqref="C4:Q34">
    <cfRule type="expression" dxfId="15" priority="1">
      <formula>ISNUMBER(FIND("CET",$C4))</formula>
    </cfRule>
    <cfRule type="expression" dxfId="14" priority="31" stopIfTrue="1">
      <formula>ISNUMBER(FIND("CP",$C4))</formula>
    </cfRule>
    <cfRule type="expression" dxfId="13" priority="42" stopIfTrue="1">
      <formula>ISNUMBER(FIND("t",$C4))</formula>
    </cfRule>
    <cfRule type="expression" dxfId="12" priority="43" stopIfTrue="1">
      <formula>OR(ISNUMBER(FIND("Férié",$C4)),ISNUMBER(FIND("f",$C4)))</formula>
    </cfRule>
  </conditionalFormatting>
  <pageMargins left="0.7" right="0.7" top="0.75" bottom="0.75" header="0.3" footer="0.3"/>
  <pageSetup paperSize="9" orientation="portrait" r:id="rId1"/>
  <ignoredErrors>
    <ignoredError sqref="T42:T43" unlockedFormula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0"/>
  <sheetViews>
    <sheetView topLeftCell="A10" workbookViewId="0">
      <selection activeCell="C41" sqref="C41"/>
    </sheetView>
  </sheetViews>
  <sheetFormatPr baseColWidth="10" defaultColWidth="11" defaultRowHeight="13.8" x14ac:dyDescent="0.25"/>
  <cols>
    <col min="1" max="1" width="3.59765625" style="369" customWidth="1"/>
    <col min="2" max="2" width="14.59765625" style="369" customWidth="1"/>
    <col min="3" max="3" width="8.59765625" style="369" customWidth="1"/>
    <col min="4" max="4" width="7.59765625" style="369" customWidth="1"/>
    <col min="5" max="23" width="8.59765625" style="369" customWidth="1"/>
    <col min="24" max="16384" width="11" style="369"/>
  </cols>
  <sheetData>
    <row r="1" spans="1:23" ht="14.4" thickBot="1" x14ac:dyDescent="0.3">
      <c r="A1" s="40"/>
      <c r="B1" s="602" t="s">
        <v>0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 s="603"/>
      <c r="P1" s="603"/>
      <c r="Q1" s="603"/>
      <c r="R1" s="603"/>
      <c r="S1" s="604"/>
      <c r="T1" s="604"/>
      <c r="U1" s="604"/>
      <c r="V1" s="604"/>
      <c r="W1" s="604"/>
    </row>
    <row r="2" spans="1:23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</row>
    <row r="3" spans="1:23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303" t="s">
        <v>5</v>
      </c>
      <c r="H3" s="611" t="s">
        <v>6</v>
      </c>
      <c r="I3" s="612"/>
      <c r="J3" s="303" t="s">
        <v>5</v>
      </c>
      <c r="K3" s="41" t="s">
        <v>7</v>
      </c>
      <c r="L3" s="42" t="s">
        <v>8</v>
      </c>
      <c r="M3" s="220" t="s">
        <v>9</v>
      </c>
      <c r="N3" s="43" t="s">
        <v>10</v>
      </c>
      <c r="O3" s="44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</row>
    <row r="4" spans="1:23" ht="14.4" x14ac:dyDescent="0.3">
      <c r="A4" s="40"/>
      <c r="B4" s="304">
        <v>43405</v>
      </c>
      <c r="C4" s="305" t="s">
        <v>11</v>
      </c>
      <c r="D4" s="306"/>
      <c r="E4" s="307">
        <f>IFERROR(VLOOKUP(C4,TR!$B$2:$F$612,2,0),"")</f>
        <v>0</v>
      </c>
      <c r="F4" s="308">
        <f>IFERROR(VLOOKUP(C4,TR!$B$2:$F$612,3,0),"")</f>
        <v>0</v>
      </c>
      <c r="G4" s="309">
        <f>IF(ISERROR(F4-E4),0,F4-E4)</f>
        <v>0</v>
      </c>
      <c r="H4" s="307">
        <f>IFERROR(VLOOKUP(C4,TR!$B$2:$F$612,4,0),"")</f>
        <v>0</v>
      </c>
      <c r="I4" s="308">
        <f>IFERROR(VLOOKUP(C4,TR!$B$2:$F$612,5,0),"")</f>
        <v>0</v>
      </c>
      <c r="J4" s="309">
        <f>IF(ISERROR(I4-H4),0,(I4-H4))</f>
        <v>0</v>
      </c>
      <c r="K4" s="516" t="str">
        <f t="shared" ref="K4:K34" si="0">IF(COUNTA(E4:F4,H4:I4)=5,1,IF(AND(E4&lt;"5:00"*1,E4&gt;"2:00"*1),1,IF(AND(I4&gt;="22:01"*1,I4&lt;="26:01"*1),1,IF(AND(I4&lt;="22:00"*1,SUM(I4,R4)&gt;="22:01"*1),1,""))))</f>
        <v/>
      </c>
      <c r="L4" s="517" t="str">
        <f t="shared" ref="L4:L34" si="1">IF(AND(F4&gt;="13:15"*1,H4&lt;""),1,IF(AND(H4&gt;="11:00"*1,H4&lt;="12:15"*1),1,IF(AND(F4&lt;="13:15"*1,SUM(F4,R4)&gt;="13:15"*1),1,"")))</f>
        <v/>
      </c>
      <c r="M4" s="314" t="str">
        <f t="shared" ref="M4:M34" si="2">IF(AND(I4&gt;="19:30"*1,1,I4&gt;"21:30"*1,C4&lt;&gt;""),1,IF(AND(I4&lt;="21:30"*1,SUM(I4,R4)&gt;="21:30"*1),1,""))</f>
        <v/>
      </c>
      <c r="N4" s="291" t="str">
        <f>IF(AND(LEFT(C4,1)="d",AND(Octobre!N34&lt;&gt;1)),1,IF(AND(LEFT(C4,1)="s",I4&gt;="24:01"*1),1,IF(AND(I4&lt;&gt;"",I4&lt;="23:59"*1,SUM(I4,R4)&gt;="24:01"*1),1,"")))</f>
        <v/>
      </c>
      <c r="O4" s="450" t="str">
        <f>IF(AND(I4&gt;"24:00"*1,ISNUMBER(FIND("f",C5))),1,IF(AND(OR(ISNUMBER(FIND("FériéCC",C4)),ISNUMBER(FIND("FériéCH",C4)),ISNUMBER(FIND("f",C4)))),1,""))</f>
        <v/>
      </c>
      <c r="P4" s="518" t="str">
        <f>IF(AND(L4="",M4=""),IF(OR(SUMPRODUCT(N(ISNUMBER(FIND({"s";"d";"f"},C4))))&gt;0,G4+J4&lt;0,AND(G4&gt;0,J4&gt;0,I4&gt;"20:30"*1),AND(I4&lt;="20:30"*1,SUM(I4,R4)&gt;="20:31"*1)),1,""),"")</f>
        <v/>
      </c>
      <c r="Q4" s="317" t="str">
        <f>IF(OR(AND(G4&gt;0,AND(J4=0)),OR(G4=0,AND(J4&gt;0)),OR(G4+J4&gt;0)),IF(R4="","",IF(#REF!+R4&gt;="13:01"*1,1,"")))</f>
        <v/>
      </c>
      <c r="R4" s="292"/>
      <c r="S4" s="519" t="str">
        <f t="shared" ref="S4:S34" si="3">IF(G4=0,IF(J4=0,"",I4-H4),IF(J4=0,F4-E4,I4-E4))</f>
        <v/>
      </c>
      <c r="T4" s="34">
        <f t="shared" ref="T4:T34" si="4">IF(ISERROR((F4-E4)+(I4-H4)),0,(F4-E4)+(I4-H4))</f>
        <v>0</v>
      </c>
      <c r="U4" s="153">
        <f>T4*24</f>
        <v>0</v>
      </c>
      <c r="V4" s="187"/>
      <c r="W4" s="149" t="str">
        <f>IF(U4-V4=0,"0,00",U4-V4)</f>
        <v>0,00</v>
      </c>
    </row>
    <row r="5" spans="1:23" ht="14.4" x14ac:dyDescent="0.3">
      <c r="A5" s="40"/>
      <c r="B5" s="304">
        <v>43406</v>
      </c>
      <c r="C5" s="319" t="s">
        <v>238</v>
      </c>
      <c r="D5" s="320"/>
      <c r="E5" s="310">
        <f>IFERROR(VLOOKUP(C5,TR!$B$2:$F$612,2,0),"")</f>
        <v>0</v>
      </c>
      <c r="F5" s="311">
        <f>IFERROR(VLOOKUP(C5,TR!$B$2:$F$612,3,0),"")</f>
        <v>0</v>
      </c>
      <c r="G5" s="321">
        <f t="shared" ref="G5:G33" si="5">IF(ISERROR(F5-E5),0,F5-E5)</f>
        <v>0</v>
      </c>
      <c r="H5" s="310">
        <f>IFERROR(VLOOKUP(C5,TR!$B$2:$F$612,4,0),"")</f>
        <v>0</v>
      </c>
      <c r="I5" s="311">
        <f>IFERROR(VLOOKUP(C5,TR!$B$2:$F$612,5,0),"")</f>
        <v>0</v>
      </c>
      <c r="J5" s="321">
        <f t="shared" ref="J5:J33" si="6">IF(ISERROR(I5-H5),0,(I5-H5))</f>
        <v>0</v>
      </c>
      <c r="K5" s="520" t="str">
        <f t="shared" si="0"/>
        <v/>
      </c>
      <c r="L5" s="521" t="str">
        <f t="shared" si="1"/>
        <v/>
      </c>
      <c r="M5" s="324" t="str">
        <f t="shared" si="2"/>
        <v/>
      </c>
      <c r="N5" s="293" t="str">
        <f t="shared" ref="N5:N34" si="7">IF(AND(LEFT(C5,1)="d",AND(N4&lt;&gt;1)),1,IF(AND(LEFT(C5,1)="s",I5&gt;="24:01"*1),1,IF(AND(I5&lt;&gt;"",I5&lt;="23:59"*1,SUM(I5,R5)&gt;="24:01"*1),1,"")))</f>
        <v/>
      </c>
      <c r="O5" s="315" t="str">
        <f t="shared" ref="O5:O33" si="8">IF(AND(I5&gt;"24:00"*1,ISNUMBER(FIND("f",C6))),1,IF(AND(OR(ISNUMBER(FIND("FériéCC",C5)),ISNUMBER(FIND("FériéCH",C5)),ISNUMBER(FIND("f",C5)))),1,""))</f>
        <v/>
      </c>
      <c r="P5" s="522" t="str">
        <f>IF(AND(L5="",M5=""),IF(OR(SUMPRODUCT(N(ISNUMBER(FIND({"s";"d";"f"},C5))))&gt;0,G5+J5&lt;0,AND(G5&gt;0,J5&gt;0,I5&gt;"20:30"*1),AND(I5&lt;="20:30"*1,SUM(I5,R5)&gt;="20:31"*1)),1,""),"")</f>
        <v/>
      </c>
      <c r="Q5" s="326" t="str">
        <f>IF(OR(AND(G5&gt;0,AND(J5=0)),OR(G5=0,AND(J5&gt;0)),OR(G5+J5&gt;0)),IF(R5="","",IF(#REF!+R5&gt;="13:01"*1,1,"")))</f>
        <v/>
      </c>
      <c r="R5" s="294"/>
      <c r="S5" s="523" t="str">
        <f t="shared" si="3"/>
        <v/>
      </c>
      <c r="T5" s="34">
        <f t="shared" si="4"/>
        <v>0</v>
      </c>
      <c r="U5" s="154">
        <f>T5*24</f>
        <v>0</v>
      </c>
      <c r="V5" s="188"/>
      <c r="W5" s="156" t="str">
        <f t="shared" ref="W5:W34" si="9">IF(U5-V5=0,"0,00",U5-V5)</f>
        <v>0,00</v>
      </c>
    </row>
    <row r="6" spans="1:23" ht="14.4" x14ac:dyDescent="0.3">
      <c r="A6" s="40"/>
      <c r="B6" s="304">
        <v>43407</v>
      </c>
      <c r="C6" s="319" t="s">
        <v>46</v>
      </c>
      <c r="D6" s="320"/>
      <c r="E6" s="310">
        <f>IFERROR(VLOOKUP(C6,TR!$B$2:$F$612,2,0),"")</f>
        <v>0</v>
      </c>
      <c r="F6" s="311">
        <f>IFERROR(VLOOKUP(C6,TR!$B$2:$F$612,3,0),"")</f>
        <v>0</v>
      </c>
      <c r="G6" s="321">
        <f t="shared" si="5"/>
        <v>0</v>
      </c>
      <c r="H6" s="310">
        <f>IFERROR(VLOOKUP(C6,TR!$B$2:$F$612,4,0),"")</f>
        <v>0</v>
      </c>
      <c r="I6" s="311">
        <f>IFERROR(VLOOKUP(C6,TR!$B$2:$F$612,5,0),"")</f>
        <v>0</v>
      </c>
      <c r="J6" s="321">
        <f t="shared" si="6"/>
        <v>0</v>
      </c>
      <c r="K6" s="520" t="str">
        <f t="shared" si="0"/>
        <v/>
      </c>
      <c r="L6" s="521" t="str">
        <f t="shared" si="1"/>
        <v/>
      </c>
      <c r="M6" s="324" t="str">
        <f t="shared" si="2"/>
        <v/>
      </c>
      <c r="N6" s="293" t="str">
        <f t="shared" si="7"/>
        <v/>
      </c>
      <c r="O6" s="315" t="str">
        <f t="shared" si="8"/>
        <v/>
      </c>
      <c r="P6" s="522" t="str">
        <f>IF(AND(L6="",M6=""),IF(OR(SUMPRODUCT(N(ISNUMBER(FIND({"s";"d";"f"},C6))))&gt;0,G6+J6&lt;0,AND(G6&gt;0,J6&gt;0,I6&gt;"20:30"*1),AND(I6&lt;="20:30"*1,SUM(I6,R6)&gt;="20:31"*1)),1,""),"")</f>
        <v/>
      </c>
      <c r="Q6" s="326" t="str">
        <f>IF(OR(AND(G6&gt;0,AND(J6=0)),OR(G6=0,AND(J6&gt;0)),OR(G6+J6&gt;0)),IF(R6="","",IF(#REF!+R6&gt;="13:01"*1,1,"")))</f>
        <v/>
      </c>
      <c r="R6" s="294"/>
      <c r="S6" s="523" t="str">
        <f t="shared" si="3"/>
        <v/>
      </c>
      <c r="T6" s="34">
        <f t="shared" si="4"/>
        <v>0</v>
      </c>
      <c r="U6" s="154">
        <f>T6*24</f>
        <v>0</v>
      </c>
      <c r="V6" s="188"/>
      <c r="W6" s="156" t="str">
        <f t="shared" si="9"/>
        <v>0,00</v>
      </c>
    </row>
    <row r="7" spans="1:23" ht="14.4" x14ac:dyDescent="0.3">
      <c r="A7" s="40"/>
      <c r="B7" s="304">
        <v>43408</v>
      </c>
      <c r="C7" s="319" t="s">
        <v>47</v>
      </c>
      <c r="D7" s="320"/>
      <c r="E7" s="310">
        <f>IFERROR(VLOOKUP(C7,TR!$B$2:$F$612,2,0),"")</f>
        <v>0</v>
      </c>
      <c r="F7" s="311">
        <f>IFERROR(VLOOKUP(C7,TR!$B$2:$F$612,3,0),"")</f>
        <v>0</v>
      </c>
      <c r="G7" s="321">
        <f t="shared" si="5"/>
        <v>0</v>
      </c>
      <c r="H7" s="310">
        <f>IFERROR(VLOOKUP(C7,TR!$B$2:$F$612,4,0),"")</f>
        <v>0</v>
      </c>
      <c r="I7" s="311">
        <f>IFERROR(VLOOKUP(C7,TR!$B$2:$F$612,5,0),"")</f>
        <v>0</v>
      </c>
      <c r="J7" s="321">
        <f t="shared" si="6"/>
        <v>0</v>
      </c>
      <c r="K7" s="520" t="str">
        <f t="shared" si="0"/>
        <v/>
      </c>
      <c r="L7" s="521" t="str">
        <f t="shared" si="1"/>
        <v/>
      </c>
      <c r="M7" s="324" t="str">
        <f t="shared" si="2"/>
        <v/>
      </c>
      <c r="N7" s="293" t="str">
        <f t="shared" si="7"/>
        <v/>
      </c>
      <c r="O7" s="315" t="str">
        <f t="shared" si="8"/>
        <v/>
      </c>
      <c r="P7" s="522" t="str">
        <f>IF(AND(L7="",M7=""),IF(OR(SUMPRODUCT(N(ISNUMBER(FIND({"s";"d";"f"},C7))))&gt;0,G7+J7&lt;0,AND(G7&gt;0,J7&gt;0,I7&gt;"20:30"*1),AND(I7&lt;="20:30"*1,SUM(I7,R7)&gt;="20:31"*1)),1,""),"")</f>
        <v/>
      </c>
      <c r="Q7" s="326" t="str">
        <f>IF(OR(AND(G7&gt;0,AND(J7=0)),OR(G7=0,AND(J7&gt;0)),OR(G7+J7&gt;0)),IF(R7="","",IF(#REF!+R7&gt;="13:01"*1,1,"")))</f>
        <v/>
      </c>
      <c r="R7" s="294"/>
      <c r="S7" s="523" t="str">
        <f t="shared" si="3"/>
        <v/>
      </c>
      <c r="T7" s="34">
        <f t="shared" si="4"/>
        <v>0</v>
      </c>
      <c r="U7" s="154">
        <f t="shared" ref="U7:U34" si="10">T7*24</f>
        <v>0</v>
      </c>
      <c r="V7" s="188"/>
      <c r="W7" s="156" t="str">
        <f t="shared" si="9"/>
        <v>0,00</v>
      </c>
    </row>
    <row r="8" spans="1:23" ht="14.4" x14ac:dyDescent="0.3">
      <c r="A8" s="40"/>
      <c r="B8" s="304">
        <v>43409</v>
      </c>
      <c r="C8" s="319" t="s">
        <v>46</v>
      </c>
      <c r="D8" s="320"/>
      <c r="E8" s="310">
        <f>IFERROR(VLOOKUP(C8,TR!$B$2:$F$612,2,0),"")</f>
        <v>0</v>
      </c>
      <c r="F8" s="311">
        <f>IFERROR(VLOOKUP(C8,TR!$B$2:$F$612,3,0),"")</f>
        <v>0</v>
      </c>
      <c r="G8" s="321">
        <f t="shared" si="5"/>
        <v>0</v>
      </c>
      <c r="H8" s="310">
        <f>IFERROR(VLOOKUP(C8,TR!$B$2:$F$612,4,0),"")</f>
        <v>0</v>
      </c>
      <c r="I8" s="311">
        <f>IFERROR(VLOOKUP(C8,TR!$B$2:$F$612,5,0),"")</f>
        <v>0</v>
      </c>
      <c r="J8" s="321">
        <f t="shared" si="6"/>
        <v>0</v>
      </c>
      <c r="K8" s="520" t="str">
        <f t="shared" si="0"/>
        <v/>
      </c>
      <c r="L8" s="521" t="str">
        <f t="shared" si="1"/>
        <v/>
      </c>
      <c r="M8" s="324" t="str">
        <f t="shared" si="2"/>
        <v/>
      </c>
      <c r="N8" s="293" t="str">
        <f t="shared" si="7"/>
        <v/>
      </c>
      <c r="O8" s="315" t="str">
        <f t="shared" si="8"/>
        <v/>
      </c>
      <c r="P8" s="522" t="str">
        <f>IF(AND(L8="",M8=""),IF(OR(SUMPRODUCT(N(ISNUMBER(FIND({"s";"d";"f"},C8))))&gt;0,G8+J8&lt;0,AND(G8&gt;0,J8&gt;0,I8&gt;"20:30"*1),AND(I8&lt;="20:30"*1,SUM(I8,R8)&gt;="20:31"*1)),1,""),"")</f>
        <v/>
      </c>
      <c r="Q8" s="326" t="str">
        <f>IF(OR(AND(G8&gt;0,AND(J8=0)),OR(G8=0,AND(J8&gt;0)),OR(G8+J8&gt;0)),IF(R8="","",IF(#REF!+R8&gt;="13:01"*1,1,"")))</f>
        <v/>
      </c>
      <c r="R8" s="294"/>
      <c r="S8" s="523" t="str">
        <f t="shared" si="3"/>
        <v/>
      </c>
      <c r="T8" s="34">
        <f t="shared" si="4"/>
        <v>0</v>
      </c>
      <c r="U8" s="154">
        <f t="shared" si="10"/>
        <v>0</v>
      </c>
      <c r="V8" s="188"/>
      <c r="W8" s="156" t="str">
        <f t="shared" si="9"/>
        <v>0,00</v>
      </c>
    </row>
    <row r="9" spans="1:23" ht="14.4" x14ac:dyDescent="0.3">
      <c r="A9" s="40"/>
      <c r="B9" s="304">
        <v>43410</v>
      </c>
      <c r="C9" s="319" t="s">
        <v>238</v>
      </c>
      <c r="D9" s="320"/>
      <c r="E9" s="310">
        <f>IFERROR(VLOOKUP(C9,TR!$B$2:$F$612,2,0),"")</f>
        <v>0</v>
      </c>
      <c r="F9" s="311">
        <f>IFERROR(VLOOKUP(C9,TR!$B$2:$F$612,3,0),"")</f>
        <v>0</v>
      </c>
      <c r="G9" s="321">
        <f t="shared" si="5"/>
        <v>0</v>
      </c>
      <c r="H9" s="310">
        <f>IFERROR(VLOOKUP(C9,TR!$B$2:$F$612,4,0),"")</f>
        <v>0</v>
      </c>
      <c r="I9" s="311">
        <f>IFERROR(VLOOKUP(C9,TR!$B$2:$F$612,5,0),"")</f>
        <v>0</v>
      </c>
      <c r="J9" s="321">
        <f t="shared" si="6"/>
        <v>0</v>
      </c>
      <c r="K9" s="520" t="str">
        <f t="shared" si="0"/>
        <v/>
      </c>
      <c r="L9" s="521" t="str">
        <f t="shared" si="1"/>
        <v/>
      </c>
      <c r="M9" s="324" t="str">
        <f t="shared" si="2"/>
        <v/>
      </c>
      <c r="N9" s="293" t="str">
        <f t="shared" si="7"/>
        <v/>
      </c>
      <c r="O9" s="315" t="str">
        <f t="shared" si="8"/>
        <v/>
      </c>
      <c r="P9" s="522" t="str">
        <f>IF(AND(L9="",M9=""),IF(OR(SUMPRODUCT(N(ISNUMBER(FIND({"s";"d";"f"},C9))))&gt;0,G9+J9&lt;0,AND(G9&gt;0,J9&gt;0,I9&gt;"20:30"*1),AND(I9&lt;="20:30"*1,SUM(I9,R9)&gt;="20:31"*1)),1,""),"")</f>
        <v/>
      </c>
      <c r="Q9" s="326" t="str">
        <f>IF(OR(AND(G9&gt;0,AND(J9=0)),OR(G9=0,AND(J9&gt;0)),OR(G9+J9&gt;0)),IF(R9="","",IF(#REF!+R9&gt;="13:01"*1,1,"")))</f>
        <v/>
      </c>
      <c r="R9" s="294"/>
      <c r="S9" s="523" t="str">
        <f t="shared" si="3"/>
        <v/>
      </c>
      <c r="T9" s="34">
        <f t="shared" si="4"/>
        <v>0</v>
      </c>
      <c r="U9" s="154">
        <f t="shared" si="10"/>
        <v>0</v>
      </c>
      <c r="V9" s="188"/>
      <c r="W9" s="156" t="str">
        <f t="shared" si="9"/>
        <v>0,00</v>
      </c>
    </row>
    <row r="10" spans="1:23" ht="14.4" x14ac:dyDescent="0.3">
      <c r="A10" s="40"/>
      <c r="B10" s="304">
        <v>43411</v>
      </c>
      <c r="C10" s="319" t="s">
        <v>238</v>
      </c>
      <c r="D10" s="320"/>
      <c r="E10" s="310">
        <f>IFERROR(VLOOKUP(C10,TR!$B$2:$F$612,2,0),"")</f>
        <v>0</v>
      </c>
      <c r="F10" s="311">
        <f>IFERROR(VLOOKUP(C10,TR!$B$2:$F$612,3,0),"")</f>
        <v>0</v>
      </c>
      <c r="G10" s="321">
        <f t="shared" si="5"/>
        <v>0</v>
      </c>
      <c r="H10" s="310">
        <f>IFERROR(VLOOKUP(C10,TR!$B$2:$F$612,4,0),"")</f>
        <v>0</v>
      </c>
      <c r="I10" s="311">
        <f>IFERROR(VLOOKUP(C10,TR!$B$2:$F$612,5,0),"")</f>
        <v>0</v>
      </c>
      <c r="J10" s="321">
        <f t="shared" si="6"/>
        <v>0</v>
      </c>
      <c r="K10" s="520" t="str">
        <f t="shared" si="0"/>
        <v/>
      </c>
      <c r="L10" s="521" t="str">
        <f t="shared" si="1"/>
        <v/>
      </c>
      <c r="M10" s="324" t="str">
        <f t="shared" si="2"/>
        <v/>
      </c>
      <c r="N10" s="293" t="str">
        <f t="shared" si="7"/>
        <v/>
      </c>
      <c r="O10" s="315" t="str">
        <f t="shared" si="8"/>
        <v/>
      </c>
      <c r="P10" s="522" t="str">
        <f>IF(AND(L10="",M10=""),IF(OR(SUMPRODUCT(N(ISNUMBER(FIND({"s";"d";"f"},C10))))&gt;0,G10+J10&lt;0,AND(G10&gt;0,J10&gt;0,I10&gt;"20:30"*1),AND(I10&lt;="20:30"*1,SUM(I10,R10)&gt;="20:31"*1)),1,""),"")</f>
        <v/>
      </c>
      <c r="Q10" s="326" t="str">
        <f>IF(OR(AND(G10&gt;0,AND(J10=0)),OR(G10=0,AND(J10&gt;0)),OR(G10+J10&gt;0)),IF(R10="","",IF(#REF!+R10&gt;="13:01"*1,1,"")))</f>
        <v/>
      </c>
      <c r="R10" s="294"/>
      <c r="S10" s="523" t="str">
        <f t="shared" si="3"/>
        <v/>
      </c>
      <c r="T10" s="34">
        <f t="shared" si="4"/>
        <v>0</v>
      </c>
      <c r="U10" s="154">
        <f t="shared" si="10"/>
        <v>0</v>
      </c>
      <c r="V10" s="188"/>
      <c r="W10" s="156" t="str">
        <f t="shared" si="9"/>
        <v>0,00</v>
      </c>
    </row>
    <row r="11" spans="1:23" ht="14.4" x14ac:dyDescent="0.3">
      <c r="A11" s="40"/>
      <c r="B11" s="304">
        <v>43412</v>
      </c>
      <c r="C11" s="319" t="s">
        <v>238</v>
      </c>
      <c r="D11" s="320"/>
      <c r="E11" s="310">
        <f>IFERROR(VLOOKUP(C11,TR!$B$2:$F$612,2,0),"")</f>
        <v>0</v>
      </c>
      <c r="F11" s="311">
        <f>IFERROR(VLOOKUP(C11,TR!$B$2:$F$612,3,0),"")</f>
        <v>0</v>
      </c>
      <c r="G11" s="328">
        <f t="shared" si="5"/>
        <v>0</v>
      </c>
      <c r="H11" s="310">
        <f>IFERROR(VLOOKUP(C11,TR!$B$2:$F$612,4,0),"")</f>
        <v>0</v>
      </c>
      <c r="I11" s="311">
        <f>IFERROR(VLOOKUP(C11,TR!$B$2:$F$612,5,0),"")</f>
        <v>0</v>
      </c>
      <c r="J11" s="328">
        <f t="shared" si="6"/>
        <v>0</v>
      </c>
      <c r="K11" s="520" t="str">
        <f t="shared" si="0"/>
        <v/>
      </c>
      <c r="L11" s="521" t="str">
        <f t="shared" si="1"/>
        <v/>
      </c>
      <c r="M11" s="324" t="str">
        <f t="shared" si="2"/>
        <v/>
      </c>
      <c r="N11" s="293" t="str">
        <f t="shared" si="7"/>
        <v/>
      </c>
      <c r="O11" s="315" t="str">
        <f t="shared" si="8"/>
        <v/>
      </c>
      <c r="P11" s="522" t="str">
        <f>IF(AND(L11="",M11=""),IF(OR(SUMPRODUCT(N(ISNUMBER(FIND({"s";"d";"f"},C11))))&gt;0,G11+J11&lt;0,AND(G11&gt;0,J11&gt;0,I11&gt;"20:30"*1),AND(I11&lt;="20:30"*1,SUM(I11,R11)&gt;="20:31"*1)),1,""),"")</f>
        <v/>
      </c>
      <c r="Q11" s="326" t="str">
        <f>IF(OR(AND(G11&gt;0,AND(J11=0)),OR(G11=0,AND(J11&gt;0)),OR(G11+J11&gt;0)),IF(R11="","",IF(#REF!+R11&gt;="13:01"*1,1,"")))</f>
        <v/>
      </c>
      <c r="R11" s="294"/>
      <c r="S11" s="523" t="str">
        <f t="shared" si="3"/>
        <v/>
      </c>
      <c r="T11" s="34">
        <f t="shared" si="4"/>
        <v>0</v>
      </c>
      <c r="U11" s="154">
        <f t="shared" si="10"/>
        <v>0</v>
      </c>
      <c r="V11" s="188"/>
      <c r="W11" s="156" t="str">
        <f t="shared" si="9"/>
        <v>0,00</v>
      </c>
    </row>
    <row r="12" spans="1:23" ht="14.4" x14ac:dyDescent="0.3">
      <c r="A12" s="40"/>
      <c r="B12" s="304">
        <v>43413</v>
      </c>
      <c r="C12" s="319" t="s">
        <v>238</v>
      </c>
      <c r="D12" s="320"/>
      <c r="E12" s="310">
        <f>IFERROR(VLOOKUP(C12,TR!$B$2:$F$612,2,0),"")</f>
        <v>0</v>
      </c>
      <c r="F12" s="311">
        <f>IFERROR(VLOOKUP(C12,TR!$B$2:$F$612,3,0),"")</f>
        <v>0</v>
      </c>
      <c r="G12" s="328">
        <f t="shared" si="5"/>
        <v>0</v>
      </c>
      <c r="H12" s="310">
        <f>IFERROR(VLOOKUP(C12,TR!$B$2:$F$612,4,0),"")</f>
        <v>0</v>
      </c>
      <c r="I12" s="311">
        <f>IFERROR(VLOOKUP(C12,TR!$B$2:$F$612,5,0),"")</f>
        <v>0</v>
      </c>
      <c r="J12" s="328">
        <f t="shared" si="6"/>
        <v>0</v>
      </c>
      <c r="K12" s="520" t="str">
        <f t="shared" si="0"/>
        <v/>
      </c>
      <c r="L12" s="521" t="str">
        <f t="shared" si="1"/>
        <v/>
      </c>
      <c r="M12" s="324" t="str">
        <f t="shared" si="2"/>
        <v/>
      </c>
      <c r="N12" s="293" t="str">
        <f t="shared" si="7"/>
        <v/>
      </c>
      <c r="O12" s="315" t="str">
        <f t="shared" si="8"/>
        <v/>
      </c>
      <c r="P12" s="522" t="str">
        <f>IF(AND(L12="",M12=""),IF(OR(SUMPRODUCT(N(ISNUMBER(FIND({"s";"d";"f"},C12))))&gt;0,G12+J12&lt;0,AND(G12&gt;0,J12&gt;0,I12&gt;"20:30"*1),AND(I12&lt;="20:30"*1,SUM(I12,R12)&gt;="20:31"*1)),1,""),"")</f>
        <v/>
      </c>
      <c r="Q12" s="326" t="str">
        <f>IF(OR(AND(G12&gt;0,AND(J12=0)),OR(G12=0,AND(J12&gt;0)),OR(G12+J12&gt;0)),IF(R12="","",IF(#REF!+R12&gt;="13:01"*1,1,"")))</f>
        <v/>
      </c>
      <c r="R12" s="294"/>
      <c r="S12" s="523" t="str">
        <f t="shared" si="3"/>
        <v/>
      </c>
      <c r="T12" s="34">
        <f t="shared" si="4"/>
        <v>0</v>
      </c>
      <c r="U12" s="154">
        <f t="shared" si="10"/>
        <v>0</v>
      </c>
      <c r="V12" s="188"/>
      <c r="W12" s="156" t="str">
        <f t="shared" si="9"/>
        <v>0,00</v>
      </c>
    </row>
    <row r="13" spans="1:23" ht="14.4" x14ac:dyDescent="0.3">
      <c r="A13" s="40"/>
      <c r="B13" s="304">
        <v>43414</v>
      </c>
      <c r="C13" s="329" t="s">
        <v>239</v>
      </c>
      <c r="D13" s="330"/>
      <c r="E13" s="310">
        <f>IFERROR(VLOOKUP(C13,TR!$B$2:$F$612,2,0),"")</f>
        <v>0</v>
      </c>
      <c r="F13" s="311">
        <f>IFERROR(VLOOKUP(C13,TR!$B$2:$F$612,3,0),"")</f>
        <v>0</v>
      </c>
      <c r="G13" s="328">
        <f t="shared" si="5"/>
        <v>0</v>
      </c>
      <c r="H13" s="310">
        <f>IFERROR(VLOOKUP(C13,TR!$B$2:$F$612,4,0),"")</f>
        <v>0</v>
      </c>
      <c r="I13" s="311">
        <f>IFERROR(VLOOKUP(C13,TR!$B$2:$F$612,5,0),"")</f>
        <v>0</v>
      </c>
      <c r="J13" s="328">
        <f t="shared" si="6"/>
        <v>0</v>
      </c>
      <c r="K13" s="520" t="str">
        <f t="shared" si="0"/>
        <v/>
      </c>
      <c r="L13" s="521" t="str">
        <f t="shared" si="1"/>
        <v/>
      </c>
      <c r="M13" s="324" t="str">
        <f t="shared" si="2"/>
        <v/>
      </c>
      <c r="N13" s="293" t="str">
        <f t="shared" si="7"/>
        <v/>
      </c>
      <c r="O13" s="315" t="str">
        <f t="shared" si="8"/>
        <v/>
      </c>
      <c r="P13" s="522" t="str">
        <f>IF(AND(L13="",M13=""),IF(OR(SUMPRODUCT(N(ISNUMBER(FIND({"s";"d";"f"},C13))))&gt;0,G13+J13&lt;0,AND(G13&gt;0,J13&gt;0,I13&gt;"20:30"*1),AND(I13&lt;="20:30"*1,SUM(I13,R13)&gt;="20:31"*1)),1,""),"")</f>
        <v/>
      </c>
      <c r="Q13" s="326" t="str">
        <f>IF(OR(AND(G13&gt;0,AND(J13=0)),OR(G13=0,AND(J13&gt;0)),OR(G13+J13&gt;0)),IF(R13="","",IF(#REF!+R13&gt;="13:01"*1,1,"")))</f>
        <v/>
      </c>
      <c r="R13" s="295"/>
      <c r="S13" s="523" t="str">
        <f t="shared" si="3"/>
        <v/>
      </c>
      <c r="T13" s="34">
        <f t="shared" si="4"/>
        <v>0</v>
      </c>
      <c r="U13" s="154">
        <f t="shared" si="10"/>
        <v>0</v>
      </c>
      <c r="V13" s="188"/>
      <c r="W13" s="156" t="str">
        <f t="shared" si="9"/>
        <v>0,00</v>
      </c>
    </row>
    <row r="14" spans="1:23" ht="14.4" x14ac:dyDescent="0.3">
      <c r="A14" s="40"/>
      <c r="B14" s="304">
        <v>43415</v>
      </c>
      <c r="C14" s="331" t="s">
        <v>47</v>
      </c>
      <c r="D14" s="332"/>
      <c r="E14" s="310">
        <f>IFERROR(VLOOKUP(C14,TR!$B$2:$F$612,2,0),"")</f>
        <v>0</v>
      </c>
      <c r="F14" s="311">
        <f>IFERROR(VLOOKUP(C14,TR!$B$2:$F$612,3,0),"")</f>
        <v>0</v>
      </c>
      <c r="G14" s="328">
        <f t="shared" si="5"/>
        <v>0</v>
      </c>
      <c r="H14" s="310">
        <f>IFERROR(VLOOKUP(C14,TR!$B$2:$F$612,4,0),"")</f>
        <v>0</v>
      </c>
      <c r="I14" s="311">
        <f>IFERROR(VLOOKUP(C14,TR!$B$2:$F$612,5,0),"")</f>
        <v>0</v>
      </c>
      <c r="J14" s="328">
        <f t="shared" si="6"/>
        <v>0</v>
      </c>
      <c r="K14" s="520" t="str">
        <f t="shared" si="0"/>
        <v/>
      </c>
      <c r="L14" s="521" t="str">
        <f t="shared" si="1"/>
        <v/>
      </c>
      <c r="M14" s="324" t="str">
        <f t="shared" si="2"/>
        <v/>
      </c>
      <c r="N14" s="293" t="str">
        <f t="shared" si="7"/>
        <v/>
      </c>
      <c r="O14" s="315" t="str">
        <f t="shared" si="8"/>
        <v/>
      </c>
      <c r="P14" s="522" t="str">
        <f>IF(AND(L14="",M14=""),IF(OR(SUMPRODUCT(N(ISNUMBER(FIND({"s";"d";"f"},C14))))&gt;0,G14+J14&lt;0,AND(G14&gt;0,J14&gt;0,I14&gt;"20:30"*1),AND(I14&lt;="20:30"*1,SUM(I14,R14)&gt;="20:31"*1)),1,""),"")</f>
        <v/>
      </c>
      <c r="Q14" s="326" t="str">
        <f>IF(OR(AND(G14&gt;0,AND(J14=0)),OR(G14=0,AND(J14&gt;0)),OR(G14+J14&gt;0)),IF(R14="","",IF(#REF!+R14&gt;="13:01"*1,1,"")))</f>
        <v/>
      </c>
      <c r="R14" s="295"/>
      <c r="S14" s="523" t="str">
        <f t="shared" si="3"/>
        <v/>
      </c>
      <c r="T14" s="34">
        <f t="shared" si="4"/>
        <v>0</v>
      </c>
      <c r="U14" s="154">
        <f t="shared" si="10"/>
        <v>0</v>
      </c>
      <c r="V14" s="188"/>
      <c r="W14" s="156" t="str">
        <f t="shared" si="9"/>
        <v>0,00</v>
      </c>
    </row>
    <row r="15" spans="1:23" ht="14.4" x14ac:dyDescent="0.3">
      <c r="A15" s="40"/>
      <c r="B15" s="304">
        <v>43416</v>
      </c>
      <c r="C15" s="331" t="s">
        <v>239</v>
      </c>
      <c r="D15" s="332"/>
      <c r="E15" s="310">
        <f>IFERROR(VLOOKUP(C15,TR!$B$2:$F$612,2,0),"")</f>
        <v>0</v>
      </c>
      <c r="F15" s="311">
        <f>IFERROR(VLOOKUP(C15,TR!$B$2:$F$612,3,0),"")</f>
        <v>0</v>
      </c>
      <c r="G15" s="328">
        <f t="shared" si="5"/>
        <v>0</v>
      </c>
      <c r="H15" s="310">
        <f>IFERROR(VLOOKUP(C15,TR!$B$2:$F$612,4,0),"")</f>
        <v>0</v>
      </c>
      <c r="I15" s="311">
        <f>IFERROR(VLOOKUP(C15,TR!$B$2:$F$612,5,0),"")</f>
        <v>0</v>
      </c>
      <c r="J15" s="328">
        <f t="shared" si="6"/>
        <v>0</v>
      </c>
      <c r="K15" s="520" t="str">
        <f t="shared" si="0"/>
        <v/>
      </c>
      <c r="L15" s="521" t="str">
        <f t="shared" si="1"/>
        <v/>
      </c>
      <c r="M15" s="324" t="str">
        <f t="shared" si="2"/>
        <v/>
      </c>
      <c r="N15" s="293" t="str">
        <f t="shared" si="7"/>
        <v/>
      </c>
      <c r="O15" s="315" t="str">
        <f t="shared" si="8"/>
        <v/>
      </c>
      <c r="P15" s="522" t="str">
        <f>IF(AND(L15="",M15=""),IF(OR(SUMPRODUCT(N(ISNUMBER(FIND({"s";"d";"f"},C15))))&gt;0,G15+J15&lt;0,AND(G15&gt;0,J15&gt;0,I15&gt;"20:30"*1),AND(I15&lt;="20:30"*1,SUM(I15,R15)&gt;="20:31"*1)),1,""),"")</f>
        <v/>
      </c>
      <c r="Q15" s="326" t="str">
        <f>IF(OR(AND(G15&gt;0,AND(J15=0)),OR(G15=0,AND(J15&gt;0)),OR(G15+J15&gt;0)),IF(R15="","",IF(#REF!+R15&gt;="13:01"*1,1,"")))</f>
        <v/>
      </c>
      <c r="R15" s="294"/>
      <c r="S15" s="523" t="str">
        <f t="shared" si="3"/>
        <v/>
      </c>
      <c r="T15" s="34">
        <f t="shared" si="4"/>
        <v>0</v>
      </c>
      <c r="U15" s="154">
        <f t="shared" si="10"/>
        <v>0</v>
      </c>
      <c r="V15" s="188"/>
      <c r="W15" s="156" t="str">
        <f t="shared" si="9"/>
        <v>0,00</v>
      </c>
    </row>
    <row r="16" spans="1:23" ht="14.4" x14ac:dyDescent="0.3">
      <c r="A16" s="40"/>
      <c r="B16" s="304">
        <v>43417</v>
      </c>
      <c r="C16" s="329" t="s">
        <v>239</v>
      </c>
      <c r="D16" s="330"/>
      <c r="E16" s="310">
        <f>IFERROR(VLOOKUP(C16,TR!$B$2:$F$612,2,0),"")</f>
        <v>0</v>
      </c>
      <c r="F16" s="311">
        <f>IFERROR(VLOOKUP(C16,TR!$B$2:$F$612,3,0),"")</f>
        <v>0</v>
      </c>
      <c r="G16" s="328">
        <f t="shared" si="5"/>
        <v>0</v>
      </c>
      <c r="H16" s="310">
        <f>IFERROR(VLOOKUP(C16,TR!$B$2:$F$612,4,0),"")</f>
        <v>0</v>
      </c>
      <c r="I16" s="311">
        <f>IFERROR(VLOOKUP(C16,TR!$B$2:$F$612,5,0),"")</f>
        <v>0</v>
      </c>
      <c r="J16" s="328">
        <f t="shared" si="6"/>
        <v>0</v>
      </c>
      <c r="K16" s="520" t="str">
        <f t="shared" si="0"/>
        <v/>
      </c>
      <c r="L16" s="521" t="str">
        <f t="shared" si="1"/>
        <v/>
      </c>
      <c r="M16" s="324" t="str">
        <f t="shared" si="2"/>
        <v/>
      </c>
      <c r="N16" s="293" t="str">
        <f t="shared" si="7"/>
        <v/>
      </c>
      <c r="O16" s="315" t="str">
        <f t="shared" si="8"/>
        <v/>
      </c>
      <c r="P16" s="522" t="str">
        <f>IF(AND(L16="",M16=""),IF(OR(SUMPRODUCT(N(ISNUMBER(FIND({"s";"d";"f"},C16))))&gt;0,G16+J16&lt;0,AND(G16&gt;0,J16&gt;0,I16&gt;"20:30"*1),AND(I16&lt;="20:30"*1,SUM(I16,R16)&gt;="20:31"*1)),1,""),"")</f>
        <v/>
      </c>
      <c r="Q16" s="326" t="str">
        <f>IF(OR(AND(G16&gt;0,AND(J16=0)),OR(G16=0,AND(J16&gt;0)),OR(G16+J16&gt;0)),IF(R16="","",IF(#REF!+R16&gt;="13:01"*1,1,"")))</f>
        <v/>
      </c>
      <c r="R16" s="295"/>
      <c r="S16" s="523" t="str">
        <f t="shared" si="3"/>
        <v/>
      </c>
      <c r="T16" s="34">
        <f t="shared" si="4"/>
        <v>0</v>
      </c>
      <c r="U16" s="154">
        <f t="shared" si="10"/>
        <v>0</v>
      </c>
      <c r="V16" s="188"/>
      <c r="W16" s="156" t="str">
        <f t="shared" si="9"/>
        <v>0,00</v>
      </c>
    </row>
    <row r="17" spans="1:23" ht="14.4" x14ac:dyDescent="0.3">
      <c r="A17" s="40"/>
      <c r="B17" s="304">
        <v>43418</v>
      </c>
      <c r="C17" s="319" t="s">
        <v>46</v>
      </c>
      <c r="D17" s="320"/>
      <c r="E17" s="310">
        <f>IFERROR(VLOOKUP(C17,TR!$B$2:$F$612,2,0),"")</f>
        <v>0</v>
      </c>
      <c r="F17" s="311">
        <f>IFERROR(VLOOKUP(C17,TR!$B$2:$F$612,3,0),"")</f>
        <v>0</v>
      </c>
      <c r="G17" s="321">
        <f t="shared" si="5"/>
        <v>0</v>
      </c>
      <c r="H17" s="310">
        <f>IFERROR(VLOOKUP(C17,TR!$B$2:$F$612,4,0),"")</f>
        <v>0</v>
      </c>
      <c r="I17" s="311">
        <f>IFERROR(VLOOKUP(C17,TR!$B$2:$F$612,5,0),"")</f>
        <v>0</v>
      </c>
      <c r="J17" s="321">
        <f t="shared" si="6"/>
        <v>0</v>
      </c>
      <c r="K17" s="520" t="str">
        <f t="shared" si="0"/>
        <v/>
      </c>
      <c r="L17" s="521" t="str">
        <f t="shared" si="1"/>
        <v/>
      </c>
      <c r="M17" s="324" t="str">
        <f t="shared" si="2"/>
        <v/>
      </c>
      <c r="N17" s="293" t="str">
        <f t="shared" si="7"/>
        <v/>
      </c>
      <c r="O17" s="315" t="str">
        <f t="shared" si="8"/>
        <v/>
      </c>
      <c r="P17" s="522" t="str">
        <f>IF(AND(L17="",M17=""),IF(OR(SUMPRODUCT(N(ISNUMBER(FIND({"s";"d";"f"},C17))))&gt;0,G17+J17&lt;0,AND(G17&gt;0,J17&gt;0,I17&gt;"20:30"*1),AND(I17&lt;="20:30"*1,SUM(I17,R17)&gt;="20:31"*1)),1,""),"")</f>
        <v/>
      </c>
      <c r="Q17" s="326" t="str">
        <f>IF(OR(AND(G17&gt;0,AND(J17=0)),OR(G17=0,AND(J17&gt;0)),OR(G17+J17&gt;0)),IF(R17="","",IF(#REF!+R17&gt;="13:01"*1,1,"")))</f>
        <v/>
      </c>
      <c r="R17" s="295"/>
      <c r="S17" s="523" t="str">
        <f t="shared" si="3"/>
        <v/>
      </c>
      <c r="T17" s="34">
        <f t="shared" si="4"/>
        <v>0</v>
      </c>
      <c r="U17" s="154">
        <f t="shared" si="10"/>
        <v>0</v>
      </c>
      <c r="V17" s="188"/>
      <c r="W17" s="156" t="str">
        <f t="shared" si="9"/>
        <v>0,00</v>
      </c>
    </row>
    <row r="18" spans="1:23" ht="14.4" x14ac:dyDescent="0.3">
      <c r="A18" s="40"/>
      <c r="B18" s="304">
        <v>43419</v>
      </c>
      <c r="C18" s="319" t="s">
        <v>239</v>
      </c>
      <c r="D18" s="320"/>
      <c r="E18" s="310">
        <f>IFERROR(VLOOKUP(C18,TR!$B$2:$F$612,2,0),"")</f>
        <v>0</v>
      </c>
      <c r="F18" s="311">
        <f>IFERROR(VLOOKUP(C18,TR!$B$2:$F$612,3,0),"")</f>
        <v>0</v>
      </c>
      <c r="G18" s="321">
        <f t="shared" si="5"/>
        <v>0</v>
      </c>
      <c r="H18" s="310">
        <f>IFERROR(VLOOKUP(C18,TR!$B$2:$F$612,4,0),"")</f>
        <v>0</v>
      </c>
      <c r="I18" s="311">
        <f>IFERROR(VLOOKUP(C18,TR!$B$2:$F$612,5,0),"")</f>
        <v>0</v>
      </c>
      <c r="J18" s="321">
        <f t="shared" si="6"/>
        <v>0</v>
      </c>
      <c r="K18" s="520" t="str">
        <f t="shared" si="0"/>
        <v/>
      </c>
      <c r="L18" s="521" t="str">
        <f t="shared" si="1"/>
        <v/>
      </c>
      <c r="M18" s="324" t="str">
        <f t="shared" si="2"/>
        <v/>
      </c>
      <c r="N18" s="293" t="str">
        <f t="shared" si="7"/>
        <v/>
      </c>
      <c r="O18" s="315" t="str">
        <f t="shared" si="8"/>
        <v/>
      </c>
      <c r="P18" s="522" t="str">
        <f>IF(AND(L18="",M18=""),IF(OR(SUMPRODUCT(N(ISNUMBER(FIND({"s";"d";"f"},C18))))&gt;0,G18+J18&lt;0,AND(G18&gt;0,J18&gt;0,I18&gt;"20:30"*1),AND(I18&lt;="20:30"*1,SUM(I18,R18)&gt;="20:31"*1)),1,""),"")</f>
        <v/>
      </c>
      <c r="Q18" s="326"/>
      <c r="R18" s="295"/>
      <c r="S18" s="523" t="str">
        <f t="shared" si="3"/>
        <v/>
      </c>
      <c r="T18" s="34">
        <f t="shared" si="4"/>
        <v>0</v>
      </c>
      <c r="U18" s="154">
        <f t="shared" si="10"/>
        <v>0</v>
      </c>
      <c r="V18" s="188"/>
      <c r="W18" s="156" t="str">
        <f t="shared" si="9"/>
        <v>0,00</v>
      </c>
    </row>
    <row r="19" spans="1:23" ht="14.4" x14ac:dyDescent="0.3">
      <c r="A19" s="40"/>
      <c r="B19" s="304">
        <v>43420</v>
      </c>
      <c r="C19" s="319" t="s">
        <v>239</v>
      </c>
      <c r="D19" s="320"/>
      <c r="E19" s="310">
        <f>IFERROR(VLOOKUP(C19,TR!$B$2:$F$612,2,0),"")</f>
        <v>0</v>
      </c>
      <c r="F19" s="311">
        <f>IFERROR(VLOOKUP(C19,TR!$B$2:$F$612,3,0),"")</f>
        <v>0</v>
      </c>
      <c r="G19" s="321">
        <f t="shared" si="5"/>
        <v>0</v>
      </c>
      <c r="H19" s="310">
        <f>IFERROR(VLOOKUP(C19,TR!$B$2:$F$612,4,0),"")</f>
        <v>0</v>
      </c>
      <c r="I19" s="311">
        <f>IFERROR(VLOOKUP(C19,TR!$B$2:$F$612,5,0),"")</f>
        <v>0</v>
      </c>
      <c r="J19" s="321">
        <f t="shared" si="6"/>
        <v>0</v>
      </c>
      <c r="K19" s="520" t="str">
        <f t="shared" si="0"/>
        <v/>
      </c>
      <c r="L19" s="521" t="str">
        <f t="shared" si="1"/>
        <v/>
      </c>
      <c r="M19" s="324" t="str">
        <f t="shared" si="2"/>
        <v/>
      </c>
      <c r="N19" s="293" t="str">
        <f t="shared" si="7"/>
        <v/>
      </c>
      <c r="O19" s="315" t="str">
        <f t="shared" si="8"/>
        <v/>
      </c>
      <c r="P19" s="522" t="str">
        <f>IF(AND(L19="",M19=""),IF(OR(SUMPRODUCT(N(ISNUMBER(FIND({"s";"d";"f"},C19))))&gt;0,G19+J19&lt;0,AND(G19&gt;0,J19&gt;0,I19&gt;"20:30"*1),AND(I19&lt;="20:30"*1,SUM(I19,R19)&gt;="20:31"*1)),1,""),"")</f>
        <v/>
      </c>
      <c r="Q19" s="326" t="str">
        <f>IF(OR(AND(G19&gt;0,AND(J19=0)),OR(G19=0,AND(J19&gt;0)),OR(G19+J19&gt;0)),IF(R19="","",IF(#REF!+R19&gt;="13:01"*1,1,"")))</f>
        <v/>
      </c>
      <c r="R19" s="295"/>
      <c r="S19" s="523" t="str">
        <f t="shared" si="3"/>
        <v/>
      </c>
      <c r="T19" s="34">
        <f t="shared" si="4"/>
        <v>0</v>
      </c>
      <c r="U19" s="154">
        <f t="shared" si="10"/>
        <v>0</v>
      </c>
      <c r="V19" s="188"/>
      <c r="W19" s="156" t="str">
        <f t="shared" si="9"/>
        <v>0,00</v>
      </c>
    </row>
    <row r="20" spans="1:23" ht="14.4" x14ac:dyDescent="0.3">
      <c r="A20" s="40"/>
      <c r="B20" s="304">
        <v>43421</v>
      </c>
      <c r="C20" s="319" t="s">
        <v>239</v>
      </c>
      <c r="D20" s="320"/>
      <c r="E20" s="310">
        <f>IFERROR(VLOOKUP(C20,TR!$B$2:$F$612,2,0),"")</f>
        <v>0</v>
      </c>
      <c r="F20" s="311">
        <f>IFERROR(VLOOKUP(C20,TR!$B$2:$F$612,3,0),"")</f>
        <v>0</v>
      </c>
      <c r="G20" s="321">
        <f t="shared" si="5"/>
        <v>0</v>
      </c>
      <c r="H20" s="310">
        <f>IFERROR(VLOOKUP(C20,TR!$B$2:$F$612,4,0),"")</f>
        <v>0</v>
      </c>
      <c r="I20" s="311">
        <f>IFERROR(VLOOKUP(C20,TR!$B$2:$F$612,5,0),"")</f>
        <v>0</v>
      </c>
      <c r="J20" s="321">
        <f t="shared" si="6"/>
        <v>0</v>
      </c>
      <c r="K20" s="520" t="str">
        <f t="shared" si="0"/>
        <v/>
      </c>
      <c r="L20" s="521" t="str">
        <f t="shared" si="1"/>
        <v/>
      </c>
      <c r="M20" s="324" t="str">
        <f t="shared" si="2"/>
        <v/>
      </c>
      <c r="N20" s="293" t="str">
        <f t="shared" si="7"/>
        <v/>
      </c>
      <c r="O20" s="315" t="str">
        <f t="shared" si="8"/>
        <v/>
      </c>
      <c r="P20" s="522" t="str">
        <f>IF(AND(L20="",M20=""),IF(OR(SUMPRODUCT(N(ISNUMBER(FIND({"s";"d";"f"},C20))))&gt;0,G20+J20&lt;0,AND(G20&gt;0,J20&gt;0,I20&gt;"20:30"*1),AND(I20&lt;="20:30"*1,SUM(I20,R20)&gt;="20:31"*1)),1,""),"")</f>
        <v/>
      </c>
      <c r="Q20" s="326" t="str">
        <f>IF(OR(AND(G20&gt;0,AND(J20=0)),OR(G20=0,AND(J20&gt;0)),OR(G20+J20&gt;0)),IF(R20="","",IF(#REF!+R20&gt;="13:01"*1,1,"")))</f>
        <v/>
      </c>
      <c r="R20" s="295"/>
      <c r="S20" s="523" t="str">
        <f t="shared" si="3"/>
        <v/>
      </c>
      <c r="T20" s="34">
        <f t="shared" si="4"/>
        <v>0</v>
      </c>
      <c r="U20" s="154">
        <f t="shared" si="10"/>
        <v>0</v>
      </c>
      <c r="V20" s="188"/>
      <c r="W20" s="156" t="str">
        <f t="shared" si="9"/>
        <v>0,00</v>
      </c>
    </row>
    <row r="21" spans="1:23" ht="14.4" x14ac:dyDescent="0.3">
      <c r="A21" s="40"/>
      <c r="B21" s="304">
        <v>43422</v>
      </c>
      <c r="C21" s="331" t="s">
        <v>47</v>
      </c>
      <c r="D21" s="332"/>
      <c r="E21" s="310">
        <f>IFERROR(VLOOKUP(C21,TR!$B$2:$F$612,2,0),"")</f>
        <v>0</v>
      </c>
      <c r="F21" s="311">
        <f>IFERROR(VLOOKUP(C21,TR!$B$2:$F$612,3,0),"")</f>
        <v>0</v>
      </c>
      <c r="G21" s="328">
        <f t="shared" si="5"/>
        <v>0</v>
      </c>
      <c r="H21" s="310">
        <f>IFERROR(VLOOKUP(C21,TR!$B$2:$F$612,4,0),"")</f>
        <v>0</v>
      </c>
      <c r="I21" s="311">
        <f>IFERROR(VLOOKUP(C21,TR!$B$2:$F$612,5,0),"")</f>
        <v>0</v>
      </c>
      <c r="J21" s="328">
        <f t="shared" si="6"/>
        <v>0</v>
      </c>
      <c r="K21" s="520" t="str">
        <f t="shared" si="0"/>
        <v/>
      </c>
      <c r="L21" s="521" t="str">
        <f t="shared" si="1"/>
        <v/>
      </c>
      <c r="M21" s="324" t="str">
        <f t="shared" si="2"/>
        <v/>
      </c>
      <c r="N21" s="293" t="str">
        <f t="shared" si="7"/>
        <v/>
      </c>
      <c r="O21" s="315" t="str">
        <f t="shared" si="8"/>
        <v/>
      </c>
      <c r="P21" s="522" t="str">
        <f>IF(AND(L21="",M21=""),IF(OR(SUMPRODUCT(N(ISNUMBER(FIND({"s";"d";"f"},C21))))&gt;0,G21+J21&lt;0,AND(G21&gt;0,J21&gt;0,I21&gt;"20:30"*1),AND(I21&lt;="20:30"*1,SUM(I21,R21)&gt;="20:31"*1)),1,""),"")</f>
        <v/>
      </c>
      <c r="Q21" s="326" t="str">
        <f>IF(OR(AND(G21&gt;0,AND(J21=0)),OR(G21=0,AND(J21&gt;0)),OR(G21+J21&gt;0)),IF(R21="","",IF(#REF!+R21&gt;="13:01"*1,1,"")))</f>
        <v/>
      </c>
      <c r="R21" s="295"/>
      <c r="S21" s="523" t="str">
        <f t="shared" si="3"/>
        <v/>
      </c>
      <c r="T21" s="34">
        <f t="shared" si="4"/>
        <v>0</v>
      </c>
      <c r="U21" s="154">
        <f t="shared" si="10"/>
        <v>0</v>
      </c>
      <c r="V21" s="188"/>
      <c r="W21" s="156" t="str">
        <f t="shared" si="9"/>
        <v>0,00</v>
      </c>
    </row>
    <row r="22" spans="1:23" ht="14.4" x14ac:dyDescent="0.3">
      <c r="A22" s="40"/>
      <c r="B22" s="304">
        <v>43423</v>
      </c>
      <c r="C22" s="329" t="s">
        <v>239</v>
      </c>
      <c r="D22" s="330"/>
      <c r="E22" s="310">
        <f>IFERROR(VLOOKUP(C22,TR!$B$2:$F$612,2,0),"")</f>
        <v>0</v>
      </c>
      <c r="F22" s="311">
        <f>IFERROR(VLOOKUP(C22,TR!$B$2:$F$612,3,0),"")</f>
        <v>0</v>
      </c>
      <c r="G22" s="328">
        <f t="shared" si="5"/>
        <v>0</v>
      </c>
      <c r="H22" s="310">
        <f>IFERROR(VLOOKUP(C22,TR!$B$2:$F$612,4,0),"")</f>
        <v>0</v>
      </c>
      <c r="I22" s="311">
        <f>IFERROR(VLOOKUP(C22,TR!$B$2:$F$612,5,0),"")</f>
        <v>0</v>
      </c>
      <c r="J22" s="328">
        <f t="shared" si="6"/>
        <v>0</v>
      </c>
      <c r="K22" s="520" t="str">
        <f t="shared" si="0"/>
        <v/>
      </c>
      <c r="L22" s="521" t="str">
        <f t="shared" si="1"/>
        <v/>
      </c>
      <c r="M22" s="324" t="str">
        <f t="shared" si="2"/>
        <v/>
      </c>
      <c r="N22" s="293" t="str">
        <f t="shared" si="7"/>
        <v/>
      </c>
      <c r="O22" s="315" t="str">
        <f t="shared" si="8"/>
        <v/>
      </c>
      <c r="P22" s="522" t="str">
        <f>IF(AND(L22="",M22=""),IF(OR(SUMPRODUCT(N(ISNUMBER(FIND({"s";"d";"f"},C22))))&gt;0,G22+J22&lt;0,AND(G22&gt;0,J22&gt;0,I22&gt;"20:30"*1),AND(I22&lt;="20:30"*1,SUM(I22,R22)&gt;="20:31"*1)),1,""),"")</f>
        <v/>
      </c>
      <c r="Q22" s="326" t="str">
        <f>IF(OR(AND(G22&gt;0,AND(J22=0)),OR(G22=0,AND(J22&gt;0)),OR(G22+J22&gt;0)),IF(R22="","",IF(#REF!+R22&gt;="13:01"*1,1,"")))</f>
        <v/>
      </c>
      <c r="R22" s="295"/>
      <c r="S22" s="523" t="str">
        <f t="shared" si="3"/>
        <v/>
      </c>
      <c r="T22" s="34">
        <f t="shared" si="4"/>
        <v>0</v>
      </c>
      <c r="U22" s="154">
        <f t="shared" si="10"/>
        <v>0</v>
      </c>
      <c r="V22" s="188"/>
      <c r="W22" s="156" t="str">
        <f t="shared" si="9"/>
        <v>0,00</v>
      </c>
    </row>
    <row r="23" spans="1:23" ht="15" thickBot="1" x14ac:dyDescent="0.35">
      <c r="A23" s="40"/>
      <c r="B23" s="417">
        <v>43424</v>
      </c>
      <c r="C23" s="455" t="s">
        <v>239</v>
      </c>
      <c r="D23" s="456"/>
      <c r="E23" s="420">
        <f>IFERROR(VLOOKUP(C23,TR!$B$2:$F$612,2,0),"")</f>
        <v>0</v>
      </c>
      <c r="F23" s="421">
        <f>IFERROR(VLOOKUP(C23,TR!$B$2:$F$612,3,0),"")</f>
        <v>0</v>
      </c>
      <c r="G23" s="422">
        <f t="shared" si="5"/>
        <v>0</v>
      </c>
      <c r="H23" s="420">
        <f>IFERROR(VLOOKUP(C23,TR!$B$2:$F$612,4,0),"")</f>
        <v>0</v>
      </c>
      <c r="I23" s="421">
        <f>IFERROR(VLOOKUP(C23,TR!$B$2:$F$612,5,0),"")</f>
        <v>0</v>
      </c>
      <c r="J23" s="422">
        <f t="shared" si="6"/>
        <v>0</v>
      </c>
      <c r="K23" s="552" t="str">
        <f t="shared" si="0"/>
        <v/>
      </c>
      <c r="L23" s="553" t="str">
        <f t="shared" si="1"/>
        <v/>
      </c>
      <c r="M23" s="538" t="str">
        <f t="shared" si="2"/>
        <v/>
      </c>
      <c r="N23" s="554" t="str">
        <f t="shared" si="7"/>
        <v/>
      </c>
      <c r="O23" s="341" t="str">
        <f t="shared" si="8"/>
        <v/>
      </c>
      <c r="P23" s="524" t="str">
        <f>IF(AND(L23="",M23=""),IF(OR(SUMPRODUCT(N(ISNUMBER(FIND({"s";"d";"f"},C23))))&gt;0,G23+J23&lt;0,AND(G23&gt;0,J23&gt;0,I23&gt;"20:30"*1),AND(I23&lt;="20:30"*1,SUM(I23,R23)&gt;="20:31"*1)),1,""),"")</f>
        <v/>
      </c>
      <c r="Q23" s="343" t="str">
        <f>IF(OR(AND(G23&gt;0,AND(J23=0)),OR(G23=0,AND(J23&gt;0)),OR(G23+J23&gt;0)),IF(R23="","",IF(#REF!+R23&gt;="13:01"*1,1,"")))</f>
        <v/>
      </c>
      <c r="R23" s="296"/>
      <c r="S23" s="525" t="str">
        <f t="shared" si="3"/>
        <v/>
      </c>
      <c r="T23" s="234">
        <f t="shared" si="4"/>
        <v>0</v>
      </c>
      <c r="U23" s="235">
        <f t="shared" si="10"/>
        <v>0</v>
      </c>
      <c r="V23" s="236"/>
      <c r="W23" s="251" t="str">
        <f t="shared" si="9"/>
        <v>0,00</v>
      </c>
    </row>
    <row r="24" spans="1:23" ht="14.4" x14ac:dyDescent="0.3">
      <c r="A24" s="40"/>
      <c r="B24" s="426">
        <v>43425</v>
      </c>
      <c r="C24" s="457" t="s">
        <v>239</v>
      </c>
      <c r="D24" s="458"/>
      <c r="E24" s="429">
        <f>IFERROR(VLOOKUP(C24,TR!$B$2:$F$612,2,0),"")</f>
        <v>0</v>
      </c>
      <c r="F24" s="430">
        <f>IFERROR(VLOOKUP(C24,TR!$B$2:$F$612,3,0),"")</f>
        <v>0</v>
      </c>
      <c r="G24" s="431">
        <f t="shared" si="5"/>
        <v>0</v>
      </c>
      <c r="H24" s="429">
        <f>IFERROR(VLOOKUP(C24,TR!$B$2:$F$612,4,0),"")</f>
        <v>0</v>
      </c>
      <c r="I24" s="430">
        <f>IFERROR(VLOOKUP(C24,TR!$B$2:$F$612,5,0),"")</f>
        <v>0</v>
      </c>
      <c r="J24" s="431">
        <f t="shared" si="6"/>
        <v>0</v>
      </c>
      <c r="K24" s="549" t="str">
        <f t="shared" si="0"/>
        <v/>
      </c>
      <c r="L24" s="550" t="str">
        <f t="shared" si="1"/>
        <v/>
      </c>
      <c r="M24" s="535" t="str">
        <f t="shared" si="2"/>
        <v/>
      </c>
      <c r="N24" s="551" t="str">
        <f t="shared" si="7"/>
        <v/>
      </c>
      <c r="O24" s="350" t="str">
        <f t="shared" si="8"/>
        <v/>
      </c>
      <c r="P24" s="526" t="str">
        <f>IF(AND(L24="",M24=""),IF(OR(SUMPRODUCT(N(ISNUMBER(FIND({"s";"d";"f"},C24))))&gt;0,G24+J24&lt;0,AND(G24&gt;0,J24&gt;0,I24&gt;"20:30"*1),AND(I24&lt;="20:30"*1,SUM(I24,R24)&gt;="20:31"*1)),1,""),"")</f>
        <v/>
      </c>
      <c r="Q24" s="352" t="str">
        <f>IF(OR(AND(G24&gt;0,AND(J24=0)),OR(G24=0,AND(J24&gt;0)),OR(G24+J24&gt;0)),IF(R24="","",IF(#REF!+R24&gt;="13:01"*1,1,"")))</f>
        <v/>
      </c>
      <c r="R24" s="297"/>
      <c r="S24" s="527" t="str">
        <f t="shared" si="3"/>
        <v/>
      </c>
      <c r="T24" s="239">
        <f t="shared" si="4"/>
        <v>0</v>
      </c>
      <c r="U24" s="240">
        <f t="shared" si="10"/>
        <v>0</v>
      </c>
      <c r="V24" s="241"/>
      <c r="W24" s="242" t="str">
        <f t="shared" si="9"/>
        <v>0,00</v>
      </c>
    </row>
    <row r="25" spans="1:23" ht="14.4" x14ac:dyDescent="0.3">
      <c r="A25" s="40"/>
      <c r="B25" s="304">
        <v>43426</v>
      </c>
      <c r="C25" s="329" t="s">
        <v>239</v>
      </c>
      <c r="D25" s="330"/>
      <c r="E25" s="310">
        <f>IFERROR(VLOOKUP(C25,TR!$B$2:$F$612,2,0),"")</f>
        <v>0</v>
      </c>
      <c r="F25" s="311">
        <f>IFERROR(VLOOKUP(C25,TR!$B$2:$F$612,3,0),"")</f>
        <v>0</v>
      </c>
      <c r="G25" s="328">
        <f t="shared" si="5"/>
        <v>0</v>
      </c>
      <c r="H25" s="310">
        <f>IFERROR(VLOOKUP(C25,TR!$B$2:$F$612,4,0),"")</f>
        <v>0</v>
      </c>
      <c r="I25" s="311">
        <f>IFERROR(VLOOKUP(C25,TR!$B$2:$F$612,5,0),"")</f>
        <v>0</v>
      </c>
      <c r="J25" s="328">
        <f t="shared" si="6"/>
        <v>0</v>
      </c>
      <c r="K25" s="520" t="str">
        <f t="shared" si="0"/>
        <v/>
      </c>
      <c r="L25" s="521" t="str">
        <f t="shared" si="1"/>
        <v/>
      </c>
      <c r="M25" s="324" t="str">
        <f t="shared" si="2"/>
        <v/>
      </c>
      <c r="N25" s="293" t="str">
        <f t="shared" si="7"/>
        <v/>
      </c>
      <c r="O25" s="315" t="str">
        <f t="shared" si="8"/>
        <v/>
      </c>
      <c r="P25" s="522" t="str">
        <f>IF(AND(L25="",M25=""),IF(OR(SUMPRODUCT(N(ISNUMBER(FIND({"s";"d";"f"},C25))))&gt;0,G25+J25&lt;0,AND(G25&gt;0,J25&gt;0,I25&gt;"20:30"*1),AND(I25&lt;="20:30"*1,SUM(I25,R25)&gt;="20:31"*1)),1,""),"")</f>
        <v/>
      </c>
      <c r="Q25" s="326" t="str">
        <f>IF(OR(AND(G25&gt;0,AND(J25=0)),OR(G25=0,AND(J25&gt;0)),OR(G25+J25&gt;0)),IF(R25="","",IF(#REF!+R25&gt;="13:01"*1,1,"")))</f>
        <v/>
      </c>
      <c r="R25" s="295"/>
      <c r="S25" s="523" t="str">
        <f t="shared" si="3"/>
        <v/>
      </c>
      <c r="T25" s="34">
        <f t="shared" si="4"/>
        <v>0</v>
      </c>
      <c r="U25" s="154">
        <f t="shared" si="10"/>
        <v>0</v>
      </c>
      <c r="V25" s="188"/>
      <c r="W25" s="156" t="str">
        <f t="shared" si="9"/>
        <v>0,00</v>
      </c>
    </row>
    <row r="26" spans="1:23" ht="14.4" x14ac:dyDescent="0.3">
      <c r="A26" s="40"/>
      <c r="B26" s="304">
        <v>43427</v>
      </c>
      <c r="C26" s="319" t="s">
        <v>239</v>
      </c>
      <c r="D26" s="320"/>
      <c r="E26" s="310">
        <f>IFERROR(VLOOKUP(C26,TR!$B$2:$F$612,2,0),"")</f>
        <v>0</v>
      </c>
      <c r="F26" s="311">
        <f>IFERROR(VLOOKUP(C26,TR!$B$2:$F$612,3,0),"")</f>
        <v>0</v>
      </c>
      <c r="G26" s="321">
        <f t="shared" si="5"/>
        <v>0</v>
      </c>
      <c r="H26" s="310">
        <f>IFERROR(VLOOKUP(C26,TR!$B$2:$F$612,4,0),"")</f>
        <v>0</v>
      </c>
      <c r="I26" s="311">
        <f>IFERROR(VLOOKUP(C26,TR!$B$2:$F$612,5,0),"")</f>
        <v>0</v>
      </c>
      <c r="J26" s="321">
        <f t="shared" si="6"/>
        <v>0</v>
      </c>
      <c r="K26" s="520" t="str">
        <f t="shared" si="0"/>
        <v/>
      </c>
      <c r="L26" s="521" t="str">
        <f t="shared" si="1"/>
        <v/>
      </c>
      <c r="M26" s="324" t="str">
        <f t="shared" si="2"/>
        <v/>
      </c>
      <c r="N26" s="293" t="str">
        <f t="shared" si="7"/>
        <v/>
      </c>
      <c r="O26" s="315" t="str">
        <f t="shared" si="8"/>
        <v/>
      </c>
      <c r="P26" s="522" t="str">
        <f>IF(AND(L26="",M26=""),IF(OR(SUMPRODUCT(N(ISNUMBER(FIND({"s";"d";"f"},C26))))&gt;0,G26+J26&lt;0,AND(G26&gt;0,J26&gt;0,I26&gt;"20:30"*1),AND(I26&lt;="20:30"*1,SUM(I26,R26)&gt;="20:31"*1)),1,""),"")</f>
        <v/>
      </c>
      <c r="Q26" s="326" t="str">
        <f>IF(OR(AND(G26&gt;0,AND(J26=0)),OR(G26=0,AND(J26&gt;0)),OR(G26+J26&gt;0)),IF(R26="","",IF(#REF!+R26&gt;="13:01"*1,1,"")))</f>
        <v/>
      </c>
      <c r="R26" s="295"/>
      <c r="S26" s="523" t="str">
        <f t="shared" si="3"/>
        <v/>
      </c>
      <c r="T26" s="34">
        <f t="shared" si="4"/>
        <v>0</v>
      </c>
      <c r="U26" s="154">
        <f t="shared" si="10"/>
        <v>0</v>
      </c>
      <c r="V26" s="188"/>
      <c r="W26" s="156" t="str">
        <f t="shared" si="9"/>
        <v>0,00</v>
      </c>
    </row>
    <row r="27" spans="1:23" ht="14.4" x14ac:dyDescent="0.3">
      <c r="A27" s="40"/>
      <c r="B27" s="304">
        <v>43428</v>
      </c>
      <c r="C27" s="319" t="s">
        <v>46</v>
      </c>
      <c r="D27" s="320"/>
      <c r="E27" s="310">
        <f>IFERROR(VLOOKUP(C27,TR!$B$2:$F$612,2,0),"")</f>
        <v>0</v>
      </c>
      <c r="F27" s="311">
        <f>IFERROR(VLOOKUP(C27,TR!$B$2:$F$612,3,0),"")</f>
        <v>0</v>
      </c>
      <c r="G27" s="321">
        <f t="shared" si="5"/>
        <v>0</v>
      </c>
      <c r="H27" s="310">
        <f>IFERROR(VLOOKUP(C27,TR!$B$2:$F$612,4,0),"")</f>
        <v>0</v>
      </c>
      <c r="I27" s="311">
        <f>IFERROR(VLOOKUP(C27,TR!$B$2:$F$612,5,0),"")</f>
        <v>0</v>
      </c>
      <c r="J27" s="321">
        <f t="shared" si="6"/>
        <v>0</v>
      </c>
      <c r="K27" s="520" t="str">
        <f t="shared" si="0"/>
        <v/>
      </c>
      <c r="L27" s="521" t="str">
        <f t="shared" si="1"/>
        <v/>
      </c>
      <c r="M27" s="324" t="str">
        <f t="shared" si="2"/>
        <v/>
      </c>
      <c r="N27" s="293" t="str">
        <f t="shared" si="7"/>
        <v/>
      </c>
      <c r="O27" s="315" t="str">
        <f t="shared" si="8"/>
        <v/>
      </c>
      <c r="P27" s="522" t="str">
        <f>IF(AND(L27="",M27=""),IF(OR(SUMPRODUCT(N(ISNUMBER(FIND({"s";"d";"f"},C27))))&gt;0,G27+J27&lt;0,AND(G27&gt;0,J27&gt;0,I27&gt;"20:30"*1),AND(I27&lt;="20:30"*1,SUM(I27,R27)&gt;="20:31"*1)),1,""),"")</f>
        <v/>
      </c>
      <c r="Q27" s="326" t="str">
        <f>IF(OR(AND(G27&gt;0,AND(J27=0)),OR(G27=0,AND(J27&gt;0)),OR(G27+J27&gt;0)),IF(R27="","",IF(#REF!+R27&gt;="13:01"*1,1,"")))</f>
        <v/>
      </c>
      <c r="R27" s="295"/>
      <c r="S27" s="523" t="str">
        <f t="shared" si="3"/>
        <v/>
      </c>
      <c r="T27" s="34">
        <f t="shared" si="4"/>
        <v>0</v>
      </c>
      <c r="U27" s="154">
        <f t="shared" si="10"/>
        <v>0</v>
      </c>
      <c r="V27" s="188"/>
      <c r="W27" s="156" t="str">
        <f t="shared" si="9"/>
        <v>0,00</v>
      </c>
    </row>
    <row r="28" spans="1:23" ht="14.4" x14ac:dyDescent="0.3">
      <c r="A28" s="40"/>
      <c r="B28" s="304">
        <v>43429</v>
      </c>
      <c r="C28" s="319" t="s">
        <v>47</v>
      </c>
      <c r="D28" s="320"/>
      <c r="E28" s="310">
        <f>IFERROR(VLOOKUP(C28,TR!$B$2:$F$612,2,0),"")</f>
        <v>0</v>
      </c>
      <c r="F28" s="311">
        <f>IFERROR(VLOOKUP(C28,TR!$B$2:$F$612,3,0),"")</f>
        <v>0</v>
      </c>
      <c r="G28" s="321">
        <f t="shared" si="5"/>
        <v>0</v>
      </c>
      <c r="H28" s="310">
        <f>IFERROR(VLOOKUP(C28,TR!$B$2:$F$612,4,0),"")</f>
        <v>0</v>
      </c>
      <c r="I28" s="311">
        <f>IFERROR(VLOOKUP(C28,TR!$B$2:$F$612,5,0),"")</f>
        <v>0</v>
      </c>
      <c r="J28" s="321">
        <f t="shared" si="6"/>
        <v>0</v>
      </c>
      <c r="K28" s="520" t="str">
        <f t="shared" si="0"/>
        <v/>
      </c>
      <c r="L28" s="521" t="str">
        <f t="shared" si="1"/>
        <v/>
      </c>
      <c r="M28" s="324" t="str">
        <f t="shared" si="2"/>
        <v/>
      </c>
      <c r="N28" s="293" t="str">
        <f t="shared" si="7"/>
        <v/>
      </c>
      <c r="O28" s="315" t="str">
        <f t="shared" si="8"/>
        <v/>
      </c>
      <c r="P28" s="522" t="str">
        <f>IF(AND(L28="",M28=""),IF(OR(SUMPRODUCT(N(ISNUMBER(FIND({"s";"d";"f"},C28))))&gt;0,G28+J28&lt;0,AND(G28&gt;0,J28&gt;0,I28&gt;"20:30"*1),AND(I28&lt;="20:30"*1,SUM(I28,R28)&gt;="20:31"*1)),1,""),"")</f>
        <v/>
      </c>
      <c r="Q28" s="326" t="str">
        <f>IF(OR(AND(G28&gt;0,AND(J28=0)),OR(G28=0,AND(J28&gt;0)),OR(G28+J28&gt;0)),IF(R28="","",IF(#REF!+R28&gt;="13:01"*1,1,"")))</f>
        <v/>
      </c>
      <c r="R28" s="295"/>
      <c r="S28" s="523" t="str">
        <f t="shared" si="3"/>
        <v/>
      </c>
      <c r="T28" s="34">
        <f t="shared" si="4"/>
        <v>0</v>
      </c>
      <c r="U28" s="154">
        <f t="shared" si="10"/>
        <v>0</v>
      </c>
      <c r="V28" s="188"/>
      <c r="W28" s="156" t="str">
        <f t="shared" si="9"/>
        <v>0,00</v>
      </c>
    </row>
    <row r="29" spans="1:23" ht="14.4" x14ac:dyDescent="0.3">
      <c r="A29" s="40"/>
      <c r="B29" s="304">
        <v>43430</v>
      </c>
      <c r="C29" s="319" t="s">
        <v>51</v>
      </c>
      <c r="D29" s="320"/>
      <c r="E29" s="310">
        <f>IFERROR(VLOOKUP(C29,TR!$B$2:$F$612,2,0),"")</f>
        <v>0</v>
      </c>
      <c r="F29" s="311">
        <f>IFERROR(VLOOKUP(C29,TR!$B$2:$F$612,3,0),"")</f>
        <v>0</v>
      </c>
      <c r="G29" s="321">
        <f t="shared" si="5"/>
        <v>0</v>
      </c>
      <c r="H29" s="310">
        <f>IFERROR(VLOOKUP(C29,TR!$B$2:$F$612,4,0),"")</f>
        <v>0</v>
      </c>
      <c r="I29" s="311">
        <f>IFERROR(VLOOKUP(C29,TR!$B$2:$F$612,5,0),"")</f>
        <v>0</v>
      </c>
      <c r="J29" s="321">
        <f t="shared" si="6"/>
        <v>0</v>
      </c>
      <c r="K29" s="520" t="str">
        <f t="shared" si="0"/>
        <v/>
      </c>
      <c r="L29" s="521" t="str">
        <f t="shared" si="1"/>
        <v/>
      </c>
      <c r="M29" s="324" t="str">
        <f t="shared" si="2"/>
        <v/>
      </c>
      <c r="N29" s="293" t="str">
        <f t="shared" si="7"/>
        <v/>
      </c>
      <c r="O29" s="315" t="str">
        <f t="shared" si="8"/>
        <v/>
      </c>
      <c r="P29" s="522" t="str">
        <f>IF(AND(L29="",M29=""),IF(OR(SUMPRODUCT(N(ISNUMBER(FIND({"s";"d";"f"},C29))))&gt;0,G29+J29&lt;0,AND(G29&gt;0,J29&gt;0,I29&gt;"20:30"*1),AND(I29&lt;="20:30"*1,SUM(I29,R29)&gt;="20:31"*1)),1,""),"")</f>
        <v/>
      </c>
      <c r="Q29" s="326" t="str">
        <f>IF(OR(AND(G29&gt;0,AND(J29=0)),OR(G29=0,AND(J29&gt;0)),OR(G29+J29&gt;0)),IF(R29="","",IF(#REF!+R29&gt;="13:01"*1,1,"")))</f>
        <v/>
      </c>
      <c r="R29" s="295"/>
      <c r="S29" s="523" t="str">
        <f t="shared" si="3"/>
        <v/>
      </c>
      <c r="T29" s="34">
        <f t="shared" si="4"/>
        <v>0</v>
      </c>
      <c r="U29" s="154">
        <f t="shared" si="10"/>
        <v>0</v>
      </c>
      <c r="V29" s="188"/>
      <c r="W29" s="156" t="str">
        <f t="shared" si="9"/>
        <v>0,00</v>
      </c>
    </row>
    <row r="30" spans="1:23" ht="14.4" x14ac:dyDescent="0.3">
      <c r="A30" s="40"/>
      <c r="B30" s="304">
        <v>43431</v>
      </c>
      <c r="C30" s="329" t="s">
        <v>51</v>
      </c>
      <c r="D30" s="330"/>
      <c r="E30" s="310">
        <f>IFERROR(VLOOKUP(C30,TR!$B$2:$F$612,2,0),"")</f>
        <v>0</v>
      </c>
      <c r="F30" s="311">
        <f>IFERROR(VLOOKUP(C30,TR!$B$2:$F$612,3,0),"")</f>
        <v>0</v>
      </c>
      <c r="G30" s="328">
        <f t="shared" si="5"/>
        <v>0</v>
      </c>
      <c r="H30" s="310">
        <f>IFERROR(VLOOKUP(C30,TR!$B$2:$F$612,4,0),"")</f>
        <v>0</v>
      </c>
      <c r="I30" s="311">
        <f>IFERROR(VLOOKUP(C30,TR!$B$2:$F$612,5,0),"")</f>
        <v>0</v>
      </c>
      <c r="J30" s="328">
        <f t="shared" si="6"/>
        <v>0</v>
      </c>
      <c r="K30" s="520" t="str">
        <f t="shared" si="0"/>
        <v/>
      </c>
      <c r="L30" s="521" t="str">
        <f t="shared" si="1"/>
        <v/>
      </c>
      <c r="M30" s="324" t="str">
        <f t="shared" si="2"/>
        <v/>
      </c>
      <c r="N30" s="293" t="str">
        <f t="shared" si="7"/>
        <v/>
      </c>
      <c r="O30" s="315" t="str">
        <f t="shared" si="8"/>
        <v/>
      </c>
      <c r="P30" s="522" t="str">
        <f>IF(AND(L30="",M30=""),IF(OR(SUMPRODUCT(N(ISNUMBER(FIND({"s";"d";"f"},C30))))&gt;0,G30+J30&lt;0,AND(G30&gt;0,J30&gt;0,I30&gt;"20:30"*1),AND(I30&lt;="20:30"*1,SUM(I30,R30)&gt;="20:31"*1)),1,""),"")</f>
        <v/>
      </c>
      <c r="Q30" s="326" t="str">
        <f>IF(OR(AND(G30&gt;0,AND(J30=0)),OR(G30=0,AND(J30&gt;0)),OR(G30+J30&gt;0)),IF(R30="","",IF(#REF!+R30&gt;="13:01"*1,1,"")))</f>
        <v/>
      </c>
      <c r="R30" s="295"/>
      <c r="S30" s="523" t="str">
        <f t="shared" si="3"/>
        <v/>
      </c>
      <c r="T30" s="34">
        <f t="shared" si="4"/>
        <v>0</v>
      </c>
      <c r="U30" s="154">
        <f t="shared" si="10"/>
        <v>0</v>
      </c>
      <c r="V30" s="188"/>
      <c r="W30" s="156" t="str">
        <f t="shared" si="9"/>
        <v>0,00</v>
      </c>
    </row>
    <row r="31" spans="1:23" ht="14.4" x14ac:dyDescent="0.3">
      <c r="A31" s="40"/>
      <c r="B31" s="304">
        <v>43432</v>
      </c>
      <c r="C31" s="329" t="s">
        <v>45</v>
      </c>
      <c r="D31" s="330"/>
      <c r="E31" s="310">
        <f>IFERROR(VLOOKUP(C31,TR!$B$2:$F$612,2,0),"")</f>
        <v>0</v>
      </c>
      <c r="F31" s="311">
        <f>IFERROR(VLOOKUP(C31,TR!$B$2:$F$612,3,0),"")</f>
        <v>0</v>
      </c>
      <c r="G31" s="328">
        <f t="shared" si="5"/>
        <v>0</v>
      </c>
      <c r="H31" s="310">
        <f>IFERROR(VLOOKUP(C31,TR!$B$2:$F$612,4,0),"")</f>
        <v>0</v>
      </c>
      <c r="I31" s="311">
        <f>IFERROR(VLOOKUP(C31,TR!$B$2:$F$612,5,0),"")</f>
        <v>0</v>
      </c>
      <c r="J31" s="328">
        <f t="shared" si="6"/>
        <v>0</v>
      </c>
      <c r="K31" s="520" t="str">
        <f t="shared" si="0"/>
        <v/>
      </c>
      <c r="L31" s="521" t="str">
        <f t="shared" si="1"/>
        <v/>
      </c>
      <c r="M31" s="324" t="str">
        <f t="shared" si="2"/>
        <v/>
      </c>
      <c r="N31" s="293" t="str">
        <f t="shared" si="7"/>
        <v/>
      </c>
      <c r="O31" s="315" t="str">
        <f t="shared" si="8"/>
        <v/>
      </c>
      <c r="P31" s="522" t="str">
        <f>IF(AND(L31="",M31=""),IF(OR(SUMPRODUCT(N(ISNUMBER(FIND({"s";"d";"f"},C31))))&gt;0,G31+J31&lt;0,AND(G31&gt;0,J31&gt;0,I31&gt;"20:30"*1),AND(I31&lt;="20:30"*1,SUM(I31,R31)&gt;="20:31"*1)),1,""),"")</f>
        <v/>
      </c>
      <c r="Q31" s="326" t="str">
        <f>IF(OR(AND(G31&gt;0,AND(J31=0)),OR(G31=0,AND(J31&gt;0)),OR(G31+J31&gt;0)),IF(R31="","",IF(#REF!+R31&gt;="13:01"*1,1,"")))</f>
        <v/>
      </c>
      <c r="R31" s="295"/>
      <c r="S31" s="523" t="str">
        <f t="shared" si="3"/>
        <v/>
      </c>
      <c r="T31" s="34">
        <f t="shared" si="4"/>
        <v>0</v>
      </c>
      <c r="U31" s="154">
        <f t="shared" si="10"/>
        <v>0</v>
      </c>
      <c r="V31" s="188"/>
      <c r="W31" s="156" t="str">
        <f t="shared" si="9"/>
        <v>0,00</v>
      </c>
    </row>
    <row r="32" spans="1:23" ht="14.4" x14ac:dyDescent="0.3">
      <c r="A32" s="40"/>
      <c r="B32" s="304">
        <v>43433</v>
      </c>
      <c r="C32" s="329" t="s">
        <v>46</v>
      </c>
      <c r="D32" s="330"/>
      <c r="E32" s="310">
        <f>IFERROR(VLOOKUP(C32,TR!$B$2:$F$612,2,0),"")</f>
        <v>0</v>
      </c>
      <c r="F32" s="311">
        <f>IFERROR(VLOOKUP(C32,TR!$B$2:$F$612,3,0),"")</f>
        <v>0</v>
      </c>
      <c r="G32" s="328">
        <f t="shared" si="5"/>
        <v>0</v>
      </c>
      <c r="H32" s="310">
        <f>IFERROR(VLOOKUP(C32,TR!$B$2:$F$612,4,0),"")</f>
        <v>0</v>
      </c>
      <c r="I32" s="311">
        <f>IFERROR(VLOOKUP(C32,TR!$B$2:$F$612,5,0),"")</f>
        <v>0</v>
      </c>
      <c r="J32" s="328">
        <f t="shared" si="6"/>
        <v>0</v>
      </c>
      <c r="K32" s="520" t="str">
        <f t="shared" si="0"/>
        <v/>
      </c>
      <c r="L32" s="521" t="str">
        <f t="shared" si="1"/>
        <v/>
      </c>
      <c r="M32" s="324" t="str">
        <f t="shared" si="2"/>
        <v/>
      </c>
      <c r="N32" s="293" t="str">
        <f t="shared" si="7"/>
        <v/>
      </c>
      <c r="O32" s="315" t="str">
        <f t="shared" si="8"/>
        <v/>
      </c>
      <c r="P32" s="522" t="str">
        <f>IF(AND(L32="",M32=""),IF(OR(SUMPRODUCT(N(ISNUMBER(FIND({"s";"d";"f"},C32))))&gt;0,G32+J32&lt;0,AND(G32&gt;0,J32&gt;0,I32&gt;"20:30"*1),AND(I32&lt;="20:30"*1,SUM(I32,R32)&gt;="20:31"*1)),1,""),"")</f>
        <v/>
      </c>
      <c r="Q32" s="326" t="str">
        <f>IF(OR(AND(G32&gt;0,AND(J32=0)),OR(G32=0,AND(J32&gt;0)),OR(G32+J32&gt;0)),IF(R32="","",IF(#REF!+R32&gt;="13:01"*1,1,"")))</f>
        <v/>
      </c>
      <c r="R32" s="295"/>
      <c r="S32" s="523" t="str">
        <f t="shared" si="3"/>
        <v/>
      </c>
      <c r="T32" s="34">
        <f t="shared" si="4"/>
        <v>0</v>
      </c>
      <c r="U32" s="154">
        <f t="shared" si="10"/>
        <v>0</v>
      </c>
      <c r="V32" s="188"/>
      <c r="W32" s="156" t="str">
        <f t="shared" si="9"/>
        <v>0,00</v>
      </c>
    </row>
    <row r="33" spans="1:24" ht="14.4" x14ac:dyDescent="0.3">
      <c r="A33" s="40"/>
      <c r="B33" s="304">
        <v>43434</v>
      </c>
      <c r="C33" s="329" t="s">
        <v>47</v>
      </c>
      <c r="D33" s="330"/>
      <c r="E33" s="310">
        <f>IFERROR(VLOOKUP(C33,TR!$B$2:$F$612,2,0),"")</f>
        <v>0</v>
      </c>
      <c r="F33" s="311">
        <f>IFERROR(VLOOKUP(C33,TR!$B$2:$F$612,3,0),"")</f>
        <v>0</v>
      </c>
      <c r="G33" s="328">
        <f t="shared" si="5"/>
        <v>0</v>
      </c>
      <c r="H33" s="310">
        <f>IFERROR(VLOOKUP(C33,TR!$B$2:$F$612,4,0),"")</f>
        <v>0</v>
      </c>
      <c r="I33" s="311">
        <f>IFERROR(VLOOKUP(C33,TR!$B$2:$F$612,5,0),"")</f>
        <v>0</v>
      </c>
      <c r="J33" s="328">
        <f t="shared" si="6"/>
        <v>0</v>
      </c>
      <c r="K33" s="520" t="str">
        <f t="shared" si="0"/>
        <v/>
      </c>
      <c r="L33" s="521" t="str">
        <f t="shared" si="1"/>
        <v/>
      </c>
      <c r="M33" s="324" t="str">
        <f t="shared" si="2"/>
        <v/>
      </c>
      <c r="N33" s="293" t="str">
        <f t="shared" si="7"/>
        <v/>
      </c>
      <c r="O33" s="315" t="str">
        <f t="shared" si="8"/>
        <v/>
      </c>
      <c r="P33" s="522" t="str">
        <f>IF(AND(L33="",M33=""),IF(OR(SUMPRODUCT(N(ISNUMBER(FIND({"s";"d";"f"},C33))))&gt;0,G33+J33&lt;0,AND(G33&gt;0,J33&gt;0,I33&gt;"20:30"*1),AND(I33&lt;="20:30"*1,SUM(I33,R33)&gt;="20:31"*1)),1,""),"")</f>
        <v/>
      </c>
      <c r="Q33" s="326" t="str">
        <f>IF(OR(AND(G33&gt;0,AND(J33=0)),OR(G33=0,AND(J33&gt;0)),OR(G33+J33&gt;0)),IF(R33="","",IF(#REF!+R33&gt;="13:01"*1,1,"")))</f>
        <v/>
      </c>
      <c r="R33" s="295"/>
      <c r="S33" s="523" t="str">
        <f t="shared" si="3"/>
        <v/>
      </c>
      <c r="T33" s="34">
        <f t="shared" si="4"/>
        <v>0</v>
      </c>
      <c r="U33" s="154">
        <f t="shared" si="10"/>
        <v>0</v>
      </c>
      <c r="V33" s="188"/>
      <c r="W33" s="156" t="str">
        <f t="shared" si="9"/>
        <v>0,00</v>
      </c>
    </row>
    <row r="34" spans="1:24" ht="15" thickBot="1" x14ac:dyDescent="0.35">
      <c r="A34" s="40"/>
      <c r="B34" s="354"/>
      <c r="C34" s="355"/>
      <c r="D34" s="356"/>
      <c r="E34" s="357" t="str">
        <f>IFERROR(VLOOKUP(C34,TR!$B$2:$F$612,2,0),"")</f>
        <v/>
      </c>
      <c r="F34" s="358" t="str">
        <f>IFERROR(VLOOKUP(C34,TR!$B$2:$F$612,3,0),"")</f>
        <v/>
      </c>
      <c r="G34" s="359"/>
      <c r="H34" s="357" t="str">
        <f>IFERROR(VLOOKUP(C34,TR!$B$2:$F$612,4,0),"")</f>
        <v/>
      </c>
      <c r="I34" s="358" t="str">
        <f>IFERROR(VLOOKUP(C34,TR!$B$2:$F$612,5,0),"")</f>
        <v/>
      </c>
      <c r="J34" s="359"/>
      <c r="K34" s="528" t="str">
        <f t="shared" si="0"/>
        <v/>
      </c>
      <c r="L34" s="529" t="str">
        <f t="shared" si="1"/>
        <v/>
      </c>
      <c r="M34" s="362" t="str">
        <f t="shared" si="2"/>
        <v/>
      </c>
      <c r="N34" s="298" t="str">
        <f t="shared" si="7"/>
        <v/>
      </c>
      <c r="O34" s="363" t="str">
        <f t="shared" ref="O34" si="11">IF(AND(LEFT(C34,1)="f",AND(O33&lt;&gt;1)),1,IF(OR(ISNUMBER(FIND("FériéCC",C34)),ISNUMBER(FIND("FériéCH",C34)),ISNUMBER(FIND("f",C34))),1,""))</f>
        <v/>
      </c>
      <c r="P34" s="530" t="str">
        <f>IF(AND(L34="",M34=""),IF(OR(SUMPRODUCT(N(ISNUMBER(FIND({"s";"d";"f"},C34))))&gt;0,G34+J34&lt;0,AND(G34&gt;0,J34&gt;0,I34&gt;"20:30"*1),AND(I34&lt;="20:30"*1,SUM(I34,R34)&gt;="20:31"*1)),1,""),"")</f>
        <v/>
      </c>
      <c r="Q34" s="365" t="str">
        <f>IF(OR(AND(G34&gt;0,AND(J34=0)),OR(G34=0,AND(J34&gt;0)),OR(G34+J34&gt;0)),IF(R34="","",IF(#REF!+R34&gt;="13:01"*1,1,"")))</f>
        <v/>
      </c>
      <c r="R34" s="299"/>
      <c r="S34" s="531" t="str">
        <f t="shared" si="3"/>
        <v/>
      </c>
      <c r="T34" s="39">
        <f t="shared" si="4"/>
        <v>0</v>
      </c>
      <c r="U34" s="155">
        <f t="shared" si="10"/>
        <v>0</v>
      </c>
      <c r="V34" s="189"/>
      <c r="W34" s="157" t="str">
        <f t="shared" si="9"/>
        <v>0,00</v>
      </c>
    </row>
    <row r="35" spans="1:24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Q35" s="372"/>
      <c r="S35" s="54"/>
      <c r="T35" s="55"/>
      <c r="U35" s="56"/>
      <c r="V35" s="57"/>
    </row>
    <row r="36" spans="1:24" ht="14.4" x14ac:dyDescent="0.3">
      <c r="A36" s="40"/>
      <c r="B36" s="373" t="s">
        <v>17</v>
      </c>
      <c r="C36" s="142">
        <f>(COUNTIF(Octobre!C24:C34,"&lt;&gt;")+COUNTIF(Novembre!C4:C23,"&lt;&gt;"))-(COUNTIF(Octobre!C24:C34,"CC*")+COUNTIF(Novembre!C4:C23,"CC*"))-(COUNTIF(Octobre!C24:C34,"CH*")+COUNTIF(Novembre!C4:C23,"CH*"))-(COUNTIF(Octobre!C24:C34,"RT*")+COUNTIF(Novembre!C4:C23,"RT*"))-(COUNTIF(Octobre!C24:C34,"Férié*")+COUNTIF(Novembre!C4:C23,"Férié*"))-(COUNTIF(Octobre!C24:C34,"RTA*")+COUNTIF(Novembre!C4:C23,"RTA*"))-(COUNTIF(Octobre!C24:C34,"CP*")+COUNTIF(Novembre!C4:C23,"CP*"))</f>
        <v>0</v>
      </c>
      <c r="E36" s="370"/>
      <c r="F36" s="40"/>
      <c r="G36" s="40"/>
      <c r="I36" s="613" t="s">
        <v>55</v>
      </c>
      <c r="J36" s="613"/>
      <c r="K36" s="72">
        <f>SUM(Octobre!$K$24:$K$34,K4:K23)</f>
        <v>0</v>
      </c>
      <c r="L36" s="73">
        <f>SUM(Octobre!$L$24:$L$34,L4:L23)</f>
        <v>0</v>
      </c>
      <c r="M36" s="214">
        <f>SUM(Octobre!$M$24:$M$34,M4:M23)</f>
        <v>0</v>
      </c>
      <c r="N36" s="75">
        <f>SUM(Octobre!$N$24:$N$34,N4:N23)</f>
        <v>0</v>
      </c>
      <c r="O36" s="76">
        <f>SUM(Octobre!$O$24:$O$34,O4:O23)</f>
        <v>0</v>
      </c>
      <c r="P36" s="213">
        <f>SUM(Octobre!$P$24:$P$34,P4:P23)</f>
        <v>0</v>
      </c>
      <c r="Q36" s="77">
        <f>SUM(Octobre!$Q$24:$Q$34,Q4:Q23)</f>
        <v>0</v>
      </c>
      <c r="R36" s="232">
        <f>SUM(Octobre!$R$24:$R$34,R4:R23)</f>
        <v>0</v>
      </c>
      <c r="S36" s="78"/>
      <c r="T36" s="79">
        <f>SUM(Octobre!T24:T34)+SUM(Novembre!T4:T23)</f>
        <v>0</v>
      </c>
      <c r="U36" s="80">
        <f>SUM(U4:U34)</f>
        <v>0</v>
      </c>
      <c r="V36" s="186">
        <f>SUM(V4:V34)</f>
        <v>0</v>
      </c>
      <c r="W36" s="59"/>
    </row>
    <row r="37" spans="1:24" ht="14.4" thickBot="1" x14ac:dyDescent="0.3">
      <c r="A37" s="40"/>
      <c r="B37" s="374" t="s">
        <v>51</v>
      </c>
      <c r="C37" s="143">
        <f>(COUNTIF(Octobre!C24:C34,"CP")+COUNTIF(Novembre!C4:C23,"CP"))</f>
        <v>0</v>
      </c>
      <c r="F37" s="40"/>
      <c r="G37" s="40"/>
      <c r="H37" s="40"/>
      <c r="I37" s="40"/>
      <c r="J37" s="40"/>
      <c r="K37" s="375">
        <f>(I39*2)*K36</f>
        <v>0</v>
      </c>
      <c r="L37" s="376">
        <f>Recap!H35*L36</f>
        <v>0</v>
      </c>
      <c r="M37" s="377">
        <f>Recap!H35*M36</f>
        <v>0</v>
      </c>
      <c r="N37" s="378">
        <f>(I39*5)*N36</f>
        <v>0</v>
      </c>
      <c r="O37" s="379">
        <f>(Recap!H33)*O36</f>
        <v>0</v>
      </c>
      <c r="P37" s="380">
        <f>7.5*P36</f>
        <v>0</v>
      </c>
      <c r="Q37" s="381">
        <f>(I39*1.5)*Q36</f>
        <v>0</v>
      </c>
      <c r="R37" s="382">
        <f>R36*24</f>
        <v>0</v>
      </c>
      <c r="S37" s="61"/>
      <c r="T37" s="62"/>
      <c r="U37" s="63"/>
      <c r="V37" s="57"/>
      <c r="W37" s="59"/>
    </row>
    <row r="38" spans="1:24" x14ac:dyDescent="0.25">
      <c r="B38" s="383" t="s">
        <v>47</v>
      </c>
      <c r="C38" s="144">
        <f>(COUNTIF(Octobre!C24:C34,"CH")+COUNTIF(Novembre!C4:C23,"CH"))</f>
        <v>4</v>
      </c>
      <c r="F38" s="40"/>
      <c r="G38" s="40"/>
      <c r="H38" s="40"/>
      <c r="I38" s="384" t="s">
        <v>54</v>
      </c>
      <c r="J38" s="40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04"/>
      <c r="V38" s="104">
        <v>6.1749999999999998</v>
      </c>
      <c r="W38" s="81">
        <f>V38*24</f>
        <v>148.19999999999999</v>
      </c>
      <c r="X38" s="69"/>
    </row>
    <row r="39" spans="1:24" ht="14.4" thickBot="1" x14ac:dyDescent="0.3">
      <c r="B39" s="385" t="s">
        <v>45</v>
      </c>
      <c r="C39" s="145">
        <f>(COUNTIF(Octobre!C24:C34,"RT")+COUNTIF(Novembre!C4:C23,"RT"))</f>
        <v>0</v>
      </c>
      <c r="F39" s="40"/>
      <c r="G39" s="40"/>
      <c r="H39" s="40"/>
      <c r="I39" s="386">
        <v>8.8528000000000002</v>
      </c>
      <c r="J39" s="40"/>
      <c r="K39" s="40"/>
      <c r="L39" s="40"/>
      <c r="M39" s="40"/>
      <c r="N39" s="387"/>
      <c r="O39" s="387"/>
      <c r="V39" s="388"/>
      <c r="W39" s="388"/>
      <c r="X39" s="389"/>
    </row>
    <row r="40" spans="1:24" x14ac:dyDescent="0.25">
      <c r="B40" s="390" t="s">
        <v>46</v>
      </c>
      <c r="C40" s="146">
        <f>(COUNTIF(Octobre!C24:C34,"CC")+COUNTIF(Novembre!C4:C23,"CC"))</f>
        <v>4</v>
      </c>
      <c r="T40" s="615" t="s">
        <v>16</v>
      </c>
      <c r="U40" s="604"/>
      <c r="V40" s="391" t="str">
        <f>IF(V38&gt;T36,"-","")&amp;TEXT(ABS(T36-V38),"[h]:mm")</f>
        <v>-148:12</v>
      </c>
      <c r="W40" s="471">
        <f>(T36-V38)*24</f>
        <v>-148.19999999999999</v>
      </c>
      <c r="X40" s="69"/>
    </row>
    <row r="41" spans="1:24" ht="14.4" thickBot="1" x14ac:dyDescent="0.3">
      <c r="B41" s="393" t="s">
        <v>11</v>
      </c>
      <c r="C41" s="147">
        <f>(COUNTIF(Octobre!C24:C34,"Férié")+COUNTIF(Novembre!C4:C23,"Férié"))</f>
        <v>1</v>
      </c>
      <c r="W41" s="389"/>
    </row>
    <row r="42" spans="1:24" ht="15" thickTop="1" thickBot="1" x14ac:dyDescent="0.3">
      <c r="B42" s="394" t="s">
        <v>153</v>
      </c>
      <c r="C42" s="230">
        <f>(COUNTIF(Octobre!C24:C34,"FériéCC")+COUNTIF(Novembre!C4:C23,"FériéCH"))</f>
        <v>0</v>
      </c>
      <c r="R42" s="616" t="s">
        <v>201</v>
      </c>
      <c r="S42" s="642"/>
      <c r="T42" s="395">
        <f>SUM(T4:T34)</f>
        <v>0</v>
      </c>
      <c r="W42" s="70"/>
    </row>
    <row r="43" spans="1:24" ht="15.6" thickTop="1" thickBot="1" x14ac:dyDescent="0.35">
      <c r="B43" s="590" t="s">
        <v>239</v>
      </c>
      <c r="C43" s="591">
        <f>(COUNTIF(Octobre!C24:C34,"RTN")+COUNTIF(Novembre!C4:C23,"RTN"))</f>
        <v>8</v>
      </c>
      <c r="S43" s="71"/>
      <c r="T43" s="257">
        <f>T42*24</f>
        <v>0</v>
      </c>
      <c r="W43" s="397">
        <f>(T42-V38)*24</f>
        <v>-148.19999999999999</v>
      </c>
    </row>
    <row r="44" spans="1:24" ht="15.6" thickTop="1" thickBot="1" x14ac:dyDescent="0.35">
      <c r="B44" s="592" t="s">
        <v>238</v>
      </c>
      <c r="C44" s="593">
        <f>(COUNTIF(Octobre!C24:C34,"RTA")+COUNTIF(Novembre!C4:C23,"RTA"))</f>
        <v>5</v>
      </c>
      <c r="P44" s="71"/>
      <c r="Q44" s="71"/>
    </row>
    <row r="45" spans="1:24" ht="14.4" thickBot="1" x14ac:dyDescent="0.3">
      <c r="B45" s="596" t="s">
        <v>241</v>
      </c>
      <c r="C45" s="597">
        <f>(COUNTIF(Octobre!C23:C34,"CET")+COUNTIF(Novembre!C4:C23,"CET"))</f>
        <v>5</v>
      </c>
      <c r="F45" s="605" t="s">
        <v>57</v>
      </c>
      <c r="G45" s="606"/>
      <c r="H45" s="606"/>
      <c r="I45" s="606"/>
      <c r="J45" s="606"/>
      <c r="K45" s="606"/>
      <c r="L45" s="606"/>
      <c r="M45" s="606"/>
      <c r="N45" s="606"/>
      <c r="O45" s="606"/>
      <c r="P45" s="606"/>
      <c r="Q45" s="607"/>
    </row>
    <row r="46" spans="1:24" ht="14.4" thickTop="1" x14ac:dyDescent="0.25">
      <c r="F46" s="444"/>
      <c r="G46" s="445"/>
      <c r="H46" s="445"/>
      <c r="I46" s="445"/>
      <c r="J46" s="445"/>
      <c r="K46" s="445"/>
      <c r="L46" s="445"/>
      <c r="M46" s="445"/>
      <c r="N46" s="445"/>
      <c r="O46" s="445"/>
      <c r="P46" s="445"/>
      <c r="Q46" s="446"/>
    </row>
    <row r="47" spans="1:24" x14ac:dyDescent="0.25">
      <c r="F47" s="398"/>
      <c r="G47" s="399"/>
      <c r="H47" s="399"/>
      <c r="I47" s="399"/>
      <c r="J47" s="399"/>
      <c r="K47" s="399"/>
      <c r="L47" s="399"/>
      <c r="M47" s="399"/>
      <c r="N47" s="399"/>
      <c r="O47" s="399"/>
      <c r="P47" s="399"/>
      <c r="Q47" s="400"/>
    </row>
    <row r="48" spans="1:24" x14ac:dyDescent="0.25">
      <c r="F48" s="398"/>
      <c r="G48" s="399"/>
      <c r="H48" s="399"/>
      <c r="I48" s="399"/>
      <c r="J48" s="399"/>
      <c r="K48" s="399"/>
      <c r="L48" s="399"/>
      <c r="M48" s="399"/>
      <c r="N48" s="399"/>
      <c r="O48" s="399"/>
      <c r="P48" s="399"/>
      <c r="Q48" s="400"/>
    </row>
    <row r="49" spans="6:17" x14ac:dyDescent="0.25">
      <c r="F49" s="398"/>
      <c r="G49" s="399"/>
      <c r="H49" s="399"/>
      <c r="I49" s="399"/>
      <c r="J49" s="399"/>
      <c r="K49" s="399"/>
      <c r="L49" s="399"/>
      <c r="M49" s="399"/>
      <c r="N49" s="399"/>
      <c r="O49" s="399"/>
      <c r="P49" s="399"/>
      <c r="Q49" s="400"/>
    </row>
    <row r="50" spans="6:17" x14ac:dyDescent="0.25">
      <c r="F50" s="398"/>
      <c r="G50" s="399"/>
      <c r="H50" s="399"/>
      <c r="I50" s="399"/>
      <c r="J50" s="399"/>
      <c r="K50" s="399"/>
      <c r="L50" s="399"/>
      <c r="M50" s="399"/>
      <c r="N50" s="399"/>
      <c r="O50" s="399"/>
      <c r="P50" s="399"/>
      <c r="Q50" s="400"/>
    </row>
    <row r="51" spans="6:17" x14ac:dyDescent="0.25">
      <c r="F51" s="398"/>
      <c r="G51" s="399"/>
      <c r="H51" s="399"/>
      <c r="I51" s="399"/>
      <c r="J51" s="399"/>
      <c r="K51" s="399"/>
      <c r="L51" s="399"/>
      <c r="M51" s="399"/>
      <c r="N51" s="399"/>
      <c r="O51" s="399"/>
      <c r="P51" s="399"/>
      <c r="Q51" s="400"/>
    </row>
    <row r="52" spans="6:17" x14ac:dyDescent="0.25">
      <c r="F52" s="398"/>
      <c r="G52" s="399"/>
      <c r="H52" s="399"/>
      <c r="I52" s="399"/>
      <c r="J52" s="399"/>
      <c r="K52" s="399"/>
      <c r="L52" s="399"/>
      <c r="M52" s="399"/>
      <c r="N52" s="399"/>
      <c r="O52" s="399"/>
      <c r="P52" s="399"/>
      <c r="Q52" s="400"/>
    </row>
    <row r="53" spans="6:17" x14ac:dyDescent="0.25">
      <c r="F53" s="398"/>
      <c r="G53" s="399"/>
      <c r="H53" s="399"/>
      <c r="I53" s="399"/>
      <c r="J53" s="399"/>
      <c r="K53" s="399"/>
      <c r="L53" s="399"/>
      <c r="M53" s="399"/>
      <c r="N53" s="399"/>
      <c r="O53" s="399"/>
      <c r="P53" s="399"/>
      <c r="Q53" s="400"/>
    </row>
    <row r="54" spans="6:17" x14ac:dyDescent="0.25">
      <c r="F54" s="398"/>
      <c r="G54" s="399"/>
      <c r="H54" s="399"/>
      <c r="I54" s="399"/>
      <c r="J54" s="399"/>
      <c r="K54" s="399"/>
      <c r="L54" s="399"/>
      <c r="M54" s="399"/>
      <c r="N54" s="399"/>
      <c r="O54" s="399"/>
      <c r="P54" s="399"/>
      <c r="Q54" s="400"/>
    </row>
    <row r="55" spans="6:17" x14ac:dyDescent="0.25">
      <c r="F55" s="398"/>
      <c r="G55" s="399"/>
      <c r="H55" s="399"/>
      <c r="I55" s="399"/>
      <c r="J55" s="399"/>
      <c r="K55" s="399"/>
      <c r="L55" s="399"/>
      <c r="M55" s="399"/>
      <c r="N55" s="399"/>
      <c r="O55" s="399"/>
      <c r="P55" s="399"/>
      <c r="Q55" s="400"/>
    </row>
    <row r="56" spans="6:17" x14ac:dyDescent="0.25">
      <c r="F56" s="398"/>
      <c r="G56" s="399"/>
      <c r="H56" s="399"/>
      <c r="I56" s="399"/>
      <c r="J56" s="399"/>
      <c r="K56" s="399"/>
      <c r="L56" s="399"/>
      <c r="M56" s="399"/>
      <c r="N56" s="399"/>
      <c r="O56" s="399"/>
      <c r="P56" s="399"/>
      <c r="Q56" s="400"/>
    </row>
    <row r="57" spans="6:17" x14ac:dyDescent="0.25">
      <c r="F57" s="398"/>
      <c r="G57" s="399"/>
      <c r="H57" s="399"/>
      <c r="I57" s="399"/>
      <c r="J57" s="399"/>
      <c r="K57" s="399"/>
      <c r="L57" s="399"/>
      <c r="M57" s="399"/>
      <c r="N57" s="399"/>
      <c r="O57" s="399"/>
      <c r="P57" s="399"/>
      <c r="Q57" s="400"/>
    </row>
    <row r="58" spans="6:17" x14ac:dyDescent="0.25">
      <c r="F58" s="398"/>
      <c r="G58" s="399"/>
      <c r="H58" s="399"/>
      <c r="I58" s="399"/>
      <c r="J58" s="399"/>
      <c r="K58" s="399"/>
      <c r="L58" s="399"/>
      <c r="M58" s="399"/>
      <c r="N58" s="399"/>
      <c r="O58" s="399"/>
      <c r="P58" s="399"/>
      <c r="Q58" s="400"/>
    </row>
    <row r="59" spans="6:17" ht="14.4" thickBot="1" x14ac:dyDescent="0.3">
      <c r="F59" s="401"/>
      <c r="G59" s="402"/>
      <c r="H59" s="402"/>
      <c r="I59" s="402"/>
      <c r="J59" s="402"/>
      <c r="K59" s="402"/>
      <c r="L59" s="402"/>
      <c r="M59" s="402"/>
      <c r="N59" s="402"/>
      <c r="O59" s="402"/>
      <c r="P59" s="402"/>
      <c r="Q59" s="403"/>
    </row>
    <row r="60" spans="6:17" ht="14.4" thickTop="1" x14ac:dyDescent="0.25"/>
  </sheetData>
  <mergeCells count="9">
    <mergeCell ref="B1:W1"/>
    <mergeCell ref="T2:W2"/>
    <mergeCell ref="F45:Q45"/>
    <mergeCell ref="E3:F3"/>
    <mergeCell ref="H3:I3"/>
    <mergeCell ref="I36:J36"/>
    <mergeCell ref="T38:U38"/>
    <mergeCell ref="T40:U40"/>
    <mergeCell ref="R42:S42"/>
  </mergeCells>
  <conditionalFormatting sqref="C4:C34">
    <cfRule type="expression" dxfId="11" priority="17" stopIfTrue="1">
      <formula>ISNUMBER(FIND("d",$C4))</formula>
    </cfRule>
  </conditionalFormatting>
  <conditionalFormatting sqref="V40:W40">
    <cfRule type="expression" dxfId="10" priority="4" stopIfTrue="1">
      <formula>$T$36&gt;$V$38</formula>
    </cfRule>
    <cfRule type="expression" dxfId="9" priority="16" stopIfTrue="1">
      <formula>$T$36&lt;$V$38</formula>
    </cfRule>
  </conditionalFormatting>
  <conditionalFormatting sqref="C4:Q34">
    <cfRule type="expression" dxfId="8" priority="22">
      <formula>OR(ISNUMBER(FIND("Férié",$C4)),ISNUMBER(FIND("f",$C4)))</formula>
    </cfRule>
    <cfRule type="expression" dxfId="7" priority="31" stopIfTrue="1">
      <formula>ISNUMBER(FIND("CP",$C4))</formula>
    </cfRule>
    <cfRule type="expression" dxfId="6" priority="42" stopIfTrue="1">
      <formula>ISNUMBER(FIND("t",$C4))</formula>
    </cfRule>
  </conditionalFormatting>
  <pageMargins left="0.7" right="0.7" top="0.75" bottom="0.75" header="0.3" footer="0.3"/>
  <ignoredErrors>
    <ignoredError sqref="T42:T43" unlocked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2"/>
  <sheetViews>
    <sheetView topLeftCell="A10" workbookViewId="0">
      <selection activeCell="C32" sqref="C32"/>
    </sheetView>
  </sheetViews>
  <sheetFormatPr baseColWidth="10" defaultColWidth="11" defaultRowHeight="13.8" x14ac:dyDescent="0.25"/>
  <cols>
    <col min="1" max="1" width="3.59765625" style="369" customWidth="1"/>
    <col min="2" max="2" width="14.59765625" style="369" customWidth="1"/>
    <col min="3" max="3" width="8.59765625" style="369" customWidth="1"/>
    <col min="4" max="4" width="7.59765625" style="369" customWidth="1"/>
    <col min="5" max="23" width="8.59765625" style="369" customWidth="1"/>
    <col min="24" max="16384" width="11" style="369"/>
  </cols>
  <sheetData>
    <row r="1" spans="1:23" ht="14.4" thickBot="1" x14ac:dyDescent="0.3">
      <c r="A1" s="40"/>
      <c r="B1" s="602" t="s">
        <v>23</v>
      </c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 s="603"/>
      <c r="P1" s="603"/>
      <c r="Q1" s="603"/>
      <c r="R1" s="603"/>
      <c r="S1" s="604"/>
      <c r="T1" s="604"/>
      <c r="U1" s="604"/>
      <c r="V1" s="604"/>
      <c r="W1" s="604"/>
    </row>
    <row r="2" spans="1:23" ht="14.4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608" t="s">
        <v>1</v>
      </c>
      <c r="U2" s="609"/>
      <c r="V2" s="609"/>
      <c r="W2" s="610"/>
    </row>
    <row r="3" spans="1:23" ht="14.4" thickBot="1" x14ac:dyDescent="0.3">
      <c r="A3" s="40"/>
      <c r="B3" s="301" t="s">
        <v>2</v>
      </c>
      <c r="C3" s="302" t="s">
        <v>71</v>
      </c>
      <c r="D3" s="302" t="s">
        <v>146</v>
      </c>
      <c r="E3" s="611" t="s">
        <v>4</v>
      </c>
      <c r="F3" s="612"/>
      <c r="G3" s="303" t="s">
        <v>5</v>
      </c>
      <c r="H3" s="611" t="s">
        <v>6</v>
      </c>
      <c r="I3" s="612"/>
      <c r="J3" s="303" t="s">
        <v>5</v>
      </c>
      <c r="K3" s="41" t="s">
        <v>7</v>
      </c>
      <c r="L3" s="42" t="s">
        <v>8</v>
      </c>
      <c r="M3" s="220" t="s">
        <v>9</v>
      </c>
      <c r="N3" s="43" t="s">
        <v>10</v>
      </c>
      <c r="O3" s="44" t="s">
        <v>11</v>
      </c>
      <c r="P3" s="45" t="s">
        <v>12</v>
      </c>
      <c r="Q3" s="46" t="s">
        <v>61</v>
      </c>
      <c r="R3" s="300" t="s">
        <v>207</v>
      </c>
      <c r="S3" s="47" t="s">
        <v>60</v>
      </c>
      <c r="T3" s="48" t="s">
        <v>13</v>
      </c>
      <c r="U3" s="49" t="s">
        <v>14</v>
      </c>
      <c r="V3" s="50" t="s">
        <v>15</v>
      </c>
      <c r="W3" s="51" t="s">
        <v>22</v>
      </c>
    </row>
    <row r="4" spans="1:23" ht="14.4" x14ac:dyDescent="0.3">
      <c r="A4" s="40"/>
      <c r="B4" s="304">
        <v>43435</v>
      </c>
      <c r="C4" s="305" t="s">
        <v>51</v>
      </c>
      <c r="D4" s="306"/>
      <c r="E4" s="307">
        <f>IFERROR(VLOOKUP(C4,TR!$B$2:$F$612,2,0),"")</f>
        <v>0</v>
      </c>
      <c r="F4" s="308">
        <f>IFERROR(VLOOKUP(C4,TR!$B$2:$F$612,3,0),"")</f>
        <v>0</v>
      </c>
      <c r="G4" s="309">
        <f>IF(ISERROR(F4-E4),0,F4-E4)</f>
        <v>0</v>
      </c>
      <c r="H4" s="310">
        <f>IFERROR(VLOOKUP(C4,TR!$B$2:$F$612,4,0),"")</f>
        <v>0</v>
      </c>
      <c r="I4" s="311">
        <f>IFERROR(VLOOKUP(C4,TR!$B$2:$F$612,5,0),"")</f>
        <v>0</v>
      </c>
      <c r="J4" s="309">
        <f>IF(ISERROR(I4-H4),0,(I4-H4))</f>
        <v>0</v>
      </c>
      <c r="K4" s="312" t="str">
        <f t="shared" ref="K4:K34" si="0">IF(COUNTA(E4:F4,H4:I4)=5,1,IF(AND(E4&lt;"5:00"*1,E4&gt;"2:00"*1),1,IF(AND(I4&gt;="22:01"*1,I4&lt;="26:01"*1),1,IF(AND(I4&lt;="22:00"*1,SUM(I4,R4)&gt;="22:01"*1),1,""))))</f>
        <v/>
      </c>
      <c r="L4" s="313" t="str">
        <f t="shared" ref="L4:L34" si="1">IF(AND(F4&gt;="13:15"*1,H4&lt;""),1,IF(AND(H4&gt;="11:00"*1,H4&lt;="12:15"*1),1,IF(AND(F4&lt;="13:15"*1,SUM(F4,R4)&gt;="13:15"*1),1,"")))</f>
        <v/>
      </c>
      <c r="M4" s="314" t="str">
        <f t="shared" ref="M4:M34" si="2">IF(AND(I4&gt;="19:30"*1,1,I4&gt;"21:30"*1,C4&lt;&gt;""),1,IF(AND(I4&lt;="21:30"*1,SUM(I4,R4)&gt;="21:30"*1),1,""))</f>
        <v/>
      </c>
      <c r="N4" s="36" t="str">
        <f>IF(AND(LEFT(C4,1)="d",AND(Novembre!N33&lt;&gt;1)),1,IF(AND(LEFT(C4,1)="s",I4&gt;="24:01"*1),1,IF(AND(I4&lt;&gt;"",I4&lt;="23:59"*1,SUM(I4,R4)&gt;="24:01"*1),1,"")))</f>
        <v/>
      </c>
      <c r="O4" s="450" t="str">
        <f>IF(AND(I4&gt;"24:00"*1,ISNUMBER(FIND("f",C5))),1,IF(AND(OR(ISNUMBER(FIND("FériéCC",C4)),ISNUMBER(FIND("FériéCH",C4)),ISNUMBER(FIND("f",C4)))),1,""))</f>
        <v/>
      </c>
      <c r="P4" s="451" t="str">
        <f>IF(AND(L4="",M4=""),IF(OR(SUMPRODUCT(N(ISNUMBER(FIND({"s";"d";"f"},C4))))&gt;0,G4+J4&lt;0,AND(G4&gt;0,J4&gt;0,I4&gt;"20:30"*1),AND(I4&lt;="20:30"*1,SUM(I4,R4)&gt;="20:31"*1)),1,""),"")</f>
        <v/>
      </c>
      <c r="Q4" s="317" t="str">
        <f>IF(OR(AND(G4&gt;0,AND(J4=0)),OR(G4=0,AND(J4&gt;0)),OR(G4+J4&gt;0)),IF(S4="","",IF(R4+S4&gt;="13:01"*1,1,"")))</f>
        <v/>
      </c>
      <c r="R4" s="29"/>
      <c r="S4" s="318" t="str">
        <f t="shared" ref="S4:S34" si="3">IF(G4=0,IF(J4=0,"",I4-H4),IF(J4=0,F4-E4,I4-E4))</f>
        <v/>
      </c>
      <c r="T4" s="34">
        <f t="shared" ref="T4:T34" si="4">IF(ISERROR((F4-E4)+(I4-H4)),0,(F4-E4)+(I4-H4))</f>
        <v>0</v>
      </c>
      <c r="U4" s="153">
        <f>T4*24</f>
        <v>0</v>
      </c>
      <c r="V4" s="187"/>
      <c r="W4" s="152" t="str">
        <f>IF(U4-V4=0,"0,00",U4-V4)</f>
        <v>0,00</v>
      </c>
    </row>
    <row r="5" spans="1:23" ht="14.4" x14ac:dyDescent="0.3">
      <c r="A5" s="40"/>
      <c r="B5" s="304">
        <v>43436</v>
      </c>
      <c r="C5" s="319" t="s">
        <v>51</v>
      </c>
      <c r="D5" s="320"/>
      <c r="E5" s="310">
        <f>IFERROR(VLOOKUP(C5,TR!$B$2:$F$612,2,0),"")</f>
        <v>0</v>
      </c>
      <c r="F5" s="311">
        <f>IFERROR(VLOOKUP(C5,TR!$B$2:$F$612,3,0),"")</f>
        <v>0</v>
      </c>
      <c r="G5" s="321">
        <f t="shared" ref="G5:G34" si="5">IF(ISERROR(F5-E5),0,F5-E5)</f>
        <v>0</v>
      </c>
      <c r="H5" s="310">
        <f>IFERROR(VLOOKUP(C5,TR!$B$2:$F$612,4,0),"")</f>
        <v>0</v>
      </c>
      <c r="I5" s="311">
        <f>IFERROR(VLOOKUP(C5,TR!$B$2:$F$612,5,0),"")</f>
        <v>0</v>
      </c>
      <c r="J5" s="321">
        <f t="shared" ref="J5:J34" si="6">IF(ISERROR(I5-H5),0,(I5-H5))</f>
        <v>0</v>
      </c>
      <c r="K5" s="322" t="str">
        <f t="shared" si="0"/>
        <v/>
      </c>
      <c r="L5" s="323" t="str">
        <f t="shared" si="1"/>
        <v/>
      </c>
      <c r="M5" s="324" t="str">
        <f t="shared" si="2"/>
        <v/>
      </c>
      <c r="N5" s="37" t="str">
        <f t="shared" ref="N5:N34" si="7">IF(AND(LEFT(C5,1)="d",AND(N4&lt;&gt;1)),1,IF(AND(LEFT(C5,1)="s",I5&gt;="24:01"*1),1,IF(AND(I5&lt;&gt;"",I5&lt;="23:59"*1,SUM(I5,R5)&gt;="24:01"*1),1,"")))</f>
        <v/>
      </c>
      <c r="O5" s="315" t="str">
        <f t="shared" ref="O5:O33" si="8">IF(AND(I5&gt;"24:00"*1,ISNUMBER(FIND("f",C6))),1,IF(AND(OR(ISNUMBER(FIND("FériéCC",C5)),ISNUMBER(FIND("FériéCH",C5)),ISNUMBER(FIND("f",C5)))),1,""))</f>
        <v/>
      </c>
      <c r="P5" s="408" t="str">
        <f>IF(AND(L5="",M5=""),IF(OR(SUMPRODUCT(N(ISNUMBER(FIND({"s";"d";"f"},C5))))&gt;0,G5+J5&lt;0,AND(G5&gt;0,J5&gt;0,I5&gt;"20:30"*1),AND(I5&lt;="20:30"*1,SUM(I5,R5)&gt;="20:31"*1)),1,""),"")</f>
        <v/>
      </c>
      <c r="Q5" s="326" t="str">
        <f t="shared" ref="Q5:Q34" si="9">IF(OR(AND(G5&gt;0,AND(J5=0)),OR(G5=0,AND(J5&gt;0)),OR(G5+J5&gt;0)),IF(S5="","",IF(R5+S5&gt;="13:01"*1,1,"")))</f>
        <v/>
      </c>
      <c r="R5" s="30"/>
      <c r="S5" s="327" t="str">
        <f t="shared" si="3"/>
        <v/>
      </c>
      <c r="T5" s="34">
        <f t="shared" si="4"/>
        <v>0</v>
      </c>
      <c r="U5" s="154">
        <f>T5*24</f>
        <v>0</v>
      </c>
      <c r="V5" s="188"/>
      <c r="W5" s="152" t="str">
        <f t="shared" ref="W5:W34" si="10">IF(U5-V5=0,"0,00",U5-V5)</f>
        <v>0,00</v>
      </c>
    </row>
    <row r="6" spans="1:23" ht="14.4" x14ac:dyDescent="0.3">
      <c r="A6" s="40"/>
      <c r="B6" s="304">
        <v>43437</v>
      </c>
      <c r="C6" s="319" t="s">
        <v>51</v>
      </c>
      <c r="D6" s="320"/>
      <c r="E6" s="310">
        <f>IFERROR(VLOOKUP(C6,TR!$B$2:$F$612,2,0),"")</f>
        <v>0</v>
      </c>
      <c r="F6" s="311">
        <f>IFERROR(VLOOKUP(C6,TR!$B$2:$F$612,3,0),"")</f>
        <v>0</v>
      </c>
      <c r="G6" s="321">
        <f t="shared" si="5"/>
        <v>0</v>
      </c>
      <c r="H6" s="310">
        <f>IFERROR(VLOOKUP(C6,TR!$B$2:$F$612,4,0),"")</f>
        <v>0</v>
      </c>
      <c r="I6" s="311">
        <f>IFERROR(VLOOKUP(C6,TR!$B$2:$F$612,5,0),"")</f>
        <v>0</v>
      </c>
      <c r="J6" s="321">
        <f t="shared" si="6"/>
        <v>0</v>
      </c>
      <c r="K6" s="322" t="str">
        <f t="shared" si="0"/>
        <v/>
      </c>
      <c r="L6" s="323" t="str">
        <f t="shared" si="1"/>
        <v/>
      </c>
      <c r="M6" s="324" t="str">
        <f t="shared" si="2"/>
        <v/>
      </c>
      <c r="N6" s="37" t="str">
        <f t="shared" si="7"/>
        <v/>
      </c>
      <c r="O6" s="315" t="str">
        <f t="shared" si="8"/>
        <v/>
      </c>
      <c r="P6" s="408" t="str">
        <f>IF(AND(L6="",M6=""),IF(OR(SUMPRODUCT(N(ISNUMBER(FIND({"s";"d";"f"},C6))))&gt;0,G6+J6&lt;0,AND(G6&gt;0,J6&gt;0,I6&gt;"20:30"*1),AND(I6&lt;="20:30"*1,SUM(I6,R6)&gt;="20:31"*1)),1,""),"")</f>
        <v/>
      </c>
      <c r="Q6" s="326" t="str">
        <f t="shared" si="9"/>
        <v/>
      </c>
      <c r="R6" s="30"/>
      <c r="S6" s="327" t="str">
        <f t="shared" si="3"/>
        <v/>
      </c>
      <c r="T6" s="34">
        <f t="shared" si="4"/>
        <v>0</v>
      </c>
      <c r="U6" s="154">
        <f>T6*24</f>
        <v>0</v>
      </c>
      <c r="V6" s="188"/>
      <c r="W6" s="152" t="str">
        <f t="shared" si="10"/>
        <v>0,00</v>
      </c>
    </row>
    <row r="7" spans="1:23" ht="14.4" x14ac:dyDescent="0.3">
      <c r="A7" s="40"/>
      <c r="B7" s="304">
        <v>43438</v>
      </c>
      <c r="C7" s="319" t="s">
        <v>46</v>
      </c>
      <c r="D7" s="320"/>
      <c r="E7" s="310">
        <f>IFERROR(VLOOKUP(C7,TR!$B$2:$F$612,2,0),"")</f>
        <v>0</v>
      </c>
      <c r="F7" s="311">
        <f>IFERROR(VLOOKUP(C7,TR!$B$2:$F$612,3,0),"")</f>
        <v>0</v>
      </c>
      <c r="G7" s="321">
        <f t="shared" si="5"/>
        <v>0</v>
      </c>
      <c r="H7" s="310">
        <f>IFERROR(VLOOKUP(C7,TR!$B$2:$F$612,4,0),"")</f>
        <v>0</v>
      </c>
      <c r="I7" s="311">
        <f>IFERROR(VLOOKUP(C7,TR!$B$2:$F$612,5,0),"")</f>
        <v>0</v>
      </c>
      <c r="J7" s="321">
        <f t="shared" si="6"/>
        <v>0</v>
      </c>
      <c r="K7" s="322" t="str">
        <f t="shared" si="0"/>
        <v/>
      </c>
      <c r="L7" s="323" t="str">
        <f t="shared" si="1"/>
        <v/>
      </c>
      <c r="M7" s="324" t="str">
        <f t="shared" si="2"/>
        <v/>
      </c>
      <c r="N7" s="37" t="str">
        <f t="shared" si="7"/>
        <v/>
      </c>
      <c r="O7" s="315" t="str">
        <f t="shared" si="8"/>
        <v/>
      </c>
      <c r="P7" s="408" t="str">
        <f>IF(AND(L7="",M7=""),IF(OR(SUMPRODUCT(N(ISNUMBER(FIND({"s";"d";"f"},C7))))&gt;0,G7+J7&lt;0,AND(G7&gt;0,J7&gt;0,I7&gt;"20:30"*1),AND(I7&lt;="20:30"*1,SUM(I7,R7)&gt;="20:31"*1)),1,""),"")</f>
        <v/>
      </c>
      <c r="Q7" s="326" t="str">
        <f t="shared" si="9"/>
        <v/>
      </c>
      <c r="R7" s="30"/>
      <c r="S7" s="327" t="str">
        <f t="shared" si="3"/>
        <v/>
      </c>
      <c r="T7" s="34">
        <f t="shared" si="4"/>
        <v>0</v>
      </c>
      <c r="U7" s="154">
        <f t="shared" ref="U7:U34" si="11">T7*24</f>
        <v>0</v>
      </c>
      <c r="V7" s="188"/>
      <c r="W7" s="152" t="str">
        <f t="shared" si="10"/>
        <v>0,00</v>
      </c>
    </row>
    <row r="8" spans="1:23" ht="14.4" x14ac:dyDescent="0.3">
      <c r="A8" s="40"/>
      <c r="B8" s="304">
        <v>43439</v>
      </c>
      <c r="C8" s="319" t="s">
        <v>51</v>
      </c>
      <c r="D8" s="320"/>
      <c r="E8" s="310">
        <f>IFERROR(VLOOKUP(C8,TR!$B$2:$F$612,2,0),"")</f>
        <v>0</v>
      </c>
      <c r="F8" s="311">
        <f>IFERROR(VLOOKUP(C8,TR!$B$2:$F$612,3,0),"")</f>
        <v>0</v>
      </c>
      <c r="G8" s="321">
        <f t="shared" si="5"/>
        <v>0</v>
      </c>
      <c r="H8" s="310">
        <f>IFERROR(VLOOKUP(C8,TR!$B$2:$F$612,4,0),"")</f>
        <v>0</v>
      </c>
      <c r="I8" s="311">
        <f>IFERROR(VLOOKUP(C8,TR!$B$2:$F$612,5,0),"")</f>
        <v>0</v>
      </c>
      <c r="J8" s="321">
        <f t="shared" si="6"/>
        <v>0</v>
      </c>
      <c r="K8" s="322" t="str">
        <f t="shared" si="0"/>
        <v/>
      </c>
      <c r="L8" s="323" t="str">
        <f t="shared" si="1"/>
        <v/>
      </c>
      <c r="M8" s="324" t="str">
        <f t="shared" si="2"/>
        <v/>
      </c>
      <c r="N8" s="37" t="str">
        <f t="shared" si="7"/>
        <v/>
      </c>
      <c r="O8" s="315" t="str">
        <f t="shared" si="8"/>
        <v/>
      </c>
      <c r="P8" s="408" t="str">
        <f>IF(AND(L8="",M8=""),IF(OR(SUMPRODUCT(N(ISNUMBER(FIND({"s";"d";"f"},C8))))&gt;0,G8+J8&lt;0,AND(G8&gt;0,J8&gt;0,I8&gt;"20:30"*1),AND(I8&lt;="20:30"*1,SUM(I8,R8)&gt;="20:31"*1)),1,""),"")</f>
        <v/>
      </c>
      <c r="Q8" s="326" t="str">
        <f t="shared" si="9"/>
        <v/>
      </c>
      <c r="R8" s="30"/>
      <c r="S8" s="327" t="str">
        <f t="shared" si="3"/>
        <v/>
      </c>
      <c r="T8" s="34">
        <f t="shared" si="4"/>
        <v>0</v>
      </c>
      <c r="U8" s="154">
        <f t="shared" si="11"/>
        <v>0</v>
      </c>
      <c r="V8" s="188"/>
      <c r="W8" s="152" t="str">
        <f t="shared" si="10"/>
        <v>0,00</v>
      </c>
    </row>
    <row r="9" spans="1:23" ht="14.4" x14ac:dyDescent="0.3">
      <c r="A9" s="40"/>
      <c r="B9" s="304">
        <v>43440</v>
      </c>
      <c r="C9" s="319" t="s">
        <v>51</v>
      </c>
      <c r="D9" s="320"/>
      <c r="E9" s="310">
        <f>IFERROR(VLOOKUP(C9,TR!$B$2:$F$612,2,0),"")</f>
        <v>0</v>
      </c>
      <c r="F9" s="311">
        <f>IFERROR(VLOOKUP(C9,TR!$B$2:$F$612,3,0),"")</f>
        <v>0</v>
      </c>
      <c r="G9" s="321">
        <f t="shared" si="5"/>
        <v>0</v>
      </c>
      <c r="H9" s="310">
        <f>IFERROR(VLOOKUP(C9,TR!$B$2:$F$612,4,0),"")</f>
        <v>0</v>
      </c>
      <c r="I9" s="311">
        <f>IFERROR(VLOOKUP(C9,TR!$B$2:$F$612,5,0),"")</f>
        <v>0</v>
      </c>
      <c r="J9" s="321">
        <f t="shared" si="6"/>
        <v>0</v>
      </c>
      <c r="K9" s="322" t="str">
        <f t="shared" si="0"/>
        <v/>
      </c>
      <c r="L9" s="323" t="str">
        <f t="shared" si="1"/>
        <v/>
      </c>
      <c r="M9" s="324" t="str">
        <f t="shared" si="2"/>
        <v/>
      </c>
      <c r="N9" s="37" t="str">
        <f t="shared" si="7"/>
        <v/>
      </c>
      <c r="O9" s="315" t="str">
        <f t="shared" si="8"/>
        <v/>
      </c>
      <c r="P9" s="408" t="str">
        <f>IF(AND(L9="",M9=""),IF(OR(SUMPRODUCT(N(ISNUMBER(FIND({"s";"d";"f"},C9))))&gt;0,G9+J9&lt;0,AND(G9&gt;0,J9&gt;0,I9&gt;"20:30"*1),AND(I9&lt;="20:30"*1,SUM(I9,R9)&gt;="20:31"*1)),1,""),"")</f>
        <v/>
      </c>
      <c r="Q9" s="326" t="str">
        <f t="shared" si="9"/>
        <v/>
      </c>
      <c r="R9" s="30"/>
      <c r="S9" s="327" t="str">
        <f t="shared" si="3"/>
        <v/>
      </c>
      <c r="T9" s="34">
        <f t="shared" si="4"/>
        <v>0</v>
      </c>
      <c r="U9" s="154">
        <f t="shared" si="11"/>
        <v>0</v>
      </c>
      <c r="V9" s="188"/>
      <c r="W9" s="152" t="str">
        <f t="shared" si="10"/>
        <v>0,00</v>
      </c>
    </row>
    <row r="10" spans="1:23" ht="14.4" x14ac:dyDescent="0.3">
      <c r="A10" s="40"/>
      <c r="B10" s="304">
        <v>43441</v>
      </c>
      <c r="C10" s="319" t="s">
        <v>51</v>
      </c>
      <c r="D10" s="320"/>
      <c r="E10" s="310">
        <f>IFERROR(VLOOKUP(C10,TR!$B$2:$F$612,2,0),"")</f>
        <v>0</v>
      </c>
      <c r="F10" s="311">
        <f>IFERROR(VLOOKUP(C10,TR!$B$2:$F$612,3,0),"")</f>
        <v>0</v>
      </c>
      <c r="G10" s="321">
        <f t="shared" si="5"/>
        <v>0</v>
      </c>
      <c r="H10" s="310">
        <f>IFERROR(VLOOKUP(C10,TR!$B$2:$F$612,4,0),"")</f>
        <v>0</v>
      </c>
      <c r="I10" s="311">
        <f>IFERROR(VLOOKUP(C10,TR!$B$2:$F$612,5,0),"")</f>
        <v>0</v>
      </c>
      <c r="J10" s="321">
        <f t="shared" si="6"/>
        <v>0</v>
      </c>
      <c r="K10" s="322" t="str">
        <f t="shared" si="0"/>
        <v/>
      </c>
      <c r="L10" s="323" t="str">
        <f t="shared" si="1"/>
        <v/>
      </c>
      <c r="M10" s="324" t="str">
        <f t="shared" si="2"/>
        <v/>
      </c>
      <c r="N10" s="37" t="str">
        <f t="shared" si="7"/>
        <v/>
      </c>
      <c r="O10" s="315" t="str">
        <f t="shared" si="8"/>
        <v/>
      </c>
      <c r="P10" s="408" t="str">
        <f>IF(AND(L10="",M10=""),IF(OR(SUMPRODUCT(N(ISNUMBER(FIND({"s";"d";"f"},C10))))&gt;0,G10+J10&lt;0,AND(G10&gt;0,J10&gt;0,I10&gt;"20:30"*1),AND(I10&lt;="20:30"*1,SUM(I10,R10)&gt;="20:31"*1)),1,""),"")</f>
        <v/>
      </c>
      <c r="Q10" s="326" t="str">
        <f t="shared" si="9"/>
        <v/>
      </c>
      <c r="R10" s="30"/>
      <c r="S10" s="327" t="str">
        <f t="shared" si="3"/>
        <v/>
      </c>
      <c r="T10" s="34">
        <f t="shared" si="4"/>
        <v>0</v>
      </c>
      <c r="U10" s="154">
        <f t="shared" si="11"/>
        <v>0</v>
      </c>
      <c r="V10" s="188"/>
      <c r="W10" s="152" t="str">
        <f t="shared" si="10"/>
        <v>0,00</v>
      </c>
    </row>
    <row r="11" spans="1:23" ht="14.4" x14ac:dyDescent="0.3">
      <c r="A11" s="40"/>
      <c r="B11" s="304">
        <v>43442</v>
      </c>
      <c r="C11" s="319" t="s">
        <v>51</v>
      </c>
      <c r="D11" s="320"/>
      <c r="E11" s="310">
        <f>IFERROR(VLOOKUP(C11,TR!$B$2:$F$612,2,0),"")</f>
        <v>0</v>
      </c>
      <c r="F11" s="311">
        <f>IFERROR(VLOOKUP(C11,TR!$B$2:$F$612,3,0),"")</f>
        <v>0</v>
      </c>
      <c r="G11" s="328">
        <f t="shared" si="5"/>
        <v>0</v>
      </c>
      <c r="H11" s="310">
        <f>IFERROR(VLOOKUP(C11,TR!$B$2:$F$612,4,0),"")</f>
        <v>0</v>
      </c>
      <c r="I11" s="311">
        <f>IFERROR(VLOOKUP(C11,TR!$B$2:$F$612,5,0),"")</f>
        <v>0</v>
      </c>
      <c r="J11" s="328">
        <f t="shared" si="6"/>
        <v>0</v>
      </c>
      <c r="K11" s="322" t="str">
        <f t="shared" si="0"/>
        <v/>
      </c>
      <c r="L11" s="323" t="str">
        <f t="shared" si="1"/>
        <v/>
      </c>
      <c r="M11" s="324" t="str">
        <f t="shared" si="2"/>
        <v/>
      </c>
      <c r="N11" s="37" t="str">
        <f t="shared" si="7"/>
        <v/>
      </c>
      <c r="O11" s="315" t="str">
        <f t="shared" si="8"/>
        <v/>
      </c>
      <c r="P11" s="408" t="str">
        <f>IF(AND(L11="",M11=""),IF(OR(SUMPRODUCT(N(ISNUMBER(FIND({"s";"d";"f"},C11))))&gt;0,G11+J11&lt;0,AND(G11&gt;0,J11&gt;0,I11&gt;"20:30"*1),AND(I11&lt;="20:30"*1,SUM(I11,R11)&gt;="20:31"*1)),1,""),"")</f>
        <v/>
      </c>
      <c r="Q11" s="326" t="str">
        <f t="shared" si="9"/>
        <v/>
      </c>
      <c r="R11" s="30"/>
      <c r="S11" s="327" t="str">
        <f t="shared" si="3"/>
        <v/>
      </c>
      <c r="T11" s="34">
        <f t="shared" si="4"/>
        <v>0</v>
      </c>
      <c r="U11" s="154">
        <f t="shared" si="11"/>
        <v>0</v>
      </c>
      <c r="V11" s="188"/>
      <c r="W11" s="152" t="str">
        <f t="shared" si="10"/>
        <v>0,00</v>
      </c>
    </row>
    <row r="12" spans="1:23" ht="14.4" x14ac:dyDescent="0.3">
      <c r="A12" s="40"/>
      <c r="B12" s="304">
        <v>43443</v>
      </c>
      <c r="C12" s="319" t="s">
        <v>47</v>
      </c>
      <c r="D12" s="320"/>
      <c r="E12" s="310">
        <f>IFERROR(VLOOKUP(C12,TR!$B$2:$F$612,2,0),"")</f>
        <v>0</v>
      </c>
      <c r="F12" s="311">
        <f>IFERROR(VLOOKUP(C12,TR!$B$2:$F$612,3,0),"")</f>
        <v>0</v>
      </c>
      <c r="G12" s="328">
        <f t="shared" si="5"/>
        <v>0</v>
      </c>
      <c r="H12" s="310">
        <f>IFERROR(VLOOKUP(C12,TR!$B$2:$F$612,4,0),"")</f>
        <v>0</v>
      </c>
      <c r="I12" s="311">
        <f>IFERROR(VLOOKUP(C12,TR!$B$2:$F$612,5,0),"")</f>
        <v>0</v>
      </c>
      <c r="J12" s="328">
        <f t="shared" si="6"/>
        <v>0</v>
      </c>
      <c r="K12" s="322" t="str">
        <f t="shared" si="0"/>
        <v/>
      </c>
      <c r="L12" s="323" t="str">
        <f t="shared" si="1"/>
        <v/>
      </c>
      <c r="M12" s="324" t="str">
        <f t="shared" si="2"/>
        <v/>
      </c>
      <c r="N12" s="37" t="str">
        <f t="shared" si="7"/>
        <v/>
      </c>
      <c r="O12" s="315" t="str">
        <f t="shared" si="8"/>
        <v/>
      </c>
      <c r="P12" s="408" t="str">
        <f>IF(AND(L12="",M12=""),IF(OR(SUMPRODUCT(N(ISNUMBER(FIND({"s";"d";"f"},C12))))&gt;0,G12+J12&lt;0,AND(G12&gt;0,J12&gt;0,I12&gt;"20:30"*1),AND(I12&lt;="20:30"*1,SUM(I12,R12)&gt;="20:31"*1)),1,""),"")</f>
        <v/>
      </c>
      <c r="Q12" s="326" t="str">
        <f t="shared" si="9"/>
        <v/>
      </c>
      <c r="R12" s="30"/>
      <c r="S12" s="327" t="str">
        <f t="shared" si="3"/>
        <v/>
      </c>
      <c r="T12" s="34">
        <f t="shared" si="4"/>
        <v>0</v>
      </c>
      <c r="U12" s="154">
        <f t="shared" si="11"/>
        <v>0</v>
      </c>
      <c r="V12" s="188"/>
      <c r="W12" s="152" t="str">
        <f t="shared" si="10"/>
        <v>0,00</v>
      </c>
    </row>
    <row r="13" spans="1:23" ht="14.4" x14ac:dyDescent="0.3">
      <c r="A13" s="40"/>
      <c r="B13" s="304">
        <v>43444</v>
      </c>
      <c r="C13" s="329" t="s">
        <v>51</v>
      </c>
      <c r="D13" s="330"/>
      <c r="E13" s="310">
        <f>IFERROR(VLOOKUP(C13,TR!$B$2:$F$612,2,0),"")</f>
        <v>0</v>
      </c>
      <c r="F13" s="311">
        <f>IFERROR(VLOOKUP(C13,TR!$B$2:$F$612,3,0),"")</f>
        <v>0</v>
      </c>
      <c r="G13" s="328">
        <f t="shared" si="5"/>
        <v>0</v>
      </c>
      <c r="H13" s="310">
        <f>IFERROR(VLOOKUP(C13,TR!$B$2:$F$612,4,0),"")</f>
        <v>0</v>
      </c>
      <c r="I13" s="311">
        <f>IFERROR(VLOOKUP(C13,TR!$B$2:$F$612,5,0),"")</f>
        <v>0</v>
      </c>
      <c r="J13" s="328">
        <f t="shared" si="6"/>
        <v>0</v>
      </c>
      <c r="K13" s="322" t="str">
        <f t="shared" si="0"/>
        <v/>
      </c>
      <c r="L13" s="323" t="str">
        <f t="shared" si="1"/>
        <v/>
      </c>
      <c r="M13" s="324" t="str">
        <f t="shared" si="2"/>
        <v/>
      </c>
      <c r="N13" s="37" t="str">
        <f t="shared" si="7"/>
        <v/>
      </c>
      <c r="O13" s="315" t="str">
        <f t="shared" si="8"/>
        <v/>
      </c>
      <c r="P13" s="408" t="str">
        <f>IF(AND(L13="",M13=""),IF(OR(SUMPRODUCT(N(ISNUMBER(FIND({"s";"d";"f"},C13))))&gt;0,G13+J13&lt;0,AND(G13&gt;0,J13&gt;0,I13&gt;"20:30"*1),AND(I13&lt;="20:30"*1,SUM(I13,R13)&gt;="20:31"*1)),1,""),"")</f>
        <v/>
      </c>
      <c r="Q13" s="326" t="str">
        <f t="shared" si="9"/>
        <v/>
      </c>
      <c r="R13" s="31"/>
      <c r="S13" s="327" t="str">
        <f t="shared" si="3"/>
        <v/>
      </c>
      <c r="T13" s="34">
        <f t="shared" si="4"/>
        <v>0</v>
      </c>
      <c r="U13" s="154">
        <f t="shared" si="11"/>
        <v>0</v>
      </c>
      <c r="V13" s="188"/>
      <c r="W13" s="152" t="str">
        <f t="shared" si="10"/>
        <v>0,00</v>
      </c>
    </row>
    <row r="14" spans="1:23" ht="14.4" x14ac:dyDescent="0.3">
      <c r="A14" s="40"/>
      <c r="B14" s="304">
        <v>43445</v>
      </c>
      <c r="C14" s="331" t="s">
        <v>51</v>
      </c>
      <c r="D14" s="332"/>
      <c r="E14" s="310">
        <f>IFERROR(VLOOKUP(C14,TR!$B$2:$F$612,2,0),"")</f>
        <v>0</v>
      </c>
      <c r="F14" s="311">
        <f>IFERROR(VLOOKUP(C14,TR!$B$2:$F$612,3,0),"")</f>
        <v>0</v>
      </c>
      <c r="G14" s="328">
        <f t="shared" si="5"/>
        <v>0</v>
      </c>
      <c r="H14" s="310">
        <f>IFERROR(VLOOKUP(C14,TR!$B$2:$F$612,4,0),"")</f>
        <v>0</v>
      </c>
      <c r="I14" s="311">
        <f>IFERROR(VLOOKUP(C14,TR!$B$2:$F$612,5,0),"")</f>
        <v>0</v>
      </c>
      <c r="J14" s="328">
        <f t="shared" si="6"/>
        <v>0</v>
      </c>
      <c r="K14" s="322" t="str">
        <f t="shared" si="0"/>
        <v/>
      </c>
      <c r="L14" s="323" t="str">
        <f t="shared" si="1"/>
        <v/>
      </c>
      <c r="M14" s="324" t="str">
        <f t="shared" si="2"/>
        <v/>
      </c>
      <c r="N14" s="37" t="str">
        <f t="shared" si="7"/>
        <v/>
      </c>
      <c r="O14" s="315" t="str">
        <f t="shared" si="8"/>
        <v/>
      </c>
      <c r="P14" s="408" t="str">
        <f>IF(AND(L14="",M14=""),IF(OR(SUMPRODUCT(N(ISNUMBER(FIND({"s";"d";"f"},C14))))&gt;0,G14+J14&lt;0,AND(G14&gt;0,J14&gt;0,I14&gt;"20:30"*1),AND(I14&lt;="20:30"*1,SUM(I14,R14)&gt;="20:31"*1)),1,""),"")</f>
        <v/>
      </c>
      <c r="Q14" s="326" t="str">
        <f t="shared" si="9"/>
        <v/>
      </c>
      <c r="R14" s="31"/>
      <c r="S14" s="327" t="str">
        <f t="shared" si="3"/>
        <v/>
      </c>
      <c r="T14" s="34">
        <f t="shared" si="4"/>
        <v>0</v>
      </c>
      <c r="U14" s="154">
        <f t="shared" si="11"/>
        <v>0</v>
      </c>
      <c r="V14" s="188"/>
      <c r="W14" s="152" t="str">
        <f t="shared" si="10"/>
        <v>0,00</v>
      </c>
    </row>
    <row r="15" spans="1:23" ht="14.4" x14ac:dyDescent="0.3">
      <c r="A15" s="40"/>
      <c r="B15" s="304">
        <v>43446</v>
      </c>
      <c r="C15" s="331" t="s">
        <v>51</v>
      </c>
      <c r="D15" s="332"/>
      <c r="E15" s="310">
        <f>IFERROR(VLOOKUP(C15,TR!$B$2:$F$612,2,0),"")</f>
        <v>0</v>
      </c>
      <c r="F15" s="311">
        <f>IFERROR(VLOOKUP(C15,TR!$B$2:$F$612,3,0),"")</f>
        <v>0</v>
      </c>
      <c r="G15" s="328">
        <f t="shared" si="5"/>
        <v>0</v>
      </c>
      <c r="H15" s="310">
        <f>IFERROR(VLOOKUP(C15,TR!$B$2:$F$612,4,0),"")</f>
        <v>0</v>
      </c>
      <c r="I15" s="311">
        <f>IFERROR(VLOOKUP(C15,TR!$B$2:$F$612,5,0),"")</f>
        <v>0</v>
      </c>
      <c r="J15" s="328">
        <f t="shared" si="6"/>
        <v>0</v>
      </c>
      <c r="K15" s="322" t="str">
        <f t="shared" si="0"/>
        <v/>
      </c>
      <c r="L15" s="323" t="str">
        <f t="shared" si="1"/>
        <v/>
      </c>
      <c r="M15" s="324" t="str">
        <f t="shared" si="2"/>
        <v/>
      </c>
      <c r="N15" s="37" t="str">
        <f t="shared" si="7"/>
        <v/>
      </c>
      <c r="O15" s="315" t="str">
        <f t="shared" si="8"/>
        <v/>
      </c>
      <c r="P15" s="408" t="str">
        <f>IF(AND(L15="",M15=""),IF(OR(SUMPRODUCT(N(ISNUMBER(FIND({"s";"d";"f"},C15))))&gt;0,G15+J15&lt;0,AND(G15&gt;0,J15&gt;0,I15&gt;"20:30"*1),AND(I15&lt;="20:30"*1,SUM(I15,R15)&gt;="20:31"*1)),1,""),"")</f>
        <v/>
      </c>
      <c r="Q15" s="326" t="str">
        <f t="shared" si="9"/>
        <v/>
      </c>
      <c r="R15" s="30"/>
      <c r="S15" s="327" t="str">
        <f t="shared" si="3"/>
        <v/>
      </c>
      <c r="T15" s="34">
        <f t="shared" si="4"/>
        <v>0</v>
      </c>
      <c r="U15" s="154">
        <f t="shared" si="11"/>
        <v>0</v>
      </c>
      <c r="V15" s="188"/>
      <c r="W15" s="152" t="str">
        <f t="shared" si="10"/>
        <v>0,00</v>
      </c>
    </row>
    <row r="16" spans="1:23" ht="14.4" x14ac:dyDescent="0.3">
      <c r="A16" s="40"/>
      <c r="B16" s="304">
        <v>43447</v>
      </c>
      <c r="C16" s="329" t="s">
        <v>51</v>
      </c>
      <c r="D16" s="330"/>
      <c r="E16" s="310">
        <f>IFERROR(VLOOKUP(C16,TR!$B$2:$F$612,2,0),"")</f>
        <v>0</v>
      </c>
      <c r="F16" s="311">
        <f>IFERROR(VLOOKUP(C16,TR!$B$2:$F$612,3,0),"")</f>
        <v>0</v>
      </c>
      <c r="G16" s="328">
        <f t="shared" si="5"/>
        <v>0</v>
      </c>
      <c r="H16" s="310">
        <f>IFERROR(VLOOKUP(C16,TR!$B$2:$F$612,4,0),"")</f>
        <v>0</v>
      </c>
      <c r="I16" s="311">
        <f>IFERROR(VLOOKUP(C16,TR!$B$2:$F$612,5,0),"")</f>
        <v>0</v>
      </c>
      <c r="J16" s="328">
        <f t="shared" si="6"/>
        <v>0</v>
      </c>
      <c r="K16" s="322" t="str">
        <f t="shared" si="0"/>
        <v/>
      </c>
      <c r="L16" s="323" t="str">
        <f t="shared" si="1"/>
        <v/>
      </c>
      <c r="M16" s="324" t="str">
        <f t="shared" si="2"/>
        <v/>
      </c>
      <c r="N16" s="37" t="str">
        <f t="shared" si="7"/>
        <v/>
      </c>
      <c r="O16" s="315" t="str">
        <f t="shared" si="8"/>
        <v/>
      </c>
      <c r="P16" s="408" t="str">
        <f>IF(AND(L16="",M16=""),IF(OR(SUMPRODUCT(N(ISNUMBER(FIND({"s";"d";"f"},C16))))&gt;0,G16+J16&lt;0,AND(G16&gt;0,J16&gt;0,I16&gt;"20:30"*1),AND(I16&lt;="20:30"*1,SUM(I16,R16)&gt;="20:31"*1)),1,""),"")</f>
        <v/>
      </c>
      <c r="Q16" s="326" t="str">
        <f t="shared" si="9"/>
        <v/>
      </c>
      <c r="R16" s="31"/>
      <c r="S16" s="327" t="str">
        <f t="shared" si="3"/>
        <v/>
      </c>
      <c r="T16" s="34">
        <f t="shared" si="4"/>
        <v>0</v>
      </c>
      <c r="U16" s="154">
        <f t="shared" si="11"/>
        <v>0</v>
      </c>
      <c r="V16" s="188"/>
      <c r="W16" s="152" t="str">
        <f t="shared" si="10"/>
        <v>0,00</v>
      </c>
    </row>
    <row r="17" spans="1:23" ht="14.4" x14ac:dyDescent="0.3">
      <c r="A17" s="40"/>
      <c r="B17" s="304">
        <v>43448</v>
      </c>
      <c r="C17" s="319" t="s">
        <v>51</v>
      </c>
      <c r="D17" s="320"/>
      <c r="E17" s="310">
        <f>IFERROR(VLOOKUP(C17,TR!$B$2:$F$612,2,0),"")</f>
        <v>0</v>
      </c>
      <c r="F17" s="311">
        <f>IFERROR(VLOOKUP(C17,TR!$B$2:$F$612,3,0),"")</f>
        <v>0</v>
      </c>
      <c r="G17" s="321">
        <f t="shared" si="5"/>
        <v>0</v>
      </c>
      <c r="H17" s="310">
        <f>IFERROR(VLOOKUP(C17,TR!$B$2:$F$612,4,0),"")</f>
        <v>0</v>
      </c>
      <c r="I17" s="311">
        <f>IFERROR(VLOOKUP(C17,TR!$B$2:$F$612,5,0),"")</f>
        <v>0</v>
      </c>
      <c r="J17" s="321">
        <f t="shared" si="6"/>
        <v>0</v>
      </c>
      <c r="K17" s="322" t="str">
        <f t="shared" si="0"/>
        <v/>
      </c>
      <c r="L17" s="323" t="str">
        <f t="shared" si="1"/>
        <v/>
      </c>
      <c r="M17" s="324" t="str">
        <f t="shared" si="2"/>
        <v/>
      </c>
      <c r="N17" s="37" t="str">
        <f t="shared" si="7"/>
        <v/>
      </c>
      <c r="O17" s="315" t="str">
        <f t="shared" si="8"/>
        <v/>
      </c>
      <c r="P17" s="408" t="str">
        <f>IF(AND(L17="",M17=""),IF(OR(SUMPRODUCT(N(ISNUMBER(FIND({"s";"d";"f"},C17))))&gt;0,G17+J17&lt;0,AND(G17&gt;0,J17&gt;0,I17&gt;"20:30"*1),AND(I17&lt;="20:30"*1,SUM(I17,R17)&gt;="20:31"*1)),1,""),"")</f>
        <v/>
      </c>
      <c r="Q17" s="326" t="str">
        <f t="shared" si="9"/>
        <v/>
      </c>
      <c r="R17" s="31"/>
      <c r="S17" s="327" t="str">
        <f t="shared" si="3"/>
        <v/>
      </c>
      <c r="T17" s="34">
        <f t="shared" si="4"/>
        <v>0</v>
      </c>
      <c r="U17" s="154">
        <f t="shared" si="11"/>
        <v>0</v>
      </c>
      <c r="V17" s="188"/>
      <c r="W17" s="152" t="str">
        <f t="shared" si="10"/>
        <v>0,00</v>
      </c>
    </row>
    <row r="18" spans="1:23" ht="14.4" x14ac:dyDescent="0.3">
      <c r="A18" s="40"/>
      <c r="B18" s="304">
        <v>43449</v>
      </c>
      <c r="C18" s="319" t="s">
        <v>46</v>
      </c>
      <c r="D18" s="320"/>
      <c r="E18" s="310">
        <f>IFERROR(VLOOKUP(C18,TR!$B$2:$F$612,2,0),"")</f>
        <v>0</v>
      </c>
      <c r="F18" s="311">
        <f>IFERROR(VLOOKUP(C18,TR!$B$2:$F$612,3,0),"")</f>
        <v>0</v>
      </c>
      <c r="G18" s="321">
        <f t="shared" si="5"/>
        <v>0</v>
      </c>
      <c r="H18" s="310">
        <f>IFERROR(VLOOKUP(C18,TR!$B$2:$F$612,4,0),"")</f>
        <v>0</v>
      </c>
      <c r="I18" s="311">
        <f>IFERROR(VLOOKUP(C18,TR!$B$2:$F$612,5,0),"")</f>
        <v>0</v>
      </c>
      <c r="J18" s="321">
        <f t="shared" si="6"/>
        <v>0</v>
      </c>
      <c r="K18" s="322" t="str">
        <f t="shared" si="0"/>
        <v/>
      </c>
      <c r="L18" s="323" t="str">
        <f t="shared" si="1"/>
        <v/>
      </c>
      <c r="M18" s="324" t="str">
        <f t="shared" si="2"/>
        <v/>
      </c>
      <c r="N18" s="37" t="str">
        <f t="shared" si="7"/>
        <v/>
      </c>
      <c r="O18" s="315" t="str">
        <f t="shared" si="8"/>
        <v/>
      </c>
      <c r="P18" s="408" t="str">
        <f>IF(AND(L18="",M18=""),IF(OR(SUMPRODUCT(N(ISNUMBER(FIND({"s";"d";"f"},C18))))&gt;0,G18+J18&lt;0,AND(G18&gt;0,J18&gt;0,I18&gt;"20:30"*1),AND(I18&lt;="20:30"*1,SUM(I18,R18)&gt;="20:31"*1)),1,""),"")</f>
        <v/>
      </c>
      <c r="Q18" s="326" t="str">
        <f t="shared" si="9"/>
        <v/>
      </c>
      <c r="R18" s="31"/>
      <c r="S18" s="327" t="str">
        <f t="shared" si="3"/>
        <v/>
      </c>
      <c r="T18" s="34">
        <f t="shared" si="4"/>
        <v>0</v>
      </c>
      <c r="U18" s="154">
        <f t="shared" si="11"/>
        <v>0</v>
      </c>
      <c r="V18" s="188"/>
      <c r="W18" s="152" t="str">
        <f t="shared" si="10"/>
        <v>0,00</v>
      </c>
    </row>
    <row r="19" spans="1:23" ht="14.4" x14ac:dyDescent="0.3">
      <c r="A19" s="40"/>
      <c r="B19" s="304">
        <v>43450</v>
      </c>
      <c r="C19" s="319" t="s">
        <v>47</v>
      </c>
      <c r="D19" s="320"/>
      <c r="E19" s="310">
        <f>IFERROR(VLOOKUP(C19,TR!$B$2:$F$612,2,0),"")</f>
        <v>0</v>
      </c>
      <c r="F19" s="311">
        <f>IFERROR(VLOOKUP(C19,TR!$B$2:$F$612,3,0),"")</f>
        <v>0</v>
      </c>
      <c r="G19" s="321">
        <f t="shared" si="5"/>
        <v>0</v>
      </c>
      <c r="H19" s="310">
        <f>IFERROR(VLOOKUP(C19,TR!$B$2:$F$612,4,0),"")</f>
        <v>0</v>
      </c>
      <c r="I19" s="311">
        <f>IFERROR(VLOOKUP(C19,TR!$B$2:$F$612,5,0),"")</f>
        <v>0</v>
      </c>
      <c r="J19" s="321">
        <f t="shared" si="6"/>
        <v>0</v>
      </c>
      <c r="K19" s="322" t="str">
        <f t="shared" si="0"/>
        <v/>
      </c>
      <c r="L19" s="323" t="str">
        <f t="shared" si="1"/>
        <v/>
      </c>
      <c r="M19" s="324" t="str">
        <f t="shared" si="2"/>
        <v/>
      </c>
      <c r="N19" s="37" t="str">
        <f t="shared" si="7"/>
        <v/>
      </c>
      <c r="O19" s="315" t="str">
        <f t="shared" si="8"/>
        <v/>
      </c>
      <c r="P19" s="408" t="str">
        <f>IF(AND(L19="",M19=""),IF(OR(SUMPRODUCT(N(ISNUMBER(FIND({"s";"d";"f"},C19))))&gt;0,G19+J19&lt;0,AND(G19&gt;0,J19&gt;0,I19&gt;"20:30"*1),AND(I19&lt;="20:30"*1,SUM(I19,R19)&gt;="20:31"*1)),1,""),"")</f>
        <v/>
      </c>
      <c r="Q19" s="326" t="str">
        <f t="shared" si="9"/>
        <v/>
      </c>
      <c r="R19" s="31"/>
      <c r="S19" s="327" t="str">
        <f t="shared" si="3"/>
        <v/>
      </c>
      <c r="T19" s="34">
        <f t="shared" si="4"/>
        <v>0</v>
      </c>
      <c r="U19" s="154">
        <f t="shared" si="11"/>
        <v>0</v>
      </c>
      <c r="V19" s="188"/>
      <c r="W19" s="152" t="str">
        <f t="shared" si="10"/>
        <v>0,00</v>
      </c>
    </row>
    <row r="20" spans="1:23" ht="14.4" x14ac:dyDescent="0.3">
      <c r="A20" s="40"/>
      <c r="B20" s="304">
        <v>43451</v>
      </c>
      <c r="C20" s="319" t="s">
        <v>51</v>
      </c>
      <c r="D20" s="320"/>
      <c r="E20" s="310">
        <f>IFERROR(VLOOKUP(C20,TR!$B$2:$F$612,2,0),"")</f>
        <v>0</v>
      </c>
      <c r="F20" s="311">
        <f>IFERROR(VLOOKUP(C20,TR!$B$2:$F$612,3,0),"")</f>
        <v>0</v>
      </c>
      <c r="G20" s="321">
        <f t="shared" si="5"/>
        <v>0</v>
      </c>
      <c r="H20" s="310">
        <f>IFERROR(VLOOKUP(C20,TR!$B$2:$F$612,4,0),"")</f>
        <v>0</v>
      </c>
      <c r="I20" s="311">
        <f>IFERROR(VLOOKUP(C20,TR!$B$2:$F$612,5,0),"")</f>
        <v>0</v>
      </c>
      <c r="J20" s="321">
        <f t="shared" si="6"/>
        <v>0</v>
      </c>
      <c r="K20" s="322" t="str">
        <f t="shared" si="0"/>
        <v/>
      </c>
      <c r="L20" s="323" t="str">
        <f t="shared" si="1"/>
        <v/>
      </c>
      <c r="M20" s="324" t="str">
        <f t="shared" si="2"/>
        <v/>
      </c>
      <c r="N20" s="37" t="str">
        <f t="shared" si="7"/>
        <v/>
      </c>
      <c r="O20" s="315" t="str">
        <f t="shared" si="8"/>
        <v/>
      </c>
      <c r="P20" s="408" t="str">
        <f>IF(AND(L20="",M20=""),IF(OR(SUMPRODUCT(N(ISNUMBER(FIND({"s";"d";"f"},C20))))&gt;0,G20+J20&lt;0,AND(G20&gt;0,J20&gt;0,I20&gt;"20:30"*1),AND(I20&lt;="20:30"*1,SUM(I20,R20)&gt;="20:31"*1)),1,""),"")</f>
        <v/>
      </c>
      <c r="Q20" s="326" t="str">
        <f t="shared" si="9"/>
        <v/>
      </c>
      <c r="R20" s="31"/>
      <c r="S20" s="327" t="str">
        <f t="shared" si="3"/>
        <v/>
      </c>
      <c r="T20" s="34">
        <f t="shared" si="4"/>
        <v>0</v>
      </c>
      <c r="U20" s="154">
        <f t="shared" si="11"/>
        <v>0</v>
      </c>
      <c r="V20" s="188"/>
      <c r="W20" s="152" t="str">
        <f t="shared" si="10"/>
        <v>0,00</v>
      </c>
    </row>
    <row r="21" spans="1:23" ht="14.4" x14ac:dyDescent="0.3">
      <c r="A21" s="40"/>
      <c r="B21" s="304">
        <v>43452</v>
      </c>
      <c r="C21" s="331" t="s">
        <v>51</v>
      </c>
      <c r="D21" s="332"/>
      <c r="E21" s="310">
        <f>IFERROR(VLOOKUP(C21,TR!$B$2:$F$612,2,0),"")</f>
        <v>0</v>
      </c>
      <c r="F21" s="311">
        <f>IFERROR(VLOOKUP(C21,TR!$B$2:$F$612,3,0),"")</f>
        <v>0</v>
      </c>
      <c r="G21" s="328">
        <f t="shared" si="5"/>
        <v>0</v>
      </c>
      <c r="H21" s="310">
        <f>IFERROR(VLOOKUP(C21,TR!$B$2:$F$612,4,0),"")</f>
        <v>0</v>
      </c>
      <c r="I21" s="311">
        <f>IFERROR(VLOOKUP(C21,TR!$B$2:$F$612,5,0),"")</f>
        <v>0</v>
      </c>
      <c r="J21" s="328">
        <f t="shared" si="6"/>
        <v>0</v>
      </c>
      <c r="K21" s="322" t="str">
        <f t="shared" si="0"/>
        <v/>
      </c>
      <c r="L21" s="323" t="str">
        <f t="shared" si="1"/>
        <v/>
      </c>
      <c r="M21" s="324" t="str">
        <f t="shared" si="2"/>
        <v/>
      </c>
      <c r="N21" s="37" t="str">
        <f t="shared" si="7"/>
        <v/>
      </c>
      <c r="O21" s="315" t="str">
        <f t="shared" si="8"/>
        <v/>
      </c>
      <c r="P21" s="408" t="str">
        <f>IF(AND(L21="",M21=""),IF(OR(SUMPRODUCT(N(ISNUMBER(FIND({"s";"d";"f"},C21))))&gt;0,G21+J21&lt;0,AND(G21&gt;0,J21&gt;0,I21&gt;"20:30"*1),AND(I21&lt;="20:30"*1,SUM(I21,R21)&gt;="20:31"*1)),1,""),"")</f>
        <v/>
      </c>
      <c r="Q21" s="326" t="str">
        <f t="shared" si="9"/>
        <v/>
      </c>
      <c r="R21" s="31"/>
      <c r="S21" s="327" t="str">
        <f t="shared" si="3"/>
        <v/>
      </c>
      <c r="T21" s="34">
        <f t="shared" si="4"/>
        <v>0</v>
      </c>
      <c r="U21" s="154">
        <f t="shared" si="11"/>
        <v>0</v>
      </c>
      <c r="V21" s="188"/>
      <c r="W21" s="152" t="str">
        <f t="shared" si="10"/>
        <v>0,00</v>
      </c>
    </row>
    <row r="22" spans="1:23" ht="14.4" x14ac:dyDescent="0.3">
      <c r="A22" s="40"/>
      <c r="B22" s="304">
        <v>43453</v>
      </c>
      <c r="C22" s="329" t="s">
        <v>46</v>
      </c>
      <c r="D22" s="330"/>
      <c r="E22" s="310">
        <f>IFERROR(VLOOKUP(C22,TR!$B$2:$F$612,2,0),"")</f>
        <v>0</v>
      </c>
      <c r="F22" s="311">
        <f>IFERROR(VLOOKUP(C22,TR!$B$2:$F$612,3,0),"")</f>
        <v>0</v>
      </c>
      <c r="G22" s="328">
        <f t="shared" si="5"/>
        <v>0</v>
      </c>
      <c r="H22" s="310">
        <f>IFERROR(VLOOKUP(C22,TR!$B$2:$F$612,4,0),"")</f>
        <v>0</v>
      </c>
      <c r="I22" s="311">
        <f>IFERROR(VLOOKUP(C22,TR!$B$2:$F$612,5,0),"")</f>
        <v>0</v>
      </c>
      <c r="J22" s="328">
        <f t="shared" si="6"/>
        <v>0</v>
      </c>
      <c r="K22" s="322" t="str">
        <f t="shared" si="0"/>
        <v/>
      </c>
      <c r="L22" s="323" t="str">
        <f t="shared" si="1"/>
        <v/>
      </c>
      <c r="M22" s="324" t="str">
        <f t="shared" si="2"/>
        <v/>
      </c>
      <c r="N22" s="37" t="str">
        <f t="shared" si="7"/>
        <v/>
      </c>
      <c r="O22" s="315" t="str">
        <f t="shared" si="8"/>
        <v/>
      </c>
      <c r="P22" s="408" t="str">
        <f>IF(AND(L22="",M22=""),IF(OR(SUMPRODUCT(N(ISNUMBER(FIND({"s";"d";"f"},C22))))&gt;0,G22+J22&lt;0,AND(G22&gt;0,J22&gt;0,I22&gt;"20:30"*1),AND(I22&lt;="20:30"*1,SUM(I22,R22)&gt;="20:31"*1)),1,""),"")</f>
        <v/>
      </c>
      <c r="Q22" s="326" t="str">
        <f t="shared" si="9"/>
        <v/>
      </c>
      <c r="R22" s="31"/>
      <c r="S22" s="327" t="str">
        <f t="shared" si="3"/>
        <v/>
      </c>
      <c r="T22" s="34">
        <f t="shared" si="4"/>
        <v>0</v>
      </c>
      <c r="U22" s="154">
        <f t="shared" si="11"/>
        <v>0</v>
      </c>
      <c r="V22" s="188"/>
      <c r="W22" s="152" t="str">
        <f t="shared" si="10"/>
        <v>0,00</v>
      </c>
    </row>
    <row r="23" spans="1:23" ht="15" thickBot="1" x14ac:dyDescent="0.35">
      <c r="A23" s="40"/>
      <c r="B23" s="417">
        <v>43454</v>
      </c>
      <c r="C23" s="455" t="s">
        <v>45</v>
      </c>
      <c r="D23" s="456"/>
      <c r="E23" s="420">
        <f>IFERROR(VLOOKUP(C23,TR!$B$2:$F$612,2,0),"")</f>
        <v>0</v>
      </c>
      <c r="F23" s="421">
        <f>IFERROR(VLOOKUP(C23,TR!$B$2:$F$612,3,0),"")</f>
        <v>0</v>
      </c>
      <c r="G23" s="422">
        <f t="shared" si="5"/>
        <v>0</v>
      </c>
      <c r="H23" s="420">
        <f>IFERROR(VLOOKUP(C23,TR!$B$2:$F$612,4,0),"")</f>
        <v>0</v>
      </c>
      <c r="I23" s="421">
        <f>IFERROR(VLOOKUP(C23,TR!$B$2:$F$612,5,0),"")</f>
        <v>0</v>
      </c>
      <c r="J23" s="422">
        <f t="shared" si="6"/>
        <v>0</v>
      </c>
      <c r="K23" s="536" t="str">
        <f t="shared" si="0"/>
        <v/>
      </c>
      <c r="L23" s="540" t="str">
        <f t="shared" si="1"/>
        <v/>
      </c>
      <c r="M23" s="538" t="str">
        <f t="shared" si="2"/>
        <v/>
      </c>
      <c r="N23" s="245" t="str">
        <f t="shared" si="7"/>
        <v/>
      </c>
      <c r="O23" s="341" t="str">
        <f t="shared" si="8"/>
        <v/>
      </c>
      <c r="P23" s="424" t="str">
        <f>IF(AND(L23="",M23=""),IF(OR(SUMPRODUCT(N(ISNUMBER(FIND({"s";"d";"f"},C23))))&gt;0,G23+J23&lt;0,AND(G23&gt;0,J23&gt;0,I23&gt;"20:30"*1),AND(I23&lt;="20:30"*1,SUM(I23,R23)&gt;="20:31"*1)),1,""),"")</f>
        <v/>
      </c>
      <c r="Q23" s="343" t="str">
        <f t="shared" si="9"/>
        <v/>
      </c>
      <c r="R23" s="233"/>
      <c r="S23" s="425" t="str">
        <f t="shared" si="3"/>
        <v/>
      </c>
      <c r="T23" s="234">
        <f t="shared" si="4"/>
        <v>0</v>
      </c>
      <c r="U23" s="235">
        <f t="shared" si="11"/>
        <v>0</v>
      </c>
      <c r="V23" s="236"/>
      <c r="W23" s="256" t="str">
        <f t="shared" si="10"/>
        <v>0,00</v>
      </c>
    </row>
    <row r="24" spans="1:23" ht="14.4" x14ac:dyDescent="0.3">
      <c r="A24" s="40"/>
      <c r="B24" s="426">
        <v>43455</v>
      </c>
      <c r="C24" s="457" t="s">
        <v>51</v>
      </c>
      <c r="D24" s="458"/>
      <c r="E24" s="429">
        <f>IFERROR(VLOOKUP(C24,TR!$B$2:$F$612,2,0),"")</f>
        <v>0</v>
      </c>
      <c r="F24" s="430">
        <f>IFERROR(VLOOKUP(C24,TR!$B$2:$F$612,3,0),"")</f>
        <v>0</v>
      </c>
      <c r="G24" s="431">
        <f t="shared" si="5"/>
        <v>0</v>
      </c>
      <c r="H24" s="429">
        <f>IFERROR(VLOOKUP(C24,TR!$B$2:$F$612,4,0),"")</f>
        <v>0</v>
      </c>
      <c r="I24" s="430">
        <f>IFERROR(VLOOKUP(C24,TR!$B$2:$F$612,5,0),"")</f>
        <v>0</v>
      </c>
      <c r="J24" s="431">
        <f t="shared" si="6"/>
        <v>0</v>
      </c>
      <c r="K24" s="533" t="str">
        <f t="shared" si="0"/>
        <v/>
      </c>
      <c r="L24" s="539" t="str">
        <f t="shared" si="1"/>
        <v/>
      </c>
      <c r="M24" s="535" t="str">
        <f t="shared" si="2"/>
        <v/>
      </c>
      <c r="N24" s="243" t="str">
        <f t="shared" si="7"/>
        <v/>
      </c>
      <c r="O24" s="350" t="str">
        <f t="shared" si="8"/>
        <v/>
      </c>
      <c r="P24" s="433" t="str">
        <f>IF(AND(L24="",M24=""),IF(OR(SUMPRODUCT(N(ISNUMBER(FIND({"s";"d";"f"},C24))))&gt;0,G24+J24&lt;0,AND(G24&gt;0,J24&gt;0,I24&gt;"20:30"*1),AND(I24&lt;="20:30"*1,SUM(I24,R24)&gt;="20:31"*1)),1,""),"")</f>
        <v/>
      </c>
      <c r="Q24" s="352" t="str">
        <f t="shared" si="9"/>
        <v/>
      </c>
      <c r="R24" s="238"/>
      <c r="S24" s="434" t="str">
        <f t="shared" si="3"/>
        <v/>
      </c>
      <c r="T24" s="239">
        <f t="shared" si="4"/>
        <v>0</v>
      </c>
      <c r="U24" s="240">
        <f t="shared" si="11"/>
        <v>0</v>
      </c>
      <c r="V24" s="241"/>
      <c r="W24" s="255" t="str">
        <f t="shared" si="10"/>
        <v>0,00</v>
      </c>
    </row>
    <row r="25" spans="1:23" ht="14.4" x14ac:dyDescent="0.3">
      <c r="A25" s="40"/>
      <c r="B25" s="304">
        <v>43456</v>
      </c>
      <c r="C25" s="329" t="s">
        <v>51</v>
      </c>
      <c r="D25" s="330"/>
      <c r="E25" s="310">
        <f>IFERROR(VLOOKUP(C25,TR!$B$2:$F$612,2,0),"")</f>
        <v>0</v>
      </c>
      <c r="F25" s="311">
        <f>IFERROR(VLOOKUP(C25,TR!$B$2:$F$612,3,0),"")</f>
        <v>0</v>
      </c>
      <c r="G25" s="328">
        <f t="shared" si="5"/>
        <v>0</v>
      </c>
      <c r="H25" s="310">
        <f>IFERROR(VLOOKUP(C25,TR!$B$2:$F$612,4,0),"")</f>
        <v>0</v>
      </c>
      <c r="I25" s="311">
        <f>IFERROR(VLOOKUP(C25,TR!$B$2:$F$612,5,0),"")</f>
        <v>0</v>
      </c>
      <c r="J25" s="328">
        <f t="shared" si="6"/>
        <v>0</v>
      </c>
      <c r="K25" s="322" t="str">
        <f t="shared" si="0"/>
        <v/>
      </c>
      <c r="L25" s="323" t="str">
        <f t="shared" si="1"/>
        <v/>
      </c>
      <c r="M25" s="324" t="str">
        <f t="shared" si="2"/>
        <v/>
      </c>
      <c r="N25" s="37" t="str">
        <f t="shared" si="7"/>
        <v/>
      </c>
      <c r="O25" s="315" t="str">
        <f t="shared" si="8"/>
        <v/>
      </c>
      <c r="P25" s="408" t="str">
        <f>IF(AND(L25="",M25=""),IF(OR(SUMPRODUCT(N(ISNUMBER(FIND({"s";"d";"f"},C25))))&gt;0,G25+J25&lt;0,AND(G25&gt;0,J25&gt;0,I25&gt;"20:30"*1),AND(I25&lt;="20:30"*1,SUM(I25,R25)&gt;="20:31"*1)),1,""),"")</f>
        <v/>
      </c>
      <c r="Q25" s="326" t="str">
        <f t="shared" si="9"/>
        <v/>
      </c>
      <c r="R25" s="31"/>
      <c r="S25" s="327" t="str">
        <f t="shared" si="3"/>
        <v/>
      </c>
      <c r="T25" s="34">
        <f t="shared" si="4"/>
        <v>0</v>
      </c>
      <c r="U25" s="154">
        <f t="shared" si="11"/>
        <v>0</v>
      </c>
      <c r="V25" s="188"/>
      <c r="W25" s="152" t="str">
        <f t="shared" si="10"/>
        <v>0,00</v>
      </c>
    </row>
    <row r="26" spans="1:23" ht="14.4" x14ac:dyDescent="0.3">
      <c r="A26" s="40"/>
      <c r="B26" s="304">
        <v>43457</v>
      </c>
      <c r="C26" s="319" t="s">
        <v>47</v>
      </c>
      <c r="D26" s="320"/>
      <c r="E26" s="310">
        <f>IFERROR(VLOOKUP(C26,TR!$B$2:$F$612,2,0),"")</f>
        <v>0</v>
      </c>
      <c r="F26" s="311">
        <f>IFERROR(VLOOKUP(C26,TR!$B$2:$F$612,3,0),"")</f>
        <v>0</v>
      </c>
      <c r="G26" s="321">
        <f t="shared" si="5"/>
        <v>0</v>
      </c>
      <c r="H26" s="310">
        <f>IFERROR(VLOOKUP(C26,TR!$B$2:$F$612,4,0),"")</f>
        <v>0</v>
      </c>
      <c r="I26" s="311">
        <f>IFERROR(VLOOKUP(C26,TR!$B$2:$F$612,5,0),"")</f>
        <v>0</v>
      </c>
      <c r="J26" s="321">
        <f t="shared" si="6"/>
        <v>0</v>
      </c>
      <c r="K26" s="322" t="str">
        <f t="shared" si="0"/>
        <v/>
      </c>
      <c r="L26" s="323" t="str">
        <f t="shared" si="1"/>
        <v/>
      </c>
      <c r="M26" s="324" t="str">
        <f t="shared" si="2"/>
        <v/>
      </c>
      <c r="N26" s="37" t="str">
        <f t="shared" si="7"/>
        <v/>
      </c>
      <c r="O26" s="315" t="str">
        <f t="shared" si="8"/>
        <v/>
      </c>
      <c r="P26" s="408" t="str">
        <f>IF(AND(L26="",M26=""),IF(OR(SUMPRODUCT(N(ISNUMBER(FIND({"s";"d";"f"},C26))))&gt;0,G26+J26&lt;0,AND(G26&gt;0,J26&gt;0,I26&gt;"20:30"*1),AND(I26&lt;="20:30"*1,SUM(I26,R26)&gt;="20:31"*1)),1,""),"")</f>
        <v/>
      </c>
      <c r="Q26" s="326" t="str">
        <f t="shared" si="9"/>
        <v/>
      </c>
      <c r="R26" s="31"/>
      <c r="S26" s="327" t="str">
        <f t="shared" si="3"/>
        <v/>
      </c>
      <c r="T26" s="34">
        <f t="shared" si="4"/>
        <v>0</v>
      </c>
      <c r="U26" s="154">
        <f t="shared" si="11"/>
        <v>0</v>
      </c>
      <c r="V26" s="188"/>
      <c r="W26" s="152" t="str">
        <f t="shared" si="10"/>
        <v>0,00</v>
      </c>
    </row>
    <row r="27" spans="1:23" ht="14.4" x14ac:dyDescent="0.3">
      <c r="A27" s="40"/>
      <c r="B27" s="304">
        <v>43458</v>
      </c>
      <c r="C27" s="319" t="s">
        <v>46</v>
      </c>
      <c r="D27" s="320"/>
      <c r="E27" s="310">
        <f>IFERROR(VLOOKUP(C27,TR!$B$2:$F$612,2,0),"")</f>
        <v>0</v>
      </c>
      <c r="F27" s="311">
        <f>IFERROR(VLOOKUP(C27,TR!$B$2:$F$612,3,0),"")</f>
        <v>0</v>
      </c>
      <c r="G27" s="321">
        <f t="shared" si="5"/>
        <v>0</v>
      </c>
      <c r="H27" s="310">
        <f>IFERROR(VLOOKUP(C27,TR!$B$2:$F$612,4,0),"")</f>
        <v>0</v>
      </c>
      <c r="I27" s="311">
        <f>IFERROR(VLOOKUP(C27,TR!$B$2:$F$612,5,0),"")</f>
        <v>0</v>
      </c>
      <c r="J27" s="321">
        <f t="shared" si="6"/>
        <v>0</v>
      </c>
      <c r="K27" s="322" t="str">
        <f t="shared" si="0"/>
        <v/>
      </c>
      <c r="L27" s="323" t="str">
        <f t="shared" si="1"/>
        <v/>
      </c>
      <c r="M27" s="324" t="str">
        <f t="shared" si="2"/>
        <v/>
      </c>
      <c r="N27" s="37" t="str">
        <f t="shared" si="7"/>
        <v/>
      </c>
      <c r="O27" s="315" t="str">
        <f t="shared" si="8"/>
        <v/>
      </c>
      <c r="P27" s="408" t="str">
        <f>IF(AND(L27="",M27=""),IF(OR(SUMPRODUCT(N(ISNUMBER(FIND({"s";"d";"f"},C27))))&gt;0,G27+J27&lt;0,AND(G27&gt;0,J27&gt;0,I27&gt;"20:30"*1),AND(I27&lt;="20:30"*1,SUM(I27,R27)&gt;="20:31"*1)),1,""),"")</f>
        <v/>
      </c>
      <c r="Q27" s="326" t="str">
        <f t="shared" si="9"/>
        <v/>
      </c>
      <c r="R27" s="31"/>
      <c r="S27" s="327" t="str">
        <f t="shared" si="3"/>
        <v/>
      </c>
      <c r="T27" s="34">
        <f t="shared" si="4"/>
        <v>0</v>
      </c>
      <c r="U27" s="154">
        <f t="shared" si="11"/>
        <v>0</v>
      </c>
      <c r="V27" s="188"/>
      <c r="W27" s="152" t="str">
        <f t="shared" si="10"/>
        <v>0,00</v>
      </c>
    </row>
    <row r="28" spans="1:23" ht="14.4" x14ac:dyDescent="0.3">
      <c r="A28" s="40"/>
      <c r="B28" s="304">
        <v>43459</v>
      </c>
      <c r="C28" s="319" t="s">
        <v>11</v>
      </c>
      <c r="D28" s="320"/>
      <c r="E28" s="310">
        <f>IFERROR(VLOOKUP(C28,TR!$B$2:$F$612,2,0),"")</f>
        <v>0</v>
      </c>
      <c r="F28" s="311">
        <f>IFERROR(VLOOKUP(C28,TR!$B$2:$F$612,3,0),"")</f>
        <v>0</v>
      </c>
      <c r="G28" s="321">
        <f t="shared" si="5"/>
        <v>0</v>
      </c>
      <c r="H28" s="310">
        <f>IFERROR(VLOOKUP(C28,TR!$B$2:$F$612,4,0),"")</f>
        <v>0</v>
      </c>
      <c r="I28" s="311">
        <f>IFERROR(VLOOKUP(C28,TR!$B$2:$F$612,5,0),"")</f>
        <v>0</v>
      </c>
      <c r="J28" s="321">
        <f t="shared" si="6"/>
        <v>0</v>
      </c>
      <c r="K28" s="322" t="str">
        <f t="shared" si="0"/>
        <v/>
      </c>
      <c r="L28" s="323" t="str">
        <f t="shared" si="1"/>
        <v/>
      </c>
      <c r="M28" s="324" t="str">
        <f t="shared" si="2"/>
        <v/>
      </c>
      <c r="N28" s="37" t="str">
        <f t="shared" si="7"/>
        <v/>
      </c>
      <c r="O28" s="315" t="str">
        <f t="shared" si="8"/>
        <v/>
      </c>
      <c r="P28" s="408" t="str">
        <f>IF(AND(L28="",M28=""),IF(OR(SUMPRODUCT(N(ISNUMBER(FIND({"s";"d";"f"},C28))))&gt;0,G28+J28&lt;0,AND(G28&gt;0,J28&gt;0,I28&gt;"20:30"*1),AND(I28&lt;="20:30"*1,SUM(I28,R28)&gt;="20:31"*1)),1,""),"")</f>
        <v/>
      </c>
      <c r="Q28" s="326" t="str">
        <f t="shared" si="9"/>
        <v/>
      </c>
      <c r="R28" s="31"/>
      <c r="S28" s="327" t="str">
        <f t="shared" si="3"/>
        <v/>
      </c>
      <c r="T28" s="34">
        <f t="shared" si="4"/>
        <v>0</v>
      </c>
      <c r="U28" s="154">
        <f t="shared" si="11"/>
        <v>0</v>
      </c>
      <c r="V28" s="188"/>
      <c r="W28" s="152" t="str">
        <f t="shared" si="10"/>
        <v>0,00</v>
      </c>
    </row>
    <row r="29" spans="1:23" ht="14.4" x14ac:dyDescent="0.3">
      <c r="A29" s="40"/>
      <c r="B29" s="304">
        <v>43460</v>
      </c>
      <c r="C29" s="319" t="s">
        <v>51</v>
      </c>
      <c r="D29" s="320"/>
      <c r="E29" s="310">
        <f>IFERROR(VLOOKUP(C29,TR!$B$2:$F$612,2,0),"")</f>
        <v>0</v>
      </c>
      <c r="F29" s="311">
        <f>IFERROR(VLOOKUP(C29,TR!$B$2:$F$612,3,0),"")</f>
        <v>0</v>
      </c>
      <c r="G29" s="321">
        <f t="shared" si="5"/>
        <v>0</v>
      </c>
      <c r="H29" s="310">
        <f>IFERROR(VLOOKUP(C29,TR!$B$2:$F$612,4,0),"")</f>
        <v>0</v>
      </c>
      <c r="I29" s="311">
        <f>IFERROR(VLOOKUP(C29,TR!$B$2:$F$612,5,0),"")</f>
        <v>0</v>
      </c>
      <c r="J29" s="321">
        <f t="shared" si="6"/>
        <v>0</v>
      </c>
      <c r="K29" s="322" t="str">
        <f t="shared" si="0"/>
        <v/>
      </c>
      <c r="L29" s="323" t="str">
        <f t="shared" si="1"/>
        <v/>
      </c>
      <c r="M29" s="324" t="str">
        <f t="shared" si="2"/>
        <v/>
      </c>
      <c r="N29" s="37" t="str">
        <f t="shared" si="7"/>
        <v/>
      </c>
      <c r="O29" s="315" t="str">
        <f t="shared" si="8"/>
        <v/>
      </c>
      <c r="P29" s="408" t="str">
        <f>IF(AND(L29="",M29=""),IF(OR(SUMPRODUCT(N(ISNUMBER(FIND({"s";"d";"f"},C29))))&gt;0,G29+J29&lt;0,AND(G29&gt;0,J29&gt;0,I29&gt;"20:30"*1),AND(I29&lt;="20:30"*1,SUM(I29,R29)&gt;="20:31"*1)),1,""),"")</f>
        <v/>
      </c>
      <c r="Q29" s="326" t="str">
        <f t="shared" si="9"/>
        <v/>
      </c>
      <c r="R29" s="31"/>
      <c r="S29" s="327" t="str">
        <f t="shared" si="3"/>
        <v/>
      </c>
      <c r="T29" s="34">
        <f t="shared" si="4"/>
        <v>0</v>
      </c>
      <c r="U29" s="154">
        <f t="shared" si="11"/>
        <v>0</v>
      </c>
      <c r="V29" s="188"/>
      <c r="W29" s="152" t="str">
        <f t="shared" si="10"/>
        <v>0,00</v>
      </c>
    </row>
    <row r="30" spans="1:23" ht="14.4" x14ac:dyDescent="0.3">
      <c r="A30" s="40"/>
      <c r="B30" s="304">
        <v>43461</v>
      </c>
      <c r="C30" s="329" t="s">
        <v>51</v>
      </c>
      <c r="D30" s="330"/>
      <c r="E30" s="310">
        <f>IFERROR(VLOOKUP(C30,TR!$B$2:$F$612,2,0),"")</f>
        <v>0</v>
      </c>
      <c r="F30" s="311">
        <f>IFERROR(VLOOKUP(C30,TR!$B$2:$F$612,3,0),"")</f>
        <v>0</v>
      </c>
      <c r="G30" s="328">
        <f t="shared" si="5"/>
        <v>0</v>
      </c>
      <c r="H30" s="310">
        <f>IFERROR(VLOOKUP(C30,TR!$B$2:$F$612,4,0),"")</f>
        <v>0</v>
      </c>
      <c r="I30" s="311">
        <f>IFERROR(VLOOKUP(C30,TR!$B$2:$F$612,5,0),"")</f>
        <v>0</v>
      </c>
      <c r="J30" s="328">
        <f t="shared" si="6"/>
        <v>0</v>
      </c>
      <c r="K30" s="322" t="str">
        <f t="shared" si="0"/>
        <v/>
      </c>
      <c r="L30" s="323" t="str">
        <f t="shared" si="1"/>
        <v/>
      </c>
      <c r="M30" s="324" t="str">
        <f t="shared" si="2"/>
        <v/>
      </c>
      <c r="N30" s="37" t="str">
        <f t="shared" si="7"/>
        <v/>
      </c>
      <c r="O30" s="315" t="str">
        <f t="shared" si="8"/>
        <v/>
      </c>
      <c r="P30" s="408" t="str">
        <f>IF(AND(L30="",M30=""),IF(OR(SUMPRODUCT(N(ISNUMBER(FIND({"s";"d";"f"},C30))))&gt;0,G30+J30&lt;0,AND(G30&gt;0,J30&gt;0,I30&gt;"20:30"*1),AND(I30&lt;="20:30"*1,SUM(I30,R30)&gt;="20:31"*1)),1,""),"")</f>
        <v/>
      </c>
      <c r="Q30" s="326" t="str">
        <f t="shared" si="9"/>
        <v/>
      </c>
      <c r="R30" s="31"/>
      <c r="S30" s="327" t="str">
        <f t="shared" si="3"/>
        <v/>
      </c>
      <c r="T30" s="34">
        <f t="shared" si="4"/>
        <v>0</v>
      </c>
      <c r="U30" s="154">
        <f t="shared" si="11"/>
        <v>0</v>
      </c>
      <c r="V30" s="188"/>
      <c r="W30" s="152" t="str">
        <f t="shared" si="10"/>
        <v>0,00</v>
      </c>
    </row>
    <row r="31" spans="1:23" ht="14.4" x14ac:dyDescent="0.3">
      <c r="A31" s="40"/>
      <c r="B31" s="304">
        <v>43462</v>
      </c>
      <c r="C31" s="329" t="s">
        <v>51</v>
      </c>
      <c r="D31" s="330"/>
      <c r="E31" s="310">
        <f>IFERROR(VLOOKUP(C31,TR!$B$2:$F$612,2,0),"")</f>
        <v>0</v>
      </c>
      <c r="F31" s="311">
        <f>IFERROR(VLOOKUP(C31,TR!$B$2:$F$612,3,0),"")</f>
        <v>0</v>
      </c>
      <c r="G31" s="328">
        <f t="shared" si="5"/>
        <v>0</v>
      </c>
      <c r="H31" s="310">
        <f>IFERROR(VLOOKUP(C31,TR!$B$2:$F$612,4,0),"")</f>
        <v>0</v>
      </c>
      <c r="I31" s="311">
        <f>IFERROR(VLOOKUP(C31,TR!$B$2:$F$612,5,0),"")</f>
        <v>0</v>
      </c>
      <c r="J31" s="328">
        <f t="shared" si="6"/>
        <v>0</v>
      </c>
      <c r="K31" s="322" t="str">
        <f t="shared" si="0"/>
        <v/>
      </c>
      <c r="L31" s="323" t="str">
        <f t="shared" si="1"/>
        <v/>
      </c>
      <c r="M31" s="324" t="str">
        <f t="shared" si="2"/>
        <v/>
      </c>
      <c r="N31" s="37" t="str">
        <f t="shared" si="7"/>
        <v/>
      </c>
      <c r="O31" s="315" t="str">
        <f t="shared" si="8"/>
        <v/>
      </c>
      <c r="P31" s="408" t="str">
        <f>IF(AND(L31="",M31=""),IF(OR(SUMPRODUCT(N(ISNUMBER(FIND({"s";"d";"f"},C31))))&gt;0,G31+J31&lt;0,AND(G31&gt;0,J31&gt;0,I31&gt;"20:30"*1),AND(I31&lt;="20:30"*1,SUM(I31,R31)&gt;="20:31"*1)),1,""),"")</f>
        <v/>
      </c>
      <c r="Q31" s="326" t="str">
        <f t="shared" si="9"/>
        <v/>
      </c>
      <c r="R31" s="31"/>
      <c r="S31" s="327" t="str">
        <f t="shared" si="3"/>
        <v/>
      </c>
      <c r="T31" s="34">
        <f t="shared" si="4"/>
        <v>0</v>
      </c>
      <c r="U31" s="154">
        <f t="shared" si="11"/>
        <v>0</v>
      </c>
      <c r="V31" s="188"/>
      <c r="W31" s="152" t="str">
        <f t="shared" si="10"/>
        <v>0,00</v>
      </c>
    </row>
    <row r="32" spans="1:23" ht="14.4" x14ac:dyDescent="0.3">
      <c r="A32" s="40"/>
      <c r="B32" s="304">
        <v>43463</v>
      </c>
      <c r="C32" s="329" t="s">
        <v>51</v>
      </c>
      <c r="D32" s="330"/>
      <c r="E32" s="310">
        <f>IFERROR(VLOOKUP(C32,TR!$B$2:$F$612,2,0),"")</f>
        <v>0</v>
      </c>
      <c r="F32" s="311">
        <f>IFERROR(VLOOKUP(C32,TR!$B$2:$F$612,3,0),"")</f>
        <v>0</v>
      </c>
      <c r="G32" s="328">
        <f t="shared" si="5"/>
        <v>0</v>
      </c>
      <c r="H32" s="310">
        <f>IFERROR(VLOOKUP(C32,TR!$B$2:$F$612,4,0),"")</f>
        <v>0</v>
      </c>
      <c r="I32" s="311">
        <f>IFERROR(VLOOKUP(C32,TR!$B$2:$F$612,5,0),"")</f>
        <v>0</v>
      </c>
      <c r="J32" s="328">
        <f t="shared" si="6"/>
        <v>0</v>
      </c>
      <c r="K32" s="322" t="str">
        <f t="shared" si="0"/>
        <v/>
      </c>
      <c r="L32" s="323" t="str">
        <f t="shared" si="1"/>
        <v/>
      </c>
      <c r="M32" s="324" t="str">
        <f t="shared" si="2"/>
        <v/>
      </c>
      <c r="N32" s="37" t="str">
        <f t="shared" si="7"/>
        <v/>
      </c>
      <c r="O32" s="315" t="str">
        <f t="shared" si="8"/>
        <v/>
      </c>
      <c r="P32" s="408" t="str">
        <f>IF(AND(L32="",M32=""),IF(OR(SUMPRODUCT(N(ISNUMBER(FIND({"s";"d";"f"},C32))))&gt;0,G32+J32&lt;0,AND(G32&gt;0,J32&gt;0,I32&gt;"20:30"*1),AND(I32&lt;="20:30"*1,SUM(I32,R32)&gt;="20:31"*1)),1,""),"")</f>
        <v/>
      </c>
      <c r="Q32" s="326" t="str">
        <f t="shared" si="9"/>
        <v/>
      </c>
      <c r="R32" s="31"/>
      <c r="S32" s="327" t="str">
        <f t="shared" si="3"/>
        <v/>
      </c>
      <c r="T32" s="34">
        <f t="shared" si="4"/>
        <v>0</v>
      </c>
      <c r="U32" s="154">
        <f t="shared" si="11"/>
        <v>0</v>
      </c>
      <c r="V32" s="188"/>
      <c r="W32" s="152" t="str">
        <f t="shared" si="10"/>
        <v>0,00</v>
      </c>
    </row>
    <row r="33" spans="1:24" ht="14.4" x14ac:dyDescent="0.3">
      <c r="A33" s="40"/>
      <c r="B33" s="304">
        <v>43464</v>
      </c>
      <c r="C33" s="329" t="s">
        <v>47</v>
      </c>
      <c r="D33" s="330"/>
      <c r="E33" s="310">
        <f>IFERROR(VLOOKUP(C33,TR!$B$2:$F$612,2,0),"")</f>
        <v>0</v>
      </c>
      <c r="F33" s="311">
        <f>IFERROR(VLOOKUP(C33,TR!$B$2:$F$612,3,0),"")</f>
        <v>0</v>
      </c>
      <c r="G33" s="328">
        <f t="shared" si="5"/>
        <v>0</v>
      </c>
      <c r="H33" s="310">
        <f>IFERROR(VLOOKUP(C33,TR!$B$2:$F$612,4,0),"")</f>
        <v>0</v>
      </c>
      <c r="I33" s="311">
        <f>IFERROR(VLOOKUP(C33,TR!$B$2:$F$612,5,0),"")</f>
        <v>0</v>
      </c>
      <c r="J33" s="328">
        <f t="shared" si="6"/>
        <v>0</v>
      </c>
      <c r="K33" s="322" t="str">
        <f t="shared" si="0"/>
        <v/>
      </c>
      <c r="L33" s="323" t="str">
        <f t="shared" si="1"/>
        <v/>
      </c>
      <c r="M33" s="324" t="str">
        <f t="shared" si="2"/>
        <v/>
      </c>
      <c r="N33" s="37" t="str">
        <f t="shared" si="7"/>
        <v/>
      </c>
      <c r="O33" s="315" t="str">
        <f t="shared" si="8"/>
        <v/>
      </c>
      <c r="P33" s="408" t="str">
        <f>IF(AND(L33="",M33=""),IF(OR(SUMPRODUCT(N(ISNUMBER(FIND({"s";"d";"f"},C33))))&gt;0,G33+J33&lt;0,AND(G33&gt;0,J33&gt;0,I33&gt;"20:30"*1),AND(I33&lt;="20:30"*1,SUM(I33,R33)&gt;="20:31"*1)),1,""),"")</f>
        <v/>
      </c>
      <c r="Q33" s="326" t="str">
        <f t="shared" si="9"/>
        <v/>
      </c>
      <c r="R33" s="31"/>
      <c r="S33" s="327" t="str">
        <f t="shared" si="3"/>
        <v/>
      </c>
      <c r="T33" s="34">
        <f t="shared" si="4"/>
        <v>0</v>
      </c>
      <c r="U33" s="154">
        <f t="shared" si="11"/>
        <v>0</v>
      </c>
      <c r="V33" s="188"/>
      <c r="W33" s="152" t="str">
        <f t="shared" si="10"/>
        <v>0,00</v>
      </c>
    </row>
    <row r="34" spans="1:24" ht="15" thickBot="1" x14ac:dyDescent="0.35">
      <c r="A34" s="40"/>
      <c r="B34" s="354">
        <v>43465</v>
      </c>
      <c r="C34" s="355" t="s">
        <v>240</v>
      </c>
      <c r="D34" s="356"/>
      <c r="E34" s="357" t="str">
        <f>IFERROR(VLOOKUP(C34,TR!$B$2:$F$612,2,0),"")</f>
        <v/>
      </c>
      <c r="F34" s="358" t="str">
        <f>IFERROR(VLOOKUP(C34,TR!$B$2:$F$612,3,0),"")</f>
        <v/>
      </c>
      <c r="G34" s="359">
        <f t="shared" si="5"/>
        <v>0</v>
      </c>
      <c r="H34" s="357" t="str">
        <f>IFERROR(VLOOKUP(C34,TR!$B$2:$F$612,4,0),"")</f>
        <v/>
      </c>
      <c r="I34" s="358" t="str">
        <f>IFERROR(VLOOKUP(C34,TR!$B$2:$F$612,5,0),"")</f>
        <v/>
      </c>
      <c r="J34" s="359">
        <f t="shared" si="6"/>
        <v>0</v>
      </c>
      <c r="K34" s="360" t="str">
        <f t="shared" si="0"/>
        <v/>
      </c>
      <c r="L34" s="361" t="str">
        <f t="shared" si="1"/>
        <v/>
      </c>
      <c r="M34" s="362">
        <f t="shared" si="2"/>
        <v>1</v>
      </c>
      <c r="N34" s="38" t="str">
        <f t="shared" si="7"/>
        <v/>
      </c>
      <c r="O34" s="363" t="str">
        <f t="shared" ref="O34" si="12">IF(AND(LEFT(C34,1)="f",AND(O33&lt;&gt;1)),1,IF(OR(ISNUMBER(FIND("FériéCC",C34)),ISNUMBER(FIND("FériéCH",C34)),ISNUMBER(FIND("f",C34))),1,""))</f>
        <v/>
      </c>
      <c r="P34" s="440" t="str">
        <f>IF(AND(L34="",M34=""),IF(OR(SUMPRODUCT(N(ISNUMBER(FIND({"s";"d";"f"},C34))))&gt;0,G34+J34&lt;0,AND(G34&gt;0,J34&gt;0,I34&gt;"20:30"*1),AND(I34&lt;="20:30"*1,SUM(I34,R34)&gt;="20:31"*1)),1,""),"")</f>
        <v/>
      </c>
      <c r="Q34" s="365" t="str">
        <f t="shared" si="9"/>
        <v/>
      </c>
      <c r="R34" s="32"/>
      <c r="S34" s="366" t="str">
        <f t="shared" si="3"/>
        <v/>
      </c>
      <c r="T34" s="39">
        <f t="shared" si="4"/>
        <v>0</v>
      </c>
      <c r="U34" s="155">
        <f t="shared" si="11"/>
        <v>0</v>
      </c>
      <c r="V34" s="189"/>
      <c r="W34" s="151" t="str">
        <f t="shared" si="10"/>
        <v>0,00</v>
      </c>
    </row>
    <row r="35" spans="1:24" ht="14.4" x14ac:dyDescent="0.3">
      <c r="A35" s="40"/>
      <c r="B35" s="370"/>
      <c r="C35" s="370"/>
      <c r="D35" s="370"/>
      <c r="E35" s="370"/>
      <c r="F35" s="40"/>
      <c r="G35" s="40"/>
      <c r="H35" s="40"/>
      <c r="I35" s="40"/>
      <c r="J35" s="40"/>
      <c r="K35" s="371"/>
      <c r="L35" s="52"/>
      <c r="M35" s="371"/>
      <c r="N35" s="53"/>
      <c r="O35" s="53"/>
      <c r="S35" s="54"/>
      <c r="T35" s="55"/>
      <c r="U35" s="56"/>
      <c r="V35" s="57"/>
    </row>
    <row r="36" spans="1:24" ht="14.4" x14ac:dyDescent="0.3">
      <c r="A36" s="40"/>
      <c r="B36" s="373" t="s">
        <v>17</v>
      </c>
      <c r="C36" s="142">
        <f>(COUNTIF(Novembre!C24:C34,"&lt;&gt;")+COUNTIF(Décembre!C4:C23,"&lt;&gt;"))-(COUNTIF(Novembre!C24:C34,"CC*")+COUNTIF(Décembre!C4:C23,"CC*"))-(COUNTIF(Novembre!C24:C34,"CH*")+COUNTIF(Décembre!C4:C23,"CH*"))-(COUNTIF(Novembre!C24:C34,"RT*")+COUNTIF(Décembre!C4:C23,"RT*"))-(COUNTIF(Novembre!C24:C34,"Férié*")+COUNTIF(Décembre!C4:C23,"Férié*"))-(COUNTIF(Novembre!C24:C34,"Mal*")+COUNTIF(Décembre!C4:C23,"Mal*"))-(COUNTIF(Novembre!C24:C34,"CP*")+COUNTIF(Décembre!C4:C23,"CP*"))</f>
        <v>0</v>
      </c>
      <c r="E36" s="370"/>
      <c r="F36" s="40"/>
      <c r="G36" s="40"/>
      <c r="I36" s="613" t="s">
        <v>55</v>
      </c>
      <c r="J36" s="613"/>
      <c r="K36" s="72">
        <f>SUM(Novembre!$K$24:$K$34,K4:K23)</f>
        <v>0</v>
      </c>
      <c r="L36" s="73">
        <f>SUM(Novembre!$L$24:$L$34,L4:L23)</f>
        <v>0</v>
      </c>
      <c r="M36" s="74">
        <f>SUM(Novembre!$M$24:$M$34,M4:M23)</f>
        <v>0</v>
      </c>
      <c r="N36" s="75">
        <f>SUM(Novembre!$N$24:$N$34,N4:N23)</f>
        <v>0</v>
      </c>
      <c r="O36" s="76">
        <f>SUM(Novembre!$O$24:$O$34,O4:O23)</f>
        <v>0</v>
      </c>
      <c r="P36" s="213">
        <f>SUM(Novembre!$P$24:$P$34,P4:P23)</f>
        <v>0</v>
      </c>
      <c r="Q36" s="77">
        <f>SUM(Novembre!$Q$24:$Q$34,Q4:Q23)</f>
        <v>0</v>
      </c>
      <c r="R36" s="232">
        <f>SUM(Novembre!$R$24:$R$34,R4:R23)</f>
        <v>0</v>
      </c>
      <c r="S36" s="78"/>
      <c r="T36" s="79">
        <f>SUM(Novembre!T24:T34)+SUM(Décembre!T4:T23)</f>
        <v>0</v>
      </c>
      <c r="U36" s="80">
        <f>SUM(U4:U34)</f>
        <v>0</v>
      </c>
      <c r="V36" s="186">
        <f>SUM(V4:V34)</f>
        <v>0</v>
      </c>
      <c r="W36" s="59"/>
    </row>
    <row r="37" spans="1:24" ht="14.4" thickBot="1" x14ac:dyDescent="0.3">
      <c r="A37" s="40"/>
      <c r="B37" s="374" t="s">
        <v>51</v>
      </c>
      <c r="C37" s="143">
        <f>(COUNTIF(Novembre!C24:C34,"CP")+COUNTIF(Décembre!C4:C23,"CP"))</f>
        <v>16</v>
      </c>
      <c r="F37" s="40"/>
      <c r="G37" s="40"/>
      <c r="H37" s="40"/>
      <c r="I37" s="40"/>
      <c r="J37" s="40"/>
      <c r="K37" s="375">
        <f>(I39*2)*K36</f>
        <v>0</v>
      </c>
      <c r="L37" s="376">
        <f>Recap!H35*L36</f>
        <v>0</v>
      </c>
      <c r="M37" s="377">
        <f>Recap!H35*M36</f>
        <v>0</v>
      </c>
      <c r="N37" s="378">
        <f>(I39*5)*N36</f>
        <v>0</v>
      </c>
      <c r="O37" s="379">
        <f>(Recap!H33)*O36</f>
        <v>0</v>
      </c>
      <c r="P37" s="380">
        <f>7.5*P36</f>
        <v>0</v>
      </c>
      <c r="Q37" s="381">
        <f>(I39*1.5)*Q36</f>
        <v>0</v>
      </c>
      <c r="R37" s="382">
        <f>R36*24</f>
        <v>0</v>
      </c>
      <c r="S37" s="61"/>
      <c r="T37" s="62"/>
      <c r="U37" s="63"/>
      <c r="V37" s="57"/>
      <c r="W37" s="59"/>
    </row>
    <row r="38" spans="1:24" x14ac:dyDescent="0.25">
      <c r="B38" s="383" t="s">
        <v>47</v>
      </c>
      <c r="C38" s="144">
        <f>(COUNTIF(Novembre!C24:C34,"CH")+COUNTIF(Décembre!C4:C23,"CH"))</f>
        <v>4</v>
      </c>
      <c r="F38" s="40"/>
      <c r="G38" s="40"/>
      <c r="H38" s="40"/>
      <c r="I38" s="384" t="s">
        <v>54</v>
      </c>
      <c r="J38" s="40"/>
      <c r="K38" s="64"/>
      <c r="L38" s="52"/>
      <c r="M38" s="65"/>
      <c r="N38" s="66"/>
      <c r="O38" s="67"/>
      <c r="P38" s="68"/>
      <c r="Q38" s="68"/>
      <c r="R38" s="60"/>
      <c r="S38" s="61"/>
      <c r="T38" s="614" t="s">
        <v>18</v>
      </c>
      <c r="U38" s="614"/>
      <c r="V38" s="104">
        <v>6.1749999999999998</v>
      </c>
      <c r="W38" s="81">
        <f>V38*24</f>
        <v>148.19999999999999</v>
      </c>
      <c r="X38" s="69"/>
    </row>
    <row r="39" spans="1:24" ht="14.4" thickBot="1" x14ac:dyDescent="0.3">
      <c r="B39" s="385" t="s">
        <v>45</v>
      </c>
      <c r="C39" s="145">
        <f>(COUNTIF(Novembre!C24:C34,"RT")+COUNTIF(Décembre!C4:C23,"RT"))</f>
        <v>2</v>
      </c>
      <c r="F39" s="40"/>
      <c r="G39" s="40"/>
      <c r="H39" s="40"/>
      <c r="I39" s="386">
        <v>8.8528000000000002</v>
      </c>
      <c r="J39" s="40"/>
      <c r="K39" s="40"/>
      <c r="L39" s="40"/>
      <c r="M39" s="40"/>
      <c r="N39" s="387"/>
      <c r="O39" s="387"/>
      <c r="V39" s="388"/>
      <c r="W39" s="388"/>
      <c r="X39" s="389"/>
    </row>
    <row r="40" spans="1:24" x14ac:dyDescent="0.25">
      <c r="B40" s="390" t="s">
        <v>46</v>
      </c>
      <c r="C40" s="146">
        <f>(COUNTIF(Novembre!C24:C34,"CC")+COUNTIF(Décembre!C4:C23,"CC"))</f>
        <v>5</v>
      </c>
      <c r="T40" s="615" t="s">
        <v>16</v>
      </c>
      <c r="U40" s="615"/>
      <c r="V40" s="391" t="str">
        <f>IF(V38&gt;T36,"-","")&amp;TEXT(ABS(T36-V38),"[h]:mm")</f>
        <v>-148:12</v>
      </c>
      <c r="W40" s="532">
        <f>(T36-V38)*24</f>
        <v>-148.19999999999999</v>
      </c>
      <c r="X40" s="69"/>
    </row>
    <row r="41" spans="1:24" ht="14.4" thickBot="1" x14ac:dyDescent="0.3">
      <c r="B41" s="393" t="s">
        <v>11</v>
      </c>
      <c r="C41" s="147">
        <f>(COUNTIF(Novembre!C24:C34,"Férié")+COUNTIF(Décembre!C4:C23,"Férié"))</f>
        <v>0</v>
      </c>
      <c r="W41" s="389"/>
    </row>
    <row r="42" spans="1:24" ht="15" thickTop="1" thickBot="1" x14ac:dyDescent="0.3">
      <c r="B42" s="394" t="s">
        <v>153</v>
      </c>
      <c r="C42" s="230">
        <f>(COUNTIF(Novembre!C24:C34,"FériéCC")+COUNTIF(Décembre!C4:C23,"FériéCH"))</f>
        <v>0</v>
      </c>
      <c r="D42" s="389"/>
      <c r="E42" s="389"/>
      <c r="F42" s="389"/>
      <c r="R42" s="616" t="s">
        <v>201</v>
      </c>
      <c r="S42" s="642"/>
      <c r="T42" s="442">
        <f>SUM(T4:T34)</f>
        <v>0</v>
      </c>
      <c r="W42" s="70"/>
    </row>
    <row r="43" spans="1:24" ht="15.6" thickTop="1" thickBot="1" x14ac:dyDescent="0.35">
      <c r="B43" s="590" t="s">
        <v>239</v>
      </c>
      <c r="C43" s="591">
        <f>(COUNTIF(Novembre!C24:C34,"RTN")+COUNTIF(Décembre!C4:C23,"RTN"))</f>
        <v>3</v>
      </c>
      <c r="S43" s="71"/>
      <c r="T43" s="257">
        <f>T42*24</f>
        <v>0</v>
      </c>
      <c r="W43" s="397">
        <f>(T42-V38)*24</f>
        <v>-148.19999999999999</v>
      </c>
    </row>
    <row r="44" spans="1:24" ht="15" thickTop="1" x14ac:dyDescent="0.3">
      <c r="B44" s="592" t="s">
        <v>238</v>
      </c>
      <c r="C44" s="593">
        <f>(COUNTIF(Novembre!C24:C34,"RTA")+COUNTIF(Décembre!C4:C23,"RTA"))</f>
        <v>0</v>
      </c>
      <c r="P44" s="71"/>
      <c r="Q44" s="71"/>
    </row>
    <row r="45" spans="1:24" ht="14.4" x14ac:dyDescent="0.3">
      <c r="B45" s="594"/>
      <c r="C45" s="595"/>
      <c r="P45" s="71"/>
      <c r="Q45" s="71"/>
    </row>
    <row r="46" spans="1:24" ht="15" thickBot="1" x14ac:dyDescent="0.35">
      <c r="B46" s="594"/>
      <c r="C46" s="595"/>
      <c r="P46" s="71"/>
      <c r="Q46" s="71"/>
    </row>
    <row r="47" spans="1:24" ht="14.4" thickBot="1" x14ac:dyDescent="0.3">
      <c r="B47" s="373" t="s">
        <v>17</v>
      </c>
      <c r="C47" s="142">
        <f>COUNTIF(C24:C34,"&lt;&gt;")-(COUNTIF(C24:C34,"CH*")+COUNTIF(C24:C34,"RDU*")+COUNTIF(C24:C34,"RT*")+COUNTIF(C24:C34,"CC*")+COUNTIF(C24:C34,"Férié*")+COUNTIF(C24:C34,"CP*"))</f>
        <v>0</v>
      </c>
      <c r="F47" s="605" t="s">
        <v>57</v>
      </c>
      <c r="G47" s="606"/>
      <c r="H47" s="606"/>
      <c r="I47" s="606"/>
      <c r="J47" s="606"/>
      <c r="K47" s="606"/>
      <c r="L47" s="606"/>
      <c r="M47" s="606"/>
      <c r="N47" s="606"/>
      <c r="O47" s="606"/>
      <c r="P47" s="606"/>
      <c r="Q47" s="607"/>
    </row>
    <row r="48" spans="1:24" ht="14.4" thickTop="1" x14ac:dyDescent="0.25">
      <c r="B48" s="374" t="s">
        <v>51</v>
      </c>
      <c r="C48" s="143">
        <f>COUNTIF(C24:C34,"CP")</f>
        <v>6</v>
      </c>
      <c r="F48" s="444"/>
      <c r="G48" s="445"/>
      <c r="H48" s="445"/>
      <c r="I48" s="445"/>
      <c r="J48" s="445"/>
      <c r="K48" s="445"/>
      <c r="L48" s="445"/>
      <c r="M48" s="445"/>
      <c r="N48" s="445"/>
      <c r="O48" s="445"/>
      <c r="P48" s="445"/>
      <c r="Q48" s="446"/>
    </row>
    <row r="49" spans="2:17" x14ac:dyDescent="0.25">
      <c r="B49" s="383" t="s">
        <v>47</v>
      </c>
      <c r="C49" s="144">
        <f>COUNTIF(C24:C34,"CH")</f>
        <v>2</v>
      </c>
      <c r="F49" s="398"/>
      <c r="G49" s="399"/>
      <c r="H49" s="399"/>
      <c r="I49" s="399"/>
      <c r="J49" s="399"/>
      <c r="K49" s="399"/>
      <c r="L49" s="399"/>
      <c r="M49" s="399"/>
      <c r="N49" s="399"/>
      <c r="O49" s="399"/>
      <c r="P49" s="399"/>
      <c r="Q49" s="400"/>
    </row>
    <row r="50" spans="2:17" x14ac:dyDescent="0.25">
      <c r="B50" s="385" t="s">
        <v>45</v>
      </c>
      <c r="C50" s="145">
        <f>COUNTIF(C24:C34,"RT")</f>
        <v>0</v>
      </c>
      <c r="F50" s="398"/>
      <c r="G50" s="399"/>
      <c r="H50" s="399"/>
      <c r="I50" s="399"/>
      <c r="J50" s="399"/>
      <c r="K50" s="399"/>
      <c r="L50" s="399"/>
      <c r="M50" s="399"/>
      <c r="N50" s="399"/>
      <c r="O50" s="399"/>
      <c r="P50" s="399"/>
      <c r="Q50" s="400"/>
    </row>
    <row r="51" spans="2:17" x14ac:dyDescent="0.25">
      <c r="B51" s="390" t="s">
        <v>46</v>
      </c>
      <c r="C51" s="146">
        <f>COUNTIF(C24:C34,"CC")</f>
        <v>1</v>
      </c>
      <c r="F51" s="398"/>
      <c r="G51" s="399"/>
      <c r="H51" s="399"/>
      <c r="I51" s="399"/>
      <c r="J51" s="399"/>
      <c r="K51" s="399"/>
      <c r="L51" s="399"/>
      <c r="M51" s="399"/>
      <c r="N51" s="399"/>
      <c r="O51" s="399"/>
      <c r="P51" s="399"/>
      <c r="Q51" s="400"/>
    </row>
    <row r="52" spans="2:17" x14ac:dyDescent="0.25">
      <c r="B52" s="393" t="s">
        <v>11</v>
      </c>
      <c r="C52" s="147">
        <f>COUNTIF(C24:C34,"Férié")</f>
        <v>1</v>
      </c>
      <c r="F52" s="398"/>
      <c r="G52" s="399"/>
      <c r="H52" s="399"/>
      <c r="I52" s="399"/>
      <c r="J52" s="399"/>
      <c r="K52" s="399"/>
      <c r="L52" s="399"/>
      <c r="M52" s="399"/>
      <c r="N52" s="399"/>
      <c r="O52" s="399"/>
      <c r="P52" s="399"/>
      <c r="Q52" s="400"/>
    </row>
    <row r="53" spans="2:17" x14ac:dyDescent="0.25">
      <c r="B53" s="394" t="s">
        <v>153</v>
      </c>
      <c r="C53" s="230">
        <f>COUNTIF(C24:C34,"FériéCC"-"FériéCH")</f>
        <v>0</v>
      </c>
      <c r="F53" s="398"/>
      <c r="G53" s="399"/>
      <c r="H53" s="399"/>
      <c r="I53" s="399"/>
      <c r="J53" s="399"/>
      <c r="K53" s="399"/>
      <c r="L53" s="399"/>
      <c r="M53" s="399"/>
      <c r="N53" s="399"/>
      <c r="O53" s="399"/>
      <c r="P53" s="399"/>
      <c r="Q53" s="400"/>
    </row>
    <row r="54" spans="2:17" x14ac:dyDescent="0.25">
      <c r="F54" s="398"/>
      <c r="G54" s="399"/>
      <c r="H54" s="399"/>
      <c r="I54" s="399"/>
      <c r="J54" s="399"/>
      <c r="K54" s="399"/>
      <c r="L54" s="399"/>
      <c r="M54" s="399"/>
      <c r="N54" s="399"/>
      <c r="O54" s="399"/>
      <c r="P54" s="399"/>
      <c r="Q54" s="400"/>
    </row>
    <row r="55" spans="2:17" x14ac:dyDescent="0.25">
      <c r="F55" s="398"/>
      <c r="G55" s="399"/>
      <c r="H55" s="399"/>
      <c r="I55" s="399"/>
      <c r="J55" s="399"/>
      <c r="K55" s="399"/>
      <c r="L55" s="399"/>
      <c r="M55" s="399"/>
      <c r="N55" s="399"/>
      <c r="O55" s="399"/>
      <c r="P55" s="399"/>
      <c r="Q55" s="400"/>
    </row>
    <row r="56" spans="2:17" x14ac:dyDescent="0.25">
      <c r="F56" s="398"/>
      <c r="G56" s="399"/>
      <c r="H56" s="399"/>
      <c r="I56" s="399"/>
      <c r="J56" s="399"/>
      <c r="K56" s="399"/>
      <c r="L56" s="399"/>
      <c r="M56" s="399"/>
      <c r="N56" s="399"/>
      <c r="O56" s="399"/>
      <c r="P56" s="399"/>
      <c r="Q56" s="400"/>
    </row>
    <row r="57" spans="2:17" x14ac:dyDescent="0.25">
      <c r="F57" s="398"/>
      <c r="G57" s="399"/>
      <c r="H57" s="399"/>
      <c r="I57" s="399"/>
      <c r="J57" s="399"/>
      <c r="K57" s="399"/>
      <c r="L57" s="399"/>
      <c r="M57" s="399"/>
      <c r="N57" s="399"/>
      <c r="O57" s="399"/>
      <c r="P57" s="399"/>
      <c r="Q57" s="400"/>
    </row>
    <row r="58" spans="2:17" x14ac:dyDescent="0.25">
      <c r="F58" s="398"/>
      <c r="G58" s="399"/>
      <c r="H58" s="399"/>
      <c r="I58" s="399"/>
      <c r="J58" s="399"/>
      <c r="K58" s="399"/>
      <c r="L58" s="399"/>
      <c r="M58" s="399"/>
      <c r="N58" s="399"/>
      <c r="O58" s="399"/>
      <c r="P58" s="399"/>
      <c r="Q58" s="400"/>
    </row>
    <row r="59" spans="2:17" x14ac:dyDescent="0.25">
      <c r="F59" s="398"/>
      <c r="G59" s="399"/>
      <c r="H59" s="399"/>
      <c r="I59" s="399"/>
      <c r="J59" s="399"/>
      <c r="K59" s="399"/>
      <c r="L59" s="399"/>
      <c r="M59" s="399"/>
      <c r="N59" s="399"/>
      <c r="O59" s="399"/>
      <c r="P59" s="399"/>
      <c r="Q59" s="400"/>
    </row>
    <row r="60" spans="2:17" x14ac:dyDescent="0.25">
      <c r="F60" s="398"/>
      <c r="G60" s="399"/>
      <c r="H60" s="399"/>
      <c r="I60" s="399"/>
      <c r="J60" s="399"/>
      <c r="K60" s="399"/>
      <c r="L60" s="399"/>
      <c r="M60" s="399"/>
      <c r="N60" s="399"/>
      <c r="O60" s="399"/>
      <c r="P60" s="399"/>
      <c r="Q60" s="400"/>
    </row>
    <row r="61" spans="2:17" ht="14.4" thickBot="1" x14ac:dyDescent="0.3">
      <c r="F61" s="401"/>
      <c r="G61" s="402"/>
      <c r="H61" s="402"/>
      <c r="I61" s="402"/>
      <c r="J61" s="402"/>
      <c r="K61" s="402"/>
      <c r="L61" s="402"/>
      <c r="M61" s="402"/>
      <c r="N61" s="402"/>
      <c r="O61" s="402"/>
      <c r="P61" s="402"/>
      <c r="Q61" s="403"/>
    </row>
    <row r="62" spans="2:17" ht="14.4" thickTop="1" x14ac:dyDescent="0.25"/>
  </sheetData>
  <mergeCells count="9">
    <mergeCell ref="B1:W1"/>
    <mergeCell ref="T2:W2"/>
    <mergeCell ref="F47:Q47"/>
    <mergeCell ref="E3:F3"/>
    <mergeCell ref="H3:I3"/>
    <mergeCell ref="I36:J36"/>
    <mergeCell ref="T38:U38"/>
    <mergeCell ref="T40:U40"/>
    <mergeCell ref="R42:S42"/>
  </mergeCells>
  <conditionalFormatting sqref="C4:Q34">
    <cfRule type="expression" dxfId="5" priority="21">
      <formula>ISNUMBER(FIND("CP",$C4))</formula>
    </cfRule>
    <cfRule type="expression" dxfId="4" priority="30">
      <formula>OR(ISNUMBER(FIND("Férié",$C4)),ISNUMBER(FIND("f",$C4)))</formula>
    </cfRule>
    <cfRule type="expression" dxfId="3" priority="49" stopIfTrue="1">
      <formula>ISNUMBER(FIND("n",$C4))</formula>
    </cfRule>
  </conditionalFormatting>
  <conditionalFormatting sqref="V40:W40">
    <cfRule type="expression" dxfId="2" priority="8" stopIfTrue="1">
      <formula>$T$36&gt;$V$38</formula>
    </cfRule>
    <cfRule type="expression" dxfId="1" priority="20" stopIfTrue="1">
      <formula>$T$36&lt;$V$38</formula>
    </cfRule>
  </conditionalFormatting>
  <conditionalFormatting sqref="C4:C34">
    <cfRule type="expression" dxfId="0" priority="7" stopIfTrue="1">
      <formula>ISNUMBER(FIND("d",$C4))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ignoredErrors>
    <ignoredError sqref="T43" unlockedFormula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35"/>
  <sheetViews>
    <sheetView topLeftCell="A4" workbookViewId="0">
      <selection activeCell="T20" sqref="T20"/>
    </sheetView>
  </sheetViews>
  <sheetFormatPr baseColWidth="10" defaultColWidth="11" defaultRowHeight="15.6" x14ac:dyDescent="0.3"/>
  <cols>
    <col min="1" max="1" width="2.59765625" style="83" customWidth="1"/>
    <col min="2" max="2" width="12.59765625" style="83" customWidth="1"/>
    <col min="3" max="3" width="7.59765625" style="83" customWidth="1"/>
    <col min="4" max="4" width="8" style="83" customWidth="1"/>
    <col min="5" max="5" width="8.59765625" style="83" customWidth="1"/>
    <col min="6" max="6" width="4.59765625" style="83" customWidth="1"/>
    <col min="7" max="7" width="12.59765625" style="83" customWidth="1"/>
    <col min="8" max="8" width="13.69921875" style="83" customWidth="1"/>
    <col min="9" max="13" width="10.59765625" style="83" customWidth="1"/>
    <col min="14" max="14" width="13" style="83" customWidth="1"/>
    <col min="15" max="15" width="14.59765625" style="83" customWidth="1"/>
    <col min="16" max="16384" width="11" style="83"/>
  </cols>
  <sheetData>
    <row r="1" spans="2:15" x14ac:dyDescent="0.3">
      <c r="B1" s="668" t="s">
        <v>202</v>
      </c>
      <c r="C1" s="669"/>
      <c r="D1" s="669"/>
      <c r="E1" s="669"/>
      <c r="F1" s="669"/>
      <c r="G1" s="669"/>
      <c r="H1" s="669"/>
      <c r="I1" s="669"/>
      <c r="J1" s="669"/>
      <c r="K1" s="669"/>
      <c r="L1" s="669"/>
      <c r="M1" s="669"/>
      <c r="N1" s="669"/>
      <c r="O1" s="669"/>
    </row>
    <row r="2" spans="2:15" ht="16.2" thickBot="1" x14ac:dyDescent="0.35"/>
    <row r="3" spans="2:15" ht="16.2" thickBot="1" x14ac:dyDescent="0.35">
      <c r="C3" s="643" t="s">
        <v>34</v>
      </c>
      <c r="D3" s="644"/>
      <c r="E3" s="645" t="s">
        <v>35</v>
      </c>
      <c r="F3" s="646"/>
      <c r="G3" s="109" t="s">
        <v>36</v>
      </c>
      <c r="H3" s="107" t="s">
        <v>17</v>
      </c>
      <c r="I3" s="120" t="s">
        <v>51</v>
      </c>
      <c r="J3" s="138" t="s">
        <v>47</v>
      </c>
      <c r="K3" s="132" t="s">
        <v>45</v>
      </c>
      <c r="L3" s="125" t="s">
        <v>46</v>
      </c>
      <c r="M3" s="109" t="s">
        <v>11</v>
      </c>
      <c r="N3" s="171" t="s">
        <v>153</v>
      </c>
      <c r="O3" s="191" t="s">
        <v>179</v>
      </c>
    </row>
    <row r="4" spans="2:15" x14ac:dyDescent="0.3">
      <c r="B4" s="84" t="s">
        <v>19</v>
      </c>
      <c r="C4" s="647">
        <f>Janvier!T36</f>
        <v>4.2013888888888875</v>
      </c>
      <c r="D4" s="648"/>
      <c r="E4" s="649">
        <f t="shared" ref="E4:E15" si="0">C4*24</f>
        <v>100.8333333333333</v>
      </c>
      <c r="F4" s="650"/>
      <c r="G4" s="110">
        <f>IFERROR(C4/H4,"")</f>
        <v>0.32318376068376059</v>
      </c>
      <c r="H4" s="118">
        <f>Janvier!C36</f>
        <v>13</v>
      </c>
      <c r="I4" s="121">
        <f>Janvier!C37</f>
        <v>0</v>
      </c>
      <c r="J4" s="139">
        <f>Janvier!C38</f>
        <v>2</v>
      </c>
      <c r="K4" s="133">
        <f>Janvier!C39</f>
        <v>1</v>
      </c>
      <c r="L4" s="126">
        <f>Janvier!C40</f>
        <v>3</v>
      </c>
      <c r="M4" s="129">
        <f>Janvier!C41</f>
        <v>0</v>
      </c>
      <c r="N4" s="173">
        <f>Janvier!C42</f>
        <v>0</v>
      </c>
      <c r="O4" s="192">
        <f>IF(Janvier!W43&lt;0,"",Janvier!W43*D35)</f>
        <v>190.22850877192909</v>
      </c>
    </row>
    <row r="5" spans="2:15" x14ac:dyDescent="0.3">
      <c r="B5" s="85" t="s">
        <v>32</v>
      </c>
      <c r="C5" s="647">
        <f>Février!T36</f>
        <v>5.5888888888888886</v>
      </c>
      <c r="D5" s="648"/>
      <c r="E5" s="649">
        <f t="shared" si="0"/>
        <v>134.13333333333333</v>
      </c>
      <c r="F5" s="650"/>
      <c r="G5" s="111">
        <f t="shared" ref="G5:G15" si="1">IFERROR(C5/H5,"")</f>
        <v>0.31049382716049378</v>
      </c>
      <c r="H5" s="118">
        <f>Février!C36</f>
        <v>18</v>
      </c>
      <c r="I5" s="122">
        <f>Février!C37</f>
        <v>2</v>
      </c>
      <c r="J5" s="140">
        <f>Février!C38</f>
        <v>5</v>
      </c>
      <c r="K5" s="134">
        <f>Février!C39</f>
        <v>1</v>
      </c>
      <c r="L5" s="127">
        <f>Février!C40</f>
        <v>5</v>
      </c>
      <c r="M5" s="129">
        <f>Février!C41</f>
        <v>0</v>
      </c>
      <c r="N5" s="172">
        <f>Février!C42</f>
        <v>0</v>
      </c>
      <c r="O5" s="192" t="str">
        <f>IF(Février!W43&lt;0,"",Février!W43*D35)</f>
        <v/>
      </c>
    </row>
    <row r="6" spans="2:15" x14ac:dyDescent="0.3">
      <c r="B6" s="85" t="s">
        <v>31</v>
      </c>
      <c r="C6" s="647">
        <f>Mars!T36</f>
        <v>4.9180555555555552</v>
      </c>
      <c r="D6" s="648"/>
      <c r="E6" s="649">
        <f t="shared" si="0"/>
        <v>118.03333333333333</v>
      </c>
      <c r="F6" s="650"/>
      <c r="G6" s="111">
        <f t="shared" si="1"/>
        <v>0.3073784722222222</v>
      </c>
      <c r="H6" s="118">
        <f>Mars!C36</f>
        <v>16</v>
      </c>
      <c r="I6" s="122">
        <f>Mars!C37</f>
        <v>3</v>
      </c>
      <c r="J6" s="140">
        <f>Mars!C38</f>
        <v>3</v>
      </c>
      <c r="K6" s="134">
        <f>Mars!C39</f>
        <v>1</v>
      </c>
      <c r="L6" s="127">
        <f>Mars!C40</f>
        <v>5</v>
      </c>
      <c r="M6" s="129">
        <f>Mars!C41</f>
        <v>0</v>
      </c>
      <c r="N6" s="172">
        <f>Mars!C42</f>
        <v>0</v>
      </c>
      <c r="O6" s="192" t="str">
        <f>IF(Mars!W43&lt;0,"",Mars!W43*D35)</f>
        <v/>
      </c>
    </row>
    <row r="7" spans="2:15" x14ac:dyDescent="0.3">
      <c r="B7" s="85" t="s">
        <v>33</v>
      </c>
      <c r="C7" s="647">
        <f>Avril!T36</f>
        <v>5.9194444444444443</v>
      </c>
      <c r="D7" s="648"/>
      <c r="E7" s="649">
        <f t="shared" si="0"/>
        <v>142.06666666666666</v>
      </c>
      <c r="F7" s="650"/>
      <c r="G7" s="111">
        <f t="shared" si="1"/>
        <v>0.31154970760233919</v>
      </c>
      <c r="H7" s="118">
        <f>Avril!C36</f>
        <v>19</v>
      </c>
      <c r="I7" s="122">
        <f>Avril!C37</f>
        <v>0</v>
      </c>
      <c r="J7" s="140">
        <f>Avril!C38</f>
        <v>4</v>
      </c>
      <c r="K7" s="134">
        <f>Avril!C39</f>
        <v>2</v>
      </c>
      <c r="L7" s="127">
        <f>Avril!C40</f>
        <v>5</v>
      </c>
      <c r="M7" s="129">
        <f>Avril!C41</f>
        <v>1</v>
      </c>
      <c r="N7" s="172">
        <f>Avril!C42</f>
        <v>0</v>
      </c>
      <c r="O7" s="192" t="str">
        <f>IF(Avril!W43&lt;0,"",Avril!W43*D35)</f>
        <v/>
      </c>
    </row>
    <row r="8" spans="2:15" x14ac:dyDescent="0.3">
      <c r="B8" s="85" t="s">
        <v>29</v>
      </c>
      <c r="C8" s="647">
        <f>Mai!T36</f>
        <v>5.7298611111111111</v>
      </c>
      <c r="D8" s="648"/>
      <c r="E8" s="649">
        <f t="shared" si="0"/>
        <v>137.51666666666665</v>
      </c>
      <c r="F8" s="650"/>
      <c r="G8" s="111">
        <f t="shared" si="1"/>
        <v>0.30157163742690057</v>
      </c>
      <c r="H8" s="118">
        <f>Mai!C36</f>
        <v>19</v>
      </c>
      <c r="I8" s="122">
        <f>Mai!C37</f>
        <v>0</v>
      </c>
      <c r="J8" s="140">
        <f>Mai!C38</f>
        <v>5</v>
      </c>
      <c r="K8" s="134">
        <f>Mai!C39</f>
        <v>1</v>
      </c>
      <c r="L8" s="127">
        <f>Mai!C40</f>
        <v>3</v>
      </c>
      <c r="M8" s="129">
        <f>Mai!C41</f>
        <v>2</v>
      </c>
      <c r="N8" s="172">
        <f>Mai!C42</f>
        <v>0</v>
      </c>
      <c r="O8" s="192" t="str">
        <f>IF(Mai!W43&lt;0,"",Mai!W43*D35)</f>
        <v/>
      </c>
    </row>
    <row r="9" spans="2:15" x14ac:dyDescent="0.3">
      <c r="B9" s="85" t="s">
        <v>28</v>
      </c>
      <c r="C9" s="647">
        <f>Juin!T36</f>
        <v>6.2972222222222216</v>
      </c>
      <c r="D9" s="648"/>
      <c r="E9" s="649">
        <f t="shared" si="0"/>
        <v>151.13333333333333</v>
      </c>
      <c r="F9" s="650"/>
      <c r="G9" s="111">
        <f t="shared" si="1"/>
        <v>0.31486111111111109</v>
      </c>
      <c r="H9" s="118">
        <f>Juin!C36</f>
        <v>20</v>
      </c>
      <c r="I9" s="122">
        <f>Juin!C37</f>
        <v>0</v>
      </c>
      <c r="J9" s="140">
        <f>Juin!C38</f>
        <v>3</v>
      </c>
      <c r="K9" s="134">
        <f>Juin!C39</f>
        <v>2</v>
      </c>
      <c r="L9" s="127">
        <f>Juin!C40</f>
        <v>5</v>
      </c>
      <c r="M9" s="129">
        <f>Juin!C41</f>
        <v>1</v>
      </c>
      <c r="N9" s="172">
        <f>Juin!C42</f>
        <v>0</v>
      </c>
      <c r="O9" s="192">
        <f>IF(Juin!W43&lt;0,"",Juin!W43*D35)</f>
        <v>283.45463900134905</v>
      </c>
    </row>
    <row r="10" spans="2:15" x14ac:dyDescent="0.3">
      <c r="B10" s="85" t="s">
        <v>27</v>
      </c>
      <c r="C10" s="647">
        <f>Juillet!T36</f>
        <v>6.6861111111111118</v>
      </c>
      <c r="D10" s="648"/>
      <c r="E10" s="649">
        <f t="shared" si="0"/>
        <v>160.4666666666667</v>
      </c>
      <c r="F10" s="650"/>
      <c r="G10" s="111">
        <f t="shared" si="1"/>
        <v>0.31838624338624344</v>
      </c>
      <c r="H10" s="118">
        <f>Juillet!C36</f>
        <v>21</v>
      </c>
      <c r="I10" s="122">
        <f>Juillet!C37</f>
        <v>0</v>
      </c>
      <c r="J10" s="140">
        <f>Juillet!C38</f>
        <v>4</v>
      </c>
      <c r="K10" s="134">
        <f>Juillet!C39</f>
        <v>1</v>
      </c>
      <c r="L10" s="127">
        <f>Juillet!C40</f>
        <v>3</v>
      </c>
      <c r="M10" s="129">
        <f>Juillet!C41</f>
        <v>1</v>
      </c>
      <c r="N10" s="172">
        <f>Juillet!C42</f>
        <v>0</v>
      </c>
      <c r="O10" s="192" t="str">
        <f>IF(Juillet!W43&lt;0,"",Juillet!W43*D35)</f>
        <v/>
      </c>
    </row>
    <row r="11" spans="2:15" x14ac:dyDescent="0.3">
      <c r="B11" s="85" t="s">
        <v>26</v>
      </c>
      <c r="C11" s="647">
        <f>Août!T36</f>
        <v>5.863888888888888</v>
      </c>
      <c r="D11" s="648"/>
      <c r="E11" s="649">
        <f t="shared" si="0"/>
        <v>140.73333333333332</v>
      </c>
      <c r="F11" s="650"/>
      <c r="G11" s="111">
        <f t="shared" si="1"/>
        <v>0.32577160493827156</v>
      </c>
      <c r="H11" s="118">
        <f>Août!C36</f>
        <v>18</v>
      </c>
      <c r="I11" s="122">
        <f>Août!C37</f>
        <v>0</v>
      </c>
      <c r="J11" s="140">
        <f>Août!C38</f>
        <v>5</v>
      </c>
      <c r="K11" s="134">
        <f>Août!C39</f>
        <v>2</v>
      </c>
      <c r="L11" s="127">
        <f>Août!C40</f>
        <v>5</v>
      </c>
      <c r="M11" s="129">
        <f>Août!C41</f>
        <v>1</v>
      </c>
      <c r="N11" s="172">
        <f>Août!C42</f>
        <v>0</v>
      </c>
      <c r="O11" s="192" t="str">
        <f>IF(Août!W43&lt;0,"",Août!W43*D35)</f>
        <v/>
      </c>
    </row>
    <row r="12" spans="2:15" x14ac:dyDescent="0.3">
      <c r="B12" s="85" t="s">
        <v>25</v>
      </c>
      <c r="C12" s="647">
        <f>Septembre!T36</f>
        <v>0.98819444444444449</v>
      </c>
      <c r="D12" s="648"/>
      <c r="E12" s="649">
        <f t="shared" si="0"/>
        <v>23.716666666666669</v>
      </c>
      <c r="F12" s="650"/>
      <c r="G12" s="111">
        <f t="shared" si="1"/>
        <v>0.24704861111111112</v>
      </c>
      <c r="H12" s="118">
        <f>Septembre!C36</f>
        <v>4</v>
      </c>
      <c r="I12" s="122">
        <f>Septembre!C37</f>
        <v>9</v>
      </c>
      <c r="J12" s="140">
        <f>Septembre!C38</f>
        <v>4</v>
      </c>
      <c r="K12" s="134">
        <f>Septembre!C39</f>
        <v>1</v>
      </c>
      <c r="L12" s="127">
        <f>Septembre!C40</f>
        <v>4</v>
      </c>
      <c r="M12" s="129">
        <f>Septembre!C41</f>
        <v>0</v>
      </c>
      <c r="N12" s="172">
        <f>Septembre!C42</f>
        <v>0</v>
      </c>
      <c r="O12" s="192" t="str">
        <f>IF(Septembre!W43&lt;0,"",Septembre!W43*D35)</f>
        <v/>
      </c>
    </row>
    <row r="13" spans="2:15" x14ac:dyDescent="0.3">
      <c r="B13" s="85" t="s">
        <v>24</v>
      </c>
      <c r="C13" s="647">
        <f>Octobre!T36</f>
        <v>0</v>
      </c>
      <c r="D13" s="648"/>
      <c r="E13" s="649">
        <f t="shared" si="0"/>
        <v>0</v>
      </c>
      <c r="F13" s="650"/>
      <c r="G13" s="111" t="str">
        <f t="shared" si="1"/>
        <v/>
      </c>
      <c r="H13" s="118">
        <f>Octobre!C36</f>
        <v>0</v>
      </c>
      <c r="I13" s="122">
        <f>Octobre!C37</f>
        <v>0</v>
      </c>
      <c r="J13" s="140">
        <f>Octobre!C38</f>
        <v>5</v>
      </c>
      <c r="K13" s="134">
        <f>Octobre!C39</f>
        <v>2</v>
      </c>
      <c r="L13" s="127">
        <f>Octobre!C40</f>
        <v>5</v>
      </c>
      <c r="M13" s="129">
        <f>Octobre!C41</f>
        <v>0</v>
      </c>
      <c r="N13" s="172">
        <f>Octobre!C42</f>
        <v>0</v>
      </c>
      <c r="O13" s="192" t="str">
        <f>IF(Octobre!W43&lt;0,"",Octobre!W43*D35)</f>
        <v/>
      </c>
    </row>
    <row r="14" spans="2:15" x14ac:dyDescent="0.3">
      <c r="B14" s="85" t="s">
        <v>0</v>
      </c>
      <c r="C14" s="647">
        <f>Novembre!T36</f>
        <v>0</v>
      </c>
      <c r="D14" s="648"/>
      <c r="E14" s="649">
        <f t="shared" si="0"/>
        <v>0</v>
      </c>
      <c r="F14" s="650"/>
      <c r="G14" s="111" t="str">
        <f t="shared" si="1"/>
        <v/>
      </c>
      <c r="H14" s="118">
        <f>Novembre!C36</f>
        <v>0</v>
      </c>
      <c r="I14" s="122">
        <f>Novembre!C37</f>
        <v>0</v>
      </c>
      <c r="J14" s="140">
        <f>Novembre!C38</f>
        <v>4</v>
      </c>
      <c r="K14" s="134">
        <f>Novembre!C39</f>
        <v>0</v>
      </c>
      <c r="L14" s="127">
        <f>Novembre!C40</f>
        <v>4</v>
      </c>
      <c r="M14" s="129">
        <f>Novembre!C41</f>
        <v>1</v>
      </c>
      <c r="N14" s="172">
        <f>Novembre!C42</f>
        <v>0</v>
      </c>
      <c r="O14" s="192" t="str">
        <f>IF(Novembre!W43&lt;0,"",Novembre!W43*D35)</f>
        <v/>
      </c>
    </row>
    <row r="15" spans="2:15" ht="16.2" thickBot="1" x14ac:dyDescent="0.35">
      <c r="B15" s="105" t="s">
        <v>23</v>
      </c>
      <c r="C15" s="647">
        <f>Décembre!T36</f>
        <v>0</v>
      </c>
      <c r="D15" s="648"/>
      <c r="E15" s="649">
        <f t="shared" si="0"/>
        <v>0</v>
      </c>
      <c r="F15" s="650"/>
      <c r="G15" s="112" t="str">
        <f t="shared" si="1"/>
        <v/>
      </c>
      <c r="H15" s="119">
        <f>Décembre!C36</f>
        <v>0</v>
      </c>
      <c r="I15" s="123">
        <f>Décembre!C37</f>
        <v>16</v>
      </c>
      <c r="J15" s="141">
        <f>Décembre!C38</f>
        <v>4</v>
      </c>
      <c r="K15" s="135">
        <f>Décembre!C39</f>
        <v>2</v>
      </c>
      <c r="L15" s="131">
        <f>Décembre!C40</f>
        <v>5</v>
      </c>
      <c r="M15" s="129">
        <f>Décembre!C41</f>
        <v>0</v>
      </c>
      <c r="N15" s="172">
        <f>Décembre!C42</f>
        <v>0</v>
      </c>
      <c r="O15" s="192" t="str">
        <f>IF(Décembre!W43&lt;0,"",Décembre!W43*D35)</f>
        <v/>
      </c>
    </row>
    <row r="16" spans="2:15" ht="16.2" thickBot="1" x14ac:dyDescent="0.35">
      <c r="B16" s="106" t="s">
        <v>1</v>
      </c>
      <c r="C16" s="670">
        <f>SUM(C4:D15)</f>
        <v>46.193055555555553</v>
      </c>
      <c r="D16" s="671"/>
      <c r="E16" s="672">
        <f>SUM(E4:F15)</f>
        <v>1108.6333333333332</v>
      </c>
      <c r="F16" s="673"/>
      <c r="G16" s="113">
        <f>SUM(G4:G15)/12</f>
        <v>0.23002041463687115</v>
      </c>
      <c r="H16" s="108">
        <f t="shared" ref="H16:M16" si="2">SUM(H4:H15)</f>
        <v>148</v>
      </c>
      <c r="I16" s="124">
        <f t="shared" si="2"/>
        <v>30</v>
      </c>
      <c r="J16" s="137">
        <f t="shared" si="2"/>
        <v>48</v>
      </c>
      <c r="K16" s="136">
        <f t="shared" si="2"/>
        <v>16</v>
      </c>
      <c r="L16" s="128">
        <f t="shared" si="2"/>
        <v>52</v>
      </c>
      <c r="M16" s="130">
        <f t="shared" si="2"/>
        <v>7</v>
      </c>
      <c r="N16" s="174">
        <f>SUM(N4:N15)</f>
        <v>0</v>
      </c>
      <c r="O16" s="260">
        <f>SUM(O4:O15)</f>
        <v>473.68314777327817</v>
      </c>
    </row>
    <row r="18" spans="2:15" ht="16.2" thickBot="1" x14ac:dyDescent="0.35"/>
    <row r="19" spans="2:15" x14ac:dyDescent="0.3">
      <c r="B19" s="657" t="s">
        <v>37</v>
      </c>
      <c r="C19" s="658"/>
      <c r="D19" s="158">
        <v>22.5</v>
      </c>
      <c r="F19" s="657" t="s">
        <v>40</v>
      </c>
      <c r="G19" s="658"/>
      <c r="H19" s="199">
        <v>25</v>
      </c>
      <c r="J19" s="665" t="s">
        <v>62</v>
      </c>
      <c r="K19" s="658"/>
      <c r="L19" s="162"/>
      <c r="M19" s="87"/>
    </row>
    <row r="20" spans="2:15" x14ac:dyDescent="0.3">
      <c r="B20" s="659" t="s">
        <v>38</v>
      </c>
      <c r="C20" s="660"/>
      <c r="D20" s="159">
        <f>K16</f>
        <v>16</v>
      </c>
      <c r="F20" s="667" t="s">
        <v>41</v>
      </c>
      <c r="G20" s="660"/>
      <c r="H20" s="200">
        <f>I16</f>
        <v>30</v>
      </c>
      <c r="J20" s="664"/>
      <c r="K20" s="660"/>
      <c r="L20" s="163"/>
      <c r="M20" s="87"/>
    </row>
    <row r="21" spans="2:15" ht="16.2" thickBot="1" x14ac:dyDescent="0.35">
      <c r="B21" s="661"/>
      <c r="C21" s="656"/>
      <c r="D21" s="160"/>
      <c r="F21" s="655"/>
      <c r="G21" s="656"/>
      <c r="H21" s="201"/>
      <c r="J21" s="663"/>
      <c r="K21" s="656"/>
      <c r="L21" s="164"/>
      <c r="M21" s="87"/>
    </row>
    <row r="22" spans="2:15" ht="16.2" thickBot="1" x14ac:dyDescent="0.35">
      <c r="B22" s="666" t="s">
        <v>39</v>
      </c>
      <c r="C22" s="654"/>
      <c r="D22" s="161">
        <f>(D19-D20-0.92)*7.6</f>
        <v>42.408000000000001</v>
      </c>
      <c r="F22" s="662" t="s">
        <v>42</v>
      </c>
      <c r="G22" s="654"/>
      <c r="H22" s="165">
        <f>(H20-H19)*7.6</f>
        <v>38</v>
      </c>
      <c r="J22" s="662" t="s">
        <v>64</v>
      </c>
      <c r="K22" s="654"/>
      <c r="L22" s="165">
        <f>(L19)*7.6</f>
        <v>0</v>
      </c>
      <c r="M22" s="115"/>
    </row>
    <row r="23" spans="2:15" x14ac:dyDescent="0.3">
      <c r="B23" s="87"/>
      <c r="C23" s="88"/>
      <c r="N23" s="95"/>
    </row>
    <row r="25" spans="2:15" ht="16.2" thickBot="1" x14ac:dyDescent="0.35"/>
    <row r="26" spans="2:15" ht="16.2" x14ac:dyDescent="0.35">
      <c r="B26" s="86" t="s">
        <v>152</v>
      </c>
      <c r="C26" s="148"/>
      <c r="D26" s="158">
        <f>N16</f>
        <v>0</v>
      </c>
      <c r="I26" s="89"/>
      <c r="J26" s="100" t="s">
        <v>44</v>
      </c>
      <c r="K26" s="101"/>
      <c r="L26" s="166">
        <f>E16</f>
        <v>1108.6333333333332</v>
      </c>
      <c r="M26" s="98"/>
      <c r="N26" s="99"/>
    </row>
    <row r="27" spans="2:15" x14ac:dyDescent="0.3">
      <c r="B27" s="667"/>
      <c r="C27" s="660"/>
      <c r="D27" s="163"/>
      <c r="I27" s="89"/>
      <c r="J27" s="116" t="s">
        <v>148</v>
      </c>
      <c r="K27" s="117"/>
      <c r="L27" s="167">
        <f>D34</f>
        <v>148.19999999999999</v>
      </c>
      <c r="M27" s="90"/>
    </row>
    <row r="28" spans="2:15" ht="16.2" thickBot="1" x14ac:dyDescent="0.35">
      <c r="B28" s="655"/>
      <c r="C28" s="656"/>
      <c r="D28" s="164"/>
      <c r="I28" s="89"/>
      <c r="J28" s="91" t="s">
        <v>43</v>
      </c>
      <c r="K28" s="102"/>
      <c r="L28" s="168">
        <v>1556</v>
      </c>
      <c r="M28" s="90"/>
    </row>
    <row r="29" spans="2:15" ht="16.2" thickBot="1" x14ac:dyDescent="0.35">
      <c r="B29" s="653" t="s">
        <v>184</v>
      </c>
      <c r="C29" s="654"/>
      <c r="D29" s="170">
        <f>D26*7.6</f>
        <v>0</v>
      </c>
      <c r="I29" s="92"/>
      <c r="J29" s="651" t="s">
        <v>63</v>
      </c>
      <c r="K29" s="652"/>
      <c r="L29" s="169">
        <f>L26-L28</f>
        <v>-447.36666666666679</v>
      </c>
      <c r="M29" s="93"/>
      <c r="N29" s="94"/>
      <c r="O29" s="95"/>
    </row>
    <row r="30" spans="2:15" x14ac:dyDescent="0.3">
      <c r="F30" s="87"/>
      <c r="G30" s="87"/>
      <c r="N30" s="96"/>
      <c r="O30" s="97"/>
    </row>
    <row r="31" spans="2:15" ht="16.2" thickBot="1" x14ac:dyDescent="0.35"/>
    <row r="32" spans="2:15" ht="16.2" thickBot="1" x14ac:dyDescent="0.35">
      <c r="B32" s="194" t="s">
        <v>180</v>
      </c>
      <c r="C32" s="195"/>
      <c r="D32" s="196">
        <v>213</v>
      </c>
    </row>
    <row r="33" spans="2:8" ht="16.2" thickBot="1" x14ac:dyDescent="0.35">
      <c r="B33" s="197" t="s">
        <v>181</v>
      </c>
      <c r="C33" s="193"/>
      <c r="D33" s="198">
        <v>1885.65</v>
      </c>
      <c r="G33" s="555" t="s">
        <v>205</v>
      </c>
      <c r="H33" s="556">
        <f>(D32+D33)/20</f>
        <v>104.9325</v>
      </c>
    </row>
    <row r="34" spans="2:8" ht="16.2" thickBot="1" x14ac:dyDescent="0.35">
      <c r="B34" s="202" t="s">
        <v>182</v>
      </c>
      <c r="C34" s="203"/>
      <c r="D34" s="204">
        <v>148.19999999999999</v>
      </c>
    </row>
    <row r="35" spans="2:8" ht="16.2" thickBot="1" x14ac:dyDescent="0.35">
      <c r="B35" s="205" t="s">
        <v>183</v>
      </c>
      <c r="C35" s="206"/>
      <c r="D35" s="207">
        <f>IFERROR((D32+D33)/D34,"")</f>
        <v>14.16093117408907</v>
      </c>
      <c r="G35" s="557" t="s">
        <v>206</v>
      </c>
      <c r="H35" s="558">
        <v>7.14</v>
      </c>
    </row>
  </sheetData>
  <mergeCells count="45">
    <mergeCell ref="B1:O1"/>
    <mergeCell ref="C15:D15"/>
    <mergeCell ref="E15:F15"/>
    <mergeCell ref="C16:D16"/>
    <mergeCell ref="E16:F16"/>
    <mergeCell ref="C12:D12"/>
    <mergeCell ref="E12:F12"/>
    <mergeCell ref="C13:D13"/>
    <mergeCell ref="E13:F13"/>
    <mergeCell ref="C14:D14"/>
    <mergeCell ref="E14:F14"/>
    <mergeCell ref="C9:D9"/>
    <mergeCell ref="E9:F9"/>
    <mergeCell ref="C10:D10"/>
    <mergeCell ref="E10:F10"/>
    <mergeCell ref="C11:D11"/>
    <mergeCell ref="J29:K29"/>
    <mergeCell ref="B29:C29"/>
    <mergeCell ref="B28:C28"/>
    <mergeCell ref="B19:C19"/>
    <mergeCell ref="B20:C20"/>
    <mergeCell ref="B21:C21"/>
    <mergeCell ref="J22:K22"/>
    <mergeCell ref="J21:K21"/>
    <mergeCell ref="J20:K20"/>
    <mergeCell ref="J19:K19"/>
    <mergeCell ref="B22:C22"/>
    <mergeCell ref="B27:C27"/>
    <mergeCell ref="F19:G19"/>
    <mergeCell ref="F20:G20"/>
    <mergeCell ref="F21:G21"/>
    <mergeCell ref="F22:G22"/>
    <mergeCell ref="E11:F11"/>
    <mergeCell ref="C6:D6"/>
    <mergeCell ref="E6:F6"/>
    <mergeCell ref="C7:D7"/>
    <mergeCell ref="E7:F7"/>
    <mergeCell ref="C8:D8"/>
    <mergeCell ref="E8:F8"/>
    <mergeCell ref="C3:D3"/>
    <mergeCell ref="E3:F3"/>
    <mergeCell ref="C4:D4"/>
    <mergeCell ref="E4:F4"/>
    <mergeCell ref="C5:D5"/>
    <mergeCell ref="E5:F5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3:P32"/>
  <sheetViews>
    <sheetView tabSelected="1" topLeftCell="A10" workbookViewId="0">
      <selection activeCell="D30" sqref="D30"/>
    </sheetView>
  </sheetViews>
  <sheetFormatPr baseColWidth="10" defaultRowHeight="15.6" x14ac:dyDescent="0.3"/>
  <cols>
    <col min="8" max="8" width="11" style="598"/>
    <col min="12" max="12" width="15.3984375" bestFit="1" customWidth="1"/>
  </cols>
  <sheetData>
    <row r="13" spans="2:16" x14ac:dyDescent="0.3">
      <c r="D13" t="s">
        <v>252</v>
      </c>
    </row>
    <row r="14" spans="2:16" x14ac:dyDescent="0.3">
      <c r="O14" t="s">
        <v>2</v>
      </c>
      <c r="P14" t="s">
        <v>251</v>
      </c>
    </row>
    <row r="15" spans="2:16" x14ac:dyDescent="0.3">
      <c r="O15" t="s">
        <v>249</v>
      </c>
      <c r="P15" t="s">
        <v>250</v>
      </c>
    </row>
    <row r="16" spans="2:16" x14ac:dyDescent="0.3">
      <c r="B16" t="s">
        <v>242</v>
      </c>
      <c r="O16" t="s">
        <v>248</v>
      </c>
    </row>
    <row r="17" spans="1:16" x14ac:dyDescent="0.3">
      <c r="A17" t="s">
        <v>243</v>
      </c>
      <c r="B17">
        <f ca="1">IF(TODAY()&lt;=DATE(2018,6,30),31-DAY(TODAY())-SUMPRODUCT(COUNTIF(OFFSET(Juin!$C$3,DAY(TODAY()),0,31-DAY(TODAY()),1),Juin!$B$37:$B$42)),0)</f>
        <v>5</v>
      </c>
      <c r="N17">
        <f ca="1">SUMPRODUCT((COUNTIF(OFFSET(Juin!$C$3,DAY(TODAY()),0,31-DAY(TODAY()),1),Juin!$B$37:$B$42)))</f>
        <v>1</v>
      </c>
      <c r="O17">
        <f>SUMPRODUCT(COUNTIF(Juin!$C$4:$C$33,"="&amp;""))</f>
        <v>0</v>
      </c>
      <c r="P17">
        <f ca="1">SUMPRODUCT(COUNTIF(OFFSET(Juin!$C$3,DAY(TODAY()),0,31-DAY(TODAY()),1),"="&amp;""))</f>
        <v>0</v>
      </c>
    </row>
    <row r="18" spans="1:16" ht="15.75" customHeight="1" x14ac:dyDescent="0.3">
      <c r="A18" t="s">
        <v>244</v>
      </c>
      <c r="B18">
        <f ca="1">IF(TODAY()&lt;DATE(2018,6,30),31-SUMPRODUCT(COUNTIF(Juillet!$C$4:$C$34,Juillet!$B$37:$B$42)),IF(AND(TODAY()&gt;DATE(2018,6,30),TODAY()&lt;=DATE(2018,7,31)),32-DAY(TODAY())-SUMPRODUCT(COUNTIF(OFFSET(Juillet!$C$3,DAY(TODAY()),0,32-DAY(TODAY()),1),Juillet!$B$37:$B$42)),0))</f>
        <v>19</v>
      </c>
      <c r="H18" s="674">
        <f ca="1">$B$22</f>
        <v>40</v>
      </c>
      <c r="I18" s="675"/>
      <c r="J18" s="676"/>
      <c r="K18" s="676"/>
      <c r="O18">
        <f>SUMPRODUCT(COUNTIF(Juillet!$C$4:$C$34,"="&amp;""))</f>
        <v>0</v>
      </c>
      <c r="P18">
        <f ca="1">SUMPRODUCT(COUNTIF(OFFSET(Juillet!$C$3,DAY(TODAY()),0,31-DAY(TODAY()),1),"="&amp;""))</f>
        <v>0</v>
      </c>
    </row>
    <row r="19" spans="1:16" ht="15.75" customHeight="1" x14ac:dyDescent="0.3">
      <c r="A19" t="s">
        <v>245</v>
      </c>
      <c r="B19">
        <f ca="1">IF(TODAY()&lt;DATE(2018,7,31),31-SUMPRODUCT(COUNTIF(Août!$C$4:$C$34,Août!$B$37:$B$42)),IF(AND(TODAY()&gt;DATE(2018,7,31),TODAY()&lt;=DATE(2018,8,31)),32-DAY(TODAY())-SUMPRODUCT(COUNTIF(OFFSET(Août!$C$3,DAY(TODAY()),0,32-DAY(TODAY()),1),Août!$B$37:$B$42)),0))</f>
        <v>16</v>
      </c>
      <c r="H19" s="675"/>
      <c r="I19" s="675"/>
      <c r="J19" s="676"/>
      <c r="K19" s="676"/>
      <c r="O19">
        <f>SUMPRODUCT(COUNTIF(Août!$C$4:$C$34,"="&amp;""))</f>
        <v>0</v>
      </c>
      <c r="P19">
        <f ca="1">SUMPRODUCT(COUNTIF(OFFSET(Août!$C$3,DAY(TODAY()),0,31-DAY(TODAY()),1),"="&amp;""))</f>
        <v>0</v>
      </c>
    </row>
    <row r="20" spans="1:16" ht="15.75" customHeight="1" x14ac:dyDescent="0.3">
      <c r="A20" t="s">
        <v>246</v>
      </c>
      <c r="B20" s="599">
        <f ca="1">IF(TODAY()&lt;DATE(2018,8,31),30-(SUMPRODUCT(COUNTIF(Septembre!$C$4:$C$33,Septembre!$B$37:$B$42))+SUMPRODUCT(COUNTIF(Septembre!$C$4:$C$33,"="&amp;""))),IF(AND(TODAY()&gt;DATE(2018,8,31),TODAY()&lt;=DATE(2018,9,30)),31-DAY(TODAY())-(SUMPRODUCT(COUNTIF(OFFSET(Septembre!$C$3,DAY(TODAY()),0,31-DAY(TODAY()),1),Septembre!$B$37:$B$42))+SUMPRODUCT(COUNTIF(OFFSET(Septembre!$C$3,DAY(TODAY()),0,31-DAY(TODAY()),1),"="&amp;""))),0))</f>
        <v>0</v>
      </c>
      <c r="H20" s="675"/>
      <c r="I20" s="675"/>
      <c r="J20" s="676"/>
      <c r="K20" s="676"/>
      <c r="O20">
        <f>SUMPRODUCT(COUNTIF(Septembre!$C$4:$C$33,"="&amp;""))</f>
        <v>14</v>
      </c>
      <c r="P20">
        <f ca="1">SUMPRODUCT(COUNTIF(OFFSET(Septembre!$C$3,DAY(TODAY()),0,31-DAY(TODAY()),1),"="&amp;""))</f>
        <v>3</v>
      </c>
    </row>
    <row r="21" spans="1:16" ht="15.75" customHeight="1" x14ac:dyDescent="0.3">
      <c r="A21" t="s">
        <v>247</v>
      </c>
      <c r="B21">
        <f ca="1">IF(TODAY()&lt;=DATE(2018,9,30),25-(SUMPRODUCT(COUNTIF(Octobre!$C$4:$C$28,Octobre!$B$37:$B$42))+SUMPRODUCT(COUNTIF(Octobre!$C$4:$C$33,"="&amp;""))),IF(AUHOURDHUI()&gt;DATE(2918,9,30),25-DAY(TODAY())-(SUMPRODUCT(COUNTIF(OFFSET(Octobre!$C$3,DAY(TODAY()),0,25-DAY(TODAY()),1),Octobre!$B$37:$B$42))+SUMPRODUCT(COUNTIF(OFFSET(Octobre!$C$3,DAY(TODAY()),0,31-DAY(TODAY()),1),"="&amp;""))),0))</f>
        <v>0</v>
      </c>
      <c r="H21" s="675"/>
      <c r="I21" s="675"/>
      <c r="J21" s="676"/>
      <c r="K21" s="676"/>
      <c r="O21">
        <f>SUMPRODUCT(COUNTIF(Octobre!$C$4:$C$33,"="&amp;""))</f>
        <v>17</v>
      </c>
      <c r="P21">
        <f ca="1">SUMPRODUCT(COUNTIF(OFFSET(Octobre!$C$3,DAY(TODAY()),0,31-DAY(TODAY()),1),"="&amp;""))</f>
        <v>1</v>
      </c>
    </row>
    <row r="22" spans="1:16" ht="15.75" customHeight="1" x14ac:dyDescent="0.3">
      <c r="B22">
        <f ca="1">SUM(B17:B21)</f>
        <v>40</v>
      </c>
      <c r="H22" s="675"/>
      <c r="I22" s="675"/>
      <c r="J22" s="676"/>
      <c r="K22" s="676"/>
    </row>
    <row r="23" spans="1:16" ht="15.75" customHeight="1" x14ac:dyDescent="0.3">
      <c r="H23" s="675"/>
      <c r="I23" s="675"/>
      <c r="J23" s="676"/>
      <c r="K23" s="676"/>
    </row>
    <row r="24" spans="1:16" ht="15.75" customHeight="1" x14ac:dyDescent="0.3">
      <c r="H24" s="675"/>
      <c r="I24" s="675"/>
      <c r="J24" s="676"/>
      <c r="K24" s="676"/>
    </row>
    <row r="25" spans="1:16" x14ac:dyDescent="0.3">
      <c r="H25" s="676"/>
      <c r="I25" s="676"/>
      <c r="J25" s="676"/>
      <c r="K25" s="676"/>
    </row>
    <row r="26" spans="1:16" x14ac:dyDescent="0.3">
      <c r="H26" s="676"/>
      <c r="I26" s="676"/>
      <c r="J26" s="676"/>
      <c r="K26" s="676"/>
    </row>
    <row r="27" spans="1:16" x14ac:dyDescent="0.3">
      <c r="H27" s="676"/>
      <c r="I27" s="676"/>
      <c r="J27" s="676"/>
      <c r="K27" s="676"/>
    </row>
    <row r="28" spans="1:16" x14ac:dyDescent="0.3">
      <c r="H28" s="676"/>
      <c r="I28" s="676"/>
      <c r="J28" s="676"/>
      <c r="K28" s="676"/>
    </row>
    <row r="29" spans="1:16" x14ac:dyDescent="0.3">
      <c r="H29" s="676"/>
      <c r="I29" s="676"/>
      <c r="J29" s="676"/>
      <c r="K29" s="676"/>
    </row>
    <row r="30" spans="1:16" x14ac:dyDescent="0.3">
      <c r="H30" s="676"/>
      <c r="I30" s="676"/>
      <c r="J30" s="676"/>
      <c r="K30" s="676"/>
    </row>
    <row r="31" spans="1:16" x14ac:dyDescent="0.3">
      <c r="H31" s="676"/>
      <c r="I31" s="676"/>
      <c r="J31" s="676"/>
      <c r="K31" s="676"/>
    </row>
    <row r="32" spans="1:16" x14ac:dyDescent="0.3">
      <c r="H32" s="676"/>
      <c r="I32" s="676"/>
      <c r="J32" s="676"/>
      <c r="K32" s="676"/>
    </row>
  </sheetData>
  <mergeCells count="1">
    <mergeCell ref="H18:K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TR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Recap</vt:lpstr>
      <vt:lpstr>Compte à rebours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Dede</cp:lastModifiedBy>
  <cp:lastPrinted>2018-06-03T18:14:12Z</cp:lastPrinted>
  <dcterms:created xsi:type="dcterms:W3CDTF">2017-11-15T15:59:52Z</dcterms:created>
  <dcterms:modified xsi:type="dcterms:W3CDTF">2018-06-25T08:18:56Z</dcterms:modified>
</cp:coreProperties>
</file>