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L27" i="1"/>
  <c r="K27"/>
  <c r="J27"/>
  <c r="I27"/>
  <c r="H27"/>
  <c r="G27"/>
  <c r="F27"/>
  <c r="E27"/>
  <c r="L26"/>
  <c r="K26"/>
  <c r="J26"/>
  <c r="I26"/>
  <c r="H26"/>
  <c r="G26"/>
  <c r="F26"/>
  <c r="E26"/>
  <c r="L25"/>
  <c r="J25"/>
  <c r="K25"/>
  <c r="I25"/>
  <c r="H25"/>
  <c r="I16"/>
  <c r="G25"/>
  <c r="F25"/>
  <c r="E25"/>
  <c r="D25"/>
  <c r="L21"/>
  <c r="M21"/>
  <c r="D21"/>
  <c r="E21"/>
  <c r="F21"/>
  <c r="G21"/>
  <c r="H21"/>
  <c r="I21"/>
  <c r="J21"/>
  <c r="K21"/>
  <c r="N14"/>
  <c r="N13"/>
  <c r="D29"/>
  <c r="D28"/>
  <c r="D27"/>
  <c r="D26"/>
  <c r="G17"/>
  <c r="N12"/>
  <c r="O10"/>
  <c r="Q9"/>
  <c r="O9"/>
  <c r="K9"/>
  <c r="S8"/>
  <c r="S7"/>
  <c r="S6"/>
  <c r="S5"/>
  <c r="S4"/>
  <c r="S3"/>
  <c r="S9"/>
</calcChain>
</file>

<file path=xl/sharedStrings.xml><?xml version="1.0" encoding="utf-8"?>
<sst xmlns="http://schemas.openxmlformats.org/spreadsheetml/2006/main" count="136" uniqueCount="96">
  <si>
    <t>AFFECTATION</t>
  </si>
  <si>
    <t>MATRICULE</t>
  </si>
  <si>
    <t>NOM</t>
  </si>
  <si>
    <t>PRENOM</t>
  </si>
  <si>
    <t>LIBELLE STATUT</t>
  </si>
  <si>
    <t>CATEGORIE</t>
  </si>
  <si>
    <t>CONTRAT</t>
  </si>
  <si>
    <t>DATE ANCIENNETE</t>
  </si>
  <si>
    <t>Nbd'année d'ancienneté</t>
  </si>
  <si>
    <t>AGE</t>
  </si>
  <si>
    <t>SEXE</t>
  </si>
  <si>
    <t>LOCALITE</t>
  </si>
  <si>
    <t>Distance domicile-travail (&lt;10km, &lt;20km, &gt;20km)</t>
  </si>
  <si>
    <t>Hrs travaillés en 2011</t>
  </si>
  <si>
    <t>Nb de jours travaillés en 2011</t>
  </si>
  <si>
    <t>Nb de jours d'abs</t>
  </si>
  <si>
    <t>Nb de jours théorique travaillés</t>
  </si>
  <si>
    <t>Taux d'absentéisme</t>
  </si>
  <si>
    <t>Appro</t>
  </si>
  <si>
    <t>AM achats/RGC/paie</t>
  </si>
  <si>
    <t>AM</t>
  </si>
  <si>
    <t>CDI</t>
  </si>
  <si>
    <t>5 à 15ans</t>
  </si>
  <si>
    <t>F</t>
  </si>
  <si>
    <t>&lt;10</t>
  </si>
  <si>
    <t>employé</t>
  </si>
  <si>
    <t>&lt;5ans</t>
  </si>
  <si>
    <t>&gt;10</t>
  </si>
  <si>
    <t>CDD remp</t>
  </si>
  <si>
    <t>&gt;20</t>
  </si>
  <si>
    <t>Affectation</t>
  </si>
  <si>
    <t>DATE DEBUT</t>
  </si>
  <si>
    <t>DATE FIN</t>
  </si>
  <si>
    <t>CAUSE</t>
  </si>
  <si>
    <t>NB JOURS ABS</t>
  </si>
  <si>
    <t>Appros</t>
  </si>
  <si>
    <t>MALADIE</t>
  </si>
  <si>
    <t>Moyenne d'age</t>
  </si>
  <si>
    <t>Nb d'hommes</t>
  </si>
  <si>
    <t>Nb de femmes</t>
  </si>
  <si>
    <t>appros</t>
  </si>
  <si>
    <t>AT MANIP</t>
  </si>
  <si>
    <t>ACCIDENT DU TRAVAIL</t>
  </si>
  <si>
    <t>Nb de salariés par affectation</t>
  </si>
  <si>
    <t>Maladie</t>
  </si>
  <si>
    <t>Maladie prolongation</t>
  </si>
  <si>
    <t>AINP</t>
  </si>
  <si>
    <t>AJNP</t>
  </si>
  <si>
    <t>CHUTE</t>
  </si>
  <si>
    <t>CIRCU</t>
  </si>
  <si>
    <t>MACHI</t>
  </si>
  <si>
    <t>MANIP</t>
  </si>
  <si>
    <t>Accident trajet</t>
  </si>
  <si>
    <t>Hosp</t>
  </si>
  <si>
    <t>Age</t>
  </si>
  <si>
    <t>Sexes</t>
  </si>
  <si>
    <t>Année d'ancienneté</t>
  </si>
  <si>
    <t>Ratio</t>
  </si>
  <si>
    <t>Mode de calcul</t>
  </si>
  <si>
    <t>Résultat</t>
  </si>
  <si>
    <t>&lt;35 ans</t>
  </si>
  <si>
    <t>35 à 45 ans</t>
  </si>
  <si>
    <t>&gt;45ans</t>
  </si>
  <si>
    <t>Hommes</t>
  </si>
  <si>
    <t>Femmes</t>
  </si>
  <si>
    <t>&lt; 5 ans</t>
  </si>
  <si>
    <t>5 à 15 ans</t>
  </si>
  <si>
    <t>&gt;15 ans</t>
  </si>
  <si>
    <t>Gravité de l'absentéisme</t>
  </si>
  <si>
    <t>Nb total de jours d'abs / Nb de jours calendaires</t>
  </si>
  <si>
    <t>Absentéisme de longue duréee (&gt;15jours)</t>
  </si>
  <si>
    <t>Nb total de jours d'abs &gt;15j / Nb de jours calendaires</t>
  </si>
  <si>
    <t>Absentéisme de moyenne durée (de 8 à 15 jours)</t>
  </si>
  <si>
    <t>Nb total de jours d'abs de 8 à 15j / Nb de jours calendaires</t>
  </si>
  <si>
    <t>Absentéisme de courte duréee (de 4 à 7 jours)</t>
  </si>
  <si>
    <t>Nb total de jours d'abs de 4 à 7 jours / Nb de jours calendaires</t>
  </si>
  <si>
    <t>Micro-absentéisme (&lt;4 jours)</t>
  </si>
  <si>
    <t>Nb total de jours d'abs &lt;4j / Nb de jours calendaires</t>
  </si>
  <si>
    <t>Duréee moyenne des absences</t>
  </si>
  <si>
    <t>Nb total de jours d'abs/ Nb d'abs (salarié malade x Nb de fois malade dans l'année</t>
  </si>
  <si>
    <t>Fréquence des absences</t>
  </si>
  <si>
    <t>Nombre total des abs (salarié malade x nb de fois malade) / effectif</t>
  </si>
  <si>
    <t>x</t>
  </si>
  <si>
    <t>xx</t>
  </si>
  <si>
    <t>xxx</t>
  </si>
  <si>
    <t>xxxx</t>
  </si>
  <si>
    <t>xxxxx</t>
  </si>
  <si>
    <t>xxxxxx</t>
  </si>
  <si>
    <t>p</t>
  </si>
  <si>
    <t>b</t>
  </si>
  <si>
    <t>a</t>
  </si>
  <si>
    <t>t</t>
  </si>
  <si>
    <t>r</t>
  </si>
  <si>
    <t>Mettre formule pour calculer le nb d'hommes ou de femmes</t>
  </si>
  <si>
    <t>Pareil pour ce tableau, y a-t-il une formule qui puisse calculer les typologies d'arrêts ?</t>
  </si>
  <si>
    <t>A partir du mode de calcul, il faut trouver pourchaque cellule la formule qui permet d'effectuer mes ratios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</si>
</sst>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sz val="10"/>
      <color indexed="8"/>
      <name val="Calibri"/>
      <family val="2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29"/>
        <bgColor indexed="64"/>
      </patternFill>
    </fill>
    <fill>
      <patternFill patternType="solid">
        <fgColor indexed="4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4">
    <xf numFmtId="0" fontId="0" fillId="0" borderId="0" xfId="0"/>
    <xf numFmtId="0" fontId="0" fillId="0" borderId="1" xfId="0" applyBorder="1"/>
    <xf numFmtId="0" fontId="3" fillId="2" borderId="2" xfId="0" applyFont="1" applyFill="1" applyBorder="1" applyAlignment="1">
      <alignment horizontal="center"/>
    </xf>
    <xf numFmtId="14" fontId="3" fillId="2" borderId="2" xfId="0" applyNumberFormat="1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 wrapText="1"/>
    </xf>
    <xf numFmtId="0" fontId="3" fillId="0" borderId="2" xfId="0" applyFont="1" applyBorder="1" applyAlignment="1">
      <alignment horizontal="center"/>
    </xf>
    <xf numFmtId="14" fontId="3" fillId="0" borderId="2" xfId="0" applyNumberFormat="1" applyFont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3" xfId="0" applyFont="1" applyBorder="1" applyAlignment="1">
      <alignment horizontal="center"/>
    </xf>
    <xf numFmtId="9" fontId="3" fillId="0" borderId="2" xfId="1" applyFont="1" applyBorder="1" applyAlignment="1">
      <alignment horizontal="center"/>
    </xf>
    <xf numFmtId="0" fontId="0" fillId="0" borderId="0" xfId="0" applyBorder="1"/>
    <xf numFmtId="2" fontId="0" fillId="0" borderId="0" xfId="0" applyNumberFormat="1" applyBorder="1"/>
    <xf numFmtId="0" fontId="0" fillId="0" borderId="0" xfId="0" applyBorder="1" applyAlignment="1">
      <alignment horizontal="center"/>
    </xf>
    <xf numFmtId="2" fontId="0" fillId="0" borderId="0" xfId="0" applyNumberFormat="1" applyBorder="1" applyAlignment="1">
      <alignment horizontal="center"/>
    </xf>
    <xf numFmtId="9" fontId="0" fillId="0" borderId="0" xfId="0" applyNumberFormat="1" applyBorder="1" applyAlignment="1">
      <alignment horizontal="center"/>
    </xf>
    <xf numFmtId="9" fontId="0" fillId="0" borderId="0" xfId="0" applyNumberFormat="1"/>
    <xf numFmtId="0" fontId="0" fillId="2" borderId="2" xfId="0" applyFill="1" applyBorder="1" applyAlignment="1">
      <alignment horizontal="center"/>
    </xf>
    <xf numFmtId="0" fontId="0" fillId="2" borderId="2" xfId="0" applyFill="1" applyBorder="1" applyAlignment="1">
      <alignment horizontal="center" wrapText="1"/>
    </xf>
    <xf numFmtId="0" fontId="0" fillId="0" borderId="2" xfId="0" applyBorder="1" applyAlignment="1">
      <alignment horizontal="center"/>
    </xf>
    <xf numFmtId="14" fontId="0" fillId="0" borderId="2" xfId="0" applyNumberFormat="1" applyBorder="1" applyAlignment="1">
      <alignment horizontal="center"/>
    </xf>
    <xf numFmtId="0" fontId="2" fillId="2" borderId="2" xfId="0" applyFont="1" applyFill="1" applyBorder="1" applyAlignment="1">
      <alignment horizontal="center" wrapText="1"/>
    </xf>
    <xf numFmtId="0" fontId="0" fillId="2" borderId="1" xfId="0" applyFill="1" applyBorder="1" applyAlignment="1">
      <alignment horizontal="center" wrapText="1"/>
    </xf>
    <xf numFmtId="0" fontId="0" fillId="2" borderId="4" xfId="0" applyFill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10" fontId="0" fillId="0" borderId="2" xfId="1" applyNumberFormat="1" applyFont="1" applyBorder="1" applyAlignment="1">
      <alignment horizontal="center"/>
    </xf>
    <xf numFmtId="0" fontId="0" fillId="0" borderId="2" xfId="1" applyNumberFormat="1" applyFont="1" applyBorder="1"/>
    <xf numFmtId="0" fontId="0" fillId="0" borderId="2" xfId="0" applyBorder="1"/>
    <xf numFmtId="0" fontId="0" fillId="3" borderId="0" xfId="0" applyFill="1"/>
    <xf numFmtId="0" fontId="0" fillId="3" borderId="2" xfId="0" applyFill="1" applyBorder="1" applyAlignment="1">
      <alignment horizontal="center"/>
    </xf>
    <xf numFmtId="10" fontId="0" fillId="3" borderId="2" xfId="1" applyNumberFormat="1" applyFont="1" applyFill="1" applyBorder="1"/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19</xdr:col>
      <xdr:colOff>180975</xdr:colOff>
      <xdr:row>1</xdr:row>
      <xdr:rowOff>590550</xdr:rowOff>
    </xdr:from>
    <xdr:ext cx="76200" cy="228600"/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17240250" y="78105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19</xdr:col>
      <xdr:colOff>304800</xdr:colOff>
      <xdr:row>0</xdr:row>
      <xdr:rowOff>95250</xdr:rowOff>
    </xdr:from>
    <xdr:to>
      <xdr:col>24</xdr:col>
      <xdr:colOff>628650</xdr:colOff>
      <xdr:row>1</xdr:row>
      <xdr:rowOff>971550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17364075" y="95250"/>
          <a:ext cx="4133850" cy="10668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 but du jeu est de créer un tableau qui permet le calcul de ratio. J'ai créer la matrice du tableau, mais je peine à réaliser les formules adéquates. En fonction de l'age ( &lt;35ans, de 35 à 45 ans, &gt;45ans),en fonction du sexe, en fonction de l'ancienneté, j'aimerai renseigné mes ratios concernant l'absentéisme.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T31"/>
  <sheetViews>
    <sheetView tabSelected="1" topLeftCell="C1" workbookViewId="0">
      <pane ySplit="8" topLeftCell="A22" activePane="bottomLeft" state="frozen"/>
      <selection activeCell="D1" sqref="D1"/>
      <selection pane="bottomLeft" activeCell="L28" sqref="L28"/>
    </sheetView>
  </sheetViews>
  <sheetFormatPr baseColWidth="10" defaultRowHeight="15"/>
  <cols>
    <col min="2" max="2" width="25.85546875" customWidth="1"/>
    <col min="3" max="3" width="22.42578125" customWidth="1"/>
    <col min="4" max="4" width="21.140625" customWidth="1"/>
    <col min="5" max="5" width="13.5703125" customWidth="1"/>
    <col min="10" max="10" width="12.85546875" customWidth="1"/>
  </cols>
  <sheetData>
    <row r="1" spans="2:20">
      <c r="R1" s="1"/>
    </row>
    <row r="2" spans="2:20" ht="77.25"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3" t="s">
        <v>7</v>
      </c>
      <c r="J2" s="3" t="s">
        <v>8</v>
      </c>
      <c r="K2" s="2" t="s">
        <v>9</v>
      </c>
      <c r="L2" s="2" t="s">
        <v>10</v>
      </c>
      <c r="M2" s="2" t="s">
        <v>11</v>
      </c>
      <c r="N2" s="4" t="s">
        <v>12</v>
      </c>
      <c r="O2" s="4" t="s">
        <v>13</v>
      </c>
      <c r="P2" s="4" t="s">
        <v>14</v>
      </c>
      <c r="Q2" s="4" t="s">
        <v>15</v>
      </c>
      <c r="R2" s="4" t="s">
        <v>16</v>
      </c>
      <c r="S2" s="4" t="s">
        <v>17</v>
      </c>
    </row>
    <row r="3" spans="2:20">
      <c r="B3" s="5" t="s">
        <v>18</v>
      </c>
      <c r="C3" s="5">
        <v>12547</v>
      </c>
      <c r="D3" s="5" t="s">
        <v>82</v>
      </c>
      <c r="E3" s="5"/>
      <c r="F3" s="5" t="s">
        <v>19</v>
      </c>
      <c r="G3" s="5" t="s">
        <v>20</v>
      </c>
      <c r="H3" s="5" t="s">
        <v>21</v>
      </c>
      <c r="I3" s="6">
        <v>37994</v>
      </c>
      <c r="J3" s="6" t="s">
        <v>22</v>
      </c>
      <c r="K3" s="5">
        <v>47</v>
      </c>
      <c r="L3" s="7" t="s">
        <v>23</v>
      </c>
      <c r="M3" s="5" t="s">
        <v>88</v>
      </c>
      <c r="N3" s="5" t="s">
        <v>24</v>
      </c>
      <c r="O3" s="5">
        <v>1588.01</v>
      </c>
      <c r="P3" s="5">
        <v>216</v>
      </c>
      <c r="Q3" s="8">
        <v>25</v>
      </c>
      <c r="R3" s="5">
        <v>235</v>
      </c>
      <c r="S3" s="9">
        <f t="shared" ref="S3:S8" si="0">Q3/R3</f>
        <v>0.10638297872340426</v>
      </c>
    </row>
    <row r="4" spans="2:20">
      <c r="B4" s="5" t="s">
        <v>18</v>
      </c>
      <c r="C4" s="5">
        <v>570485</v>
      </c>
      <c r="D4" s="5" t="s">
        <v>83</v>
      </c>
      <c r="E4" s="5"/>
      <c r="F4" s="5" t="s">
        <v>25</v>
      </c>
      <c r="G4" s="5" t="s">
        <v>25</v>
      </c>
      <c r="H4" s="5" t="s">
        <v>21</v>
      </c>
      <c r="I4" s="6">
        <v>40392</v>
      </c>
      <c r="J4" s="6" t="s">
        <v>26</v>
      </c>
      <c r="K4" s="5">
        <v>26</v>
      </c>
      <c r="L4" s="7" t="s">
        <v>23</v>
      </c>
      <c r="M4" s="5" t="s">
        <v>89</v>
      </c>
      <c r="N4" s="5" t="s">
        <v>27</v>
      </c>
      <c r="O4" s="5">
        <v>1787.37</v>
      </c>
      <c r="P4" s="5">
        <v>233</v>
      </c>
      <c r="Q4" s="8">
        <v>15</v>
      </c>
      <c r="R4" s="5">
        <v>235</v>
      </c>
      <c r="S4" s="9">
        <f t="shared" si="0"/>
        <v>6.3829787234042548E-2</v>
      </c>
    </row>
    <row r="5" spans="2:20">
      <c r="B5" s="5" t="s">
        <v>18</v>
      </c>
      <c r="C5" s="5">
        <v>579641</v>
      </c>
      <c r="D5" s="5" t="s">
        <v>84</v>
      </c>
      <c r="E5" s="5"/>
      <c r="F5" s="5" t="s">
        <v>25</v>
      </c>
      <c r="G5" s="5" t="s">
        <v>25</v>
      </c>
      <c r="H5" s="5" t="s">
        <v>28</v>
      </c>
      <c r="I5" s="6">
        <v>40630</v>
      </c>
      <c r="J5" s="6" t="s">
        <v>26</v>
      </c>
      <c r="K5" s="5">
        <v>27</v>
      </c>
      <c r="L5" s="7" t="s">
        <v>23</v>
      </c>
      <c r="M5" s="5" t="s">
        <v>90</v>
      </c>
      <c r="N5" s="5" t="s">
        <v>27</v>
      </c>
      <c r="O5" s="5">
        <v>1437.28</v>
      </c>
      <c r="P5" s="5">
        <v>186</v>
      </c>
      <c r="Q5" s="8">
        <v>7</v>
      </c>
      <c r="R5" s="5">
        <v>235</v>
      </c>
      <c r="S5" s="9">
        <f t="shared" si="0"/>
        <v>2.9787234042553193E-2</v>
      </c>
    </row>
    <row r="6" spans="2:20">
      <c r="B6" s="5" t="s">
        <v>18</v>
      </c>
      <c r="C6" s="5">
        <v>12367</v>
      </c>
      <c r="D6" s="5" t="s">
        <v>85</v>
      </c>
      <c r="E6" s="5"/>
      <c r="F6" s="5" t="s">
        <v>19</v>
      </c>
      <c r="G6" s="5" t="s">
        <v>20</v>
      </c>
      <c r="H6" s="5" t="s">
        <v>21</v>
      </c>
      <c r="I6" s="6">
        <v>36668</v>
      </c>
      <c r="J6" s="6" t="s">
        <v>22</v>
      </c>
      <c r="K6" s="5">
        <v>34</v>
      </c>
      <c r="L6" s="7" t="s">
        <v>23</v>
      </c>
      <c r="M6" s="5" t="s">
        <v>91</v>
      </c>
      <c r="N6" s="5" t="s">
        <v>24</v>
      </c>
      <c r="O6" s="5">
        <v>1609.73</v>
      </c>
      <c r="P6" s="5">
        <v>222</v>
      </c>
      <c r="Q6" s="8">
        <v>5</v>
      </c>
      <c r="R6" s="5">
        <v>235</v>
      </c>
      <c r="S6" s="9">
        <f t="shared" si="0"/>
        <v>2.1276595744680851E-2</v>
      </c>
    </row>
    <row r="7" spans="2:20">
      <c r="B7" s="5" t="s">
        <v>18</v>
      </c>
      <c r="C7" s="5">
        <v>154229</v>
      </c>
      <c r="D7" s="5" t="s">
        <v>86</v>
      </c>
      <c r="E7" s="5"/>
      <c r="F7" s="5" t="s">
        <v>25</v>
      </c>
      <c r="G7" s="5" t="s">
        <v>25</v>
      </c>
      <c r="H7" s="5" t="s">
        <v>21</v>
      </c>
      <c r="I7" s="6">
        <v>37533</v>
      </c>
      <c r="J7" s="6" t="s">
        <v>22</v>
      </c>
      <c r="K7" s="5">
        <v>32</v>
      </c>
      <c r="L7" s="7" t="s">
        <v>23</v>
      </c>
      <c r="M7" s="5" t="s">
        <v>91</v>
      </c>
      <c r="N7" s="5" t="s">
        <v>29</v>
      </c>
      <c r="O7" s="5">
        <v>1733.85</v>
      </c>
      <c r="P7" s="5">
        <v>228</v>
      </c>
      <c r="Q7" s="8">
        <v>2</v>
      </c>
      <c r="R7" s="5">
        <v>235</v>
      </c>
      <c r="S7" s="9">
        <f t="shared" si="0"/>
        <v>8.5106382978723406E-3</v>
      </c>
    </row>
    <row r="8" spans="2:20">
      <c r="B8" s="5" t="s">
        <v>18</v>
      </c>
      <c r="C8" s="5">
        <v>557914</v>
      </c>
      <c r="D8" s="5" t="s">
        <v>87</v>
      </c>
      <c r="E8" s="5"/>
      <c r="F8" s="5" t="s">
        <v>19</v>
      </c>
      <c r="G8" s="5" t="s">
        <v>20</v>
      </c>
      <c r="H8" s="5" t="s">
        <v>21</v>
      </c>
      <c r="I8" s="6">
        <v>40009</v>
      </c>
      <c r="J8" s="6" t="s">
        <v>26</v>
      </c>
      <c r="K8" s="5">
        <v>31</v>
      </c>
      <c r="L8" s="7" t="s">
        <v>23</v>
      </c>
      <c r="M8" s="5" t="s">
        <v>92</v>
      </c>
      <c r="N8" s="5" t="s">
        <v>24</v>
      </c>
      <c r="O8" s="5">
        <v>1704.46</v>
      </c>
      <c r="P8" s="5">
        <v>232</v>
      </c>
      <c r="Q8" s="8">
        <v>0</v>
      </c>
      <c r="R8" s="5">
        <v>235</v>
      </c>
      <c r="S8" s="9">
        <f t="shared" si="0"/>
        <v>0</v>
      </c>
    </row>
    <row r="9" spans="2:20">
      <c r="B9" s="10"/>
      <c r="C9" s="10"/>
      <c r="D9" s="10"/>
      <c r="E9" s="10"/>
      <c r="F9" s="10"/>
      <c r="G9" s="10"/>
      <c r="H9" s="10"/>
      <c r="I9" s="10"/>
      <c r="J9" s="10"/>
      <c r="K9" s="11">
        <f>AVERAGE(K3:K8)</f>
        <v>32.833333333333336</v>
      </c>
      <c r="L9" s="10"/>
      <c r="M9" s="10"/>
      <c r="N9" s="10"/>
      <c r="O9" s="11">
        <f>SUM(O3:O8)</f>
        <v>9860.7000000000007</v>
      </c>
      <c r="P9" s="10"/>
      <c r="Q9" s="12">
        <f>SUM(Q3:Q8)</f>
        <v>54</v>
      </c>
      <c r="R9" s="13"/>
      <c r="S9" s="14">
        <f>AVERAGE(S3:S8)</f>
        <v>3.8297872340425539E-2</v>
      </c>
      <c r="T9" s="15"/>
    </row>
    <row r="10" spans="2:20">
      <c r="O10">
        <f>AVERAGE(O3:O8)</f>
        <v>1643.45</v>
      </c>
    </row>
    <row r="11" spans="2:20" ht="30">
      <c r="B11" s="16" t="s">
        <v>30</v>
      </c>
      <c r="C11" s="16" t="s">
        <v>1</v>
      </c>
      <c r="D11" s="16" t="s">
        <v>31</v>
      </c>
      <c r="E11" s="16" t="s">
        <v>32</v>
      </c>
      <c r="F11" s="16" t="s">
        <v>33</v>
      </c>
      <c r="G11" s="17" t="s">
        <v>34</v>
      </c>
    </row>
    <row r="12" spans="2:20">
      <c r="B12" s="18" t="s">
        <v>35</v>
      </c>
      <c r="C12" s="18">
        <v>12367</v>
      </c>
      <c r="D12" s="19">
        <v>40609</v>
      </c>
      <c r="E12" s="19">
        <v>40613</v>
      </c>
      <c r="F12" s="18" t="s">
        <v>36</v>
      </c>
      <c r="G12" s="18">
        <v>5</v>
      </c>
      <c r="M12" t="s">
        <v>37</v>
      </c>
      <c r="N12">
        <f>AVERAGE(K3:K8)</f>
        <v>32.833333333333336</v>
      </c>
    </row>
    <row r="13" spans="2:20">
      <c r="B13" s="18" t="s">
        <v>35</v>
      </c>
      <c r="C13" s="18">
        <v>12547</v>
      </c>
      <c r="D13" s="19">
        <v>40814</v>
      </c>
      <c r="E13" s="19">
        <v>40838</v>
      </c>
      <c r="F13" s="18" t="s">
        <v>36</v>
      </c>
      <c r="G13" s="18">
        <v>25</v>
      </c>
      <c r="M13" t="s">
        <v>38</v>
      </c>
      <c r="N13" s="27">
        <f>COUNTIF($L$3:$L$8,"H")</f>
        <v>0</v>
      </c>
      <c r="O13" t="s">
        <v>93</v>
      </c>
    </row>
    <row r="14" spans="2:20">
      <c r="B14" s="18" t="s">
        <v>35</v>
      </c>
      <c r="C14" s="18">
        <v>154229</v>
      </c>
      <c r="D14" s="19">
        <v>40546</v>
      </c>
      <c r="E14" s="19">
        <v>40547</v>
      </c>
      <c r="F14" s="18" t="s">
        <v>36</v>
      </c>
      <c r="G14" s="18">
        <v>2</v>
      </c>
      <c r="M14" t="s">
        <v>39</v>
      </c>
      <c r="N14" s="27">
        <f>COUNTIF($L$3:$L$8,"F")</f>
        <v>6</v>
      </c>
    </row>
    <row r="15" spans="2:20">
      <c r="B15" s="18" t="s">
        <v>40</v>
      </c>
      <c r="C15" s="18">
        <v>579641</v>
      </c>
      <c r="D15" s="19">
        <v>40830</v>
      </c>
      <c r="E15" s="19">
        <v>40833</v>
      </c>
      <c r="F15" s="18" t="s">
        <v>36</v>
      </c>
      <c r="G15" s="18">
        <v>4</v>
      </c>
    </row>
    <row r="16" spans="2:20">
      <c r="B16" s="18" t="s">
        <v>40</v>
      </c>
      <c r="C16" s="18">
        <v>579641</v>
      </c>
      <c r="D16" s="19">
        <v>40906</v>
      </c>
      <c r="E16" s="19">
        <v>40908</v>
      </c>
      <c r="F16" s="18" t="s">
        <v>41</v>
      </c>
      <c r="G16" s="18">
        <v>3</v>
      </c>
      <c r="I16" s="25">
        <f>54/365</f>
        <v>0.14794520547945206</v>
      </c>
    </row>
    <row r="17" spans="2:15">
      <c r="G17" s="18">
        <f>SUM(G12:G16)</f>
        <v>39</v>
      </c>
    </row>
    <row r="19" spans="2:15">
      <c r="H19" s="30" t="s">
        <v>42</v>
      </c>
      <c r="I19" s="30"/>
      <c r="J19" s="30"/>
      <c r="K19" s="30"/>
      <c r="L19" s="30"/>
    </row>
    <row r="20" spans="2:15" ht="30">
      <c r="B20" s="20" t="s">
        <v>30</v>
      </c>
      <c r="C20" s="20" t="s">
        <v>43</v>
      </c>
      <c r="D20" s="20" t="s">
        <v>44</v>
      </c>
      <c r="E20" s="20" t="s">
        <v>45</v>
      </c>
      <c r="F20" s="20" t="s">
        <v>46</v>
      </c>
      <c r="G20" s="20" t="s">
        <v>47</v>
      </c>
      <c r="H20" s="20" t="s">
        <v>48</v>
      </c>
      <c r="I20" s="20" t="s">
        <v>49</v>
      </c>
      <c r="J20" s="20" t="s">
        <v>50</v>
      </c>
      <c r="K20" s="20" t="s">
        <v>51</v>
      </c>
      <c r="L20" s="20" t="s">
        <v>52</v>
      </c>
      <c r="M20" s="20" t="s">
        <v>53</v>
      </c>
    </row>
    <row r="21" spans="2:15">
      <c r="B21" s="18" t="s">
        <v>35</v>
      </c>
      <c r="C21" s="18">
        <v>6</v>
      </c>
      <c r="D21" s="28">
        <f t="shared" ref="D21:J21" si="1">SUMPRODUCT(ISNUMBER(SEARCH(D$20,$F$12:$F$16,1))*($G$12:$G$16))</f>
        <v>36</v>
      </c>
      <c r="E21" s="28">
        <f t="shared" si="1"/>
        <v>0</v>
      </c>
      <c r="F21" s="28">
        <f t="shared" si="1"/>
        <v>0</v>
      </c>
      <c r="G21" s="28">
        <f t="shared" si="1"/>
        <v>0</v>
      </c>
      <c r="H21" s="28">
        <f t="shared" si="1"/>
        <v>0</v>
      </c>
      <c r="I21" s="28">
        <f t="shared" si="1"/>
        <v>0</v>
      </c>
      <c r="J21" s="28">
        <f t="shared" si="1"/>
        <v>0</v>
      </c>
      <c r="K21" s="28">
        <f>SUMPRODUCT(ISNUMBER(SEARCH(K$20,$F$12:$F$16,1))*($G$12:$G$16))</f>
        <v>3</v>
      </c>
      <c r="L21" s="28">
        <f>SUMPRODUCT(ISNUMBER(SEARCH(L$20,$F$12:$F$16,1))*($G$12:$G$16))</f>
        <v>0</v>
      </c>
      <c r="M21" s="28">
        <f>SUMPRODUCT(ISNUMBER(SEARCH(M$20,$F$12:$F$16,1))*($G$12:$G$16))</f>
        <v>0</v>
      </c>
      <c r="O21" t="s">
        <v>94</v>
      </c>
    </row>
    <row r="23" spans="2:15">
      <c r="E23" s="30" t="s">
        <v>54</v>
      </c>
      <c r="F23" s="30"/>
      <c r="G23" s="30"/>
      <c r="H23" s="30" t="s">
        <v>55</v>
      </c>
      <c r="I23" s="30"/>
      <c r="J23" s="31" t="s">
        <v>56</v>
      </c>
      <c r="K23" s="32"/>
      <c r="L23" s="33"/>
    </row>
    <row r="24" spans="2:15">
      <c r="B24" s="17" t="s">
        <v>57</v>
      </c>
      <c r="C24" s="17" t="s">
        <v>58</v>
      </c>
      <c r="D24" s="21" t="s">
        <v>59</v>
      </c>
      <c r="E24" s="22" t="s">
        <v>60</v>
      </c>
      <c r="F24" s="22" t="s">
        <v>61</v>
      </c>
      <c r="G24" s="22" t="s">
        <v>62</v>
      </c>
      <c r="H24" s="22" t="s">
        <v>63</v>
      </c>
      <c r="I24" s="22" t="s">
        <v>64</v>
      </c>
      <c r="J24" s="22" t="s">
        <v>65</v>
      </c>
      <c r="K24" s="22" t="s">
        <v>66</v>
      </c>
      <c r="L24" s="22" t="s">
        <v>67</v>
      </c>
    </row>
    <row r="25" spans="2:15" ht="30">
      <c r="B25" s="23" t="s">
        <v>68</v>
      </c>
      <c r="C25" s="23" t="s">
        <v>69</v>
      </c>
      <c r="D25" s="24">
        <f>39/365</f>
        <v>0.10684931506849316</v>
      </c>
      <c r="E25" s="29">
        <f>SUMPRODUCT(($K$3:$K$8&lt;35)*($Q$3:$Q$8))/365</f>
        <v>7.9452054794520555E-2</v>
      </c>
      <c r="F25" s="29">
        <f>SUMPRODUCT(($K$3:$K$8&gt;=35)*($K$3:$K$8&lt;=45)*($Q$3:$Q$8))/365</f>
        <v>0</v>
      </c>
      <c r="G25" s="29">
        <f>SUMPRODUCT(($K$3:$K$8&gt;45)*($Q$3:$Q$8))/365</f>
        <v>6.8493150684931503E-2</v>
      </c>
      <c r="H25" s="29">
        <f>SUMPRODUCT(($L$3:$L$8="H")*($Q$3:$Q$8))/365</f>
        <v>0</v>
      </c>
      <c r="I25" s="29">
        <f>SUMPRODUCT(($L$3:$L$8="F")*($Q$3:$Q$8))/365</f>
        <v>0.14794520547945206</v>
      </c>
      <c r="J25" s="29">
        <f ca="1">SUMPRODUCT((YEAR($I$3:$I$8)&gt;YEAR(TODAY())-5)*($Q$3:$Q$8))/365</f>
        <v>6.0273972602739728E-2</v>
      </c>
      <c r="K25" s="29">
        <f ca="1">SUMPRODUCT((YEAR($I$3:$I$8)&lt;=YEAR(TODAY())-5)*(YEAR($I$3:$I$8)&gt;=YEAR(TODAY())-15)*($Q$3:$Q$8))/365</f>
        <v>8.7671232876712329E-2</v>
      </c>
      <c r="L25" s="29">
        <f ca="1">SUMPRODUCT((YEAR($I$3:$I$8)&lt;YEAR(TODAY())-15)*($Q$3:$Q$8))/365</f>
        <v>0</v>
      </c>
      <c r="N25" t="s">
        <v>95</v>
      </c>
    </row>
    <row r="26" spans="2:15" ht="45">
      <c r="B26" s="23" t="s">
        <v>70</v>
      </c>
      <c r="C26" s="23" t="s">
        <v>71</v>
      </c>
      <c r="D26" s="24">
        <f>G13/365</f>
        <v>6.8493150684931503E-2</v>
      </c>
      <c r="E26" s="29">
        <f>SUMPRODUCT(($K$3:$K$8&lt;35)*($Q$3:$Q$8&gt;15))/365</f>
        <v>0</v>
      </c>
      <c r="F26" s="29">
        <f>SUMPRODUCT(($K$3:$K$8&gt;=35)*($K$3:$K$8&lt;=45)*($Q$3:$Q$8&gt;15))/365</f>
        <v>0</v>
      </c>
      <c r="G26" s="29">
        <f>SUMPRODUCT(($K$3:$K$8&gt;45)*($Q$3:$Q$8&gt;15))/365</f>
        <v>2.7397260273972603E-3</v>
      </c>
      <c r="H26" s="29">
        <f>SUMPRODUCT(($L$3:$L$8="H")*($Q$3:$Q$8&gt;15))/365</f>
        <v>0</v>
      </c>
      <c r="I26" s="29">
        <f>SUMPRODUCT(($L$3:$L$8="F")*($Q$3:$Q$8&gt;15))/365</f>
        <v>2.7397260273972603E-3</v>
      </c>
      <c r="J26" s="29">
        <f ca="1">SUMPRODUCT((YEAR($I$3:$I$8)&gt;YEAR(TODAY())-5)*($Q$3:$Q$8&gt;15))/365</f>
        <v>0</v>
      </c>
      <c r="K26" s="29">
        <f ca="1">SUMPRODUCT((YEAR($I$3:$I$8)&lt;=YEAR(TODAY())-5)*(YEAR($I$3:$I$8)&gt;=YEAR(TODAY())-15)*($Q$3:$Q$8&gt;15))/365</f>
        <v>2.7397260273972603E-3</v>
      </c>
      <c r="L26" s="29">
        <f ca="1">SUMPRODUCT((YEAR($I$3:$I$8)&lt;YEAR(TODAY())-15)*($Q$3:$Q$8&gt;15))/365</f>
        <v>0</v>
      </c>
    </row>
    <row r="27" spans="2:15" ht="45">
      <c r="B27" s="23" t="s">
        <v>72</v>
      </c>
      <c r="C27" s="23" t="s">
        <v>73</v>
      </c>
      <c r="D27" s="24">
        <f>0/365</f>
        <v>0</v>
      </c>
      <c r="E27" s="29">
        <f>SUMPRODUCT(($K$3:$K$8&lt;35)*($Q$3:$Q$8&gt;=8)*($Q$3:$Q$8&lt;=15))/365</f>
        <v>2.7397260273972603E-3</v>
      </c>
      <c r="F27" s="29">
        <f>SUMPRODUCT(($K$3:$K$8&gt;=35)*($K$3:$K$8&lt;=45)*($Q$3:$Q$8&gt;=8)*($Q$3:$Q$8&lt;=15))/365</f>
        <v>0</v>
      </c>
      <c r="G27" s="29">
        <f>SUMPRODUCT(($K$3:$K$8&gt;45)*($Q$3:$Q$8&gt;=8)*($Q$3:$Q$8&lt;=15))/365</f>
        <v>0</v>
      </c>
      <c r="H27" s="29">
        <f>SUMPRODUCT(($L$3:$L$8="H")*($Q$3:$Q$8&gt;=8)*($Q$3:$Q$8&lt;=15))/365</f>
        <v>0</v>
      </c>
      <c r="I27" s="29">
        <f>SUMPRODUCT(($L$3:$L$8="F")*($Q$3:$Q$8&gt;=8)*($Q$3:$Q$8&lt;=15))/365</f>
        <v>2.7397260273972603E-3</v>
      </c>
      <c r="J27" s="29">
        <f ca="1">SUMPRODUCT((YEAR($I$3:$I$8)&gt;YEAR(TODAY())-5)*($Q$3:$Q$8&gt;=8)*($Q$3:$Q$8&lt;=15))/365</f>
        <v>2.7397260273972603E-3</v>
      </c>
      <c r="K27" s="29">
        <f ca="1">SUMPRODUCT((YEAR($I$3:$I$8)&lt;=YEAR(TODAY())-5)*(YEAR($I$3:$I$8)&gt;=YEAR(TODAY())-15)*($Q$3:$Q$8&gt;=8)*($Q$3:$Q$8&lt;=15))/365</f>
        <v>0</v>
      </c>
      <c r="L27" s="29">
        <f ca="1">SUMPRODUCT((YEAR($I$3:$I$8)&lt;YEAR(TODAY())-15)*($Q$3:$Q$8&gt;=8)*($Q$3:$Q$8&lt;=15))/365</f>
        <v>0</v>
      </c>
    </row>
    <row r="28" spans="2:15" ht="45">
      <c r="B28" s="23" t="s">
        <v>74</v>
      </c>
      <c r="C28" s="23" t="s">
        <v>75</v>
      </c>
      <c r="D28" s="24">
        <f>9/365</f>
        <v>2.4657534246575342E-2</v>
      </c>
      <c r="E28" s="25"/>
      <c r="F28" s="25"/>
      <c r="G28" s="25"/>
      <c r="H28" s="25"/>
      <c r="I28" s="25"/>
      <c r="J28" s="25"/>
      <c r="K28" s="25"/>
      <c r="L28" s="25"/>
    </row>
    <row r="29" spans="2:15" ht="45">
      <c r="B29" s="23" t="s">
        <v>76</v>
      </c>
      <c r="C29" s="23" t="s">
        <v>77</v>
      </c>
      <c r="D29" s="24">
        <f>5/365</f>
        <v>1.3698630136986301E-2</v>
      </c>
      <c r="E29" s="25"/>
      <c r="F29" s="25"/>
      <c r="G29" s="25"/>
      <c r="H29" s="25"/>
      <c r="I29" s="25"/>
      <c r="J29" s="25"/>
      <c r="K29" s="25"/>
      <c r="L29" s="25"/>
    </row>
    <row r="30" spans="2:15" ht="60">
      <c r="B30" s="23" t="s">
        <v>78</v>
      </c>
      <c r="C30" s="23" t="s">
        <v>79</v>
      </c>
      <c r="D30" s="18"/>
      <c r="E30" s="26"/>
      <c r="F30" s="26"/>
      <c r="G30" s="26"/>
      <c r="H30" s="26"/>
      <c r="I30" s="26"/>
      <c r="J30" s="26"/>
      <c r="K30" s="26"/>
      <c r="L30" s="26"/>
    </row>
    <row r="31" spans="2:15" ht="45">
      <c r="B31" s="23" t="s">
        <v>80</v>
      </c>
      <c r="C31" s="23" t="s">
        <v>81</v>
      </c>
      <c r="D31" s="18"/>
      <c r="E31" s="26"/>
      <c r="F31" s="26"/>
      <c r="G31" s="26"/>
      <c r="H31" s="26"/>
      <c r="I31" s="26"/>
      <c r="J31" s="26"/>
      <c r="K31" s="26"/>
      <c r="L31" s="26"/>
    </row>
  </sheetData>
  <mergeCells count="4">
    <mergeCell ref="H19:L19"/>
    <mergeCell ref="E23:G23"/>
    <mergeCell ref="H23:I23"/>
    <mergeCell ref="J23:L23"/>
  </mergeCells>
  <phoneticPr fontId="4" type="noConversion"/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9.140625" defaultRowHeight="1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9.140625" defaultRowHeight="1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2012-08-30T09:39:52Z</dcterms:modified>
</cp:coreProperties>
</file>