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 filterPrivacy="1" codeName="ThisWorkbook" defaultThemeVersion="124226"/>
  <bookViews>
    <workbookView xWindow="240" yWindow="75" windowWidth="15480" windowHeight="10920" activeTab="4"/>
  </bookViews>
  <sheets>
    <sheet name="Mode d'emploi" sheetId="7" r:id="rId1"/>
    <sheet name="Identité" sheetId="1" r:id="rId2"/>
    <sheet name="Horaires" sheetId="2" r:id="rId3"/>
    <sheet name="Semaines" sheetId="6" r:id="rId4"/>
    <sheet name="Recap année" sheetId="3" r:id="rId5"/>
    <sheet name="Paramètres" sheetId="5" r:id="rId6"/>
  </sheets>
  <definedNames>
    <definedName name="Abscence">Horaires!$J$5:$J$375</definedName>
    <definedName name="Ad_Aujourd_hui">Horaires!$A$1</definedName>
    <definedName name="Arrivée">Horaires!$D$5:$D$375</definedName>
    <definedName name="Aujourd_hui">OFFSET(Horaires!$A$5,Ad_Aujourd_hui,3)</definedName>
    <definedName name="Bilan_global">Horaires!$Z$5:$Z$375</definedName>
    <definedName name="bornes">Horaires!$R$5:$R$375</definedName>
    <definedName name="bornes_sem">Horaires!$S$5:$S$375</definedName>
    <definedName name="Date">Horaires!$C$5:$C$375</definedName>
    <definedName name="DDeb">Identité!$D$14</definedName>
    <definedName name="DDépart">#REF!</definedName>
    <definedName name="Départ">Horaires!$E$5:$E$375</definedName>
    <definedName name="DFIn">#REF!</definedName>
    <definedName name="Fériés">Paramètres!$C$9:$C$20</definedName>
    <definedName name="FirstDay">Paramètres!$C$4</definedName>
    <definedName name="Forfait_heures">Horaires!#REF!</definedName>
    <definedName name="H_abscence">Paramètres!$D$38:$D$49</definedName>
    <definedName name="H_legal">Horaires!$U$5:$U$375</definedName>
    <definedName name="H_Sem">Horaires!$X$5:$X$375</definedName>
    <definedName name="Heure_jour">Identité!#REF!</definedName>
    <definedName name="Heures">Horaires!$W$5:$W$375</definedName>
    <definedName name="indice">Semaines!$A$14:$A$20</definedName>
    <definedName name="j_férié">Horaires!$Q$5:$Q$375</definedName>
    <definedName name="Jour_Debut">Identité!$F$14</definedName>
    <definedName name="Jour_Fin">Identité!$F$16</definedName>
    <definedName name="Jour_sem">Horaires!$N$5:$N$375</definedName>
    <definedName name="L_Code_Motif_absence">Paramètres!$C$38:$C$49</definedName>
    <definedName name="L_Fériés">Paramètres!$B$9:$B$20</definedName>
    <definedName name="L_Heure_Sem">Paramètres!$E$24:$E$33</definedName>
    <definedName name="L_Motif_Abscence">Paramètres!$B$38:$B$49</definedName>
    <definedName name="Liste_semaines">Paramètres!$C$53:$C$105</definedName>
    <definedName name="MA_Aide">'Mode d''emploi'!$A$34</definedName>
    <definedName name="MA_onglets">'Mode d''emploi'!$A$5</definedName>
    <definedName name="Ma_PB">'Mode d''emploi'!$A$43</definedName>
    <definedName name="Mal">#REF!</definedName>
    <definedName name="Matricule">Identité!$G$7</definedName>
    <definedName name="Mois">Horaires!$L$5:$L$375</definedName>
    <definedName name="Motif_abscence">Horaires!$I$5:$I$375</definedName>
    <definedName name="Nom">Identité!$D$3</definedName>
    <definedName name="Pâques">Paramètres!$C$10</definedName>
    <definedName name="Pause">Horaires!$F$5:$F$375</definedName>
    <definedName name="Prénom">Identité!$D$5</definedName>
    <definedName name="Responsable">Identité!$G$5</definedName>
    <definedName name="S_jour_debut">Identité!$D$14</definedName>
    <definedName name="S_Jour_Fin">Identité!$D$16</definedName>
    <definedName name="S_Premier_jour">Identité!$D$14</definedName>
    <definedName name="Sais">Paramètres!$C$2</definedName>
    <definedName name="Saison">Identité!$D$7</definedName>
    <definedName name="Sem_entame">Horaires!$T$5:$T$375</definedName>
    <definedName name="Semaine_courrante">Horaires!$C$2</definedName>
    <definedName name="Service">Identité!$G$3</definedName>
    <definedName name="solver_adj" localSheetId="2" hidden="1">Horaires!$C$5</definedName>
    <definedName name="solver_cvg" localSheetId="2" hidden="1">0.0001</definedName>
    <definedName name="solver_drv" localSheetId="2" hidden="1">1</definedName>
    <definedName name="solver_est" localSheetId="2" hidden="1">1</definedName>
    <definedName name="solver_itr" localSheetId="2" hidden="1">100</definedName>
    <definedName name="solver_lin" localSheetId="2" hidden="1">2</definedName>
    <definedName name="solver_neg" localSheetId="2" hidden="1">2</definedName>
    <definedName name="solver_num" localSheetId="2" hidden="1">0</definedName>
    <definedName name="solver_nwt" localSheetId="2" hidden="1">1</definedName>
    <definedName name="solver_opt" localSheetId="2" hidden="1">Horaires!$L$5</definedName>
    <definedName name="solver_pre" localSheetId="2" hidden="1">0.000001</definedName>
    <definedName name="solver_scl" localSheetId="2" hidden="1">2</definedName>
    <definedName name="solver_sho" localSheetId="2" hidden="1">2</definedName>
    <definedName name="solver_tim" localSheetId="2" hidden="1">100</definedName>
    <definedName name="solver_tol" localSheetId="2" hidden="1">0.05</definedName>
    <definedName name="solver_typ" localSheetId="2" hidden="1">3</definedName>
    <definedName name="solver_val" localSheetId="2" hidden="1">7</definedName>
    <definedName name="T_Heure_jour">Paramètres!$D$24:$D$33</definedName>
    <definedName name="T_Mode_Rtt">Paramètres!$C$24:$C$33</definedName>
    <definedName name="Travaillé">Horaires!$G$5:$G$375</definedName>
    <definedName name="Vac">#REF!</definedName>
    <definedName name="zone">#REF!</definedName>
    <definedName name="_xlnm.Print_Area" localSheetId="4">'Recap année'!$F$1:$U$20</definedName>
    <definedName name="_xlnm.Print_Area" localSheetId="3">Semaines!$B$4:$J$26</definedName>
  </definedNames>
  <calcPr calcId="114210"/>
</workbook>
</file>

<file path=xl/calcChain.xml><?xml version="1.0" encoding="utf-8"?>
<calcChain xmlns="http://schemas.openxmlformats.org/spreadsheetml/2006/main">
  <c r="L5" i="2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01"/>
  <c r="L302"/>
  <c r="L303"/>
  <c r="L304"/>
  <c r="L305"/>
  <c r="L306"/>
  <c r="L307"/>
  <c r="L308"/>
  <c r="L309"/>
  <c r="L310"/>
  <c r="L311"/>
  <c r="L312"/>
  <c r="L313"/>
  <c r="L314"/>
  <c r="L315"/>
  <c r="L316"/>
  <c r="L317"/>
  <c r="L318"/>
  <c r="L319"/>
  <c r="L320"/>
  <c r="L321"/>
  <c r="L322"/>
  <c r="L323"/>
  <c r="L324"/>
  <c r="L325"/>
  <c r="L326"/>
  <c r="L327"/>
  <c r="L328"/>
  <c r="L329"/>
  <c r="L330"/>
  <c r="L331"/>
  <c r="L332"/>
  <c r="L333"/>
  <c r="L334"/>
  <c r="L335"/>
  <c r="L336"/>
  <c r="L337"/>
  <c r="L338"/>
  <c r="L339"/>
  <c r="L340"/>
  <c r="L341"/>
  <c r="L342"/>
  <c r="L343"/>
  <c r="L344"/>
  <c r="L345"/>
  <c r="L346"/>
  <c r="L347"/>
  <c r="L348"/>
  <c r="L349"/>
  <c r="L350"/>
  <c r="L351"/>
  <c r="L352"/>
  <c r="L353"/>
  <c r="L354"/>
  <c r="L355"/>
  <c r="L356"/>
  <c r="L357"/>
  <c r="L358"/>
  <c r="L359"/>
  <c r="L360"/>
  <c r="L361"/>
  <c r="L362"/>
  <c r="L363"/>
  <c r="L364"/>
  <c r="L365"/>
  <c r="L366"/>
  <c r="L367"/>
  <c r="L368"/>
  <c r="L369"/>
  <c r="L370"/>
  <c r="L371"/>
  <c r="L372"/>
  <c r="L373"/>
  <c r="L374"/>
  <c r="L375"/>
  <c r="G7" i="3"/>
  <c r="G8"/>
  <c r="G9"/>
  <c r="G10"/>
  <c r="G11"/>
  <c r="G12"/>
  <c r="G13"/>
  <c r="G14"/>
  <c r="G15"/>
  <c r="G16"/>
  <c r="G17"/>
  <c r="G6"/>
  <c r="H6" i="2"/>
  <c r="J6"/>
  <c r="H14" i="6"/>
  <c r="C14"/>
  <c r="A14"/>
  <c r="K6" i="2"/>
  <c r="W6"/>
  <c r="J14" i="6"/>
  <c r="A15"/>
  <c r="J7" i="2"/>
  <c r="K7"/>
  <c r="W7"/>
  <c r="J15" i="6"/>
  <c r="A16"/>
  <c r="J8" i="2"/>
  <c r="K8"/>
  <c r="W8"/>
  <c r="J16" i="6"/>
  <c r="A17"/>
  <c r="J9" i="2"/>
  <c r="K9"/>
  <c r="W9"/>
  <c r="J17" i="6"/>
  <c r="A18"/>
  <c r="J10" i="2"/>
  <c r="K10"/>
  <c r="W10"/>
  <c r="J18" i="6"/>
  <c r="A19"/>
  <c r="J11" i="2"/>
  <c r="K11"/>
  <c r="W11"/>
  <c r="J19" i="6"/>
  <c r="A20"/>
  <c r="J12" i="2"/>
  <c r="K12"/>
  <c r="W12"/>
  <c r="J20" i="6"/>
  <c r="J21"/>
  <c r="I14"/>
  <c r="J16" i="2"/>
  <c r="J5"/>
  <c r="J13"/>
  <c r="J14"/>
  <c r="J15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W2"/>
  <c r="E39" i="5"/>
  <c r="E40"/>
  <c r="E41"/>
  <c r="E42"/>
  <c r="E43"/>
  <c r="E44"/>
  <c r="E45"/>
  <c r="E46"/>
  <c r="E47"/>
  <c r="E48"/>
  <c r="E49"/>
  <c r="E38"/>
  <c r="H5" i="2"/>
  <c r="G375"/>
  <c r="G374"/>
  <c r="G373"/>
  <c r="G372"/>
  <c r="G371"/>
  <c r="G370"/>
  <c r="G369"/>
  <c r="G368"/>
  <c r="G367"/>
  <c r="G366"/>
  <c r="G365"/>
  <c r="G364"/>
  <c r="G363"/>
  <c r="G362"/>
  <c r="G361"/>
  <c r="G360"/>
  <c r="G359"/>
  <c r="G358"/>
  <c r="G357"/>
  <c r="G356"/>
  <c r="G355"/>
  <c r="G354"/>
  <c r="G353"/>
  <c r="G352"/>
  <c r="G351"/>
  <c r="G350"/>
  <c r="G349"/>
  <c r="G348"/>
  <c r="G347"/>
  <c r="G346"/>
  <c r="G345"/>
  <c r="G344"/>
  <c r="G343"/>
  <c r="G342"/>
  <c r="G341"/>
  <c r="G340"/>
  <c r="G339"/>
  <c r="G338"/>
  <c r="G337"/>
  <c r="G336"/>
  <c r="G335"/>
  <c r="G334"/>
  <c r="G333"/>
  <c r="G332"/>
  <c r="G331"/>
  <c r="G330"/>
  <c r="G329"/>
  <c r="G328"/>
  <c r="G327"/>
  <c r="G326"/>
  <c r="G325"/>
  <c r="G324"/>
  <c r="G323"/>
  <c r="G322"/>
  <c r="G321"/>
  <c r="G320"/>
  <c r="G319"/>
  <c r="G318"/>
  <c r="G317"/>
  <c r="G316"/>
  <c r="G315"/>
  <c r="G314"/>
  <c r="G313"/>
  <c r="G312"/>
  <c r="G311"/>
  <c r="G310"/>
  <c r="G309"/>
  <c r="G308"/>
  <c r="G307"/>
  <c r="G306"/>
  <c r="G305"/>
  <c r="G304"/>
  <c r="G303"/>
  <c r="G302"/>
  <c r="G301"/>
  <c r="G300"/>
  <c r="G299"/>
  <c r="G298"/>
  <c r="G297"/>
  <c r="G296"/>
  <c r="G295"/>
  <c r="G294"/>
  <c r="G293"/>
  <c r="G292"/>
  <c r="G291"/>
  <c r="G290"/>
  <c r="G289"/>
  <c r="G288"/>
  <c r="G287"/>
  <c r="G286"/>
  <c r="G285"/>
  <c r="G284"/>
  <c r="G283"/>
  <c r="G282"/>
  <c r="G281"/>
  <c r="G280"/>
  <c r="G279"/>
  <c r="G278"/>
  <c r="G277"/>
  <c r="G276"/>
  <c r="G275"/>
  <c r="G274"/>
  <c r="G273"/>
  <c r="G272"/>
  <c r="G271"/>
  <c r="G270"/>
  <c r="G269"/>
  <c r="G268"/>
  <c r="G267"/>
  <c r="G266"/>
  <c r="G265"/>
  <c r="G264"/>
  <c r="G263"/>
  <c r="G262"/>
  <c r="G261"/>
  <c r="G260"/>
  <c r="G259"/>
  <c r="G258"/>
  <c r="G257"/>
  <c r="G256"/>
  <c r="G255"/>
  <c r="G254"/>
  <c r="G253"/>
  <c r="G252"/>
  <c r="G251"/>
  <c r="G250"/>
  <c r="G249"/>
  <c r="G248"/>
  <c r="G247"/>
  <c r="G246"/>
  <c r="G245"/>
  <c r="G244"/>
  <c r="G243"/>
  <c r="G242"/>
  <c r="G241"/>
  <c r="G240"/>
  <c r="G239"/>
  <c r="G238"/>
  <c r="G237"/>
  <c r="G236"/>
  <c r="G235"/>
  <c r="G234"/>
  <c r="G233"/>
  <c r="G232"/>
  <c r="G231"/>
  <c r="G230"/>
  <c r="G229"/>
  <c r="G228"/>
  <c r="G227"/>
  <c r="G226"/>
  <c r="G225"/>
  <c r="G224"/>
  <c r="G223"/>
  <c r="G222"/>
  <c r="G221"/>
  <c r="G220"/>
  <c r="G219"/>
  <c r="G218"/>
  <c r="G217"/>
  <c r="G216"/>
  <c r="G215"/>
  <c r="G214"/>
  <c r="G213"/>
  <c r="G212"/>
  <c r="G211"/>
  <c r="G210"/>
  <c r="G209"/>
  <c r="G208"/>
  <c r="G207"/>
  <c r="G206"/>
  <c r="G205"/>
  <c r="G204"/>
  <c r="G203"/>
  <c r="G202"/>
  <c r="G201"/>
  <c r="G200"/>
  <c r="G199"/>
  <c r="G198"/>
  <c r="G197"/>
  <c r="G196"/>
  <c r="G195"/>
  <c r="G194"/>
  <c r="G193"/>
  <c r="G192"/>
  <c r="G191"/>
  <c r="G190"/>
  <c r="G189"/>
  <c r="G188"/>
  <c r="G187"/>
  <c r="G186"/>
  <c r="G185"/>
  <c r="G184"/>
  <c r="G183"/>
  <c r="G182"/>
  <c r="G181"/>
  <c r="G180"/>
  <c r="G179"/>
  <c r="G178"/>
  <c r="G177"/>
  <c r="G176"/>
  <c r="G175"/>
  <c r="G174"/>
  <c r="G173"/>
  <c r="G172"/>
  <c r="G171"/>
  <c r="G170"/>
  <c r="G169"/>
  <c r="G168"/>
  <c r="G167"/>
  <c r="G166"/>
  <c r="G165"/>
  <c r="G164"/>
  <c r="G163"/>
  <c r="G162"/>
  <c r="G161"/>
  <c r="G160"/>
  <c r="G159"/>
  <c r="G158"/>
  <c r="G157"/>
  <c r="G156"/>
  <c r="G155"/>
  <c r="G154"/>
  <c r="G153"/>
  <c r="G152"/>
  <c r="G151"/>
  <c r="G150"/>
  <c r="G149"/>
  <c r="G148"/>
  <c r="G147"/>
  <c r="G146"/>
  <c r="G145"/>
  <c r="G144"/>
  <c r="G143"/>
  <c r="G142"/>
  <c r="G141"/>
  <c r="G140"/>
  <c r="G139"/>
  <c r="G138"/>
  <c r="G137"/>
  <c r="G136"/>
  <c r="G135"/>
  <c r="G134"/>
  <c r="G133"/>
  <c r="G132"/>
  <c r="G131"/>
  <c r="G130"/>
  <c r="G129"/>
  <c r="G128"/>
  <c r="G127"/>
  <c r="G126"/>
  <c r="G125"/>
  <c r="G124"/>
  <c r="G123"/>
  <c r="G122"/>
  <c r="G121"/>
  <c r="G120"/>
  <c r="G119"/>
  <c r="G118"/>
  <c r="G117"/>
  <c r="G116"/>
  <c r="G115"/>
  <c r="G114"/>
  <c r="G113"/>
  <c r="G112"/>
  <c r="G111"/>
  <c r="G110"/>
  <c r="G109"/>
  <c r="G108"/>
  <c r="G107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T5" i="3"/>
  <c r="D29" i="5"/>
  <c r="D28"/>
  <c r="D27"/>
  <c r="D26"/>
  <c r="C20"/>
  <c r="C19"/>
  <c r="C18"/>
  <c r="C17"/>
  <c r="C16"/>
  <c r="C13"/>
  <c r="C12"/>
  <c r="C9"/>
  <c r="I2" i="3"/>
  <c r="D41" i="5"/>
  <c r="D40"/>
  <c r="D25"/>
  <c r="C11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K96" i="2"/>
  <c r="K97"/>
  <c r="W97"/>
  <c r="K98"/>
  <c r="K99"/>
  <c r="W99"/>
  <c r="K100"/>
  <c r="K101"/>
  <c r="W101"/>
  <c r="K102"/>
  <c r="K89"/>
  <c r="W89"/>
  <c r="K90"/>
  <c r="K91"/>
  <c r="W91"/>
  <c r="K92"/>
  <c r="K93"/>
  <c r="W93"/>
  <c r="K94"/>
  <c r="K95"/>
  <c r="W95"/>
  <c r="K82"/>
  <c r="K83"/>
  <c r="K84"/>
  <c r="K85"/>
  <c r="K86"/>
  <c r="K87"/>
  <c r="K88"/>
  <c r="K75"/>
  <c r="K76"/>
  <c r="K77"/>
  <c r="K78"/>
  <c r="K79"/>
  <c r="K80"/>
  <c r="K81"/>
  <c r="K68"/>
  <c r="K69"/>
  <c r="K70"/>
  <c r="K71"/>
  <c r="K72"/>
  <c r="K73"/>
  <c r="K74"/>
  <c r="K61"/>
  <c r="K62"/>
  <c r="K63"/>
  <c r="K64"/>
  <c r="K65"/>
  <c r="K66"/>
  <c r="K67"/>
  <c r="K54"/>
  <c r="K55"/>
  <c r="K56"/>
  <c r="K57"/>
  <c r="K58"/>
  <c r="K59"/>
  <c r="K60"/>
  <c r="K47"/>
  <c r="K48"/>
  <c r="K49"/>
  <c r="K50"/>
  <c r="K51"/>
  <c r="K52"/>
  <c r="K53"/>
  <c r="K40"/>
  <c r="K41"/>
  <c r="K42"/>
  <c r="K43"/>
  <c r="K44"/>
  <c r="K45"/>
  <c r="K46"/>
  <c r="K33"/>
  <c r="K34"/>
  <c r="K35"/>
  <c r="K36"/>
  <c r="K37"/>
  <c r="K38"/>
  <c r="K39"/>
  <c r="K26"/>
  <c r="K27"/>
  <c r="K28"/>
  <c r="K29"/>
  <c r="K30"/>
  <c r="K31"/>
  <c r="K32"/>
  <c r="K19"/>
  <c r="K20"/>
  <c r="K21"/>
  <c r="K22"/>
  <c r="K23"/>
  <c r="K24"/>
  <c r="K25"/>
  <c r="K13"/>
  <c r="K14"/>
  <c r="K15"/>
  <c r="K16"/>
  <c r="K17"/>
  <c r="K18"/>
  <c r="C15" i="6"/>
  <c r="C16"/>
  <c r="C17"/>
  <c r="C18"/>
  <c r="C19"/>
  <c r="C20"/>
  <c r="K103" i="2"/>
  <c r="K104"/>
  <c r="W104"/>
  <c r="K105"/>
  <c r="K106"/>
  <c r="W106"/>
  <c r="K107"/>
  <c r="K108"/>
  <c r="W108"/>
  <c r="K109"/>
  <c r="K110"/>
  <c r="W110"/>
  <c r="K111"/>
  <c r="K112"/>
  <c r="W112"/>
  <c r="K113"/>
  <c r="K114"/>
  <c r="W114"/>
  <c r="K115"/>
  <c r="K116"/>
  <c r="W116"/>
  <c r="K117"/>
  <c r="K118"/>
  <c r="W118"/>
  <c r="K119"/>
  <c r="K120"/>
  <c r="W120"/>
  <c r="K121"/>
  <c r="K122"/>
  <c r="W122"/>
  <c r="K123"/>
  <c r="K124"/>
  <c r="W124"/>
  <c r="K125"/>
  <c r="K126"/>
  <c r="W126"/>
  <c r="K127"/>
  <c r="K128"/>
  <c r="W128"/>
  <c r="K129"/>
  <c r="K130"/>
  <c r="W130"/>
  <c r="K131"/>
  <c r="K132"/>
  <c r="W132"/>
  <c r="K133"/>
  <c r="K134"/>
  <c r="W134"/>
  <c r="K135"/>
  <c r="K136"/>
  <c r="W136"/>
  <c r="K137"/>
  <c r="K138"/>
  <c r="W138"/>
  <c r="K139"/>
  <c r="K140"/>
  <c r="W140"/>
  <c r="K141"/>
  <c r="K142"/>
  <c r="W142"/>
  <c r="K143"/>
  <c r="K144"/>
  <c r="W144"/>
  <c r="K145"/>
  <c r="K146"/>
  <c r="W146"/>
  <c r="K147"/>
  <c r="K148"/>
  <c r="W148"/>
  <c r="K149"/>
  <c r="K150"/>
  <c r="W150"/>
  <c r="K151"/>
  <c r="K152"/>
  <c r="W152"/>
  <c r="K153"/>
  <c r="K154"/>
  <c r="W154"/>
  <c r="K155"/>
  <c r="K156"/>
  <c r="W156"/>
  <c r="K157"/>
  <c r="K158"/>
  <c r="W158"/>
  <c r="K159"/>
  <c r="W159"/>
  <c r="K160"/>
  <c r="W160"/>
  <c r="K161"/>
  <c r="K162"/>
  <c r="W162"/>
  <c r="K163"/>
  <c r="W163"/>
  <c r="K164"/>
  <c r="W164"/>
  <c r="K165"/>
  <c r="K166"/>
  <c r="W166"/>
  <c r="K167"/>
  <c r="W167"/>
  <c r="K168"/>
  <c r="W168"/>
  <c r="K169"/>
  <c r="K170"/>
  <c r="W170"/>
  <c r="K171"/>
  <c r="W171"/>
  <c r="K172"/>
  <c r="W172"/>
  <c r="K173"/>
  <c r="K174"/>
  <c r="W174"/>
  <c r="K175"/>
  <c r="W175"/>
  <c r="K176"/>
  <c r="W176"/>
  <c r="K177"/>
  <c r="K178"/>
  <c r="W178"/>
  <c r="K179"/>
  <c r="W179"/>
  <c r="K180"/>
  <c r="W180"/>
  <c r="K181"/>
  <c r="K182"/>
  <c r="W182"/>
  <c r="K183"/>
  <c r="W183"/>
  <c r="K184"/>
  <c r="W184"/>
  <c r="K185"/>
  <c r="K186"/>
  <c r="W186"/>
  <c r="K187"/>
  <c r="W187"/>
  <c r="K188"/>
  <c r="W188"/>
  <c r="K189"/>
  <c r="K190"/>
  <c r="W190"/>
  <c r="K191"/>
  <c r="W191"/>
  <c r="K192"/>
  <c r="W192"/>
  <c r="K193"/>
  <c r="K194"/>
  <c r="W194"/>
  <c r="K195"/>
  <c r="W195"/>
  <c r="K196"/>
  <c r="W196"/>
  <c r="K197"/>
  <c r="K198"/>
  <c r="W198"/>
  <c r="K199"/>
  <c r="W199"/>
  <c r="K200"/>
  <c r="W200"/>
  <c r="K201"/>
  <c r="K202"/>
  <c r="W202"/>
  <c r="K203"/>
  <c r="W203"/>
  <c r="K204"/>
  <c r="W204"/>
  <c r="K205"/>
  <c r="K206"/>
  <c r="W206"/>
  <c r="K207"/>
  <c r="W207"/>
  <c r="K208"/>
  <c r="W208"/>
  <c r="K209"/>
  <c r="K210"/>
  <c r="W210"/>
  <c r="K211"/>
  <c r="W211"/>
  <c r="K212"/>
  <c r="W212"/>
  <c r="K213"/>
  <c r="K214"/>
  <c r="W214"/>
  <c r="K215"/>
  <c r="W215"/>
  <c r="K216"/>
  <c r="W216"/>
  <c r="K217"/>
  <c r="K218"/>
  <c r="W218"/>
  <c r="K219"/>
  <c r="W219"/>
  <c r="K220"/>
  <c r="W220"/>
  <c r="K221"/>
  <c r="K222"/>
  <c r="W222"/>
  <c r="K223"/>
  <c r="W223"/>
  <c r="K224"/>
  <c r="W224"/>
  <c r="K225"/>
  <c r="K226"/>
  <c r="W226"/>
  <c r="K227"/>
  <c r="W227"/>
  <c r="K228"/>
  <c r="W228"/>
  <c r="K229"/>
  <c r="K230"/>
  <c r="W230"/>
  <c r="K231"/>
  <c r="W231"/>
  <c r="K232"/>
  <c r="W232"/>
  <c r="K233"/>
  <c r="K234"/>
  <c r="W234"/>
  <c r="K235"/>
  <c r="W235"/>
  <c r="K236"/>
  <c r="W236"/>
  <c r="K237"/>
  <c r="K238"/>
  <c r="W238"/>
  <c r="K239"/>
  <c r="W239"/>
  <c r="K240"/>
  <c r="W240"/>
  <c r="K241"/>
  <c r="K242"/>
  <c r="W242"/>
  <c r="K243"/>
  <c r="W243"/>
  <c r="K244"/>
  <c r="W244"/>
  <c r="K245"/>
  <c r="K246"/>
  <c r="W246"/>
  <c r="K247"/>
  <c r="W247"/>
  <c r="K248"/>
  <c r="W248"/>
  <c r="K249"/>
  <c r="K250"/>
  <c r="W250"/>
  <c r="K251"/>
  <c r="W251"/>
  <c r="K252"/>
  <c r="W252"/>
  <c r="K253"/>
  <c r="K254"/>
  <c r="W254"/>
  <c r="K255"/>
  <c r="W255"/>
  <c r="K256"/>
  <c r="W256"/>
  <c r="K257"/>
  <c r="K258"/>
  <c r="W258"/>
  <c r="K259"/>
  <c r="W259"/>
  <c r="K260"/>
  <c r="W260"/>
  <c r="K261"/>
  <c r="K262"/>
  <c r="W262"/>
  <c r="K263"/>
  <c r="W263"/>
  <c r="K264"/>
  <c r="W264"/>
  <c r="K265"/>
  <c r="K266"/>
  <c r="W266"/>
  <c r="K267"/>
  <c r="W267"/>
  <c r="K268"/>
  <c r="W268"/>
  <c r="K269"/>
  <c r="K270"/>
  <c r="W270"/>
  <c r="K271"/>
  <c r="W271"/>
  <c r="K272"/>
  <c r="W272"/>
  <c r="K273"/>
  <c r="K274"/>
  <c r="W274"/>
  <c r="K275"/>
  <c r="W275"/>
  <c r="K276"/>
  <c r="W276"/>
  <c r="K277"/>
  <c r="K278"/>
  <c r="W278"/>
  <c r="K279"/>
  <c r="W279"/>
  <c r="K280"/>
  <c r="W280"/>
  <c r="K281"/>
  <c r="K282"/>
  <c r="W282"/>
  <c r="K283"/>
  <c r="W283"/>
  <c r="K284"/>
  <c r="W284"/>
  <c r="K285"/>
  <c r="K286"/>
  <c r="W286"/>
  <c r="K287"/>
  <c r="W287"/>
  <c r="K288"/>
  <c r="W288"/>
  <c r="K289"/>
  <c r="K290"/>
  <c r="W290"/>
  <c r="K291"/>
  <c r="W291"/>
  <c r="K292"/>
  <c r="W292"/>
  <c r="K293"/>
  <c r="K294"/>
  <c r="W294"/>
  <c r="K295"/>
  <c r="W295"/>
  <c r="K296"/>
  <c r="W296"/>
  <c r="K297"/>
  <c r="K298"/>
  <c r="W298"/>
  <c r="K299"/>
  <c r="W299"/>
  <c r="K300"/>
  <c r="W300"/>
  <c r="K301"/>
  <c r="K302"/>
  <c r="W302"/>
  <c r="K303"/>
  <c r="W303"/>
  <c r="K304"/>
  <c r="W304"/>
  <c r="K305"/>
  <c r="K306"/>
  <c r="W306"/>
  <c r="K307"/>
  <c r="W307"/>
  <c r="K308"/>
  <c r="W308"/>
  <c r="K309"/>
  <c r="K310"/>
  <c r="W310"/>
  <c r="K311"/>
  <c r="W311"/>
  <c r="K312"/>
  <c r="W312"/>
  <c r="K313"/>
  <c r="K314"/>
  <c r="W314"/>
  <c r="K315"/>
  <c r="W315"/>
  <c r="K316"/>
  <c r="W316"/>
  <c r="K317"/>
  <c r="K318"/>
  <c r="W318"/>
  <c r="K319"/>
  <c r="W319"/>
  <c r="K320"/>
  <c r="W320"/>
  <c r="K321"/>
  <c r="K322"/>
  <c r="W322"/>
  <c r="K323"/>
  <c r="W323"/>
  <c r="K324"/>
  <c r="W324"/>
  <c r="K325"/>
  <c r="K326"/>
  <c r="W326"/>
  <c r="K327"/>
  <c r="W327"/>
  <c r="K328"/>
  <c r="W328"/>
  <c r="K329"/>
  <c r="K330"/>
  <c r="W330"/>
  <c r="K331"/>
  <c r="W331"/>
  <c r="K332"/>
  <c r="W332"/>
  <c r="K333"/>
  <c r="K334"/>
  <c r="W334"/>
  <c r="K335"/>
  <c r="W335"/>
  <c r="K336"/>
  <c r="W336"/>
  <c r="K337"/>
  <c r="K338"/>
  <c r="W338"/>
  <c r="K339"/>
  <c r="W339"/>
  <c r="K340"/>
  <c r="W340"/>
  <c r="K341"/>
  <c r="W341"/>
  <c r="K342"/>
  <c r="W342"/>
  <c r="K343"/>
  <c r="W343"/>
  <c r="K344"/>
  <c r="W344"/>
  <c r="K345"/>
  <c r="W345"/>
  <c r="K346"/>
  <c r="W346"/>
  <c r="K347"/>
  <c r="W347"/>
  <c r="K348"/>
  <c r="W348"/>
  <c r="K349"/>
  <c r="W349"/>
  <c r="K350"/>
  <c r="W350"/>
  <c r="K351"/>
  <c r="W351"/>
  <c r="K352"/>
  <c r="W352"/>
  <c r="K353"/>
  <c r="W353"/>
  <c r="K354"/>
  <c r="W354"/>
  <c r="K355"/>
  <c r="W355"/>
  <c r="K356"/>
  <c r="W356"/>
  <c r="K357"/>
  <c r="W357"/>
  <c r="K358"/>
  <c r="W358"/>
  <c r="K359"/>
  <c r="W359"/>
  <c r="K360"/>
  <c r="W360"/>
  <c r="K361"/>
  <c r="W361"/>
  <c r="K362"/>
  <c r="W362"/>
  <c r="K363"/>
  <c r="W363"/>
  <c r="K364"/>
  <c r="W364"/>
  <c r="K365"/>
  <c r="W365"/>
  <c r="K366"/>
  <c r="W366"/>
  <c r="K367"/>
  <c r="W367"/>
  <c r="K368"/>
  <c r="W368"/>
  <c r="K369"/>
  <c r="W369"/>
  <c r="J370"/>
  <c r="K370"/>
  <c r="W370"/>
  <c r="J371"/>
  <c r="K371"/>
  <c r="W371"/>
  <c r="J372"/>
  <c r="K372"/>
  <c r="W372"/>
  <c r="J373"/>
  <c r="K373"/>
  <c r="W373"/>
  <c r="J374"/>
  <c r="K374"/>
  <c r="W374"/>
  <c r="J375"/>
  <c r="K375"/>
  <c r="W375"/>
  <c r="D38" i="5"/>
  <c r="A1" i="2"/>
  <c r="A12"/>
  <c r="A19"/>
  <c r="A26"/>
  <c r="A33"/>
  <c r="A40"/>
  <c r="A47"/>
  <c r="A54"/>
  <c r="A61"/>
  <c r="A68"/>
  <c r="A75"/>
  <c r="A82"/>
  <c r="A89"/>
  <c r="A96"/>
  <c r="A103"/>
  <c r="A110"/>
  <c r="A117"/>
  <c r="A124"/>
  <c r="A131"/>
  <c r="A138"/>
  <c r="A145"/>
  <c r="A152"/>
  <c r="A159"/>
  <c r="A166"/>
  <c r="A173"/>
  <c r="A180"/>
  <c r="A187"/>
  <c r="A194"/>
  <c r="A201"/>
  <c r="A208"/>
  <c r="A215"/>
  <c r="A222"/>
  <c r="A229"/>
  <c r="A236"/>
  <c r="A243"/>
  <c r="A250"/>
  <c r="A257"/>
  <c r="A264"/>
  <c r="A271"/>
  <c r="A278"/>
  <c r="A285"/>
  <c r="A292"/>
  <c r="A299"/>
  <c r="A306"/>
  <c r="A313"/>
  <c r="A320"/>
  <c r="A327"/>
  <c r="A334"/>
  <c r="A341"/>
  <c r="A348"/>
  <c r="A355"/>
  <c r="A362"/>
  <c r="A369"/>
  <c r="D24" i="5"/>
  <c r="D39"/>
  <c r="R2" i="3"/>
  <c r="D7"/>
  <c r="D8"/>
  <c r="D9"/>
  <c r="D10"/>
  <c r="D11"/>
  <c r="D12"/>
  <c r="D13"/>
  <c r="D14"/>
  <c r="D15"/>
  <c r="D16"/>
  <c r="D17"/>
  <c r="D19"/>
  <c r="D6"/>
  <c r="C19"/>
  <c r="B19"/>
  <c r="B7"/>
  <c r="C7"/>
  <c r="B8"/>
  <c r="C8"/>
  <c r="B9"/>
  <c r="C9"/>
  <c r="B10"/>
  <c r="C10"/>
  <c r="B11"/>
  <c r="C11"/>
  <c r="B12"/>
  <c r="C12"/>
  <c r="B13"/>
  <c r="C13"/>
  <c r="B14"/>
  <c r="C14"/>
  <c r="B15"/>
  <c r="C15"/>
  <c r="B16"/>
  <c r="C16"/>
  <c r="B17"/>
  <c r="C17"/>
  <c r="C6"/>
  <c r="B6"/>
  <c r="J5" a="1"/>
  <c r="J5"/>
  <c r="K5" a="1"/>
  <c r="K5"/>
  <c r="L5" a="1"/>
  <c r="L5"/>
  <c r="M5" a="1"/>
  <c r="M5"/>
  <c r="N5" a="1"/>
  <c r="N5"/>
  <c r="O5" a="1"/>
  <c r="O5"/>
  <c r="P5" a="1"/>
  <c r="P5"/>
  <c r="Q5" a="1"/>
  <c r="Q5"/>
  <c r="R5" a="1"/>
  <c r="R5"/>
  <c r="S5" a="1"/>
  <c r="S5"/>
  <c r="I8" i="6"/>
  <c r="I10"/>
  <c r="D6"/>
  <c r="I6"/>
  <c r="D8"/>
  <c r="D10"/>
  <c r="D11"/>
  <c r="C15" i="5"/>
  <c r="C14"/>
  <c r="W337" i="2"/>
  <c r="W333"/>
  <c r="W329"/>
  <c r="X333"/>
  <c r="W325"/>
  <c r="W321"/>
  <c r="W317"/>
  <c r="W313"/>
  <c r="W309"/>
  <c r="W305"/>
  <c r="W301"/>
  <c r="W297"/>
  <c r="W293"/>
  <c r="W289"/>
  <c r="W285"/>
  <c r="W281"/>
  <c r="X284"/>
  <c r="W277"/>
  <c r="W273"/>
  <c r="W269"/>
  <c r="W265"/>
  <c r="W261"/>
  <c r="W257"/>
  <c r="W253"/>
  <c r="W249"/>
  <c r="W245"/>
  <c r="X249"/>
  <c r="W241"/>
  <c r="W237"/>
  <c r="W233"/>
  <c r="W229"/>
  <c r="W225"/>
  <c r="W221"/>
  <c r="W217"/>
  <c r="W213"/>
  <c r="W209"/>
  <c r="W205"/>
  <c r="W201"/>
  <c r="W197"/>
  <c r="W193"/>
  <c r="W189"/>
  <c r="W185"/>
  <c r="W181"/>
  <c r="X186"/>
  <c r="W177"/>
  <c r="W173"/>
  <c r="X179"/>
  <c r="W169"/>
  <c r="X172"/>
  <c r="W165"/>
  <c r="W161"/>
  <c r="X165"/>
  <c r="W157"/>
  <c r="W153"/>
  <c r="W149"/>
  <c r="W145"/>
  <c r="K5"/>
  <c r="W17"/>
  <c r="D2"/>
  <c r="W141"/>
  <c r="W137"/>
  <c r="W133"/>
  <c r="W129"/>
  <c r="W125"/>
  <c r="W121"/>
  <c r="W117"/>
  <c r="W113"/>
  <c r="W109"/>
  <c r="W105"/>
  <c r="W18"/>
  <c r="W30"/>
  <c r="W26"/>
  <c r="W46"/>
  <c r="W42"/>
  <c r="W58"/>
  <c r="W54"/>
  <c r="W74"/>
  <c r="W70"/>
  <c r="W86"/>
  <c r="W82"/>
  <c r="W155"/>
  <c r="X158"/>
  <c r="W151"/>
  <c r="W147"/>
  <c r="W143"/>
  <c r="W139"/>
  <c r="W135"/>
  <c r="W131"/>
  <c r="W127"/>
  <c r="W123"/>
  <c r="W119"/>
  <c r="W115"/>
  <c r="W111"/>
  <c r="W107"/>
  <c r="W103"/>
  <c r="W29"/>
  <c r="W45"/>
  <c r="W41"/>
  <c r="W57"/>
  <c r="W16"/>
  <c r="W22"/>
  <c r="W32"/>
  <c r="W28"/>
  <c r="W38"/>
  <c r="W34"/>
  <c r="W44"/>
  <c r="W40"/>
  <c r="W50"/>
  <c r="W60"/>
  <c r="W56"/>
  <c r="W66"/>
  <c r="W62"/>
  <c r="W72"/>
  <c r="W68"/>
  <c r="W78"/>
  <c r="W88"/>
  <c r="W84"/>
  <c r="W23"/>
  <c r="W19"/>
  <c r="W39"/>
  <c r="W35"/>
  <c r="W51"/>
  <c r="W47"/>
  <c r="W67"/>
  <c r="W63"/>
  <c r="W73"/>
  <c r="W69"/>
  <c r="W79"/>
  <c r="W75"/>
  <c r="W85"/>
  <c r="W24"/>
  <c r="W20"/>
  <c r="W36"/>
  <c r="W52"/>
  <c r="W48"/>
  <c r="W64"/>
  <c r="W80"/>
  <c r="W76"/>
  <c r="W15"/>
  <c r="W25"/>
  <c r="W21"/>
  <c r="W31"/>
  <c r="W27"/>
  <c r="X32"/>
  <c r="W37"/>
  <c r="W33"/>
  <c r="W43"/>
  <c r="W53"/>
  <c r="W49"/>
  <c r="X53"/>
  <c r="W59"/>
  <c r="W55"/>
  <c r="W65"/>
  <c r="W61"/>
  <c r="W71"/>
  <c r="W81"/>
  <c r="W77"/>
  <c r="W87"/>
  <c r="W83"/>
  <c r="W94"/>
  <c r="W92"/>
  <c r="W90"/>
  <c r="W102"/>
  <c r="W100"/>
  <c r="W98"/>
  <c r="W96"/>
  <c r="W5"/>
  <c r="W14"/>
  <c r="W13"/>
  <c r="X207"/>
  <c r="X214"/>
  <c r="X200"/>
  <c r="X291"/>
  <c r="X235"/>
  <c r="X228"/>
  <c r="X354"/>
  <c r="X326"/>
  <c r="X298"/>
  <c r="X221"/>
  <c r="X347"/>
  <c r="X270"/>
  <c r="X361"/>
  <c r="X340"/>
  <c r="X305"/>
  <c r="X263"/>
  <c r="X242"/>
  <c r="X193"/>
  <c r="X375"/>
  <c r="X256"/>
  <c r="X368"/>
  <c r="X312"/>
  <c r="X277"/>
  <c r="X144"/>
  <c r="X123"/>
  <c r="X319"/>
  <c r="X95"/>
  <c r="X46"/>
  <c r="X151"/>
  <c r="X88"/>
  <c r="X60"/>
  <c r="X130"/>
  <c r="X67"/>
  <c r="X102"/>
  <c r="X39"/>
  <c r="X25"/>
  <c r="X109"/>
  <c r="X81"/>
  <c r="X74"/>
  <c r="X116"/>
  <c r="X137"/>
  <c r="X11"/>
  <c r="X18"/>
  <c r="P5"/>
  <c r="N5"/>
  <c r="R5"/>
  <c r="U5"/>
  <c r="O5"/>
  <c r="Q5"/>
  <c r="C6"/>
  <c r="C7"/>
  <c r="O7" i="3"/>
  <c r="P7" i="2"/>
  <c r="R7"/>
  <c r="U7"/>
  <c r="N7"/>
  <c r="O7"/>
  <c r="C8"/>
  <c r="O8" i="3"/>
  <c r="N6" i="2"/>
  <c r="P6"/>
  <c r="R6"/>
  <c r="U6"/>
  <c r="O6"/>
  <c r="Q6"/>
  <c r="O6" i="3"/>
  <c r="Q7" i="2"/>
  <c r="N8"/>
  <c r="P8"/>
  <c r="O8"/>
  <c r="R8"/>
  <c r="U8"/>
  <c r="C9"/>
  <c r="O9" i="3"/>
  <c r="Q8" i="2"/>
  <c r="N9"/>
  <c r="P9"/>
  <c r="R9"/>
  <c r="U9"/>
  <c r="O9"/>
  <c r="C10"/>
  <c r="O10" i="3"/>
  <c r="Q9" i="2"/>
  <c r="P10"/>
  <c r="R10"/>
  <c r="N10"/>
  <c r="O10"/>
  <c r="C11"/>
  <c r="Q10"/>
  <c r="O11" i="3"/>
  <c r="P11" i="2"/>
  <c r="N11"/>
  <c r="O11"/>
  <c r="R11"/>
  <c r="C12"/>
  <c r="O12" i="3"/>
  <c r="Q11" i="2"/>
  <c r="T11"/>
  <c r="S11"/>
  <c r="B5"/>
  <c r="P12"/>
  <c r="N12"/>
  <c r="O12"/>
  <c r="Q12"/>
  <c r="R12"/>
  <c r="U12"/>
  <c r="C13"/>
  <c r="O13" i="3"/>
  <c r="N13" i="2"/>
  <c r="O13"/>
  <c r="R13"/>
  <c r="U13"/>
  <c r="P13"/>
  <c r="C14"/>
  <c r="O14" i="3"/>
  <c r="V11" i="2"/>
  <c r="Y11"/>
  <c r="Z11"/>
  <c r="Q13"/>
  <c r="P14"/>
  <c r="N14"/>
  <c r="R14"/>
  <c r="U14"/>
  <c r="O14"/>
  <c r="C15"/>
  <c r="O15" i="3"/>
  <c r="Q14" i="2"/>
  <c r="N15"/>
  <c r="P15"/>
  <c r="O15"/>
  <c r="R15"/>
  <c r="U15"/>
  <c r="C16"/>
  <c r="O16" i="3"/>
  <c r="Q15" i="2"/>
  <c r="N16"/>
  <c r="P16"/>
  <c r="O16"/>
  <c r="R16"/>
  <c r="U16"/>
  <c r="C17"/>
  <c r="O17" i="3"/>
  <c r="Q16" i="2"/>
  <c r="N17"/>
  <c r="P17"/>
  <c r="R17"/>
  <c r="O17"/>
  <c r="Q17"/>
  <c r="C18"/>
  <c r="P18"/>
  <c r="N18"/>
  <c r="B12"/>
  <c r="O18"/>
  <c r="Q18"/>
  <c r="R18"/>
  <c r="C19"/>
  <c r="T18"/>
  <c r="S18"/>
  <c r="P19"/>
  <c r="R19"/>
  <c r="U19"/>
  <c r="N19"/>
  <c r="O19"/>
  <c r="Q19"/>
  <c r="C20"/>
  <c r="P20"/>
  <c r="N20"/>
  <c r="R20"/>
  <c r="U20"/>
  <c r="O20"/>
  <c r="Q20"/>
  <c r="C21"/>
  <c r="V18"/>
  <c r="Y18"/>
  <c r="Z18"/>
  <c r="N21"/>
  <c r="P21"/>
  <c r="R21"/>
  <c r="U21"/>
  <c r="O21"/>
  <c r="C22"/>
  <c r="Q21"/>
  <c r="N22"/>
  <c r="P22"/>
  <c r="O22"/>
  <c r="R22"/>
  <c r="U22"/>
  <c r="C23"/>
  <c r="Q22"/>
  <c r="P23"/>
  <c r="N23"/>
  <c r="R23"/>
  <c r="U23"/>
  <c r="O23"/>
  <c r="Q23"/>
  <c r="C24"/>
  <c r="R24"/>
  <c r="P24"/>
  <c r="N24"/>
  <c r="O24"/>
  <c r="Q24"/>
  <c r="C25"/>
  <c r="P25"/>
  <c r="B19"/>
  <c r="N25"/>
  <c r="R25"/>
  <c r="O25"/>
  <c r="Q25"/>
  <c r="C26"/>
  <c r="P26"/>
  <c r="N26"/>
  <c r="R26"/>
  <c r="U26"/>
  <c r="O26"/>
  <c r="C27"/>
  <c r="T25"/>
  <c r="S25"/>
  <c r="Q26"/>
  <c r="N27"/>
  <c r="P27"/>
  <c r="R27"/>
  <c r="U27"/>
  <c r="O27"/>
  <c r="C28"/>
  <c r="V25"/>
  <c r="Y25"/>
  <c r="Z25"/>
  <c r="Q27"/>
  <c r="N28"/>
  <c r="P28"/>
  <c r="R28"/>
  <c r="U28"/>
  <c r="O28"/>
  <c r="Q28"/>
  <c r="C29"/>
  <c r="N29"/>
  <c r="P29"/>
  <c r="R29"/>
  <c r="U29"/>
  <c r="O29"/>
  <c r="Q29"/>
  <c r="C30"/>
  <c r="P30"/>
  <c r="R30"/>
  <c r="U30"/>
  <c r="N30"/>
  <c r="O30"/>
  <c r="Q30"/>
  <c r="C31"/>
  <c r="R31"/>
  <c r="P31"/>
  <c r="N31"/>
  <c r="O31"/>
  <c r="Q31"/>
  <c r="C32"/>
  <c r="N32"/>
  <c r="B26"/>
  <c r="P32"/>
  <c r="R32"/>
  <c r="C33"/>
  <c r="O32"/>
  <c r="Q32"/>
  <c r="S32"/>
  <c r="T32"/>
  <c r="P33"/>
  <c r="N33"/>
  <c r="O33"/>
  <c r="Q33"/>
  <c r="R33"/>
  <c r="U33"/>
  <c r="C34"/>
  <c r="V32"/>
  <c r="Y32"/>
  <c r="Z32"/>
  <c r="P34"/>
  <c r="N34"/>
  <c r="R34"/>
  <c r="U34"/>
  <c r="O34"/>
  <c r="Q34"/>
  <c r="C35"/>
  <c r="P35"/>
  <c r="N35"/>
  <c r="O35"/>
  <c r="Q35"/>
  <c r="R35"/>
  <c r="U35"/>
  <c r="C36"/>
  <c r="P36"/>
  <c r="N36"/>
  <c r="R36"/>
  <c r="U36"/>
  <c r="O36"/>
  <c r="Q36"/>
  <c r="C37"/>
  <c r="P37"/>
  <c r="N37"/>
  <c r="O37"/>
  <c r="Q37"/>
  <c r="R37"/>
  <c r="U37"/>
  <c r="C38"/>
  <c r="R38"/>
  <c r="N38"/>
  <c r="P38"/>
  <c r="O38"/>
  <c r="Q38"/>
  <c r="C39"/>
  <c r="P39"/>
  <c r="N39"/>
  <c r="B33"/>
  <c r="R39"/>
  <c r="O39"/>
  <c r="Q39"/>
  <c r="C40"/>
  <c r="O40"/>
  <c r="Q40"/>
  <c r="P40"/>
  <c r="N40"/>
  <c r="R40"/>
  <c r="U40"/>
  <c r="C41"/>
  <c r="S39"/>
  <c r="T39"/>
  <c r="V39"/>
  <c r="Y39"/>
  <c r="Z39"/>
  <c r="N41"/>
  <c r="P41"/>
  <c r="O41"/>
  <c r="Q41"/>
  <c r="R41"/>
  <c r="U41"/>
  <c r="C42"/>
  <c r="N42"/>
  <c r="P42"/>
  <c r="R42"/>
  <c r="U42"/>
  <c r="O42"/>
  <c r="C43"/>
  <c r="Q42"/>
  <c r="P43"/>
  <c r="N43"/>
  <c r="O43"/>
  <c r="R43"/>
  <c r="U43"/>
  <c r="C44"/>
  <c r="N44"/>
  <c r="P44"/>
  <c r="O44"/>
  <c r="R44"/>
  <c r="U44"/>
  <c r="C45"/>
  <c r="Q43"/>
  <c r="Q44"/>
  <c r="R45"/>
  <c r="N45"/>
  <c r="P45"/>
  <c r="O45"/>
  <c r="Q45"/>
  <c r="C46"/>
  <c r="P46"/>
  <c r="N46"/>
  <c r="B40"/>
  <c r="R46"/>
  <c r="O46"/>
  <c r="Q46"/>
  <c r="C47"/>
  <c r="P47"/>
  <c r="N47"/>
  <c r="R47"/>
  <c r="U47"/>
  <c r="O47"/>
  <c r="C48"/>
  <c r="S46"/>
  <c r="T46"/>
  <c r="Q47"/>
  <c r="V46"/>
  <c r="Y46"/>
  <c r="Z46"/>
  <c r="P48"/>
  <c r="N48"/>
  <c r="O48"/>
  <c r="Q48"/>
  <c r="R48"/>
  <c r="U48"/>
  <c r="C49"/>
  <c r="N49"/>
  <c r="P49"/>
  <c r="R49"/>
  <c r="U49"/>
  <c r="O49"/>
  <c r="Q49"/>
  <c r="C50"/>
  <c r="N50"/>
  <c r="P50"/>
  <c r="O50"/>
  <c r="R50"/>
  <c r="U50"/>
  <c r="C51"/>
  <c r="Q50"/>
  <c r="P51"/>
  <c r="N51"/>
  <c r="R51"/>
  <c r="U51"/>
  <c r="O51"/>
  <c r="Q51"/>
  <c r="C52"/>
  <c r="N52"/>
  <c r="R52"/>
  <c r="P52"/>
  <c r="O52"/>
  <c r="Q52"/>
  <c r="C53"/>
  <c r="N53"/>
  <c r="B47"/>
  <c r="P53"/>
  <c r="R53"/>
  <c r="O53"/>
  <c r="Q53"/>
  <c r="C54"/>
  <c r="O54"/>
  <c r="Q54"/>
  <c r="P54"/>
  <c r="R54"/>
  <c r="U54"/>
  <c r="N54"/>
  <c r="C55"/>
  <c r="T53"/>
  <c r="S53"/>
  <c r="N55"/>
  <c r="P55"/>
  <c r="O55"/>
  <c r="R55"/>
  <c r="U55"/>
  <c r="C56"/>
  <c r="V53"/>
  <c r="Y53"/>
  <c r="Z53"/>
  <c r="Q55"/>
  <c r="P56"/>
  <c r="N56"/>
  <c r="O56"/>
  <c r="Q56"/>
  <c r="R56"/>
  <c r="U56"/>
  <c r="C57"/>
  <c r="P57"/>
  <c r="N57"/>
  <c r="O57"/>
  <c r="Q57"/>
  <c r="R57"/>
  <c r="U57"/>
  <c r="C58"/>
  <c r="P58"/>
  <c r="N58"/>
  <c r="O58"/>
  <c r="Q58"/>
  <c r="R58"/>
  <c r="U58"/>
  <c r="C59"/>
  <c r="R59"/>
  <c r="N59"/>
  <c r="P59"/>
  <c r="O59"/>
  <c r="Q59"/>
  <c r="C60"/>
  <c r="P60"/>
  <c r="N60"/>
  <c r="B54"/>
  <c r="R60"/>
  <c r="O60"/>
  <c r="Q60"/>
  <c r="C61"/>
  <c r="P61"/>
  <c r="R61"/>
  <c r="U61"/>
  <c r="N61"/>
  <c r="O61"/>
  <c r="Q61"/>
  <c r="C62"/>
  <c r="S60"/>
  <c r="T60"/>
  <c r="N62"/>
  <c r="P62"/>
  <c r="O62"/>
  <c r="R62"/>
  <c r="U62"/>
  <c r="C63"/>
  <c r="V60"/>
  <c r="Y60"/>
  <c r="Z60"/>
  <c r="Q62"/>
  <c r="N63"/>
  <c r="P63"/>
  <c r="O63"/>
  <c r="Q63"/>
  <c r="R63"/>
  <c r="U63"/>
  <c r="C64"/>
  <c r="P64"/>
  <c r="N64"/>
  <c r="R64"/>
  <c r="U64"/>
  <c r="O64"/>
  <c r="Q64"/>
  <c r="C65"/>
  <c r="P65"/>
  <c r="N65"/>
  <c r="O65"/>
  <c r="Q65"/>
  <c r="R65"/>
  <c r="U65"/>
  <c r="C66"/>
  <c r="P66"/>
  <c r="R66"/>
  <c r="N66"/>
  <c r="O66"/>
  <c r="Q66"/>
  <c r="C67"/>
  <c r="B61"/>
  <c r="N67"/>
  <c r="P67"/>
  <c r="R67"/>
  <c r="O67"/>
  <c r="Q67"/>
  <c r="C68"/>
  <c r="N68"/>
  <c r="P68"/>
  <c r="R68"/>
  <c r="U68"/>
  <c r="O68"/>
  <c r="C69"/>
  <c r="S67"/>
  <c r="T67"/>
  <c r="Q68"/>
  <c r="P69"/>
  <c r="N69"/>
  <c r="O69"/>
  <c r="Q69"/>
  <c r="R69"/>
  <c r="U69"/>
  <c r="C70"/>
  <c r="V67"/>
  <c r="Y67"/>
  <c r="Z67"/>
  <c r="P70"/>
  <c r="N70"/>
  <c r="R70"/>
  <c r="U70"/>
  <c r="O70"/>
  <c r="Q70"/>
  <c r="C71"/>
  <c r="P71"/>
  <c r="N71"/>
  <c r="R71"/>
  <c r="U71"/>
  <c r="O71"/>
  <c r="Q71"/>
  <c r="C72"/>
  <c r="N72"/>
  <c r="P72"/>
  <c r="O72"/>
  <c r="R72"/>
  <c r="U72"/>
  <c r="C73"/>
  <c r="Q72"/>
  <c r="P73"/>
  <c r="R73"/>
  <c r="N73"/>
  <c r="O73"/>
  <c r="Q73"/>
  <c r="C74"/>
  <c r="P74"/>
  <c r="N74"/>
  <c r="B68"/>
  <c r="R74"/>
  <c r="O74"/>
  <c r="Q74"/>
  <c r="C75"/>
  <c r="P75"/>
  <c r="N75"/>
  <c r="O75"/>
  <c r="Q75"/>
  <c r="R75"/>
  <c r="U75"/>
  <c r="C76"/>
  <c r="T74"/>
  <c r="S74"/>
  <c r="V74"/>
  <c r="Y74"/>
  <c r="Z74"/>
  <c r="P76"/>
  <c r="R76"/>
  <c r="U76"/>
  <c r="N76"/>
  <c r="O76"/>
  <c r="Q76"/>
  <c r="C77"/>
  <c r="P77"/>
  <c r="N77"/>
  <c r="O77"/>
  <c r="Q77"/>
  <c r="R77"/>
  <c r="U77"/>
  <c r="C78"/>
  <c r="N78"/>
  <c r="P78"/>
  <c r="R78"/>
  <c r="U78"/>
  <c r="O78"/>
  <c r="C79"/>
  <c r="Q78"/>
  <c r="N79"/>
  <c r="P79"/>
  <c r="O79"/>
  <c r="Q79"/>
  <c r="R79"/>
  <c r="U79"/>
  <c r="C80"/>
  <c r="N80"/>
  <c r="P80"/>
  <c r="R80"/>
  <c r="O80"/>
  <c r="Q80"/>
  <c r="C81"/>
  <c r="P81"/>
  <c r="N81"/>
  <c r="B75"/>
  <c r="O81"/>
  <c r="Q81"/>
  <c r="R81"/>
  <c r="C82"/>
  <c r="R82"/>
  <c r="U82"/>
  <c r="N82"/>
  <c r="P82"/>
  <c r="O82"/>
  <c r="C83"/>
  <c r="T81"/>
  <c r="S81"/>
  <c r="Q82"/>
  <c r="P83"/>
  <c r="N83"/>
  <c r="R83"/>
  <c r="U83"/>
  <c r="O83"/>
  <c r="Q83"/>
  <c r="C84"/>
  <c r="V81"/>
  <c r="Y81"/>
  <c r="Z81"/>
  <c r="N84"/>
  <c r="P84"/>
  <c r="O84"/>
  <c r="R84"/>
  <c r="U84"/>
  <c r="C85"/>
  <c r="Q84"/>
  <c r="N85"/>
  <c r="P85"/>
  <c r="R85"/>
  <c r="U85"/>
  <c r="O85"/>
  <c r="Q85"/>
  <c r="C86"/>
  <c r="P86"/>
  <c r="N86"/>
  <c r="O86"/>
  <c r="Q86"/>
  <c r="R86"/>
  <c r="U86"/>
  <c r="C87"/>
  <c r="N87"/>
  <c r="R87"/>
  <c r="P87"/>
  <c r="O87"/>
  <c r="Q87"/>
  <c r="C88"/>
  <c r="B82"/>
  <c r="N88"/>
  <c r="P88"/>
  <c r="R88"/>
  <c r="O88"/>
  <c r="C89"/>
  <c r="Q88"/>
  <c r="N89"/>
  <c r="P89"/>
  <c r="R89"/>
  <c r="U89"/>
  <c r="O89"/>
  <c r="C90"/>
  <c r="T88"/>
  <c r="S88"/>
  <c r="Q89"/>
  <c r="V88"/>
  <c r="Y88"/>
  <c r="Z88"/>
  <c r="P90"/>
  <c r="N90"/>
  <c r="O90"/>
  <c r="Q90"/>
  <c r="R90"/>
  <c r="U90"/>
  <c r="C91"/>
  <c r="P91"/>
  <c r="N91"/>
  <c r="R91"/>
  <c r="U91"/>
  <c r="C92"/>
  <c r="O91"/>
  <c r="Q91"/>
  <c r="P92"/>
  <c r="N92"/>
  <c r="O92"/>
  <c r="Q92"/>
  <c r="R92"/>
  <c r="U92"/>
  <c r="C93"/>
  <c r="P93"/>
  <c r="N93"/>
  <c r="R93"/>
  <c r="U93"/>
  <c r="C94"/>
  <c r="O93"/>
  <c r="Q93"/>
  <c r="P94"/>
  <c r="R94"/>
  <c r="N94"/>
  <c r="O94"/>
  <c r="Q94"/>
  <c r="C95"/>
  <c r="N95"/>
  <c r="P95"/>
  <c r="B89"/>
  <c r="R95"/>
  <c r="O95"/>
  <c r="Q95"/>
  <c r="C96"/>
  <c r="N96"/>
  <c r="P96"/>
  <c r="O96"/>
  <c r="R96"/>
  <c r="U96"/>
  <c r="C97"/>
  <c r="S95"/>
  <c r="T95"/>
  <c r="Q96"/>
  <c r="P97"/>
  <c r="N97"/>
  <c r="R97"/>
  <c r="U97"/>
  <c r="O97"/>
  <c r="Q97"/>
  <c r="C98"/>
  <c r="V95"/>
  <c r="Y95"/>
  <c r="Z95"/>
  <c r="N98"/>
  <c r="P98"/>
  <c r="O98"/>
  <c r="R98"/>
  <c r="U98"/>
  <c r="C99"/>
  <c r="Q98"/>
  <c r="P99"/>
  <c r="N99"/>
  <c r="R99"/>
  <c r="U99"/>
  <c r="O99"/>
  <c r="Q99"/>
  <c r="C100"/>
  <c r="N100"/>
  <c r="P100"/>
  <c r="R100"/>
  <c r="U100"/>
  <c r="O100"/>
  <c r="Q100"/>
  <c r="C101"/>
  <c r="N101"/>
  <c r="R101"/>
  <c r="P101"/>
  <c r="O101"/>
  <c r="Q101"/>
  <c r="C102"/>
  <c r="N102"/>
  <c r="P102"/>
  <c r="R102"/>
  <c r="B96"/>
  <c r="O102"/>
  <c r="Q102"/>
  <c r="C103"/>
  <c r="P103"/>
  <c r="R103"/>
  <c r="U103"/>
  <c r="N103"/>
  <c r="O103"/>
  <c r="C104"/>
  <c r="S102"/>
  <c r="T102"/>
  <c r="Q103"/>
  <c r="V102"/>
  <c r="Y102"/>
  <c r="Z102"/>
  <c r="P104"/>
  <c r="N104"/>
  <c r="O104"/>
  <c r="R104"/>
  <c r="U104"/>
  <c r="C105"/>
  <c r="Q104"/>
  <c r="P105"/>
  <c r="N105"/>
  <c r="R105"/>
  <c r="U105"/>
  <c r="O105"/>
  <c r="Q105"/>
  <c r="C106"/>
  <c r="P106"/>
  <c r="N106"/>
  <c r="O106"/>
  <c r="Q106"/>
  <c r="R106"/>
  <c r="U106"/>
  <c r="C107"/>
  <c r="P107"/>
  <c r="N107"/>
  <c r="R107"/>
  <c r="U107"/>
  <c r="O107"/>
  <c r="Q107"/>
  <c r="C108"/>
  <c r="R108"/>
  <c r="P108"/>
  <c r="N108"/>
  <c r="O108"/>
  <c r="Q108"/>
  <c r="C109"/>
  <c r="N109"/>
  <c r="B103"/>
  <c r="P109"/>
  <c r="R109"/>
  <c r="O109"/>
  <c r="Q109"/>
  <c r="C110"/>
  <c r="P110"/>
  <c r="N110"/>
  <c r="R110"/>
  <c r="U110"/>
  <c r="O110"/>
  <c r="Q110"/>
  <c r="C111"/>
  <c r="S109"/>
  <c r="T109"/>
  <c r="V109"/>
  <c r="Y109"/>
  <c r="Z109"/>
  <c r="N111"/>
  <c r="P111"/>
  <c r="O111"/>
  <c r="R111"/>
  <c r="U111"/>
  <c r="C112"/>
  <c r="Q111"/>
  <c r="N112"/>
  <c r="P112"/>
  <c r="O112"/>
  <c r="R112"/>
  <c r="U112"/>
  <c r="C113"/>
  <c r="Q112"/>
  <c r="P113"/>
  <c r="N113"/>
  <c r="R113"/>
  <c r="U113"/>
  <c r="O113"/>
  <c r="C114"/>
  <c r="Q113"/>
  <c r="P114"/>
  <c r="N114"/>
  <c r="R114"/>
  <c r="U114"/>
  <c r="O114"/>
  <c r="C115"/>
  <c r="Q114"/>
  <c r="R115"/>
  <c r="P115"/>
  <c r="N115"/>
  <c r="O115"/>
  <c r="C116"/>
  <c r="Q115"/>
  <c r="N116"/>
  <c r="P116"/>
  <c r="B110"/>
  <c r="R116"/>
  <c r="O116"/>
  <c r="Q116"/>
  <c r="C117"/>
  <c r="P117"/>
  <c r="N117"/>
  <c r="O117"/>
  <c r="Q117"/>
  <c r="R117"/>
  <c r="U117"/>
  <c r="C118"/>
  <c r="T116"/>
  <c r="S116"/>
  <c r="P118"/>
  <c r="N118"/>
  <c r="O118"/>
  <c r="R118"/>
  <c r="U118"/>
  <c r="C119"/>
  <c r="V116"/>
  <c r="Y116"/>
  <c r="Z116"/>
  <c r="Q118"/>
  <c r="N119"/>
  <c r="P119"/>
  <c r="O119"/>
  <c r="R119"/>
  <c r="U119"/>
  <c r="C120"/>
  <c r="Q119"/>
  <c r="N120"/>
  <c r="P120"/>
  <c r="O120"/>
  <c r="R120"/>
  <c r="U120"/>
  <c r="C121"/>
  <c r="Q120"/>
  <c r="P121"/>
  <c r="N121"/>
  <c r="R121"/>
  <c r="U121"/>
  <c r="O121"/>
  <c r="Q121"/>
  <c r="C122"/>
  <c r="R122"/>
  <c r="N122"/>
  <c r="P122"/>
  <c r="O122"/>
  <c r="Q122"/>
  <c r="C123"/>
  <c r="N123"/>
  <c r="P123"/>
  <c r="B117"/>
  <c r="R123"/>
  <c r="O123"/>
  <c r="C124"/>
  <c r="Q123"/>
  <c r="N124"/>
  <c r="P124"/>
  <c r="O124"/>
  <c r="R124"/>
  <c r="U124"/>
  <c r="C125"/>
  <c r="T123"/>
  <c r="S123"/>
  <c r="Q124"/>
  <c r="P125"/>
  <c r="N125"/>
  <c r="O125"/>
  <c r="R125"/>
  <c r="U125"/>
  <c r="C126"/>
  <c r="V123"/>
  <c r="Y123"/>
  <c r="Z123"/>
  <c r="Q125"/>
  <c r="N126"/>
  <c r="P126"/>
  <c r="O126"/>
  <c r="R126"/>
  <c r="U126"/>
  <c r="C127"/>
  <c r="Q126"/>
  <c r="P127"/>
  <c r="N127"/>
  <c r="O127"/>
  <c r="Q127"/>
  <c r="R127"/>
  <c r="U127"/>
  <c r="C128"/>
  <c r="N128"/>
  <c r="P128"/>
  <c r="R128"/>
  <c r="U128"/>
  <c r="O128"/>
  <c r="C129"/>
  <c r="Q128"/>
  <c r="R129"/>
  <c r="P129"/>
  <c r="N129"/>
  <c r="C130"/>
  <c r="O129"/>
  <c r="Q129"/>
  <c r="R130"/>
  <c r="P130"/>
  <c r="N130"/>
  <c r="B124"/>
  <c r="O130"/>
  <c r="C131"/>
  <c r="Q130"/>
  <c r="T130"/>
  <c r="S130"/>
  <c r="P131"/>
  <c r="N131"/>
  <c r="O131"/>
  <c r="Q131"/>
  <c r="R131"/>
  <c r="U131"/>
  <c r="C132"/>
  <c r="V130"/>
  <c r="Y130"/>
  <c r="Z130"/>
  <c r="P132"/>
  <c r="N132"/>
  <c r="R132"/>
  <c r="U132"/>
  <c r="O132"/>
  <c r="C133"/>
  <c r="Q132"/>
  <c r="N133"/>
  <c r="P133"/>
  <c r="O133"/>
  <c r="R133"/>
  <c r="U133"/>
  <c r="C134"/>
  <c r="Q133"/>
  <c r="N134"/>
  <c r="P134"/>
  <c r="R134"/>
  <c r="U134"/>
  <c r="O134"/>
  <c r="C135"/>
  <c r="Q134"/>
  <c r="N135"/>
  <c r="P135"/>
  <c r="O135"/>
  <c r="R135"/>
  <c r="U135"/>
  <c r="C136"/>
  <c r="Q135"/>
  <c r="R136"/>
  <c r="N136"/>
  <c r="P136"/>
  <c r="O136"/>
  <c r="C137"/>
  <c r="Q136"/>
  <c r="N137"/>
  <c r="P137"/>
  <c r="B131"/>
  <c r="R137"/>
  <c r="O137"/>
  <c r="C138"/>
  <c r="Q137"/>
  <c r="P138"/>
  <c r="N138"/>
  <c r="O138"/>
  <c r="R138"/>
  <c r="U138"/>
  <c r="C139"/>
  <c r="T137"/>
  <c r="S137"/>
  <c r="Q138"/>
  <c r="V137"/>
  <c r="Y137"/>
  <c r="Z137"/>
  <c r="N139"/>
  <c r="P139"/>
  <c r="R139"/>
  <c r="U139"/>
  <c r="C140"/>
  <c r="O139"/>
  <c r="Q139"/>
  <c r="P140"/>
  <c r="N140"/>
  <c r="R140"/>
  <c r="U140"/>
  <c r="O140"/>
  <c r="C141"/>
  <c r="Q140"/>
  <c r="N141"/>
  <c r="P141"/>
  <c r="R141"/>
  <c r="U141"/>
  <c r="O141"/>
  <c r="Q141"/>
  <c r="C142"/>
  <c r="P142"/>
  <c r="N142"/>
  <c r="O142"/>
  <c r="Q142"/>
  <c r="R142"/>
  <c r="U142"/>
  <c r="C143"/>
  <c r="N143"/>
  <c r="R143"/>
  <c r="P143"/>
  <c r="O143"/>
  <c r="Q143"/>
  <c r="C144"/>
  <c r="B138"/>
  <c r="P144"/>
  <c r="N144"/>
  <c r="R144"/>
  <c r="O144"/>
  <c r="Q144"/>
  <c r="C145"/>
  <c r="N145"/>
  <c r="P145"/>
  <c r="O145"/>
  <c r="R145"/>
  <c r="U145"/>
  <c r="C146"/>
  <c r="S144"/>
  <c r="T144"/>
  <c r="Q145"/>
  <c r="P146"/>
  <c r="N146"/>
  <c r="O146"/>
  <c r="R146"/>
  <c r="U146"/>
  <c r="C147"/>
  <c r="V144"/>
  <c r="Y144"/>
  <c r="Z144"/>
  <c r="Q146"/>
  <c r="P147"/>
  <c r="N147"/>
  <c r="R147"/>
  <c r="U147"/>
  <c r="O147"/>
  <c r="C148"/>
  <c r="Q147"/>
  <c r="N148"/>
  <c r="P148"/>
  <c r="R148"/>
  <c r="U148"/>
  <c r="O148"/>
  <c r="Q148"/>
  <c r="C149"/>
  <c r="P149"/>
  <c r="N149"/>
  <c r="R149"/>
  <c r="U149"/>
  <c r="O149"/>
  <c r="Q149"/>
  <c r="C150"/>
  <c r="P150"/>
  <c r="R150"/>
  <c r="N150"/>
  <c r="O150"/>
  <c r="Q150"/>
  <c r="C151"/>
  <c r="B145"/>
  <c r="P151"/>
  <c r="N151"/>
  <c r="R151"/>
  <c r="O151"/>
  <c r="Q151"/>
  <c r="C152"/>
  <c r="N152"/>
  <c r="P152"/>
  <c r="R152"/>
  <c r="U152"/>
  <c r="O152"/>
  <c r="C153"/>
  <c r="S151"/>
  <c r="T151"/>
  <c r="Q152"/>
  <c r="P153"/>
  <c r="N153"/>
  <c r="O153"/>
  <c r="C154"/>
  <c r="R153"/>
  <c r="U153"/>
  <c r="V151"/>
  <c r="Y151"/>
  <c r="Z151"/>
  <c r="Q153"/>
  <c r="P154"/>
  <c r="N154"/>
  <c r="O154"/>
  <c r="Q154"/>
  <c r="R154"/>
  <c r="U154"/>
  <c r="C155"/>
  <c r="P155"/>
  <c r="N155"/>
  <c r="R155"/>
  <c r="U155"/>
  <c r="O155"/>
  <c r="Q155"/>
  <c r="C156"/>
  <c r="P156"/>
  <c r="N156"/>
  <c r="R156"/>
  <c r="U156"/>
  <c r="O156"/>
  <c r="Q156"/>
  <c r="C157"/>
  <c r="R157"/>
  <c r="N157"/>
  <c r="P157"/>
  <c r="C158"/>
  <c r="O157"/>
  <c r="Q157"/>
  <c r="B152"/>
  <c r="N158"/>
  <c r="P158"/>
  <c r="R158"/>
  <c r="O158"/>
  <c r="Q158"/>
  <c r="C159"/>
  <c r="P159"/>
  <c r="N159"/>
  <c r="O159"/>
  <c r="Q159"/>
  <c r="R159"/>
  <c r="U159"/>
  <c r="C160"/>
  <c r="S158"/>
  <c r="T158"/>
  <c r="V158"/>
  <c r="Y158"/>
  <c r="Z158"/>
  <c r="N160"/>
  <c r="P160"/>
  <c r="O160"/>
  <c r="R160"/>
  <c r="U160"/>
  <c r="C161"/>
  <c r="Q160"/>
  <c r="P161"/>
  <c r="N161"/>
  <c r="O161"/>
  <c r="R161"/>
  <c r="U161"/>
  <c r="C162"/>
  <c r="Q161"/>
  <c r="P162"/>
  <c r="N162"/>
  <c r="R162"/>
  <c r="U162"/>
  <c r="O162"/>
  <c r="Q162"/>
  <c r="C163"/>
  <c r="N163"/>
  <c r="P163"/>
  <c r="R163"/>
  <c r="U163"/>
  <c r="O163"/>
  <c r="C164"/>
  <c r="Q163"/>
  <c r="R164"/>
  <c r="P164"/>
  <c r="N164"/>
  <c r="O164"/>
  <c r="Q164"/>
  <c r="C165"/>
  <c r="N165"/>
  <c r="P165"/>
  <c r="B159"/>
  <c r="R165"/>
  <c r="O165"/>
  <c r="C166"/>
  <c r="Q165"/>
  <c r="N166"/>
  <c r="O166"/>
  <c r="P166"/>
  <c r="R166"/>
  <c r="U166"/>
  <c r="C167"/>
  <c r="T165"/>
  <c r="S165"/>
  <c r="P167"/>
  <c r="N167"/>
  <c r="O167"/>
  <c r="Q167"/>
  <c r="R167"/>
  <c r="U167"/>
  <c r="C168"/>
  <c r="V165"/>
  <c r="Y165"/>
  <c r="Z165"/>
  <c r="Q166"/>
  <c r="N168"/>
  <c r="P168"/>
  <c r="R168"/>
  <c r="U168"/>
  <c r="O168"/>
  <c r="C169"/>
  <c r="Q168"/>
  <c r="P169"/>
  <c r="N169"/>
  <c r="R169"/>
  <c r="U169"/>
  <c r="C170"/>
  <c r="O169"/>
  <c r="Q169"/>
  <c r="N170"/>
  <c r="P170"/>
  <c r="R170"/>
  <c r="U170"/>
  <c r="O170"/>
  <c r="Q170"/>
  <c r="C171"/>
  <c r="N171"/>
  <c r="R171"/>
  <c r="P171"/>
  <c r="O171"/>
  <c r="Q171"/>
  <c r="C172"/>
  <c r="N172"/>
  <c r="P172"/>
  <c r="B166"/>
  <c r="O172"/>
  <c r="R172"/>
  <c r="C173"/>
  <c r="Q172"/>
  <c r="N173"/>
  <c r="P173"/>
  <c r="O173"/>
  <c r="R173"/>
  <c r="U173"/>
  <c r="C174"/>
  <c r="S172"/>
  <c r="T172"/>
  <c r="Q173"/>
  <c r="P174"/>
  <c r="N174"/>
  <c r="O174"/>
  <c r="R174"/>
  <c r="U174"/>
  <c r="C175"/>
  <c r="V172"/>
  <c r="Y172"/>
  <c r="Z172"/>
  <c r="Q174"/>
  <c r="N175"/>
  <c r="P175"/>
  <c r="R175"/>
  <c r="U175"/>
  <c r="O175"/>
  <c r="C176"/>
  <c r="Q175"/>
  <c r="P176"/>
  <c r="N176"/>
  <c r="O176"/>
  <c r="Q176"/>
  <c r="R176"/>
  <c r="U176"/>
  <c r="C177"/>
  <c r="N177"/>
  <c r="P177"/>
  <c r="R177"/>
  <c r="U177"/>
  <c r="O177"/>
  <c r="C178"/>
  <c r="Q177"/>
  <c r="N178"/>
  <c r="R178"/>
  <c r="P178"/>
  <c r="O178"/>
  <c r="Q178"/>
  <c r="C179"/>
  <c r="P179"/>
  <c r="B173"/>
  <c r="N179"/>
  <c r="O179"/>
  <c r="Q179"/>
  <c r="R179"/>
  <c r="C180"/>
  <c r="S179"/>
  <c r="T179"/>
  <c r="P180"/>
  <c r="N180"/>
  <c r="O180"/>
  <c r="Q180"/>
  <c r="R180"/>
  <c r="U180"/>
  <c r="C181"/>
  <c r="V179"/>
  <c r="Y179"/>
  <c r="Z179"/>
  <c r="N181"/>
  <c r="P181"/>
  <c r="R181"/>
  <c r="U181"/>
  <c r="O181"/>
  <c r="C182"/>
  <c r="Q181"/>
  <c r="P182"/>
  <c r="N182"/>
  <c r="R182"/>
  <c r="U182"/>
  <c r="O182"/>
  <c r="Q182"/>
  <c r="C183"/>
  <c r="N183"/>
  <c r="P183"/>
  <c r="O183"/>
  <c r="Q183"/>
  <c r="R183"/>
  <c r="U183"/>
  <c r="C184"/>
  <c r="P184"/>
  <c r="N184"/>
  <c r="O184"/>
  <c r="Q184"/>
  <c r="R184"/>
  <c r="U184"/>
  <c r="C185"/>
  <c r="R185"/>
  <c r="P185"/>
  <c r="N185"/>
  <c r="O185"/>
  <c r="Q185"/>
  <c r="C186"/>
  <c r="B180"/>
  <c r="P186"/>
  <c r="N186"/>
  <c r="R186"/>
  <c r="C187"/>
  <c r="O186"/>
  <c r="Q186"/>
  <c r="P187"/>
  <c r="O187"/>
  <c r="N187"/>
  <c r="R187"/>
  <c r="U187"/>
  <c r="C188"/>
  <c r="T186"/>
  <c r="S186"/>
  <c r="Q187"/>
  <c r="N188"/>
  <c r="P188"/>
  <c r="R188"/>
  <c r="U188"/>
  <c r="O188"/>
  <c r="Q188"/>
  <c r="C189"/>
  <c r="V186"/>
  <c r="Y186"/>
  <c r="Z186"/>
  <c r="N189"/>
  <c r="P189"/>
  <c r="O189"/>
  <c r="Q189"/>
  <c r="R189"/>
  <c r="U189"/>
  <c r="C190"/>
  <c r="N190"/>
  <c r="P190"/>
  <c r="O190"/>
  <c r="Q190"/>
  <c r="R190"/>
  <c r="U190"/>
  <c r="C191"/>
  <c r="P191"/>
  <c r="N191"/>
  <c r="O191"/>
  <c r="Q191"/>
  <c r="R191"/>
  <c r="U191"/>
  <c r="C192"/>
  <c r="R192"/>
  <c r="P192"/>
  <c r="N192"/>
  <c r="O192"/>
  <c r="Q192"/>
  <c r="C193"/>
  <c r="P193"/>
  <c r="N193"/>
  <c r="B187"/>
  <c r="O193"/>
  <c r="Q193"/>
  <c r="R193"/>
  <c r="C194"/>
  <c r="S193"/>
  <c r="T193"/>
  <c r="O194"/>
  <c r="Q194"/>
  <c r="R194"/>
  <c r="U194"/>
  <c r="N194"/>
  <c r="P194"/>
  <c r="C195"/>
  <c r="P195"/>
  <c r="N195"/>
  <c r="O195"/>
  <c r="Q195"/>
  <c r="R195"/>
  <c r="U195"/>
  <c r="C196"/>
  <c r="V193"/>
  <c r="Y193"/>
  <c r="Z193"/>
  <c r="P196"/>
  <c r="N196"/>
  <c r="R196"/>
  <c r="U196"/>
  <c r="O196"/>
  <c r="Q196"/>
  <c r="C197"/>
  <c r="P197"/>
  <c r="N197"/>
  <c r="O197"/>
  <c r="Q197"/>
  <c r="R197"/>
  <c r="U197"/>
  <c r="C198"/>
  <c r="N198"/>
  <c r="P198"/>
  <c r="O198"/>
  <c r="R198"/>
  <c r="U198"/>
  <c r="C199"/>
  <c r="Q198"/>
  <c r="N199"/>
  <c r="R199"/>
  <c r="P199"/>
  <c r="O199"/>
  <c r="Q199"/>
  <c r="C200"/>
  <c r="P200"/>
  <c r="N200"/>
  <c r="R200"/>
  <c r="B194"/>
  <c r="O200"/>
  <c r="Q200"/>
  <c r="C201"/>
  <c r="P201"/>
  <c r="N201"/>
  <c r="R201"/>
  <c r="U201"/>
  <c r="O201"/>
  <c r="Q201"/>
  <c r="C202"/>
  <c r="T200"/>
  <c r="S200"/>
  <c r="N202"/>
  <c r="P202"/>
  <c r="R202"/>
  <c r="U202"/>
  <c r="O202"/>
  <c r="Q202"/>
  <c r="C203"/>
  <c r="V200"/>
  <c r="Y200"/>
  <c r="Z200"/>
  <c r="N203"/>
  <c r="P203"/>
  <c r="O203"/>
  <c r="Q203"/>
  <c r="R203"/>
  <c r="U203"/>
  <c r="C204"/>
  <c r="N204"/>
  <c r="P204"/>
  <c r="R204"/>
  <c r="U204"/>
  <c r="O204"/>
  <c r="Q204"/>
  <c r="C205"/>
  <c r="P205"/>
  <c r="N205"/>
  <c r="R205"/>
  <c r="U205"/>
  <c r="O205"/>
  <c r="Q205"/>
  <c r="C206"/>
  <c r="R206"/>
  <c r="P206"/>
  <c r="N206"/>
  <c r="O206"/>
  <c r="Q206"/>
  <c r="C207"/>
  <c r="B201"/>
  <c r="P207"/>
  <c r="N207"/>
  <c r="R207"/>
  <c r="O207"/>
  <c r="Q207"/>
  <c r="C208"/>
  <c r="N208"/>
  <c r="P208"/>
  <c r="O208"/>
  <c r="Q208"/>
  <c r="R208"/>
  <c r="U208"/>
  <c r="C209"/>
  <c r="T207"/>
  <c r="S207"/>
  <c r="N209"/>
  <c r="P209"/>
  <c r="O209"/>
  <c r="R209"/>
  <c r="U209"/>
  <c r="C210"/>
  <c r="V207"/>
  <c r="Y207"/>
  <c r="Z207"/>
  <c r="Q209"/>
  <c r="N210"/>
  <c r="P210"/>
  <c r="R210"/>
  <c r="U210"/>
  <c r="O210"/>
  <c r="Q210"/>
  <c r="C211"/>
  <c r="N211"/>
  <c r="P211"/>
  <c r="O211"/>
  <c r="R211"/>
  <c r="U211"/>
  <c r="C212"/>
  <c r="Q211"/>
  <c r="P212"/>
  <c r="N212"/>
  <c r="O212"/>
  <c r="Q212"/>
  <c r="R212"/>
  <c r="U212"/>
  <c r="C213"/>
  <c r="R213"/>
  <c r="P213"/>
  <c r="N213"/>
  <c r="O213"/>
  <c r="Q213"/>
  <c r="C214"/>
  <c r="B208"/>
  <c r="N214"/>
  <c r="P214"/>
  <c r="R214"/>
  <c r="O214"/>
  <c r="Q214"/>
  <c r="C215"/>
  <c r="N215"/>
  <c r="P215"/>
  <c r="R215"/>
  <c r="U215"/>
  <c r="C216"/>
  <c r="O215"/>
  <c r="Q215"/>
  <c r="S214"/>
  <c r="T214"/>
  <c r="N216"/>
  <c r="P216"/>
  <c r="R216"/>
  <c r="U216"/>
  <c r="O216"/>
  <c r="Q216"/>
  <c r="C217"/>
  <c r="V214"/>
  <c r="Y214"/>
  <c r="Z214"/>
  <c r="P217"/>
  <c r="N217"/>
  <c r="O217"/>
  <c r="Q217"/>
  <c r="R217"/>
  <c r="U217"/>
  <c r="C218"/>
  <c r="P218"/>
  <c r="N218"/>
  <c r="R218"/>
  <c r="U218"/>
  <c r="O218"/>
  <c r="Q218"/>
  <c r="C219"/>
  <c r="P219"/>
  <c r="N219"/>
  <c r="R219"/>
  <c r="U219"/>
  <c r="O219"/>
  <c r="Q219"/>
  <c r="C220"/>
  <c r="R220"/>
  <c r="P220"/>
  <c r="N220"/>
  <c r="O220"/>
  <c r="Q220"/>
  <c r="C221"/>
  <c r="P221"/>
  <c r="N221"/>
  <c r="B215"/>
  <c r="R221"/>
  <c r="C222"/>
  <c r="O221"/>
  <c r="Q221"/>
  <c r="N222"/>
  <c r="P222"/>
  <c r="R222"/>
  <c r="U222"/>
  <c r="O222"/>
  <c r="C223"/>
  <c r="T221"/>
  <c r="S221"/>
  <c r="Q222"/>
  <c r="V221"/>
  <c r="Y221"/>
  <c r="Z221"/>
  <c r="P223"/>
  <c r="N223"/>
  <c r="O223"/>
  <c r="R223"/>
  <c r="U223"/>
  <c r="C224"/>
  <c r="Q223"/>
  <c r="P224"/>
  <c r="N224"/>
  <c r="O224"/>
  <c r="Q224"/>
  <c r="R224"/>
  <c r="U224"/>
  <c r="C225"/>
  <c r="P225"/>
  <c r="N225"/>
  <c r="R225"/>
  <c r="U225"/>
  <c r="O225"/>
  <c r="Q225"/>
  <c r="C226"/>
  <c r="P226"/>
  <c r="N226"/>
  <c r="R226"/>
  <c r="U226"/>
  <c r="O226"/>
  <c r="Q226"/>
  <c r="C227"/>
  <c r="R227"/>
  <c r="P227"/>
  <c r="N227"/>
  <c r="O227"/>
  <c r="Q227"/>
  <c r="C228"/>
  <c r="P228"/>
  <c r="N228"/>
  <c r="B222"/>
  <c r="R228"/>
  <c r="C229"/>
  <c r="O228"/>
  <c r="Q228"/>
  <c r="S228"/>
  <c r="T228"/>
  <c r="N229"/>
  <c r="P229"/>
  <c r="R229"/>
  <c r="U229"/>
  <c r="O229"/>
  <c r="C230"/>
  <c r="Q229"/>
  <c r="P230"/>
  <c r="N230"/>
  <c r="O230"/>
  <c r="R230"/>
  <c r="U230"/>
  <c r="C231"/>
  <c r="V228"/>
  <c r="Y228"/>
  <c r="Z228"/>
  <c r="Q230"/>
  <c r="P231"/>
  <c r="N231"/>
  <c r="R231"/>
  <c r="U231"/>
  <c r="C232"/>
  <c r="O231"/>
  <c r="Q231"/>
  <c r="N232"/>
  <c r="P232"/>
  <c r="R232"/>
  <c r="U232"/>
  <c r="O232"/>
  <c r="C233"/>
  <c r="Q232"/>
  <c r="N233"/>
  <c r="P233"/>
  <c r="R233"/>
  <c r="U233"/>
  <c r="C234"/>
  <c r="O233"/>
  <c r="Q233"/>
  <c r="N234"/>
  <c r="P234"/>
  <c r="R234"/>
  <c r="O234"/>
  <c r="Q234"/>
  <c r="C235"/>
  <c r="P235"/>
  <c r="B229"/>
  <c r="N235"/>
  <c r="R235"/>
  <c r="O235"/>
  <c r="Q235"/>
  <c r="C236"/>
  <c r="P236"/>
  <c r="N236"/>
  <c r="O236"/>
  <c r="Q236"/>
  <c r="R236"/>
  <c r="U236"/>
  <c r="C237"/>
  <c r="T235"/>
  <c r="S235"/>
  <c r="N237"/>
  <c r="P237"/>
  <c r="R237"/>
  <c r="U237"/>
  <c r="O237"/>
  <c r="Q237"/>
  <c r="C238"/>
  <c r="V235"/>
  <c r="Y235"/>
  <c r="Z235"/>
  <c r="N238"/>
  <c r="P238"/>
  <c r="O238"/>
  <c r="Q238"/>
  <c r="R238"/>
  <c r="U238"/>
  <c r="C239"/>
  <c r="N239"/>
  <c r="P239"/>
  <c r="R239"/>
  <c r="U239"/>
  <c r="O239"/>
  <c r="Q239"/>
  <c r="C240"/>
  <c r="P240"/>
  <c r="N240"/>
  <c r="R240"/>
  <c r="U240"/>
  <c r="O240"/>
  <c r="Q240"/>
  <c r="C241"/>
  <c r="N241"/>
  <c r="P241"/>
  <c r="R241"/>
  <c r="O241"/>
  <c r="Q241"/>
  <c r="C242"/>
  <c r="R242"/>
  <c r="B236"/>
  <c r="N242"/>
  <c r="P242"/>
  <c r="O242"/>
  <c r="Q242"/>
  <c r="C243"/>
  <c r="S242"/>
  <c r="T242"/>
  <c r="N243"/>
  <c r="P243"/>
  <c r="O243"/>
  <c r="R243"/>
  <c r="U243"/>
  <c r="C244"/>
  <c r="Q243"/>
  <c r="V242"/>
  <c r="Y242"/>
  <c r="Z242"/>
  <c r="P244"/>
  <c r="N244"/>
  <c r="O244"/>
  <c r="Q244"/>
  <c r="R244"/>
  <c r="U244"/>
  <c r="C245"/>
  <c r="N245"/>
  <c r="P245"/>
  <c r="R245"/>
  <c r="U245"/>
  <c r="O245"/>
  <c r="Q245"/>
  <c r="C246"/>
  <c r="N246"/>
  <c r="P246"/>
  <c r="O246"/>
  <c r="Q246"/>
  <c r="R246"/>
  <c r="U246"/>
  <c r="C247"/>
  <c r="N247"/>
  <c r="P247"/>
  <c r="O247"/>
  <c r="R247"/>
  <c r="U247"/>
  <c r="C248"/>
  <c r="Q247"/>
  <c r="N248"/>
  <c r="P248"/>
  <c r="R248"/>
  <c r="O248"/>
  <c r="C249"/>
  <c r="Q248"/>
  <c r="P249"/>
  <c r="B243"/>
  <c r="R249"/>
  <c r="N249"/>
  <c r="O249"/>
  <c r="Q249"/>
  <c r="C250"/>
  <c r="P250"/>
  <c r="N250"/>
  <c r="R250"/>
  <c r="U250"/>
  <c r="O250"/>
  <c r="C251"/>
  <c r="S249"/>
  <c r="T249"/>
  <c r="Q250"/>
  <c r="V249"/>
  <c r="Y249"/>
  <c r="Z249"/>
  <c r="P251"/>
  <c r="N251"/>
  <c r="O251"/>
  <c r="Q251"/>
  <c r="R251"/>
  <c r="U251"/>
  <c r="C252"/>
  <c r="P252"/>
  <c r="N252"/>
  <c r="R252"/>
  <c r="U252"/>
  <c r="O252"/>
  <c r="Q252"/>
  <c r="C253"/>
  <c r="N253"/>
  <c r="P253"/>
  <c r="R253"/>
  <c r="U253"/>
  <c r="O253"/>
  <c r="Q253"/>
  <c r="C254"/>
  <c r="N254"/>
  <c r="P254"/>
  <c r="O254"/>
  <c r="Q254"/>
  <c r="R254"/>
  <c r="U254"/>
  <c r="C255"/>
  <c r="N255"/>
  <c r="P255"/>
  <c r="R255"/>
  <c r="O255"/>
  <c r="Q255"/>
  <c r="C256"/>
  <c r="N256"/>
  <c r="P256"/>
  <c r="B250"/>
  <c r="R256"/>
  <c r="O256"/>
  <c r="C257"/>
  <c r="P257"/>
  <c r="N257"/>
  <c r="R257"/>
  <c r="U257"/>
  <c r="O257"/>
  <c r="Q257"/>
  <c r="C258"/>
  <c r="Q256"/>
  <c r="T256"/>
  <c r="S256"/>
  <c r="N258"/>
  <c r="P258"/>
  <c r="O258"/>
  <c r="R258"/>
  <c r="U258"/>
  <c r="C259"/>
  <c r="V256"/>
  <c r="Y256"/>
  <c r="Z256"/>
  <c r="P259"/>
  <c r="N259"/>
  <c r="O259"/>
  <c r="R259"/>
  <c r="U259"/>
  <c r="C260"/>
  <c r="Q258"/>
  <c r="Q259"/>
  <c r="P260"/>
  <c r="N260"/>
  <c r="R260"/>
  <c r="U260"/>
  <c r="O260"/>
  <c r="Q260"/>
  <c r="C261"/>
  <c r="N261"/>
  <c r="P261"/>
  <c r="R261"/>
  <c r="U261"/>
  <c r="O261"/>
  <c r="Q261"/>
  <c r="C262"/>
  <c r="R262"/>
  <c r="P262"/>
  <c r="N262"/>
  <c r="O262"/>
  <c r="Q262"/>
  <c r="C263"/>
  <c r="B257"/>
  <c r="R263"/>
  <c r="N263"/>
  <c r="P263"/>
  <c r="O263"/>
  <c r="C264"/>
  <c r="Q263"/>
  <c r="P264"/>
  <c r="R264"/>
  <c r="U264"/>
  <c r="O264"/>
  <c r="N264"/>
  <c r="C265"/>
  <c r="S263"/>
  <c r="T263"/>
  <c r="P265"/>
  <c r="N265"/>
  <c r="O265"/>
  <c r="R265"/>
  <c r="U265"/>
  <c r="C266"/>
  <c r="V263"/>
  <c r="Y263"/>
  <c r="Z263"/>
  <c r="Q264"/>
  <c r="P266"/>
  <c r="N266"/>
  <c r="O266"/>
  <c r="R266"/>
  <c r="U266"/>
  <c r="C267"/>
  <c r="Q265"/>
  <c r="N267"/>
  <c r="P267"/>
  <c r="O267"/>
  <c r="R267"/>
  <c r="U267"/>
  <c r="C268"/>
  <c r="Q266"/>
  <c r="P268"/>
  <c r="N268"/>
  <c r="O268"/>
  <c r="Q268"/>
  <c r="R268"/>
  <c r="U268"/>
  <c r="C269"/>
  <c r="Q267"/>
  <c r="P269"/>
  <c r="R269"/>
  <c r="N269"/>
  <c r="O269"/>
  <c r="Q269"/>
  <c r="C270"/>
  <c r="N270"/>
  <c r="P270"/>
  <c r="B264"/>
  <c r="R270"/>
  <c r="O270"/>
  <c r="C271"/>
  <c r="N271"/>
  <c r="P271"/>
  <c r="R271"/>
  <c r="U271"/>
  <c r="O271"/>
  <c r="C272"/>
  <c r="Q270"/>
  <c r="S270"/>
  <c r="T270"/>
  <c r="Q271"/>
  <c r="P272"/>
  <c r="N272"/>
  <c r="O272"/>
  <c r="R272"/>
  <c r="U272"/>
  <c r="C273"/>
  <c r="V270"/>
  <c r="Y270"/>
  <c r="Z270"/>
  <c r="Q272"/>
  <c r="P273"/>
  <c r="N273"/>
  <c r="R273"/>
  <c r="U273"/>
  <c r="O273"/>
  <c r="Q273"/>
  <c r="C274"/>
  <c r="P274"/>
  <c r="N274"/>
  <c r="R274"/>
  <c r="U274"/>
  <c r="O274"/>
  <c r="Q274"/>
  <c r="C275"/>
  <c r="N275"/>
  <c r="P275"/>
  <c r="O275"/>
  <c r="R275"/>
  <c r="U275"/>
  <c r="C276"/>
  <c r="N276"/>
  <c r="P276"/>
  <c r="R276"/>
  <c r="O276"/>
  <c r="Q276"/>
  <c r="C277"/>
  <c r="Q275"/>
  <c r="B271"/>
  <c r="P277"/>
  <c r="N277"/>
  <c r="R277"/>
  <c r="O277"/>
  <c r="Q277"/>
  <c r="C278"/>
  <c r="N278"/>
  <c r="R278"/>
  <c r="U278"/>
  <c r="P278"/>
  <c r="O278"/>
  <c r="Q278"/>
  <c r="C279"/>
  <c r="S277"/>
  <c r="T277"/>
  <c r="N279"/>
  <c r="P279"/>
  <c r="R279"/>
  <c r="U279"/>
  <c r="O279"/>
  <c r="C280"/>
  <c r="V277"/>
  <c r="Y277"/>
  <c r="Z277"/>
  <c r="N280"/>
  <c r="P280"/>
  <c r="O280"/>
  <c r="Q280"/>
  <c r="C281"/>
  <c r="R280"/>
  <c r="U280"/>
  <c r="Q279"/>
  <c r="N281"/>
  <c r="P281"/>
  <c r="R281"/>
  <c r="U281"/>
  <c r="O281"/>
  <c r="Q281"/>
  <c r="C282"/>
  <c r="P282"/>
  <c r="N282"/>
  <c r="O282"/>
  <c r="Q282"/>
  <c r="R282"/>
  <c r="U282"/>
  <c r="C283"/>
  <c r="N283"/>
  <c r="R283"/>
  <c r="P283"/>
  <c r="O283"/>
  <c r="Q283"/>
  <c r="C284"/>
  <c r="B278"/>
  <c r="P284"/>
  <c r="N284"/>
  <c r="R284"/>
  <c r="O284"/>
  <c r="Q284"/>
  <c r="C285"/>
  <c r="P285"/>
  <c r="O285"/>
  <c r="Q285"/>
  <c r="N285"/>
  <c r="R285"/>
  <c r="U285"/>
  <c r="C286"/>
  <c r="S284"/>
  <c r="T284"/>
  <c r="V284"/>
  <c r="Y284"/>
  <c r="Z284"/>
  <c r="P286"/>
  <c r="N286"/>
  <c r="O286"/>
  <c r="R286"/>
  <c r="U286"/>
  <c r="C287"/>
  <c r="N287"/>
  <c r="P287"/>
  <c r="R287"/>
  <c r="U287"/>
  <c r="O287"/>
  <c r="Q287"/>
  <c r="C288"/>
  <c r="Q286"/>
  <c r="P288"/>
  <c r="O288"/>
  <c r="N288"/>
  <c r="R288"/>
  <c r="U288"/>
  <c r="C289"/>
  <c r="Q288"/>
  <c r="N289"/>
  <c r="P289"/>
  <c r="O289"/>
  <c r="Q289"/>
  <c r="R289"/>
  <c r="U289"/>
  <c r="C290"/>
  <c r="P290"/>
  <c r="R290"/>
  <c r="N290"/>
  <c r="O290"/>
  <c r="Q290"/>
  <c r="C291"/>
  <c r="N291"/>
  <c r="P291"/>
  <c r="B285"/>
  <c r="R291"/>
  <c r="C292"/>
  <c r="O291"/>
  <c r="Q291"/>
  <c r="P292"/>
  <c r="N292"/>
  <c r="O292"/>
  <c r="R292"/>
  <c r="U292"/>
  <c r="C293"/>
  <c r="T291"/>
  <c r="S291"/>
  <c r="Q292"/>
  <c r="V291"/>
  <c r="Y291"/>
  <c r="Z291"/>
  <c r="N293"/>
  <c r="P293"/>
  <c r="R293"/>
  <c r="U293"/>
  <c r="O293"/>
  <c r="Q293"/>
  <c r="C294"/>
  <c r="N294"/>
  <c r="P294"/>
  <c r="O294"/>
  <c r="R294"/>
  <c r="U294"/>
  <c r="C295"/>
  <c r="Q294"/>
  <c r="P295"/>
  <c r="N295"/>
  <c r="R295"/>
  <c r="U295"/>
  <c r="C296"/>
  <c r="O295"/>
  <c r="Q295"/>
  <c r="P296"/>
  <c r="N296"/>
  <c r="O296"/>
  <c r="Q296"/>
  <c r="R296"/>
  <c r="U296"/>
  <c r="C297"/>
  <c r="N297"/>
  <c r="R297"/>
  <c r="P297"/>
  <c r="O297"/>
  <c r="Q297"/>
  <c r="C298"/>
  <c r="P298"/>
  <c r="B292"/>
  <c r="N298"/>
  <c r="R298"/>
  <c r="O298"/>
  <c r="Q298"/>
  <c r="C299"/>
  <c r="N299"/>
  <c r="R299"/>
  <c r="U299"/>
  <c r="P299"/>
  <c r="O299"/>
  <c r="C300"/>
  <c r="S298"/>
  <c r="T298"/>
  <c r="Q299"/>
  <c r="N300"/>
  <c r="P300"/>
  <c r="O300"/>
  <c r="Q300"/>
  <c r="R300"/>
  <c r="U300"/>
  <c r="C301"/>
  <c r="V298"/>
  <c r="Y298"/>
  <c r="Z298"/>
  <c r="N301"/>
  <c r="P301"/>
  <c r="O301"/>
  <c r="R301"/>
  <c r="U301"/>
  <c r="C302"/>
  <c r="Q301"/>
  <c r="P302"/>
  <c r="N302"/>
  <c r="O302"/>
  <c r="Q302"/>
  <c r="R302"/>
  <c r="U302"/>
  <c r="C303"/>
  <c r="N303"/>
  <c r="P303"/>
  <c r="O303"/>
  <c r="R303"/>
  <c r="U303"/>
  <c r="C304"/>
  <c r="Q303"/>
  <c r="R304"/>
  <c r="P304"/>
  <c r="N304"/>
  <c r="O304"/>
  <c r="Q304"/>
  <c r="C305"/>
  <c r="B299"/>
  <c r="N305"/>
  <c r="P305"/>
  <c r="R305"/>
  <c r="O305"/>
  <c r="Q305"/>
  <c r="C306"/>
  <c r="N306"/>
  <c r="R306"/>
  <c r="U306"/>
  <c r="P306"/>
  <c r="O306"/>
  <c r="C307"/>
  <c r="S305"/>
  <c r="T305"/>
  <c r="Q306"/>
  <c r="N307"/>
  <c r="P307"/>
  <c r="R307"/>
  <c r="U307"/>
  <c r="O307"/>
  <c r="Q307"/>
  <c r="C308"/>
  <c r="V305"/>
  <c r="Y305"/>
  <c r="Z305"/>
  <c r="P308"/>
  <c r="N308"/>
  <c r="O308"/>
  <c r="Q308"/>
  <c r="R308"/>
  <c r="U308"/>
  <c r="C309"/>
  <c r="N309"/>
  <c r="P309"/>
  <c r="O309"/>
  <c r="R309"/>
  <c r="U309"/>
  <c r="C310"/>
  <c r="N310"/>
  <c r="P310"/>
  <c r="R310"/>
  <c r="U310"/>
  <c r="O310"/>
  <c r="Q310"/>
  <c r="C311"/>
  <c r="Q309"/>
  <c r="P311"/>
  <c r="N311"/>
  <c r="R311"/>
  <c r="O311"/>
  <c r="Q311"/>
  <c r="C312"/>
  <c r="N312"/>
  <c r="P312"/>
  <c r="B306"/>
  <c r="R312"/>
  <c r="O312"/>
  <c r="C313"/>
  <c r="N313"/>
  <c r="P313"/>
  <c r="R313"/>
  <c r="U313"/>
  <c r="O313"/>
  <c r="C314"/>
  <c r="Q312"/>
  <c r="T312"/>
  <c r="S312"/>
  <c r="V312"/>
  <c r="Y312"/>
  <c r="Z312"/>
  <c r="P314"/>
  <c r="N314"/>
  <c r="R314"/>
  <c r="U314"/>
  <c r="O314"/>
  <c r="Q314"/>
  <c r="C315"/>
  <c r="Q313"/>
  <c r="N315"/>
  <c r="P315"/>
  <c r="O315"/>
  <c r="R315"/>
  <c r="U315"/>
  <c r="C316"/>
  <c r="P316"/>
  <c r="R316"/>
  <c r="U316"/>
  <c r="N316"/>
  <c r="O316"/>
  <c r="Q316"/>
  <c r="C317"/>
  <c r="Q315"/>
  <c r="P317"/>
  <c r="N317"/>
  <c r="O317"/>
  <c r="Q317"/>
  <c r="R317"/>
  <c r="U317"/>
  <c r="C318"/>
  <c r="P318"/>
  <c r="R318"/>
  <c r="N318"/>
  <c r="O318"/>
  <c r="Q318"/>
  <c r="C319"/>
  <c r="B313"/>
  <c r="N319"/>
  <c r="P319"/>
  <c r="R319"/>
  <c r="O319"/>
  <c r="Q319"/>
  <c r="C320"/>
  <c r="N320"/>
  <c r="O320"/>
  <c r="Q320"/>
  <c r="P320"/>
  <c r="R320"/>
  <c r="U320"/>
  <c r="C321"/>
  <c r="S319"/>
  <c r="T319"/>
  <c r="V319"/>
  <c r="Y319"/>
  <c r="Z319"/>
  <c r="N321"/>
  <c r="P321"/>
  <c r="O321"/>
  <c r="Q321"/>
  <c r="R321"/>
  <c r="U321"/>
  <c r="C322"/>
  <c r="N322"/>
  <c r="P322"/>
  <c r="R322"/>
  <c r="U322"/>
  <c r="O322"/>
  <c r="C323"/>
  <c r="Q322"/>
  <c r="P323"/>
  <c r="N323"/>
  <c r="R323"/>
  <c r="U323"/>
  <c r="O323"/>
  <c r="Q323"/>
  <c r="C324"/>
  <c r="P324"/>
  <c r="N324"/>
  <c r="O324"/>
  <c r="Q324"/>
  <c r="R324"/>
  <c r="U324"/>
  <c r="C325"/>
  <c r="N325"/>
  <c r="R325"/>
  <c r="P325"/>
  <c r="O325"/>
  <c r="Q325"/>
  <c r="C326"/>
  <c r="B320"/>
  <c r="N326"/>
  <c r="P326"/>
  <c r="O326"/>
  <c r="R326"/>
  <c r="C327"/>
  <c r="Q326"/>
  <c r="T326"/>
  <c r="S326"/>
  <c r="N327"/>
  <c r="P327"/>
  <c r="R327"/>
  <c r="U327"/>
  <c r="O327"/>
  <c r="Q327"/>
  <c r="C328"/>
  <c r="N328"/>
  <c r="P328"/>
  <c r="O328"/>
  <c r="R328"/>
  <c r="U328"/>
  <c r="C329"/>
  <c r="V326"/>
  <c r="Y326"/>
  <c r="Z326"/>
  <c r="Q328"/>
  <c r="P329"/>
  <c r="N329"/>
  <c r="O329"/>
  <c r="Q329"/>
  <c r="R329"/>
  <c r="U329"/>
  <c r="C330"/>
  <c r="P330"/>
  <c r="N330"/>
  <c r="O330"/>
  <c r="Q330"/>
  <c r="R330"/>
  <c r="U330"/>
  <c r="C331"/>
  <c r="N331"/>
  <c r="P331"/>
  <c r="R331"/>
  <c r="U331"/>
  <c r="O331"/>
  <c r="Q331"/>
  <c r="C332"/>
  <c r="N332"/>
  <c r="P332"/>
  <c r="R332"/>
  <c r="O332"/>
  <c r="Q332"/>
  <c r="C333"/>
  <c r="P333"/>
  <c r="N333"/>
  <c r="B327"/>
  <c r="R333"/>
  <c r="O333"/>
  <c r="Q333"/>
  <c r="C334"/>
  <c r="P334"/>
  <c r="O334"/>
  <c r="Q334"/>
  <c r="N334"/>
  <c r="R334"/>
  <c r="U334"/>
  <c r="C335"/>
  <c r="T333"/>
  <c r="S333"/>
  <c r="P335"/>
  <c r="N335"/>
  <c r="O335"/>
  <c r="Q335"/>
  <c r="R335"/>
  <c r="U335"/>
  <c r="C336"/>
  <c r="V333"/>
  <c r="Y333"/>
  <c r="Z333"/>
  <c r="N336"/>
  <c r="P336"/>
  <c r="O336"/>
  <c r="Q336"/>
  <c r="R336"/>
  <c r="U336"/>
  <c r="C337"/>
  <c r="N337"/>
  <c r="P337"/>
  <c r="O337"/>
  <c r="R337"/>
  <c r="U337"/>
  <c r="C338"/>
  <c r="Q337"/>
  <c r="N338"/>
  <c r="P338"/>
  <c r="R338"/>
  <c r="U338"/>
  <c r="O338"/>
  <c r="Q338"/>
  <c r="C339"/>
  <c r="P339"/>
  <c r="R339"/>
  <c r="N339"/>
  <c r="O339"/>
  <c r="Q339"/>
  <c r="C340"/>
  <c r="B334"/>
  <c r="N340"/>
  <c r="P340"/>
  <c r="R340"/>
  <c r="O340"/>
  <c r="Q340"/>
  <c r="C341"/>
  <c r="P341"/>
  <c r="N341"/>
  <c r="O341"/>
  <c r="Q341"/>
  <c r="R341"/>
  <c r="U341"/>
  <c r="C342"/>
  <c r="S340"/>
  <c r="T340"/>
  <c r="P342"/>
  <c r="N342"/>
  <c r="O342"/>
  <c r="Q342"/>
  <c r="R342"/>
  <c r="U342"/>
  <c r="C343"/>
  <c r="V340"/>
  <c r="Y340"/>
  <c r="Z340"/>
  <c r="P343"/>
  <c r="N343"/>
  <c r="O343"/>
  <c r="Q343"/>
  <c r="R343"/>
  <c r="U343"/>
  <c r="C344"/>
  <c r="N344"/>
  <c r="P344"/>
  <c r="O344"/>
  <c r="R344"/>
  <c r="U344"/>
  <c r="C345"/>
  <c r="Q344"/>
  <c r="N345"/>
  <c r="P345"/>
  <c r="R345"/>
  <c r="U345"/>
  <c r="C346"/>
  <c r="O345"/>
  <c r="Q345"/>
  <c r="P346"/>
  <c r="R346"/>
  <c r="N346"/>
  <c r="O346"/>
  <c r="Q346"/>
  <c r="C347"/>
  <c r="P347"/>
  <c r="N347"/>
  <c r="R347"/>
  <c r="B341"/>
  <c r="O347"/>
  <c r="Q347"/>
  <c r="C348"/>
  <c r="N348"/>
  <c r="P348"/>
  <c r="O348"/>
  <c r="Q348"/>
  <c r="R348"/>
  <c r="U348"/>
  <c r="C349"/>
  <c r="T347"/>
  <c r="S347"/>
  <c r="N349"/>
  <c r="P349"/>
  <c r="R349"/>
  <c r="U349"/>
  <c r="O349"/>
  <c r="Q349"/>
  <c r="C350"/>
  <c r="V347"/>
  <c r="Y347"/>
  <c r="Z347"/>
  <c r="N350"/>
  <c r="P350"/>
  <c r="O350"/>
  <c r="Q350"/>
  <c r="R350"/>
  <c r="U350"/>
  <c r="C351"/>
  <c r="P351"/>
  <c r="N351"/>
  <c r="O351"/>
  <c r="Q351"/>
  <c r="R351"/>
  <c r="U351"/>
  <c r="C352"/>
  <c r="P352"/>
  <c r="N352"/>
  <c r="R352"/>
  <c r="U352"/>
  <c r="C353"/>
  <c r="O352"/>
  <c r="Q352"/>
  <c r="N353"/>
  <c r="P353"/>
  <c r="R353"/>
  <c r="O353"/>
  <c r="Q353"/>
  <c r="C354"/>
  <c r="P354"/>
  <c r="N354"/>
  <c r="B348"/>
  <c r="R354"/>
  <c r="O354"/>
  <c r="Q354"/>
  <c r="C355"/>
  <c r="O355"/>
  <c r="Q355"/>
  <c r="N355"/>
  <c r="C356"/>
  <c r="P355"/>
  <c r="R355"/>
  <c r="U355"/>
  <c r="T354"/>
  <c r="S354"/>
  <c r="V354"/>
  <c r="Y354"/>
  <c r="Z354"/>
  <c r="P356"/>
  <c r="N356"/>
  <c r="O356"/>
  <c r="Q356"/>
  <c r="C357"/>
  <c r="R356"/>
  <c r="U356"/>
  <c r="P357"/>
  <c r="N357"/>
  <c r="O357"/>
  <c r="C358"/>
  <c r="R357"/>
  <c r="U357"/>
  <c r="Q357"/>
  <c r="P358"/>
  <c r="N358"/>
  <c r="R358"/>
  <c r="U358"/>
  <c r="O358"/>
  <c r="Q358"/>
  <c r="C359"/>
  <c r="N359"/>
  <c r="P359"/>
  <c r="C360"/>
  <c r="R359"/>
  <c r="U359"/>
  <c r="O359"/>
  <c r="Q359"/>
  <c r="R360"/>
  <c r="N360"/>
  <c r="P360"/>
  <c r="C361"/>
  <c r="O360"/>
  <c r="Q360"/>
  <c r="P361"/>
  <c r="B355"/>
  <c r="N361"/>
  <c r="R361"/>
  <c r="O361"/>
  <c r="Q361"/>
  <c r="C362"/>
  <c r="P362"/>
  <c r="N362"/>
  <c r="O362"/>
  <c r="Q362"/>
  <c r="R362"/>
  <c r="U362"/>
  <c r="C363"/>
  <c r="T361"/>
  <c r="S361"/>
  <c r="V361"/>
  <c r="Y361"/>
  <c r="Z361"/>
  <c r="P363"/>
  <c r="N363"/>
  <c r="C364"/>
  <c r="R363"/>
  <c r="U363"/>
  <c r="O363"/>
  <c r="Q363"/>
  <c r="P364"/>
  <c r="N364"/>
  <c r="O364"/>
  <c r="C365"/>
  <c r="R364"/>
  <c r="U364"/>
  <c r="N365"/>
  <c r="P365"/>
  <c r="R365"/>
  <c r="U365"/>
  <c r="O365"/>
  <c r="C366"/>
  <c r="Q364"/>
  <c r="Q365"/>
  <c r="P366"/>
  <c r="N366"/>
  <c r="O366"/>
  <c r="R366"/>
  <c r="U366"/>
  <c r="C367"/>
  <c r="Q366"/>
  <c r="R367"/>
  <c r="N367"/>
  <c r="P367"/>
  <c r="O367"/>
  <c r="Q367"/>
  <c r="C368"/>
  <c r="B362"/>
  <c r="P368"/>
  <c r="N368"/>
  <c r="R368"/>
  <c r="O368"/>
  <c r="Q368"/>
  <c r="C369"/>
  <c r="N369"/>
  <c r="R369"/>
  <c r="U369"/>
  <c r="C370"/>
  <c r="P369"/>
  <c r="O369"/>
  <c r="Q369"/>
  <c r="T368"/>
  <c r="S368"/>
  <c r="V368"/>
  <c r="Y368"/>
  <c r="Z368"/>
  <c r="N370"/>
  <c r="P370"/>
  <c r="O370"/>
  <c r="R370"/>
  <c r="U370"/>
  <c r="C371"/>
  <c r="Q370"/>
  <c r="P371"/>
  <c r="N371"/>
  <c r="O371"/>
  <c r="R371"/>
  <c r="U371"/>
  <c r="C372"/>
  <c r="Q371"/>
  <c r="N372"/>
  <c r="P372"/>
  <c r="R372"/>
  <c r="U372"/>
  <c r="O372"/>
  <c r="Q372"/>
  <c r="C373"/>
  <c r="N373"/>
  <c r="P373"/>
  <c r="O373"/>
  <c r="C374"/>
  <c r="R373"/>
  <c r="U373"/>
  <c r="Q373"/>
  <c r="R374"/>
  <c r="P374"/>
  <c r="N374"/>
  <c r="O374"/>
  <c r="Q374"/>
  <c r="C375"/>
  <c r="P375"/>
  <c r="N375"/>
  <c r="R375"/>
  <c r="O375"/>
  <c r="Q375"/>
  <c r="T15" i="3" a="1"/>
  <c r="T15"/>
  <c r="T10" a="1"/>
  <c r="T10"/>
  <c r="T14" a="1"/>
  <c r="T14"/>
  <c r="T17" a="1"/>
  <c r="T17"/>
  <c r="T16" a="1"/>
  <c r="T16"/>
  <c r="T11" a="1"/>
  <c r="T11"/>
  <c r="T12" a="1"/>
  <c r="T12"/>
  <c r="T8" a="1"/>
  <c r="T8"/>
  <c r="T9" a="1"/>
  <c r="T9"/>
  <c r="T7" a="1"/>
  <c r="T7"/>
  <c r="T6" a="1"/>
  <c r="T6"/>
  <c r="T13" a="1"/>
  <c r="T13"/>
  <c r="H12" a="1"/>
  <c r="H12"/>
  <c r="H11" a="1"/>
  <c r="H11"/>
  <c r="H9" a="1"/>
  <c r="H9"/>
  <c r="H16" a="1"/>
  <c r="H16"/>
  <c r="H17" a="1"/>
  <c r="H17"/>
  <c r="H13" a="1"/>
  <c r="H13"/>
  <c r="H10" a="1"/>
  <c r="H10"/>
  <c r="H6" a="1"/>
  <c r="H6"/>
  <c r="H7" a="1"/>
  <c r="H7"/>
  <c r="H8" a="1"/>
  <c r="H8"/>
  <c r="H14" a="1"/>
  <c r="H14"/>
  <c r="H15" a="1"/>
  <c r="H15"/>
  <c r="F14" i="6"/>
  <c r="E14"/>
  <c r="G14"/>
  <c r="D14"/>
  <c r="L14" i="3" a="1"/>
  <c r="L14"/>
  <c r="M8" a="1"/>
  <c r="M8"/>
  <c r="M16" a="1"/>
  <c r="M16"/>
  <c r="J9" a="1"/>
  <c r="J9"/>
  <c r="L10" a="1"/>
  <c r="L10"/>
  <c r="K14" a="1"/>
  <c r="K14"/>
  <c r="M10" a="1"/>
  <c r="M10"/>
  <c r="Q15" a="1"/>
  <c r="Q15"/>
  <c r="P8" a="1"/>
  <c r="P8"/>
  <c r="S6" a="1"/>
  <c r="S6"/>
  <c r="J6" a="1"/>
  <c r="J6"/>
  <c r="R8" a="1"/>
  <c r="R8"/>
  <c r="M15" a="1"/>
  <c r="M15"/>
  <c r="Q17" a="1"/>
  <c r="Q17"/>
  <c r="L6" a="1"/>
  <c r="L6"/>
  <c r="N12" a="1"/>
  <c r="N12"/>
  <c r="Q12" a="1"/>
  <c r="Q12"/>
  <c r="L13" a="1"/>
  <c r="L13"/>
  <c r="N6" a="1"/>
  <c r="N6"/>
  <c r="Q8" a="1"/>
  <c r="Q8"/>
  <c r="S12" a="1"/>
  <c r="S12"/>
  <c r="P17" a="1"/>
  <c r="P17"/>
  <c r="P15" a="1"/>
  <c r="P15"/>
  <c r="P7" a="1"/>
  <c r="P7"/>
  <c r="P11" a="1"/>
  <c r="P11"/>
  <c r="K7" a="1"/>
  <c r="K7"/>
  <c r="M17" a="1"/>
  <c r="M17"/>
  <c r="Q13" a="1"/>
  <c r="Q13"/>
  <c r="M7" a="1"/>
  <c r="M7"/>
  <c r="J14" a="1"/>
  <c r="J14"/>
  <c r="P9" a="1"/>
  <c r="P9"/>
  <c r="J12" a="1"/>
  <c r="J12"/>
  <c r="R16" a="1"/>
  <c r="R16"/>
  <c r="R14" a="1"/>
  <c r="R14"/>
  <c r="M9" a="1"/>
  <c r="M9"/>
  <c r="L15" a="1"/>
  <c r="L15"/>
  <c r="N16" a="1"/>
  <c r="N16"/>
  <c r="M13" a="1"/>
  <c r="M13"/>
  <c r="Q10" a="1"/>
  <c r="Q10"/>
  <c r="L8" a="1"/>
  <c r="L8"/>
  <c r="S8" a="1"/>
  <c r="S8"/>
  <c r="P12" a="1"/>
  <c r="P12"/>
  <c r="M12" a="1"/>
  <c r="M12"/>
  <c r="K13" a="1"/>
  <c r="K13"/>
  <c r="Q11" a="1"/>
  <c r="Q11"/>
  <c r="P14" a="1"/>
  <c r="P14"/>
  <c r="L16" a="1"/>
  <c r="L16"/>
  <c r="L11" a="1"/>
  <c r="L11"/>
  <c r="K15" a="1"/>
  <c r="K15"/>
  <c r="I13"/>
  <c r="S11" a="1"/>
  <c r="S11"/>
  <c r="S17" a="1"/>
  <c r="S17"/>
  <c r="R13" a="1"/>
  <c r="R13"/>
  <c r="N17" a="1"/>
  <c r="N17"/>
  <c r="Q16" a="1"/>
  <c r="Q16"/>
  <c r="Q6" a="1"/>
  <c r="Q6"/>
  <c r="S14" a="1"/>
  <c r="S14"/>
  <c r="S9" a="1"/>
  <c r="S9"/>
  <c r="P6" a="1"/>
  <c r="P6"/>
  <c r="R12" a="1"/>
  <c r="R12"/>
  <c r="R15" a="1"/>
  <c r="R15"/>
  <c r="S13" a="1"/>
  <c r="S13"/>
  <c r="J13" a="1"/>
  <c r="J13"/>
  <c r="K16" a="1"/>
  <c r="K16"/>
  <c r="M14" a="1"/>
  <c r="M14"/>
  <c r="R6" a="1"/>
  <c r="R6"/>
  <c r="N9" a="1"/>
  <c r="N9"/>
  <c r="N8" a="1"/>
  <c r="N8"/>
  <c r="J16" a="1"/>
  <c r="J16"/>
  <c r="N14" a="1"/>
  <c r="N14"/>
  <c r="N13" a="1"/>
  <c r="N13"/>
  <c r="R11" a="1"/>
  <c r="R11"/>
  <c r="K6" a="1"/>
  <c r="K6"/>
  <c r="K9" a="1"/>
  <c r="K9"/>
  <c r="S16" a="1"/>
  <c r="S16"/>
  <c r="K10" a="1"/>
  <c r="K10"/>
  <c r="Q9" a="1"/>
  <c r="Q9"/>
  <c r="N11" a="1"/>
  <c r="N11"/>
  <c r="P10" a="1"/>
  <c r="P10"/>
  <c r="S10" a="1"/>
  <c r="S10"/>
  <c r="K12" a="1"/>
  <c r="K12"/>
  <c r="L7" a="1"/>
  <c r="L7"/>
  <c r="R7" a="1"/>
  <c r="R7"/>
  <c r="P13" a="1"/>
  <c r="P13"/>
  <c r="R10" a="1"/>
  <c r="R10"/>
  <c r="N10" a="1"/>
  <c r="N10"/>
  <c r="K17" a="1"/>
  <c r="K17"/>
  <c r="L12" a="1"/>
  <c r="L12"/>
  <c r="Q14" a="1"/>
  <c r="Q14"/>
  <c r="R9" a="1"/>
  <c r="R9"/>
  <c r="M11" a="1"/>
  <c r="M11"/>
  <c r="J11" a="1"/>
  <c r="J11"/>
  <c r="J8" a="1"/>
  <c r="J8"/>
  <c r="J17" a="1"/>
  <c r="J17"/>
  <c r="N15" a="1"/>
  <c r="N15"/>
  <c r="S7" a="1"/>
  <c r="S7"/>
  <c r="M6" a="1"/>
  <c r="M6"/>
  <c r="J10" a="1"/>
  <c r="J10"/>
  <c r="R17" a="1"/>
  <c r="R17"/>
  <c r="K11" a="1"/>
  <c r="K11"/>
  <c r="N7" a="1"/>
  <c r="N7"/>
  <c r="Q7" a="1"/>
  <c r="Q7"/>
  <c r="S15" a="1"/>
  <c r="S15"/>
  <c r="L17" a="1"/>
  <c r="L17"/>
  <c r="I16"/>
  <c r="J7" a="1"/>
  <c r="J7"/>
  <c r="J15" a="1"/>
  <c r="J15"/>
  <c r="K8" a="1"/>
  <c r="K8"/>
  <c r="P16" a="1"/>
  <c r="P16"/>
  <c r="L9" a="1"/>
  <c r="L9"/>
  <c r="B369" i="2"/>
  <c r="S375"/>
  <c r="X2" a="1"/>
  <c r="X2"/>
  <c r="T375"/>
  <c r="E15" i="6"/>
  <c r="D15"/>
  <c r="H15"/>
  <c r="I15"/>
  <c r="F15"/>
  <c r="T19" i="3"/>
  <c r="G15" i="6"/>
  <c r="I9" i="3"/>
  <c r="I11"/>
  <c r="I8"/>
  <c r="D16" i="6"/>
  <c r="G16"/>
  <c r="E16"/>
  <c r="F16"/>
  <c r="H16"/>
  <c r="I16"/>
  <c r="Z375" i="2"/>
  <c r="Y375"/>
  <c r="V375"/>
  <c r="K19" i="3"/>
  <c r="Q19"/>
  <c r="J19"/>
  <c r="I7"/>
  <c r="I14"/>
  <c r="I10"/>
  <c r="O19"/>
  <c r="L19"/>
  <c r="S19"/>
  <c r="G19"/>
  <c r="I6"/>
  <c r="R19"/>
  <c r="H19"/>
  <c r="N19"/>
  <c r="M19"/>
  <c r="P19"/>
  <c r="I17"/>
  <c r="I12"/>
  <c r="I15"/>
  <c r="N20"/>
  <c r="G17" i="6"/>
  <c r="F17"/>
  <c r="H17"/>
  <c r="I17"/>
  <c r="E17"/>
  <c r="D17"/>
  <c r="J20" i="3"/>
  <c r="I19"/>
  <c r="L20"/>
  <c r="F18" i="6"/>
  <c r="D18"/>
  <c r="G18"/>
  <c r="H18"/>
  <c r="I18"/>
  <c r="E18"/>
  <c r="G19"/>
  <c r="F19"/>
  <c r="D19"/>
  <c r="H19"/>
  <c r="I19"/>
  <c r="E19"/>
  <c r="E20"/>
  <c r="F20"/>
  <c r="D20"/>
  <c r="A22"/>
  <c r="J22"/>
  <c r="G20"/>
  <c r="H20"/>
  <c r="I20"/>
  <c r="C2" i="2"/>
  <c r="I2" i="6"/>
  <c r="C5" i="5"/>
</calcChain>
</file>

<file path=xl/comments1.xml><?xml version="1.0" encoding="utf-8"?>
<comments xmlns="http://schemas.openxmlformats.org/spreadsheetml/2006/main">
  <authors>
    <author>Auteur</author>
  </authors>
  <commentList>
    <comment ref="B28" authorId="0">
      <text>
        <r>
          <rPr>
            <b/>
            <sz val="8"/>
            <color indexed="81"/>
            <rFont val="Tahoma"/>
            <family val="2"/>
          </rPr>
          <t>Note de commentaire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D1" authorId="0">
      <text>
        <r>
          <rPr>
            <sz val="8"/>
            <color indexed="81"/>
            <rFont val="Tahoma"/>
            <family val="2"/>
          </rPr>
          <t xml:space="preserve">Somme des jours fériés (hors week-end) de la saison
</t>
        </r>
      </text>
    </comment>
    <comment ref="I1" authorId="0">
      <text>
        <r>
          <rPr>
            <sz val="8"/>
            <color indexed="81"/>
            <rFont val="Tahoma"/>
            <family val="2"/>
          </rPr>
          <t>Choisissez un motif d'absence pour en connaître le total dans l'année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X1" authorId="0">
      <text>
        <r>
          <rPr>
            <sz val="8"/>
            <color indexed="81"/>
            <rFont val="Tahoma"/>
            <family val="2"/>
          </rPr>
          <t xml:space="preserve">Moyenne des semaines entières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4" authorId="0">
      <text>
        <r>
          <rPr>
            <sz val="10"/>
            <color indexed="81"/>
            <rFont val="Tahoma"/>
            <family val="2"/>
          </rPr>
          <t>Heure de début du travail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E4" authorId="0">
      <text>
        <r>
          <rPr>
            <sz val="10"/>
            <color indexed="81"/>
            <rFont val="Tahoma"/>
            <family val="2"/>
          </rPr>
          <t>Heure de fin de travail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F4" authorId="0">
      <text>
        <r>
          <rPr>
            <sz val="10"/>
            <color indexed="81"/>
            <rFont val="Tahoma"/>
            <family val="2"/>
          </rPr>
          <t xml:space="preserve">Pause déjeuner plus d'éventuelles absences pour RDV à l'extérieur (médecin par exemple)
</t>
        </r>
      </text>
    </comment>
    <comment ref="I4" authorId="0">
      <text>
        <r>
          <rPr>
            <sz val="8"/>
            <color indexed="81"/>
            <rFont val="Tahoma"/>
            <family val="2"/>
          </rPr>
          <t>Choisissez le motif d'absence dans la liste déroulante.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W4" authorId="0">
      <text>
        <r>
          <rPr>
            <sz val="8"/>
            <color indexed="81"/>
            <rFont val="Tahoma"/>
            <family val="2"/>
          </rPr>
          <t xml:space="preserve">Heures déclarés par jour
</t>
        </r>
      </text>
    </comment>
    <comment ref="X4" authorId="0">
      <text>
        <r>
          <rPr>
            <sz val="10"/>
            <color indexed="81"/>
            <rFont val="Tahoma"/>
            <family val="2"/>
          </rPr>
          <t>Cumul des heures par semaine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Y4" authorId="0">
      <text>
        <r>
          <rPr>
            <sz val="10"/>
            <color indexed="81"/>
            <rFont val="Tahoma"/>
            <family val="2"/>
          </rPr>
          <t xml:space="preserve">Différence en les heures effectué dans la semaine et 35 heures
</t>
        </r>
      </text>
    </comment>
    <comment ref="Z4" authorId="0">
      <text>
        <r>
          <rPr>
            <sz val="10"/>
            <color indexed="81"/>
            <rFont val="Tahoma"/>
            <family val="2"/>
          </rPr>
          <t xml:space="preserve">Différence entre les heures effectuées et 35 heures
</t>
        </r>
      </text>
    </comment>
  </commentList>
</comments>
</file>

<file path=xl/sharedStrings.xml><?xml version="1.0" encoding="utf-8"?>
<sst xmlns="http://schemas.openxmlformats.org/spreadsheetml/2006/main" count="171" uniqueCount="147">
  <si>
    <t>Premier lundi
Début du tableau</t>
  </si>
  <si>
    <t>Liste des débuts de semaine</t>
  </si>
  <si>
    <t>L_Heure_Sem</t>
  </si>
  <si>
    <t>Identification</t>
  </si>
  <si>
    <t>Date :</t>
  </si>
  <si>
    <t>Responsable</t>
  </si>
  <si>
    <t xml:space="preserve">
H / jour</t>
  </si>
  <si>
    <t>Bilan global</t>
  </si>
  <si>
    <t>bornes_sem</t>
  </si>
  <si>
    <t>Moy.
sem.</t>
  </si>
  <si>
    <t>Les onglets</t>
  </si>
  <si>
    <t>Mode d'emploi</t>
  </si>
  <si>
    <t>Identité</t>
  </si>
  <si>
    <t>Horaires</t>
  </si>
  <si>
    <t>Semaines</t>
  </si>
  <si>
    <t>Recap. Année</t>
  </si>
  <si>
    <t>Remplissez d'abord cette fiche d'identité</t>
  </si>
  <si>
    <t>Aide</t>
  </si>
  <si>
    <t>Certaines cellules affichent dans un coin un petit triangle de couleur. Il s'agit d'un commentaire censé vous aider.</t>
  </si>
  <si>
    <t>Les commentaires</t>
  </si>
  <si>
    <t>Entrer une heure</t>
  </si>
  <si>
    <t>Pour une heure de départ passé minuit, par exemple pour 2h du matin le lendemain, je vous conseille de taper :
="24:00"+"2:00"
n'oubliez par le signe égal, ni les guillemets
Ou le total directement</t>
  </si>
  <si>
    <t>Ce classeur contient 5 onglets visibles (en bas de la feuille).
Cliquez sur l'onglet pour afficher la feuille correspondante.</t>
  </si>
  <si>
    <t>Problèmes</t>
  </si>
  <si>
    <t>SAV</t>
  </si>
  <si>
    <t>Recap.</t>
  </si>
  <si>
    <t>Sem_entame</t>
  </si>
  <si>
    <t>Cette page d'aide et de mode d'emploi : à lire au moins une fois</t>
  </si>
  <si>
    <t>La feuille de calcul ne fonctionne pas et présente des cellules du genre #Nom?
Sur PC :
Menu Outils, Macro complémentaires, cochez Utilitaire d'analyse et Utilitaire d'analyse - VBA
Puis OK
Sur Mac :
?</t>
  </si>
  <si>
    <t>Problème</t>
  </si>
  <si>
    <t>Il y a quelque chose qui coince</t>
  </si>
  <si>
    <t>Pour entrer une heure dans Excel, par exemple 9 h 30
Tapez 9 puis : (deux points) puis 30 et enfin entrée.
Pour 30 minutes il faut taper 0:30
Pour 11 h 00 il suffit de taper 11:</t>
  </si>
  <si>
    <t>H_legal</t>
  </si>
  <si>
    <t>35 Heures</t>
  </si>
  <si>
    <t>Différence</t>
  </si>
  <si>
    <t>La manière dont les commentaires sont affichés dépend de l'option choisie dans Outils, Option, onglet Affichage, case d'option commentaire.</t>
  </si>
  <si>
    <t>Vous n'êtes pas un pro d'Excel. Lisez ces quelques lignes</t>
  </si>
  <si>
    <t>Le nombre d'heure par mois ainsi que les totaux des jours d'absence.
Pour vous, cette feuille n'est qu'une indication.</t>
  </si>
  <si>
    <t>Premier jour</t>
  </si>
  <si>
    <t>Arrivée</t>
  </si>
  <si>
    <t>Départ</t>
  </si>
  <si>
    <t>Pause</t>
  </si>
  <si>
    <t>Semaine</t>
  </si>
  <si>
    <t>Date</t>
  </si>
  <si>
    <t>Mois</t>
  </si>
  <si>
    <t>Ouvré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</si>
  <si>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</si>
  <si>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</si>
  <si>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</si>
  <si>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</si>
  <si>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</si>
  <si>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</si>
  <si>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</si>
  <si>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Fête nat.</t>
  </si>
  <si>
    <t>Assomption</t>
  </si>
  <si>
    <t>Toussaint</t>
  </si>
  <si>
    <t>Armistice</t>
  </si>
  <si>
    <t>Noël</t>
  </si>
  <si>
    <t>Matricule</t>
  </si>
  <si>
    <t>Nom</t>
  </si>
  <si>
    <t>Prénom</t>
  </si>
  <si>
    <t>Mission / déplacement</t>
  </si>
  <si>
    <t xml:space="preserve">Jour férié </t>
  </si>
  <si>
    <t>Formation</t>
  </si>
  <si>
    <t>Abs. non rémunérée</t>
  </si>
  <si>
    <t>Maladie - maternité - AT</t>
  </si>
  <si>
    <t>Autres absences rémunérées</t>
  </si>
  <si>
    <t>Motif absence</t>
  </si>
  <si>
    <t>H_abscence</t>
  </si>
  <si>
    <t>Travaillé</t>
  </si>
  <si>
    <t>Décompte abscence</t>
  </si>
  <si>
    <t>Heures</t>
  </si>
  <si>
    <t>Total</t>
  </si>
  <si>
    <t>Liste semaines</t>
  </si>
  <si>
    <t>Déclaration horaire</t>
  </si>
  <si>
    <t>V
I
S
A
S</t>
  </si>
  <si>
    <t>Intéressé(e)</t>
  </si>
  <si>
    <t xml:space="preserve">Semaine du : </t>
  </si>
  <si>
    <t xml:space="preserve">Service : </t>
  </si>
  <si>
    <t xml:space="preserve">Salarié : </t>
  </si>
  <si>
    <t xml:space="preserve">au : </t>
  </si>
  <si>
    <t>Motif abscence</t>
  </si>
  <si>
    <t xml:space="preserve">Matricule : </t>
  </si>
  <si>
    <t>Code
absence</t>
  </si>
  <si>
    <t>férié</t>
  </si>
  <si>
    <t>Congés payés 1/2 journée</t>
  </si>
  <si>
    <t>Congés payés 1 journée</t>
  </si>
  <si>
    <t>Déclaré</t>
  </si>
  <si>
    <t>Total semaine</t>
  </si>
  <si>
    <t>Code</t>
  </si>
  <si>
    <t>Calcul des jours fériés</t>
  </si>
  <si>
    <t>Liste des codes d'abscence</t>
  </si>
  <si>
    <t>Facultatif</t>
  </si>
  <si>
    <t xml:space="preserve">Semaine : </t>
  </si>
  <si>
    <t>Semaine actuelle</t>
  </si>
  <si>
    <t>Jours
fériés</t>
  </si>
  <si>
    <t>abs.</t>
  </si>
  <si>
    <t>Récapitulatif mensuel</t>
  </si>
  <si>
    <t>Dernier jour</t>
  </si>
  <si>
    <t>bornes</t>
  </si>
  <si>
    <t>Heure / Sem.</t>
  </si>
  <si>
    <t>Bilan
sem.</t>
  </si>
  <si>
    <t>Sem.</t>
  </si>
  <si>
    <t>Jour_sem</t>
  </si>
  <si>
    <t>Légal / sem.</t>
  </si>
  <si>
    <t>------------------masquer-------------------------------------------------------------------------------</t>
  </si>
  <si>
    <t>Bilan année</t>
  </si>
  <si>
    <t>Saison</t>
  </si>
  <si>
    <t>Premier jour de la saison</t>
  </si>
  <si>
    <t>Manager</t>
  </si>
  <si>
    <t>Manager :</t>
  </si>
  <si>
    <t>Organisation du temps de travail selon ARTT de juin 2012</t>
  </si>
  <si>
    <t>T_Mode Répartition du temps de travail</t>
  </si>
  <si>
    <t>Heure/jour ou répartition par 1/2 journée</t>
  </si>
  <si>
    <t>Récupération prise 1/2 journée (en heures)</t>
  </si>
  <si>
    <t>Récupération prise en jours (forfait jours)</t>
  </si>
  <si>
    <t>Récupération prise 1/2 journée (forfait jours)</t>
  </si>
  <si>
    <t>Récupération prise journée (en heures)</t>
  </si>
  <si>
    <t>Semaine de 35 H - Contrat 151,67 heures</t>
  </si>
  <si>
    <t>La fiche qui permet de vous identifier et de connaître le type d'organisation du temps de travail qui vous concerne (Salarié à temps plein, salarié à temps partiel, salarié en forfait jours)</t>
  </si>
  <si>
    <r>
      <t xml:space="preserve">Remplissez chaque jour votre :
*  </t>
    </r>
    <r>
      <rPr>
        <b/>
        <sz val="10"/>
        <rFont val="Arial Narrow"/>
        <family val="2"/>
      </rPr>
      <t>Heure d'arrivée</t>
    </r>
    <r>
      <rPr>
        <sz val="10"/>
        <rFont val="Arial Narrow"/>
        <family val="2"/>
      </rPr>
      <t xml:space="preserve">
*  </t>
    </r>
    <r>
      <rPr>
        <b/>
        <sz val="10"/>
        <rFont val="Arial Narrow"/>
        <family val="2"/>
      </rPr>
      <t>Heure de départ</t>
    </r>
    <r>
      <rPr>
        <sz val="10"/>
        <rFont val="Arial Narrow"/>
        <family val="2"/>
      </rPr>
      <t xml:space="preserve">
*  </t>
    </r>
    <r>
      <rPr>
        <b/>
        <sz val="10"/>
        <rFont val="Arial Narrow"/>
        <family val="2"/>
      </rPr>
      <t>Temps de pause</t>
    </r>
    <r>
      <rPr>
        <sz val="10"/>
        <rFont val="Arial Narrow"/>
        <family val="2"/>
      </rPr>
      <t xml:space="preserve"> total de la journée (par temps de pause il faut entendre la pause repas et les éventuelles sorties pour aller chez le médecin par exemple).
* </t>
    </r>
    <r>
      <rPr>
        <b/>
        <sz val="10"/>
        <rFont val="Arial Narrow"/>
        <family val="2"/>
      </rPr>
      <t>Motif d'absence</t>
    </r>
    <r>
      <rPr>
        <sz val="10"/>
        <rFont val="Arial Narrow"/>
        <family val="2"/>
      </rPr>
      <t xml:space="preserve"> éventuel dans la liste déroulante. Attention, le même jour il est possible de cumuler un motif d'absence et un temps de travail : cas de demi-journée d'absence par exemple.</t>
    </r>
  </si>
  <si>
    <r>
      <t>La feuille de déclaration hebdomadaire.</t>
    </r>
    <r>
      <rPr>
        <sz val="10"/>
        <rFont val="Arial Narrow"/>
        <family val="2"/>
      </rPr>
      <t xml:space="preserve">
Choisissez la semaine à afficher, soit en tapant son numéro dans la cellule, soit dans la liste déroulante.
Imprimez la page ; signez-la.
</t>
    </r>
    <r>
      <rPr>
        <b/>
        <sz val="10"/>
        <rFont val="Arial Narrow"/>
        <family val="2"/>
      </rPr>
      <t>Faites-la valider et signer</t>
    </r>
    <r>
      <rPr>
        <sz val="10"/>
        <rFont val="Arial Narrow"/>
        <family val="2"/>
      </rPr>
      <t xml:space="preserve"> à votre chef de service qui la transmettra au service paie du Stade Rennais Football Club</t>
    </r>
  </si>
  <si>
    <t>Service</t>
  </si>
  <si>
    <t>Semaine de travail classique</t>
  </si>
  <si>
    <t>Saison sportive 2012/2013</t>
  </si>
  <si>
    <t>Fériés 2012-2013</t>
  </si>
  <si>
    <t>Semaine de 32 H - Contrat 138,56 heures</t>
  </si>
  <si>
    <t>Semaine de 28 H - Contrat 121,34 heures</t>
  </si>
  <si>
    <t>1 journée par semaine - Temps complet</t>
  </si>
  <si>
    <t>1/2 journée par semaine - Temps complet</t>
  </si>
  <si>
    <t>1 journée par semaine - Temps partiel 1</t>
  </si>
  <si>
    <t>1/2 journée par semaine - Temps partiel 1</t>
  </si>
  <si>
    <t>1 journée par semaine - Temps partiel 2</t>
  </si>
  <si>
    <t>1/2 journée par semaine - Temps partiel 2</t>
  </si>
  <si>
    <t>Forfait 218 jours - 1 journée</t>
  </si>
  <si>
    <t>Forfait 235 jours - 1/2 journée</t>
  </si>
  <si>
    <t>Forfait 235 jours - 1 journée</t>
  </si>
  <si>
    <t>Forfait 218 jours</t>
  </si>
  <si>
    <t>Forfait 235 jours</t>
  </si>
  <si>
    <t>Forfait 218 jours - 1/2 journée</t>
  </si>
  <si>
    <t>Organisation du temps de travail</t>
  </si>
  <si>
    <t>Temps partiel</t>
  </si>
  <si>
    <t xml:space="preserve">Temps complet  </t>
  </si>
  <si>
    <t>Forfait jours</t>
  </si>
  <si>
    <t>2012-2013</t>
  </si>
  <si>
    <t>Calcul mois</t>
  </si>
  <si>
    <t>Conversion forfait jours</t>
  </si>
</sst>
</file>

<file path=xl/styles.xml><?xml version="1.0" encoding="utf-8"?>
<styleSheet xmlns="http://schemas.openxmlformats.org/spreadsheetml/2006/main">
  <numFmts count="16">
    <numFmt numFmtId="164" formatCode="_-* #,##0.00\ ___-;\-* #,##0.00\ ___-;_-* &quot;-&quot;??\ ___-;_-@_-"/>
    <numFmt numFmtId="165" formatCode="[$-F800]dddd\,\ mmmm\ dd\,\ yyyy"/>
    <numFmt numFmtId="166" formatCode="dddd\ dd"/>
    <numFmt numFmtId="167" formatCode="dddd\ dd\-mmm\-yyyy"/>
    <numFmt numFmtId="168" formatCode="[hh]:mm"/>
    <numFmt numFmtId="169" formatCode="h:mm;@"/>
    <numFmt numFmtId="170" formatCode="h:mm\ ;\-h:mm;&quot;&quot;;@"/>
    <numFmt numFmtId="171" formatCode="_-* #,##0.0\ ___-;\-* #,##0.0\ ___-;_-* &quot;-&quot;??\ ___-;_-@_-"/>
    <numFmt numFmtId="172" formatCode="_-* #,##0\ ___-;\-* #,##0\ ___-;_-* &quot;-&quot;??\ ___-;_-@_-"/>
    <numFmt numFmtId="173" formatCode="dddd\ dd\ mmmm\ yyyy"/>
    <numFmt numFmtId="174" formatCode="[h]:mm\ ;\-[h]:mm;&quot;&quot;;@"/>
    <numFmt numFmtId="175" formatCode="0_ ;\-0\ ;&quot;-&quot;"/>
    <numFmt numFmtId="176" formatCode="[h]:mm;@"/>
    <numFmt numFmtId="177" formatCode="0.0"/>
    <numFmt numFmtId="178" formatCode="m"/>
    <numFmt numFmtId="179" formatCode="[$-40C]mmmm\-yy;@"/>
  </numFmts>
  <fonts count="42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8"/>
      <color indexed="20"/>
      <name val="Arial"/>
      <family val="2"/>
    </font>
    <font>
      <sz val="10"/>
      <name val="Verdana"/>
      <family val="2"/>
    </font>
    <font>
      <b/>
      <sz val="8"/>
      <color indexed="20"/>
      <name val="Verdana"/>
      <family val="2"/>
    </font>
    <font>
      <sz val="12"/>
      <name val="Verdana"/>
      <family val="2"/>
    </font>
    <font>
      <sz val="10"/>
      <color indexed="9"/>
      <name val="Verdana"/>
      <family val="2"/>
    </font>
    <font>
      <b/>
      <sz val="16"/>
      <name val="Verdana"/>
      <family val="2"/>
    </font>
    <font>
      <b/>
      <sz val="12"/>
      <color indexed="9"/>
      <name val="Verdana"/>
      <family val="2"/>
    </font>
    <font>
      <sz val="10"/>
      <color indexed="43"/>
      <name val="Verdana"/>
      <family val="2"/>
    </font>
    <font>
      <b/>
      <sz val="10"/>
      <color indexed="43"/>
      <name val="Verdana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0"/>
      <color indexed="81"/>
      <name val="Tahoma"/>
      <family val="2"/>
    </font>
    <font>
      <sz val="10"/>
      <color indexed="8"/>
      <name val="Verdana"/>
      <family val="2"/>
    </font>
    <font>
      <b/>
      <sz val="12"/>
      <color indexed="8"/>
      <name val="Verdana"/>
      <family val="2"/>
    </font>
    <font>
      <sz val="8"/>
      <name val="Arial"/>
      <family val="2"/>
    </font>
    <font>
      <b/>
      <sz val="10"/>
      <color indexed="8"/>
      <name val="Arial Narrow"/>
      <family val="2"/>
    </font>
    <font>
      <sz val="10"/>
      <name val="Arial Narrow"/>
      <family val="2"/>
    </font>
    <font>
      <b/>
      <sz val="10"/>
      <name val="Arial Narrow"/>
      <family val="2"/>
    </font>
    <font>
      <sz val="10"/>
      <color indexed="63"/>
      <name val="Arial Narrow"/>
      <family val="2"/>
    </font>
    <font>
      <b/>
      <sz val="8"/>
      <color indexed="20"/>
      <name val="Arial Narrow"/>
      <family val="2"/>
    </font>
    <font>
      <b/>
      <sz val="10"/>
      <color indexed="13"/>
      <name val="Arial Narrow"/>
      <family val="2"/>
    </font>
    <font>
      <sz val="10"/>
      <color indexed="13"/>
      <name val="Arial Narrow"/>
      <family val="2"/>
    </font>
    <font>
      <u/>
      <sz val="10"/>
      <color indexed="12"/>
      <name val="Arial Narrow"/>
      <family val="2"/>
    </font>
    <font>
      <b/>
      <sz val="12"/>
      <name val="Arial Narrow"/>
      <family val="2"/>
    </font>
    <font>
      <sz val="11"/>
      <name val="Arial Narrow"/>
      <family val="2"/>
    </font>
    <font>
      <sz val="11"/>
      <color indexed="10"/>
      <name val="Arial Narrow"/>
      <family val="2"/>
    </font>
    <font>
      <b/>
      <sz val="14"/>
      <color indexed="8"/>
      <name val="Arial Narrow"/>
      <family val="2"/>
    </font>
    <font>
      <b/>
      <sz val="12"/>
      <color indexed="20"/>
      <name val="Arial Narrow"/>
      <family val="2"/>
    </font>
    <font>
      <b/>
      <sz val="12"/>
      <color indexed="8"/>
      <name val="Arial Narrow"/>
      <family val="2"/>
    </font>
    <font>
      <i/>
      <sz val="10"/>
      <name val="Arial Narrow"/>
      <family val="2"/>
    </font>
    <font>
      <sz val="12"/>
      <name val="Arial Narrow"/>
      <family val="2"/>
    </font>
    <font>
      <sz val="8"/>
      <name val="Tahoma"/>
      <family val="2"/>
    </font>
    <font>
      <sz val="12"/>
      <color indexed="20"/>
      <name val="Arial Narrow"/>
      <family val="2"/>
    </font>
    <font>
      <b/>
      <sz val="12"/>
      <color indexed="57"/>
      <name val="Arial Narrow"/>
      <family val="2"/>
    </font>
    <font>
      <b/>
      <sz val="12"/>
      <color indexed="17"/>
      <name val="Arial Narrow"/>
      <family val="2"/>
    </font>
    <font>
      <b/>
      <sz val="12"/>
      <color indexed="17"/>
      <name val="Arial Narrow"/>
      <family val="2"/>
    </font>
    <font>
      <b/>
      <sz val="10"/>
      <color indexed="17"/>
      <name val="Verdana"/>
      <family val="2"/>
    </font>
    <font>
      <sz val="14"/>
      <name val="Verdana"/>
      <family val="2"/>
    </font>
    <font>
      <b/>
      <sz val="14"/>
      <name val="Verdana"/>
      <family val="2"/>
    </font>
  </fonts>
  <fills count="17">
    <fill>
      <patternFill patternType="none"/>
    </fill>
    <fill>
      <patternFill patternType="gray125"/>
    </fill>
    <fill>
      <patternFill patternType="lightGray">
        <fgColor indexed="9"/>
        <bgColor indexed="22"/>
      </patternFill>
    </fill>
    <fill>
      <patternFill patternType="solid">
        <fgColor indexed="22"/>
        <bgColor indexed="64"/>
      </patternFill>
    </fill>
    <fill>
      <patternFill patternType="solid">
        <fgColor indexed="22"/>
        <bgColor indexed="12"/>
      </patternFill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64"/>
      </patternFill>
    </fill>
    <fill>
      <patternFill patternType="solid">
        <fgColor indexed="9"/>
        <bgColor indexed="22"/>
      </patternFill>
    </fill>
    <fill>
      <patternFill patternType="solid">
        <fgColor indexed="55"/>
        <bgColor indexed="22"/>
      </patternFill>
    </fill>
    <fill>
      <patternFill patternType="solid">
        <fgColor indexed="10"/>
        <bgColor indexed="64"/>
      </patternFill>
    </fill>
    <fill>
      <patternFill patternType="mediumGray">
        <fgColor indexed="9"/>
        <bgColor indexed="22"/>
      </patternFill>
    </fill>
    <fill>
      <patternFill patternType="solid">
        <fgColor indexed="13"/>
        <bgColor indexed="64"/>
      </patternFill>
    </fill>
  </fills>
  <borders count="9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9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9"/>
      </top>
      <bottom style="medium">
        <color indexed="9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9"/>
      </top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7">
    <xf numFmtId="0" fontId="0" fillId="0" borderId="0"/>
    <xf numFmtId="0" fontId="1" fillId="2" borderId="0" applyNumberFormat="0" applyFont="0" applyBorder="0" applyAlignment="0" applyProtection="0"/>
    <xf numFmtId="0" fontId="1" fillId="3" borderId="1" applyNumberFormat="0" applyFont="0" applyBorder="0" applyAlignment="0">
      <alignment vertical="top"/>
    </xf>
    <xf numFmtId="0" fontId="2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1" fillId="0" borderId="0"/>
    <xf numFmtId="0" fontId="1" fillId="0" borderId="0">
      <alignment vertical="center"/>
    </xf>
  </cellStyleXfs>
  <cellXfs count="427">
    <xf numFmtId="0" fontId="0" fillId="0" borderId="0" xfId="0"/>
    <xf numFmtId="0" fontId="3" fillId="0" borderId="0" xfId="0" applyFont="1" applyBorder="1" applyAlignment="1" applyProtection="1">
      <alignment vertical="center"/>
    </xf>
    <xf numFmtId="20" fontId="3" fillId="0" borderId="0" xfId="0" applyNumberFormat="1" applyFont="1" applyBorder="1" applyAlignment="1" applyProtection="1">
      <alignment vertical="center"/>
    </xf>
    <xf numFmtId="0" fontId="4" fillId="0" borderId="0" xfId="0" applyFont="1"/>
    <xf numFmtId="0" fontId="4" fillId="0" borderId="0" xfId="0" applyFont="1" applyAlignment="1">
      <alignment vertical="center"/>
    </xf>
    <xf numFmtId="166" fontId="4" fillId="0" borderId="0" xfId="0" applyNumberFormat="1" applyFont="1"/>
    <xf numFmtId="0" fontId="5" fillId="4" borderId="2" xfId="0" applyFont="1" applyFill="1" applyBorder="1" applyAlignment="1" applyProtection="1">
      <alignment horizontal="center" vertical="center"/>
    </xf>
    <xf numFmtId="0" fontId="5" fillId="4" borderId="3" xfId="0" applyFont="1" applyFill="1" applyBorder="1" applyAlignment="1" applyProtection="1">
      <alignment horizontal="center" vertical="center"/>
    </xf>
    <xf numFmtId="0" fontId="5" fillId="4" borderId="4" xfId="0" applyFont="1" applyFill="1" applyBorder="1" applyAlignment="1" applyProtection="1">
      <alignment vertical="center"/>
    </xf>
    <xf numFmtId="0" fontId="5" fillId="0" borderId="5" xfId="0" applyFont="1" applyBorder="1" applyAlignment="1" applyProtection="1">
      <alignment vertical="center"/>
    </xf>
    <xf numFmtId="0" fontId="5" fillId="0" borderId="5" xfId="0" applyFont="1" applyBorder="1" applyAlignment="1" applyProtection="1">
      <alignment horizontal="center" vertical="center"/>
    </xf>
    <xf numFmtId="0" fontId="5" fillId="0" borderId="6" xfId="0" applyFont="1" applyBorder="1" applyAlignment="1" applyProtection="1">
      <alignment horizontal="left" vertical="center"/>
    </xf>
    <xf numFmtId="0" fontId="5" fillId="0" borderId="7" xfId="0" applyFont="1" applyBorder="1" applyAlignment="1" applyProtection="1">
      <alignment vertical="center"/>
    </xf>
    <xf numFmtId="0" fontId="6" fillId="0" borderId="0" xfId="0" applyFont="1"/>
    <xf numFmtId="0" fontId="6" fillId="0" borderId="0" xfId="0" applyFont="1" applyAlignment="1">
      <alignment horizontal="right"/>
    </xf>
    <xf numFmtId="0" fontId="4" fillId="5" borderId="8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 wrapText="1"/>
    </xf>
    <xf numFmtId="0" fontId="4" fillId="5" borderId="10" xfId="0" applyFont="1" applyFill="1" applyBorder="1" applyAlignment="1">
      <alignment horizontal="center" vertical="center" wrapText="1"/>
    </xf>
    <xf numFmtId="0" fontId="4" fillId="5" borderId="11" xfId="0" applyFont="1" applyFill="1" applyBorder="1" applyAlignment="1">
      <alignment horizontal="center" vertical="center"/>
    </xf>
    <xf numFmtId="14" fontId="6" fillId="0" borderId="0" xfId="0" applyNumberFormat="1" applyFont="1"/>
    <xf numFmtId="166" fontId="6" fillId="0" borderId="12" xfId="0" applyNumberFormat="1" applyFont="1" applyBorder="1" applyAlignment="1">
      <alignment vertical="center"/>
    </xf>
    <xf numFmtId="170" fontId="6" fillId="0" borderId="13" xfId="0" applyNumberFormat="1" applyFont="1" applyBorder="1" applyAlignment="1">
      <alignment horizontal="center" vertical="center"/>
    </xf>
    <xf numFmtId="170" fontId="6" fillId="0" borderId="14" xfId="0" applyNumberFormat="1" applyFont="1" applyBorder="1" applyAlignment="1">
      <alignment horizontal="center" vertical="center"/>
    </xf>
    <xf numFmtId="172" fontId="6" fillId="0" borderId="14" xfId="4" applyNumberFormat="1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 wrapText="1"/>
    </xf>
    <xf numFmtId="170" fontId="6" fillId="0" borderId="16" xfId="0" applyNumberFormat="1" applyFont="1" applyBorder="1" applyAlignment="1">
      <alignment horizontal="center" vertical="center"/>
    </xf>
    <xf numFmtId="166" fontId="6" fillId="0" borderId="16" xfId="0" applyNumberFormat="1" applyFont="1" applyBorder="1" applyAlignment="1">
      <alignment vertical="center"/>
    </xf>
    <xf numFmtId="166" fontId="6" fillId="6" borderId="16" xfId="0" applyNumberFormat="1" applyFont="1" applyFill="1" applyBorder="1" applyAlignment="1">
      <alignment vertical="center"/>
    </xf>
    <xf numFmtId="170" fontId="6" fillId="6" borderId="13" xfId="0" applyNumberFormat="1" applyFont="1" applyFill="1" applyBorder="1" applyAlignment="1">
      <alignment horizontal="center" vertical="center"/>
    </xf>
    <xf numFmtId="170" fontId="6" fillId="6" borderId="14" xfId="0" applyNumberFormat="1" applyFont="1" applyFill="1" applyBorder="1" applyAlignment="1">
      <alignment horizontal="center" vertical="center"/>
    </xf>
    <xf numFmtId="172" fontId="6" fillId="6" borderId="14" xfId="4" applyNumberFormat="1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/>
    </xf>
    <xf numFmtId="170" fontId="6" fillId="6" borderId="16" xfId="0" applyNumberFormat="1" applyFont="1" applyFill="1" applyBorder="1" applyAlignment="1">
      <alignment horizontal="center" vertical="center"/>
    </xf>
    <xf numFmtId="166" fontId="6" fillId="6" borderId="17" xfId="0" applyNumberFormat="1" applyFont="1" applyFill="1" applyBorder="1" applyAlignment="1">
      <alignment vertical="center"/>
    </xf>
    <xf numFmtId="170" fontId="6" fillId="6" borderId="18" xfId="0" applyNumberFormat="1" applyFont="1" applyFill="1" applyBorder="1" applyAlignment="1">
      <alignment horizontal="center" vertical="center"/>
    </xf>
    <xf numFmtId="170" fontId="6" fillId="6" borderId="19" xfId="0" applyNumberFormat="1" applyFont="1" applyFill="1" applyBorder="1" applyAlignment="1">
      <alignment horizontal="center" vertical="center"/>
    </xf>
    <xf numFmtId="172" fontId="6" fillId="6" borderId="19" xfId="4" applyNumberFormat="1" applyFont="1" applyFill="1" applyBorder="1" applyAlignment="1">
      <alignment horizontal="center" vertical="center"/>
    </xf>
    <xf numFmtId="0" fontId="6" fillId="6" borderId="20" xfId="0" applyFont="1" applyFill="1" applyBorder="1" applyAlignment="1">
      <alignment horizontal="center" vertical="center"/>
    </xf>
    <xf numFmtId="170" fontId="6" fillId="6" borderId="17" xfId="0" applyNumberFormat="1" applyFont="1" applyFill="1" applyBorder="1" applyAlignment="1">
      <alignment horizontal="center" vertical="center"/>
    </xf>
    <xf numFmtId="166" fontId="6" fillId="7" borderId="21" xfId="0" applyNumberFormat="1" applyFont="1" applyFill="1" applyBorder="1" applyAlignment="1">
      <alignment vertical="center"/>
    </xf>
    <xf numFmtId="170" fontId="6" fillId="7" borderId="22" xfId="0" applyNumberFormat="1" applyFont="1" applyFill="1" applyBorder="1" applyAlignment="1">
      <alignment horizontal="center" vertical="center"/>
    </xf>
    <xf numFmtId="168" fontId="6" fillId="7" borderId="22" xfId="0" applyNumberFormat="1" applyFont="1" applyFill="1" applyBorder="1" applyAlignment="1">
      <alignment horizontal="center" vertical="center"/>
    </xf>
    <xf numFmtId="172" fontId="6" fillId="7" borderId="22" xfId="4" applyNumberFormat="1" applyFont="1" applyFill="1" applyBorder="1" applyAlignment="1">
      <alignment horizontal="center" vertical="center"/>
    </xf>
    <xf numFmtId="0" fontId="6" fillId="7" borderId="22" xfId="0" applyFont="1" applyFill="1" applyBorder="1" applyAlignment="1">
      <alignment horizontal="center" vertical="center"/>
    </xf>
    <xf numFmtId="0" fontId="5" fillId="4" borderId="11" xfId="0" applyFont="1" applyFill="1" applyBorder="1" applyAlignment="1" applyProtection="1">
      <alignment horizontal="center" vertical="center" wrapText="1"/>
    </xf>
    <xf numFmtId="0" fontId="5" fillId="4" borderId="23" xfId="0" applyFont="1" applyFill="1" applyBorder="1" applyAlignment="1" applyProtection="1">
      <alignment horizontal="center" vertical="center" wrapText="1"/>
    </xf>
    <xf numFmtId="0" fontId="5" fillId="4" borderId="2" xfId="0" applyFont="1" applyFill="1" applyBorder="1" applyAlignment="1" applyProtection="1">
      <alignment vertical="center"/>
    </xf>
    <xf numFmtId="0" fontId="0" fillId="0" borderId="0" xfId="0" applyAlignment="1">
      <alignment vertical="top"/>
    </xf>
    <xf numFmtId="0" fontId="0" fillId="3" borderId="1" xfId="2" applyFont="1" applyBorder="1" applyAlignment="1">
      <alignment vertical="top"/>
    </xf>
    <xf numFmtId="0" fontId="0" fillId="3" borderId="0" xfId="2" applyFont="1" applyBorder="1" applyAlignment="1">
      <alignment vertical="top"/>
    </xf>
    <xf numFmtId="0" fontId="10" fillId="2" borderId="0" xfId="1" applyFont="1" applyBorder="1"/>
    <xf numFmtId="0" fontId="9" fillId="2" borderId="0" xfId="1" applyFont="1" applyBorder="1" applyAlignment="1" applyProtection="1">
      <alignment horizontal="center" vertical="center"/>
      <protection locked="0"/>
    </xf>
    <xf numFmtId="0" fontId="7" fillId="2" borderId="0" xfId="1" applyFont="1" applyBorder="1" applyAlignment="1">
      <alignment horizontal="center"/>
    </xf>
    <xf numFmtId="0" fontId="10" fillId="2" borderId="24" xfId="1" applyFont="1" applyBorder="1"/>
    <xf numFmtId="0" fontId="16" fillId="2" borderId="0" xfId="1" applyFont="1" applyBorder="1" applyAlignment="1" applyProtection="1">
      <alignment horizontal="center" vertical="center"/>
    </xf>
    <xf numFmtId="0" fontId="15" fillId="2" borderId="24" xfId="1" applyFont="1" applyBorder="1"/>
    <xf numFmtId="0" fontId="15" fillId="2" borderId="0" xfId="1" applyFont="1" applyBorder="1"/>
    <xf numFmtId="0" fontId="15" fillId="2" borderId="0" xfId="1" applyFont="1" applyBorder="1" applyAlignment="1">
      <alignment horizontal="center"/>
    </xf>
    <xf numFmtId="172" fontId="11" fillId="2" borderId="0" xfId="1" applyNumberFormat="1" applyFont="1" applyBorder="1" applyAlignment="1">
      <alignment horizontal="center" vertical="center"/>
    </xf>
    <xf numFmtId="0" fontId="4" fillId="2" borderId="25" xfId="1" applyFont="1" applyBorder="1"/>
    <xf numFmtId="0" fontId="4" fillId="2" borderId="26" xfId="1" applyFont="1" applyBorder="1"/>
    <xf numFmtId="0" fontId="0" fillId="3" borderId="0" xfId="2" applyFont="1" applyBorder="1" applyAlignment="1" applyProtection="1">
      <protection hidden="1"/>
    </xf>
    <xf numFmtId="0" fontId="0" fillId="0" borderId="0" xfId="0" applyProtection="1">
      <protection hidden="1"/>
    </xf>
    <xf numFmtId="168" fontId="0" fillId="0" borderId="0" xfId="0" applyNumberFormat="1" applyProtection="1">
      <protection hidden="1"/>
    </xf>
    <xf numFmtId="166" fontId="6" fillId="7" borderId="0" xfId="0" applyNumberFormat="1" applyFont="1" applyFill="1" applyBorder="1" applyAlignment="1">
      <alignment vertical="center"/>
    </xf>
    <xf numFmtId="170" fontId="6" fillId="7" borderId="0" xfId="0" applyNumberFormat="1" applyFont="1" applyFill="1" applyBorder="1" applyAlignment="1">
      <alignment horizontal="center" vertical="center"/>
    </xf>
    <xf numFmtId="168" fontId="6" fillId="7" borderId="0" xfId="0" applyNumberFormat="1" applyFont="1" applyFill="1" applyBorder="1" applyAlignment="1">
      <alignment horizontal="center" vertical="center"/>
    </xf>
    <xf numFmtId="172" fontId="6" fillId="7" borderId="0" xfId="4" applyNumberFormat="1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center" vertical="center"/>
    </xf>
    <xf numFmtId="165" fontId="6" fillId="0" borderId="0" xfId="0" applyNumberFormat="1" applyFont="1" applyAlignment="1">
      <alignment horizontal="left"/>
    </xf>
    <xf numFmtId="0" fontId="19" fillId="0" borderId="0" xfId="6" applyFont="1">
      <alignment vertical="center"/>
    </xf>
    <xf numFmtId="0" fontId="19" fillId="0" borderId="0" xfId="6" applyFont="1" applyAlignment="1">
      <alignment horizontal="center"/>
    </xf>
    <xf numFmtId="0" fontId="19" fillId="5" borderId="0" xfId="6" applyFont="1" applyFill="1" applyAlignment="1">
      <alignment horizontal="center"/>
    </xf>
    <xf numFmtId="0" fontId="19" fillId="0" borderId="0" xfId="0" applyFont="1"/>
    <xf numFmtId="165" fontId="19" fillId="0" borderId="0" xfId="0" applyNumberFormat="1" applyFont="1"/>
    <xf numFmtId="0" fontId="19" fillId="0" borderId="0" xfId="0" applyFont="1" applyAlignment="1">
      <alignment wrapText="1"/>
    </xf>
    <xf numFmtId="0" fontId="20" fillId="0" borderId="0" xfId="6" applyFont="1">
      <alignment vertical="center"/>
    </xf>
    <xf numFmtId="0" fontId="19" fillId="7" borderId="11" xfId="6" applyFont="1" applyFill="1" applyBorder="1" applyAlignment="1">
      <alignment horizontal="center" vertical="center"/>
    </xf>
    <xf numFmtId="0" fontId="19" fillId="0" borderId="0" xfId="6" applyFont="1" applyAlignment="1">
      <alignment horizontal="right" vertical="center"/>
    </xf>
    <xf numFmtId="167" fontId="19" fillId="0" borderId="11" xfId="6" quotePrefix="1" applyNumberFormat="1" applyFont="1" applyBorder="1" applyAlignment="1">
      <alignment vertical="center"/>
    </xf>
    <xf numFmtId="167" fontId="19" fillId="0" borderId="27" xfId="6" applyNumberFormat="1" applyFont="1" applyBorder="1" applyAlignment="1">
      <alignment vertical="center"/>
    </xf>
    <xf numFmtId="0" fontId="22" fillId="0" borderId="0" xfId="0" applyFont="1" applyBorder="1" applyAlignment="1" applyProtection="1">
      <alignment vertical="center"/>
    </xf>
    <xf numFmtId="0" fontId="19" fillId="0" borderId="0" xfId="6" applyFont="1" applyBorder="1" applyAlignment="1">
      <alignment horizontal="center" vertical="center"/>
    </xf>
    <xf numFmtId="169" fontId="19" fillId="0" borderId="0" xfId="6" applyNumberFormat="1" applyFont="1" applyBorder="1">
      <alignment vertical="center"/>
    </xf>
    <xf numFmtId="167" fontId="19" fillId="0" borderId="23" xfId="6" applyNumberFormat="1" applyFont="1" applyBorder="1" applyAlignment="1">
      <alignment vertical="center"/>
    </xf>
    <xf numFmtId="0" fontId="19" fillId="7" borderId="28" xfId="6" applyFont="1" applyFill="1" applyBorder="1" applyAlignment="1">
      <alignment horizontal="center" vertical="center" wrapText="1"/>
    </xf>
    <xf numFmtId="0" fontId="19" fillId="7" borderId="12" xfId="6" applyFont="1" applyFill="1" applyBorder="1" applyAlignment="1">
      <alignment horizontal="center" vertical="center"/>
    </xf>
    <xf numFmtId="0" fontId="19" fillId="0" borderId="13" xfId="6" applyFont="1" applyBorder="1">
      <alignment vertical="center"/>
    </xf>
    <xf numFmtId="169" fontId="19" fillId="0" borderId="15" xfId="6" applyNumberFormat="1" applyFont="1" applyBorder="1">
      <alignment vertical="center"/>
    </xf>
    <xf numFmtId="0" fontId="19" fillId="0" borderId="16" xfId="6" applyFont="1" applyBorder="1">
      <alignment vertical="center"/>
    </xf>
    <xf numFmtId="0" fontId="19" fillId="0" borderId="29" xfId="6" applyFont="1" applyBorder="1">
      <alignment vertical="center"/>
    </xf>
    <xf numFmtId="0" fontId="22" fillId="7" borderId="28" xfId="0" applyFont="1" applyFill="1" applyBorder="1" applyAlignment="1" applyProtection="1">
      <alignment horizontal="center" vertical="center"/>
    </xf>
    <xf numFmtId="0" fontId="19" fillId="7" borderId="30" xfId="6" applyFont="1" applyFill="1" applyBorder="1" applyAlignment="1">
      <alignment horizontal="center" vertical="center"/>
    </xf>
    <xf numFmtId="0" fontId="19" fillId="0" borderId="13" xfId="6" applyFont="1" applyBorder="1" applyAlignment="1">
      <alignment horizontal="center" vertical="center"/>
    </xf>
    <xf numFmtId="0" fontId="19" fillId="0" borderId="29" xfId="6" applyFont="1" applyBorder="1" applyAlignment="1">
      <alignment horizontal="center" vertical="center"/>
    </xf>
    <xf numFmtId="169" fontId="19" fillId="0" borderId="31" xfId="6" applyNumberFormat="1" applyFont="1" applyBorder="1">
      <alignment vertical="center"/>
    </xf>
    <xf numFmtId="0" fontId="19" fillId="7" borderId="11" xfId="6" applyFont="1" applyFill="1" applyBorder="1">
      <alignment vertical="center"/>
    </xf>
    <xf numFmtId="167" fontId="19" fillId="0" borderId="27" xfId="6" quotePrefix="1" applyNumberFormat="1" applyFont="1" applyBorder="1" applyAlignment="1">
      <alignment vertical="center"/>
    </xf>
    <xf numFmtId="167" fontId="19" fillId="0" borderId="27" xfId="6" applyNumberFormat="1" applyFont="1" applyBorder="1">
      <alignment vertical="center"/>
    </xf>
    <xf numFmtId="167" fontId="19" fillId="0" borderId="0" xfId="6" applyNumberFormat="1" applyFont="1" applyBorder="1">
      <alignment vertical="center"/>
    </xf>
    <xf numFmtId="167" fontId="19" fillId="0" borderId="23" xfId="6" applyNumberFormat="1" applyFont="1" applyBorder="1">
      <alignment vertical="center"/>
    </xf>
    <xf numFmtId="165" fontId="21" fillId="0" borderId="27" xfId="0" applyNumberFormat="1" applyFont="1" applyBorder="1" applyAlignment="1"/>
    <xf numFmtId="0" fontId="19" fillId="7" borderId="30" xfId="6" applyFont="1" applyFill="1" applyBorder="1" applyAlignment="1">
      <alignment vertical="center" wrapText="1"/>
    </xf>
    <xf numFmtId="177" fontId="19" fillId="0" borderId="15" xfId="6" applyNumberFormat="1" applyFont="1" applyBorder="1">
      <alignment vertical="center"/>
    </xf>
    <xf numFmtId="177" fontId="19" fillId="0" borderId="31" xfId="6" applyNumberFormat="1" applyFont="1" applyBorder="1">
      <alignment vertical="center"/>
    </xf>
    <xf numFmtId="0" fontId="22" fillId="8" borderId="13" xfId="0" applyFont="1" applyFill="1" applyBorder="1" applyAlignment="1" applyProtection="1">
      <alignment vertical="center"/>
    </xf>
    <xf numFmtId="0" fontId="22" fillId="0" borderId="13" xfId="0" applyFont="1" applyBorder="1" applyAlignment="1" applyProtection="1">
      <alignment vertical="center"/>
    </xf>
    <xf numFmtId="0" fontId="22" fillId="0" borderId="29" xfId="0" applyFont="1" applyBorder="1" applyAlignment="1" applyProtection="1">
      <alignment vertical="center"/>
    </xf>
    <xf numFmtId="0" fontId="19" fillId="0" borderId="32" xfId="6" applyFont="1" applyBorder="1">
      <alignment vertical="center"/>
    </xf>
    <xf numFmtId="0" fontId="19" fillId="5" borderId="30" xfId="0" applyFont="1" applyFill="1" applyBorder="1" applyAlignment="1">
      <alignment horizontal="center" wrapText="1"/>
    </xf>
    <xf numFmtId="0" fontId="19" fillId="2" borderId="33" xfId="1" applyFont="1" applyBorder="1"/>
    <xf numFmtId="0" fontId="19" fillId="5" borderId="34" xfId="0" applyFont="1" applyFill="1" applyBorder="1" applyAlignment="1">
      <alignment horizontal="center" wrapText="1"/>
    </xf>
    <xf numFmtId="0" fontId="19" fillId="5" borderId="28" xfId="0" applyFont="1" applyFill="1" applyBorder="1" applyAlignment="1">
      <alignment horizontal="center" wrapText="1"/>
    </xf>
    <xf numFmtId="0" fontId="19" fillId="9" borderId="33" xfId="0" applyFont="1" applyFill="1" applyBorder="1"/>
    <xf numFmtId="0" fontId="19" fillId="5" borderId="35" xfId="0" applyFont="1" applyFill="1" applyBorder="1" applyAlignment="1">
      <alignment horizontal="center" wrapText="1"/>
    </xf>
    <xf numFmtId="0" fontId="19" fillId="5" borderId="36" xfId="0" applyFont="1" applyFill="1" applyBorder="1" applyAlignment="1">
      <alignment horizontal="center" wrapText="1"/>
    </xf>
    <xf numFmtId="0" fontId="19" fillId="3" borderId="0" xfId="2" applyFont="1" applyBorder="1" applyAlignment="1"/>
    <xf numFmtId="165" fontId="18" fillId="2" borderId="1" xfId="1" applyNumberFormat="1" applyFont="1" applyBorder="1" applyAlignment="1">
      <alignment horizontal="center"/>
    </xf>
    <xf numFmtId="165" fontId="18" fillId="2" borderId="0" xfId="1" applyNumberFormat="1" applyFont="1" applyBorder="1" applyAlignment="1">
      <alignment horizontal="right"/>
    </xf>
    <xf numFmtId="172" fontId="19" fillId="0" borderId="23" xfId="4" applyNumberFormat="1" applyFont="1" applyBorder="1"/>
    <xf numFmtId="0" fontId="19" fillId="2" borderId="0" xfId="1" applyFont="1" applyBorder="1"/>
    <xf numFmtId="0" fontId="19" fillId="0" borderId="37" xfId="0" applyFont="1" applyBorder="1"/>
    <xf numFmtId="0" fontId="19" fillId="0" borderId="29" xfId="0" applyFont="1" applyBorder="1" applyAlignment="1" applyProtection="1">
      <alignment horizontal="center"/>
      <protection locked="0"/>
    </xf>
    <xf numFmtId="0" fontId="19" fillId="9" borderId="38" xfId="0" quotePrefix="1" applyFont="1" applyFill="1" applyBorder="1" applyAlignment="1">
      <alignment horizontal="left"/>
    </xf>
    <xf numFmtId="165" fontId="23" fillId="9" borderId="0" xfId="0" applyNumberFormat="1" applyFont="1" applyFill="1" applyBorder="1" applyAlignment="1">
      <alignment horizontal="center"/>
    </xf>
    <xf numFmtId="0" fontId="19" fillId="9" borderId="0" xfId="0" applyFont="1" applyFill="1" applyBorder="1"/>
    <xf numFmtId="0" fontId="24" fillId="9" borderId="0" xfId="0" applyFont="1" applyFill="1" applyBorder="1" applyAlignment="1">
      <alignment horizontal="center"/>
    </xf>
    <xf numFmtId="0" fontId="19" fillId="0" borderId="23" xfId="0" applyFont="1" applyBorder="1" applyAlignment="1">
      <alignment horizontal="center"/>
    </xf>
    <xf numFmtId="174" fontId="19" fillId="9" borderId="23" xfId="0" applyNumberFormat="1" applyFont="1" applyFill="1" applyBorder="1"/>
    <xf numFmtId="0" fontId="19" fillId="2" borderId="39" xfId="1" applyFont="1" applyBorder="1"/>
    <xf numFmtId="0" fontId="19" fillId="2" borderId="6" xfId="1" applyFont="1" applyBorder="1"/>
    <xf numFmtId="0" fontId="19" fillId="2" borderId="5" xfId="1" applyFont="1" applyBorder="1"/>
    <xf numFmtId="0" fontId="19" fillId="2" borderId="5" xfId="1" applyFont="1" applyBorder="1" applyAlignment="1">
      <alignment horizontal="center"/>
    </xf>
    <xf numFmtId="0" fontId="19" fillId="2" borderId="7" xfId="1" applyFont="1" applyBorder="1"/>
    <xf numFmtId="0" fontId="19" fillId="5" borderId="35" xfId="0" applyFont="1" applyFill="1" applyBorder="1" applyAlignment="1">
      <alignment horizontal="center" shrinkToFit="1"/>
    </xf>
    <xf numFmtId="0" fontId="19" fillId="5" borderId="35" xfId="0" applyFont="1" applyFill="1" applyBorder="1" applyAlignment="1">
      <alignment horizontal="center"/>
    </xf>
    <xf numFmtId="0" fontId="19" fillId="5" borderId="40" xfId="0" applyFont="1" applyFill="1" applyBorder="1" applyAlignment="1">
      <alignment horizontal="center"/>
    </xf>
    <xf numFmtId="0" fontId="19" fillId="5" borderId="41" xfId="0" applyFont="1" applyFill="1" applyBorder="1" applyAlignment="1">
      <alignment horizontal="center"/>
    </xf>
    <xf numFmtId="0" fontId="19" fillId="5" borderId="36" xfId="0" applyFont="1" applyFill="1" applyBorder="1" applyAlignment="1">
      <alignment horizontal="center"/>
    </xf>
    <xf numFmtId="0" fontId="19" fillId="5" borderId="2" xfId="0" applyFont="1" applyFill="1" applyBorder="1" applyAlignment="1">
      <alignment horizontal="center"/>
    </xf>
    <xf numFmtId="0" fontId="19" fillId="5" borderId="4" xfId="0" applyFont="1" applyFill="1" applyBorder="1" applyAlignment="1">
      <alignment horizontal="center" wrapText="1"/>
    </xf>
    <xf numFmtId="0" fontId="19" fillId="5" borderId="42" xfId="0" applyFont="1" applyFill="1" applyBorder="1" applyAlignment="1">
      <alignment horizontal="center" wrapText="1"/>
    </xf>
    <xf numFmtId="0" fontId="19" fillId="5" borderId="11" xfId="0" applyFont="1" applyFill="1" applyBorder="1" applyAlignment="1">
      <alignment horizontal="center" wrapText="1"/>
    </xf>
    <xf numFmtId="20" fontId="19" fillId="0" borderId="43" xfId="0" applyNumberFormat="1" applyFont="1" applyBorder="1" applyProtection="1">
      <protection locked="0"/>
    </xf>
    <xf numFmtId="20" fontId="19" fillId="0" borderId="44" xfId="0" applyNumberFormat="1" applyFont="1" applyBorder="1" applyProtection="1">
      <protection locked="0"/>
    </xf>
    <xf numFmtId="20" fontId="19" fillId="0" borderId="45" xfId="0" applyNumberFormat="1" applyFont="1" applyBorder="1" applyProtection="1">
      <protection locked="0"/>
    </xf>
    <xf numFmtId="170" fontId="19" fillId="0" borderId="46" xfId="0" applyNumberFormat="1" applyFont="1" applyBorder="1"/>
    <xf numFmtId="0" fontId="19" fillId="0" borderId="30" xfId="0" applyFont="1" applyBorder="1" applyProtection="1">
      <protection locked="0"/>
    </xf>
    <xf numFmtId="0" fontId="19" fillId="0" borderId="16" xfId="0" applyFont="1" applyBorder="1" applyAlignment="1" applyProtection="1">
      <alignment horizontal="center"/>
    </xf>
    <xf numFmtId="169" fontId="19" fillId="0" borderId="47" xfId="0" applyNumberFormat="1" applyFont="1" applyBorder="1"/>
    <xf numFmtId="0" fontId="19" fillId="0" borderId="48" xfId="0" applyFont="1" applyBorder="1"/>
    <xf numFmtId="0" fontId="19" fillId="0" borderId="43" xfId="0" applyFont="1" applyBorder="1"/>
    <xf numFmtId="0" fontId="19" fillId="0" borderId="47" xfId="0" applyFont="1" applyBorder="1"/>
    <xf numFmtId="0" fontId="19" fillId="0" borderId="49" xfId="0" applyFont="1" applyBorder="1"/>
    <xf numFmtId="0" fontId="19" fillId="0" borderId="46" xfId="0" applyFont="1" applyBorder="1"/>
    <xf numFmtId="0" fontId="19" fillId="0" borderId="12" xfId="0" applyFont="1" applyBorder="1"/>
    <xf numFmtId="169" fontId="19" fillId="0" borderId="12" xfId="0" applyNumberFormat="1" applyFont="1" applyBorder="1"/>
    <xf numFmtId="0" fontId="19" fillId="0" borderId="50" xfId="0" applyFont="1" applyBorder="1"/>
    <xf numFmtId="170" fontId="19" fillId="0" borderId="46" xfId="0" applyNumberFormat="1" applyFont="1" applyBorder="1" applyProtection="1">
      <protection hidden="1"/>
    </xf>
    <xf numFmtId="0" fontId="19" fillId="0" borderId="50" xfId="0" applyFont="1" applyBorder="1" applyProtection="1">
      <protection hidden="1"/>
    </xf>
    <xf numFmtId="20" fontId="19" fillId="0" borderId="13" xfId="0" applyNumberFormat="1" applyFont="1" applyBorder="1" applyProtection="1">
      <protection locked="0"/>
    </xf>
    <xf numFmtId="20" fontId="19" fillId="0" borderId="14" xfId="0" applyNumberFormat="1" applyFont="1" applyBorder="1" applyProtection="1">
      <protection locked="0"/>
    </xf>
    <xf numFmtId="20" fontId="19" fillId="0" borderId="15" xfId="0" applyNumberFormat="1" applyFont="1" applyBorder="1" applyProtection="1">
      <protection locked="0"/>
    </xf>
    <xf numFmtId="170" fontId="19" fillId="0" borderId="51" xfId="0" applyNumberFormat="1" applyFont="1" applyBorder="1"/>
    <xf numFmtId="0" fontId="19" fillId="0" borderId="45" xfId="0" applyFont="1" applyBorder="1" applyProtection="1">
      <protection locked="0"/>
    </xf>
    <xf numFmtId="0" fontId="19" fillId="0" borderId="16" xfId="0" applyFont="1" applyBorder="1"/>
    <xf numFmtId="0" fontId="19" fillId="0" borderId="13" xfId="0" applyFont="1" applyBorder="1"/>
    <xf numFmtId="0" fontId="19" fillId="0" borderId="52" xfId="0" applyFont="1" applyBorder="1"/>
    <xf numFmtId="0" fontId="19" fillId="0" borderId="53" xfId="0" applyFont="1" applyBorder="1"/>
    <xf numFmtId="0" fontId="19" fillId="0" borderId="51" xfId="0" applyFont="1" applyBorder="1"/>
    <xf numFmtId="169" fontId="19" fillId="0" borderId="16" xfId="0" applyNumberFormat="1" applyFont="1" applyBorder="1"/>
    <xf numFmtId="0" fontId="19" fillId="0" borderId="54" xfId="0" applyFont="1" applyBorder="1"/>
    <xf numFmtId="170" fontId="19" fillId="0" borderId="51" xfId="0" applyNumberFormat="1" applyFont="1" applyBorder="1" applyProtection="1">
      <protection hidden="1"/>
    </xf>
    <xf numFmtId="0" fontId="19" fillId="0" borderId="54" xfId="0" applyFont="1" applyBorder="1" applyProtection="1">
      <protection hidden="1"/>
    </xf>
    <xf numFmtId="20" fontId="19" fillId="6" borderId="13" xfId="0" applyNumberFormat="1" applyFont="1" applyFill="1" applyBorder="1" applyProtection="1">
      <protection locked="0"/>
    </xf>
    <xf numFmtId="20" fontId="19" fillId="6" borderId="14" xfId="0" applyNumberFormat="1" applyFont="1" applyFill="1" applyBorder="1" applyProtection="1">
      <protection locked="0"/>
    </xf>
    <xf numFmtId="20" fontId="19" fillId="6" borderId="15" xfId="0" applyNumberFormat="1" applyFont="1" applyFill="1" applyBorder="1" applyProtection="1">
      <protection locked="0"/>
    </xf>
    <xf numFmtId="170" fontId="19" fillId="6" borderId="51" xfId="0" applyNumberFormat="1" applyFont="1" applyFill="1" applyBorder="1"/>
    <xf numFmtId="0" fontId="19" fillId="6" borderId="45" xfId="0" applyFont="1" applyFill="1" applyBorder="1" applyProtection="1">
      <protection locked="0"/>
    </xf>
    <xf numFmtId="0" fontId="19" fillId="6" borderId="16" xfId="0" applyFont="1" applyFill="1" applyBorder="1" applyAlignment="1" applyProtection="1">
      <alignment horizontal="center"/>
    </xf>
    <xf numFmtId="169" fontId="19" fillId="6" borderId="51" xfId="0" applyNumberFormat="1" applyFont="1" applyFill="1" applyBorder="1"/>
    <xf numFmtId="0" fontId="19" fillId="6" borderId="16" xfId="0" applyFont="1" applyFill="1" applyBorder="1"/>
    <xf numFmtId="0" fontId="19" fillId="6" borderId="13" xfId="0" applyFont="1" applyFill="1" applyBorder="1"/>
    <xf numFmtId="0" fontId="19" fillId="6" borderId="52" xfId="0" applyFont="1" applyFill="1" applyBorder="1"/>
    <xf numFmtId="0" fontId="19" fillId="6" borderId="53" xfId="0" applyFont="1" applyFill="1" applyBorder="1"/>
    <xf numFmtId="0" fontId="19" fillId="6" borderId="51" xfId="0" applyFont="1" applyFill="1" applyBorder="1"/>
    <xf numFmtId="169" fontId="19" fillId="6" borderId="16" xfId="0" applyNumberFormat="1" applyFont="1" applyFill="1" applyBorder="1"/>
    <xf numFmtId="170" fontId="19" fillId="6" borderId="51" xfId="0" applyNumberFormat="1" applyFont="1" applyFill="1" applyBorder="1" applyProtection="1">
      <protection hidden="1"/>
    </xf>
    <xf numFmtId="20" fontId="19" fillId="6" borderId="29" xfId="0" applyNumberFormat="1" applyFont="1" applyFill="1" applyBorder="1" applyProtection="1">
      <protection locked="0"/>
    </xf>
    <xf numFmtId="20" fontId="19" fillId="6" borderId="37" xfId="0" applyNumberFormat="1" applyFont="1" applyFill="1" applyBorder="1" applyProtection="1">
      <protection locked="0"/>
    </xf>
    <xf numFmtId="20" fontId="19" fillId="6" borderId="31" xfId="0" applyNumberFormat="1" applyFont="1" applyFill="1" applyBorder="1" applyProtection="1">
      <protection locked="0"/>
    </xf>
    <xf numFmtId="170" fontId="19" fillId="6" borderId="55" xfId="0" applyNumberFormat="1" applyFont="1" applyFill="1" applyBorder="1"/>
    <xf numFmtId="0" fontId="19" fillId="6" borderId="56" xfId="0" applyFont="1" applyFill="1" applyBorder="1" applyProtection="1">
      <protection locked="0"/>
    </xf>
    <xf numFmtId="0" fontId="19" fillId="6" borderId="32" xfId="0" applyFont="1" applyFill="1" applyBorder="1" applyAlignment="1" applyProtection="1">
      <alignment horizontal="center"/>
    </xf>
    <xf numFmtId="169" fontId="19" fillId="6" borderId="55" xfId="0" applyNumberFormat="1" applyFont="1" applyFill="1" applyBorder="1"/>
    <xf numFmtId="0" fontId="19" fillId="6" borderId="32" xfId="0" applyFont="1" applyFill="1" applyBorder="1"/>
    <xf numFmtId="0" fontId="19" fillId="6" borderId="29" xfId="0" applyFont="1" applyFill="1" applyBorder="1"/>
    <xf numFmtId="0" fontId="19" fillId="6" borderId="57" xfId="0" applyFont="1" applyFill="1" applyBorder="1"/>
    <xf numFmtId="0" fontId="19" fillId="6" borderId="58" xfId="0" applyFont="1" applyFill="1" applyBorder="1"/>
    <xf numFmtId="0" fontId="19" fillId="6" borderId="55" xfId="0" applyFont="1" applyFill="1" applyBorder="1"/>
    <xf numFmtId="169" fontId="19" fillId="6" borderId="32" xfId="0" applyNumberFormat="1" applyFont="1" applyFill="1" applyBorder="1"/>
    <xf numFmtId="176" fontId="19" fillId="9" borderId="59" xfId="0" applyNumberFormat="1" applyFont="1" applyFill="1" applyBorder="1"/>
    <xf numFmtId="170" fontId="19" fillId="6" borderId="55" xfId="0" applyNumberFormat="1" applyFont="1" applyFill="1" applyBorder="1" applyProtection="1">
      <protection hidden="1"/>
    </xf>
    <xf numFmtId="174" fontId="19" fillId="9" borderId="59" xfId="0" applyNumberFormat="1" applyFont="1" applyFill="1" applyBorder="1" applyProtection="1">
      <protection hidden="1"/>
    </xf>
    <xf numFmtId="169" fontId="19" fillId="0" borderId="43" xfId="0" applyNumberFormat="1" applyFont="1" applyBorder="1" applyProtection="1">
      <protection locked="0"/>
    </xf>
    <xf numFmtId="169" fontId="19" fillId="0" borderId="44" xfId="0" applyNumberFormat="1" applyFont="1" applyBorder="1" applyProtection="1">
      <protection locked="0"/>
    </xf>
    <xf numFmtId="0" fontId="19" fillId="0" borderId="12" xfId="0" applyFont="1" applyBorder="1" applyAlignment="1" applyProtection="1">
      <alignment horizontal="center"/>
    </xf>
    <xf numFmtId="0" fontId="19" fillId="3" borderId="0" xfId="2" applyFont="1" applyBorder="1" applyAlignment="1">
      <alignment horizontal="center"/>
    </xf>
    <xf numFmtId="0" fontId="19" fillId="0" borderId="0" xfId="0" applyFont="1" applyAlignment="1">
      <alignment horizontal="center"/>
    </xf>
    <xf numFmtId="0" fontId="19" fillId="2" borderId="0" xfId="1" applyFont="1" applyBorder="1" applyAlignment="1">
      <alignment vertical="top"/>
    </xf>
    <xf numFmtId="0" fontId="19" fillId="2" borderId="25" xfId="1" applyFont="1" applyBorder="1" applyAlignment="1">
      <alignment vertical="top"/>
    </xf>
    <xf numFmtId="0" fontId="19" fillId="3" borderId="0" xfId="2" applyFont="1" applyBorder="1" applyAlignment="1">
      <alignment vertical="top"/>
    </xf>
    <xf numFmtId="0" fontId="19" fillId="2" borderId="24" xfId="1" applyFont="1" applyBorder="1"/>
    <xf numFmtId="0" fontId="19" fillId="2" borderId="24" xfId="1" applyFont="1" applyBorder="1" applyAlignment="1">
      <alignment vertical="top"/>
    </xf>
    <xf numFmtId="0" fontId="19" fillId="2" borderId="26" xfId="1" applyFont="1" applyBorder="1" applyAlignment="1">
      <alignment vertical="top"/>
    </xf>
    <xf numFmtId="0" fontId="19" fillId="3" borderId="1" xfId="2" applyFont="1" applyBorder="1" applyAlignment="1">
      <alignment vertical="top"/>
    </xf>
    <xf numFmtId="0" fontId="30" fillId="10" borderId="0" xfId="0" applyFont="1" applyFill="1" applyBorder="1" applyAlignment="1" applyProtection="1">
      <alignment horizontal="center" vertical="center"/>
    </xf>
    <xf numFmtId="0" fontId="30" fillId="10" borderId="0" xfId="0" applyFont="1" applyFill="1" applyBorder="1" applyAlignment="1" applyProtection="1">
      <alignment horizontal="right" vertical="center"/>
    </xf>
    <xf numFmtId="0" fontId="30" fillId="10" borderId="0" xfId="0" applyFont="1" applyFill="1" applyBorder="1" applyAlignment="1" applyProtection="1">
      <alignment horizontal="left" vertical="center"/>
    </xf>
    <xf numFmtId="0" fontId="19" fillId="11" borderId="0" xfId="0" applyFont="1" applyFill="1"/>
    <xf numFmtId="0" fontId="32" fillId="0" borderId="0" xfId="6" applyFont="1" applyAlignment="1">
      <alignment horizontal="right" vertical="center"/>
    </xf>
    <xf numFmtId="165" fontId="32" fillId="0" borderId="27" xfId="0" applyNumberFormat="1" applyFont="1" applyBorder="1"/>
    <xf numFmtId="0" fontId="19" fillId="0" borderId="0" xfId="0" applyFont="1" applyProtection="1">
      <protection hidden="1"/>
    </xf>
    <xf numFmtId="165" fontId="19" fillId="0" borderId="0" xfId="0" applyNumberFormat="1" applyFont="1" applyProtection="1">
      <protection hidden="1"/>
    </xf>
    <xf numFmtId="0" fontId="19" fillId="0" borderId="60" xfId="6" applyFont="1" applyBorder="1" applyAlignment="1">
      <alignment horizontal="right" vertical="center"/>
    </xf>
    <xf numFmtId="167" fontId="19" fillId="0" borderId="61" xfId="6" applyNumberFormat="1" applyFont="1" applyBorder="1" applyAlignment="1">
      <alignment vertical="center"/>
    </xf>
    <xf numFmtId="0" fontId="0" fillId="11" borderId="0" xfId="0" applyFill="1"/>
    <xf numFmtId="0" fontId="35" fillId="10" borderId="0" xfId="0" applyFont="1" applyFill="1" applyBorder="1" applyAlignment="1" applyProtection="1">
      <alignment vertical="center"/>
    </xf>
    <xf numFmtId="0" fontId="30" fillId="10" borderId="0" xfId="0" applyFont="1" applyFill="1" applyBorder="1" applyAlignment="1" applyProtection="1">
      <alignment vertical="center"/>
    </xf>
    <xf numFmtId="0" fontId="30" fillId="10" borderId="25" xfId="0" applyFont="1" applyFill="1" applyBorder="1" applyAlignment="1" applyProtection="1">
      <alignment vertical="center"/>
    </xf>
    <xf numFmtId="0" fontId="37" fillId="10" borderId="0" xfId="0" applyFont="1" applyFill="1" applyBorder="1" applyAlignment="1" applyProtection="1">
      <alignment horizontal="left" vertical="center"/>
    </xf>
    <xf numFmtId="0" fontId="30" fillId="10" borderId="25" xfId="0" applyFont="1" applyFill="1" applyBorder="1" applyAlignment="1" applyProtection="1">
      <alignment horizontal="center" vertical="center"/>
    </xf>
    <xf numFmtId="0" fontId="33" fillId="10" borderId="0" xfId="0" applyFont="1" applyFill="1" applyBorder="1"/>
    <xf numFmtId="0" fontId="33" fillId="10" borderId="0" xfId="0" applyFont="1" applyFill="1" applyBorder="1" applyProtection="1"/>
    <xf numFmtId="0" fontId="30" fillId="10" borderId="0" xfId="0" applyFont="1" applyFill="1" applyBorder="1" applyAlignment="1" applyProtection="1">
      <alignment horizontal="left" vertical="center" wrapText="1"/>
    </xf>
    <xf numFmtId="0" fontId="37" fillId="12" borderId="62" xfId="0" applyFont="1" applyFill="1" applyBorder="1" applyAlignment="1" applyProtection="1">
      <alignment horizontal="center" vertical="center"/>
      <protection locked="0"/>
    </xf>
    <xf numFmtId="0" fontId="36" fillId="12" borderId="62" xfId="0" quotePrefix="1" applyFont="1" applyFill="1" applyBorder="1" applyAlignment="1" applyProtection="1">
      <alignment horizontal="left" vertical="center"/>
      <protection locked="0"/>
    </xf>
    <xf numFmtId="0" fontId="33" fillId="10" borderId="25" xfId="0" applyFont="1" applyFill="1" applyBorder="1"/>
    <xf numFmtId="0" fontId="33" fillId="10" borderId="0" xfId="0" applyFont="1" applyFill="1" applyBorder="1" applyAlignment="1">
      <alignment horizontal="center"/>
    </xf>
    <xf numFmtId="173" fontId="37" fillId="12" borderId="62" xfId="0" applyNumberFormat="1" applyFont="1" applyFill="1" applyBorder="1" applyAlignment="1" applyProtection="1">
      <alignment horizontal="center" vertical="center"/>
      <protection locked="0"/>
    </xf>
    <xf numFmtId="173" fontId="37" fillId="12" borderId="62" xfId="0" applyNumberFormat="1" applyFont="1" applyFill="1" applyBorder="1" applyAlignment="1" applyProtection="1">
      <alignment horizontal="center" vertical="center"/>
    </xf>
    <xf numFmtId="165" fontId="33" fillId="10" borderId="0" xfId="0" applyNumberFormat="1" applyFont="1" applyFill="1" applyBorder="1"/>
    <xf numFmtId="0" fontId="33" fillId="10" borderId="0" xfId="0" applyFont="1" applyFill="1" applyBorder="1" applyAlignment="1">
      <alignment vertical="center"/>
    </xf>
    <xf numFmtId="0" fontId="33" fillId="11" borderId="0" xfId="0" applyFont="1" applyFill="1"/>
    <xf numFmtId="0" fontId="33" fillId="0" borderId="0" xfId="0" applyFont="1"/>
    <xf numFmtId="165" fontId="33" fillId="0" borderId="0" xfId="0" applyNumberFormat="1" applyFont="1"/>
    <xf numFmtId="0" fontId="37" fillId="13" borderId="0" xfId="0" applyFont="1" applyFill="1" applyBorder="1" applyAlignment="1" applyProtection="1">
      <alignment horizontal="center" vertical="center"/>
      <protection locked="0"/>
    </xf>
    <xf numFmtId="0" fontId="37" fillId="13" borderId="0" xfId="0" applyFont="1" applyFill="1" applyBorder="1" applyAlignment="1" applyProtection="1">
      <alignment horizontal="left" vertical="center"/>
    </xf>
    <xf numFmtId="0" fontId="30" fillId="13" borderId="0" xfId="0" applyFont="1" applyFill="1" applyBorder="1" applyAlignment="1" applyProtection="1">
      <alignment horizontal="right" vertical="center"/>
    </xf>
    <xf numFmtId="0" fontId="36" fillId="13" borderId="0" xfId="0" quotePrefix="1" applyFont="1" applyFill="1" applyBorder="1" applyAlignment="1" applyProtection="1">
      <alignment horizontal="left" vertical="center"/>
      <protection locked="0"/>
    </xf>
    <xf numFmtId="0" fontId="36" fillId="12" borderId="62" xfId="0" applyFont="1" applyFill="1" applyBorder="1" applyAlignment="1" applyProtection="1">
      <alignment horizontal="center" vertical="center"/>
      <protection locked="0"/>
    </xf>
    <xf numFmtId="0" fontId="36" fillId="13" borderId="0" xfId="0" applyFont="1" applyFill="1" applyBorder="1" applyAlignment="1" applyProtection="1">
      <alignment horizontal="left" vertical="center"/>
      <protection locked="0"/>
    </xf>
    <xf numFmtId="0" fontId="33" fillId="12" borderId="0" xfId="0" applyFont="1" applyFill="1" applyBorder="1" applyProtection="1"/>
    <xf numFmtId="0" fontId="37" fillId="12" borderId="0" xfId="0" applyFont="1" applyFill="1" applyBorder="1" applyAlignment="1" applyProtection="1">
      <alignment horizontal="left" vertical="center"/>
    </xf>
    <xf numFmtId="0" fontId="38" fillId="12" borderId="0" xfId="0" applyFont="1" applyFill="1" applyBorder="1" applyAlignment="1" applyProtection="1">
      <alignment horizontal="center" vertical="center"/>
      <protection locked="0"/>
    </xf>
    <xf numFmtId="0" fontId="37" fillId="12" borderId="0" xfId="0" applyFont="1" applyFill="1" applyBorder="1" applyAlignment="1" applyProtection="1">
      <alignment horizontal="center" vertical="center"/>
      <protection locked="0"/>
    </xf>
    <xf numFmtId="0" fontId="30" fillId="12" borderId="0" xfId="0" applyFont="1" applyFill="1" applyBorder="1" applyAlignment="1" applyProtection="1">
      <alignment horizontal="right" vertical="center"/>
    </xf>
    <xf numFmtId="165" fontId="19" fillId="2" borderId="5" xfId="1" applyNumberFormat="1" applyFont="1" applyBorder="1"/>
    <xf numFmtId="165" fontId="19" fillId="5" borderId="35" xfId="0" applyNumberFormat="1" applyFont="1" applyFill="1" applyBorder="1" applyAlignment="1">
      <alignment horizontal="center"/>
    </xf>
    <xf numFmtId="165" fontId="19" fillId="0" borderId="48" xfId="0" applyNumberFormat="1" applyFont="1" applyBorder="1"/>
    <xf numFmtId="165" fontId="19" fillId="0" borderId="16" xfId="0" applyNumberFormat="1" applyFont="1" applyBorder="1"/>
    <xf numFmtId="165" fontId="19" fillId="6" borderId="16" xfId="0" applyNumberFormat="1" applyFont="1" applyFill="1" applyBorder="1"/>
    <xf numFmtId="165" fontId="19" fillId="6" borderId="32" xfId="0" applyNumberFormat="1" applyFont="1" applyFill="1" applyBorder="1"/>
    <xf numFmtId="165" fontId="19" fillId="3" borderId="0" xfId="2" applyNumberFormat="1" applyFont="1" applyBorder="1" applyAlignment="1"/>
    <xf numFmtId="0" fontId="18" fillId="2" borderId="0" xfId="1" applyNumberFormat="1" applyFont="1" applyBorder="1" applyAlignment="1">
      <alignment horizontal="center"/>
    </xf>
    <xf numFmtId="178" fontId="19" fillId="0" borderId="48" xfId="0" applyNumberFormat="1" applyFont="1" applyBorder="1"/>
    <xf numFmtId="178" fontId="19" fillId="0" borderId="16" xfId="0" applyNumberFormat="1" applyFont="1" applyBorder="1"/>
    <xf numFmtId="178" fontId="23" fillId="9" borderId="33" xfId="0" applyNumberFormat="1" applyFont="1" applyFill="1" applyBorder="1" applyAlignment="1">
      <alignment horizontal="center"/>
    </xf>
    <xf numFmtId="178" fontId="23" fillId="9" borderId="0" xfId="0" applyNumberFormat="1" applyFont="1" applyFill="1" applyBorder="1" applyAlignment="1">
      <alignment horizontal="center"/>
    </xf>
    <xf numFmtId="178" fontId="19" fillId="2" borderId="5" xfId="1" applyNumberFormat="1" applyFont="1" applyBorder="1"/>
    <xf numFmtId="178" fontId="19" fillId="6" borderId="16" xfId="0" applyNumberFormat="1" applyFont="1" applyFill="1" applyBorder="1"/>
    <xf numFmtId="178" fontId="19" fillId="6" borderId="32" xfId="0" applyNumberFormat="1" applyFont="1" applyFill="1" applyBorder="1"/>
    <xf numFmtId="178" fontId="19" fillId="3" borderId="0" xfId="2" applyNumberFormat="1" applyFont="1" applyBorder="1" applyAlignment="1"/>
    <xf numFmtId="178" fontId="19" fillId="0" borderId="0" xfId="0" applyNumberFormat="1" applyFont="1"/>
    <xf numFmtId="178" fontId="19" fillId="5" borderId="35" xfId="0" applyNumberFormat="1" applyFont="1" applyFill="1" applyBorder="1" applyAlignment="1">
      <alignment horizontal="center"/>
    </xf>
    <xf numFmtId="178" fontId="19" fillId="5" borderId="35" xfId="0" applyNumberFormat="1" applyFont="1" applyFill="1" applyBorder="1" applyAlignment="1">
      <alignment horizontal="center" wrapText="1"/>
    </xf>
    <xf numFmtId="0" fontId="19" fillId="5" borderId="63" xfId="0" applyFont="1" applyFill="1" applyBorder="1" applyAlignment="1">
      <alignment horizontal="center" vertical="center" wrapText="1"/>
    </xf>
    <xf numFmtId="0" fontId="19" fillId="5" borderId="38" xfId="0" applyFont="1" applyFill="1" applyBorder="1" applyAlignment="1">
      <alignment horizontal="center" vertical="center" wrapText="1"/>
    </xf>
    <xf numFmtId="170" fontId="19" fillId="6" borderId="46" xfId="0" applyNumberFormat="1" applyFont="1" applyFill="1" applyBorder="1"/>
    <xf numFmtId="170" fontId="19" fillId="6" borderId="5" xfId="0" applyNumberFormat="1" applyFont="1" applyFill="1" applyBorder="1"/>
    <xf numFmtId="0" fontId="19" fillId="5" borderId="2" xfId="0" applyFont="1" applyFill="1" applyBorder="1" applyAlignment="1">
      <alignment horizontal="center" wrapText="1"/>
    </xf>
    <xf numFmtId="166" fontId="6" fillId="0" borderId="0" xfId="0" applyNumberFormat="1" applyFont="1" applyFill="1" applyBorder="1" applyAlignment="1">
      <alignment vertical="center"/>
    </xf>
    <xf numFmtId="170" fontId="6" fillId="0" borderId="0" xfId="0" applyNumberFormat="1" applyFont="1" applyFill="1" applyBorder="1" applyAlignment="1">
      <alignment horizontal="center" vertical="center"/>
    </xf>
    <xf numFmtId="168" fontId="6" fillId="0" borderId="0" xfId="0" applyNumberFormat="1" applyFont="1" applyFill="1" applyBorder="1" applyAlignment="1">
      <alignment horizontal="center" vertical="center"/>
    </xf>
    <xf numFmtId="172" fontId="6" fillId="0" borderId="0" xfId="4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39" fillId="12" borderId="0" xfId="0" applyFont="1" applyFill="1" applyBorder="1" applyAlignment="1" applyProtection="1">
      <alignment horizontal="center" vertical="center"/>
      <protection locked="0"/>
    </xf>
    <xf numFmtId="0" fontId="19" fillId="3" borderId="0" xfId="2" applyFont="1" applyBorder="1" applyAlignment="1" applyProtection="1">
      <protection hidden="1"/>
    </xf>
    <xf numFmtId="0" fontId="19" fillId="3" borderId="64" xfId="2" applyFont="1" applyBorder="1" applyAlignment="1" applyProtection="1">
      <protection hidden="1"/>
    </xf>
    <xf numFmtId="0" fontId="19" fillId="0" borderId="0" xfId="0" applyFont="1" applyBorder="1" applyProtection="1">
      <protection hidden="1"/>
    </xf>
    <xf numFmtId="0" fontId="19" fillId="0" borderId="33" xfId="0" applyFont="1" applyBorder="1" applyProtection="1">
      <protection hidden="1"/>
    </xf>
    <xf numFmtId="0" fontId="19" fillId="11" borderId="0" xfId="0" applyFont="1" applyFill="1" applyProtection="1">
      <protection hidden="1"/>
    </xf>
    <xf numFmtId="20" fontId="6" fillId="7" borderId="65" xfId="0" applyNumberFormat="1" applyFont="1" applyFill="1" applyBorder="1" applyAlignment="1">
      <alignment horizontal="center" vertical="center"/>
    </xf>
    <xf numFmtId="170" fontId="19" fillId="14" borderId="46" xfId="0" applyNumberFormat="1" applyFont="1" applyFill="1" applyBorder="1"/>
    <xf numFmtId="0" fontId="40" fillId="0" borderId="0" xfId="0" applyFont="1" applyProtection="1">
      <protection hidden="1"/>
    </xf>
    <xf numFmtId="165" fontId="40" fillId="0" borderId="0" xfId="0" applyNumberFormat="1" applyFont="1" applyProtection="1">
      <protection hidden="1"/>
    </xf>
    <xf numFmtId="0" fontId="4" fillId="0" borderId="0" xfId="0" applyFont="1" applyProtection="1">
      <protection hidden="1"/>
    </xf>
    <xf numFmtId="165" fontId="4" fillId="0" borderId="0" xfId="0" applyNumberFormat="1" applyFont="1" applyProtection="1">
      <protection hidden="1"/>
    </xf>
    <xf numFmtId="165" fontId="4" fillId="0" borderId="64" xfId="0" applyNumberFormat="1" applyFont="1" applyBorder="1" applyAlignment="1" applyProtection="1">
      <alignment horizontal="center" textRotation="135"/>
      <protection hidden="1"/>
    </xf>
    <xf numFmtId="165" fontId="4" fillId="0" borderId="8" xfId="0" applyNumberFormat="1" applyFont="1" applyBorder="1" applyAlignment="1" applyProtection="1">
      <alignment horizontal="center" textRotation="135"/>
      <protection hidden="1"/>
    </xf>
    <xf numFmtId="165" fontId="4" fillId="0" borderId="9" xfId="0" applyNumberFormat="1" applyFont="1" applyBorder="1" applyAlignment="1" applyProtection="1">
      <alignment horizontal="center" textRotation="135"/>
      <protection hidden="1"/>
    </xf>
    <xf numFmtId="165" fontId="4" fillId="0" borderId="63" xfId="0" applyNumberFormat="1" applyFont="1" applyBorder="1" applyAlignment="1" applyProtection="1">
      <alignment horizontal="center" textRotation="135"/>
      <protection hidden="1"/>
    </xf>
    <xf numFmtId="165" fontId="4" fillId="0" borderId="10" xfId="0" applyNumberFormat="1" applyFont="1" applyBorder="1" applyAlignment="1" applyProtection="1">
      <alignment horizontal="center" textRotation="135"/>
      <protection hidden="1"/>
    </xf>
    <xf numFmtId="165" fontId="4" fillId="0" borderId="11" xfId="0" applyNumberFormat="1" applyFont="1" applyBorder="1" applyAlignment="1" applyProtection="1">
      <alignment horizontal="center" textRotation="135"/>
      <protection hidden="1"/>
    </xf>
    <xf numFmtId="165" fontId="4" fillId="0" borderId="66" xfId="0" applyNumberFormat="1" applyFont="1" applyBorder="1" applyAlignment="1" applyProtection="1">
      <alignment horizontal="center" textRotation="135"/>
      <protection hidden="1"/>
    </xf>
    <xf numFmtId="179" fontId="4" fillId="0" borderId="12" xfId="0" applyNumberFormat="1" applyFont="1" applyBorder="1" applyAlignment="1" applyProtection="1">
      <alignment horizontal="right"/>
      <protection hidden="1"/>
    </xf>
    <xf numFmtId="168" fontId="4" fillId="0" borderId="28" xfId="0" applyNumberFormat="1" applyFont="1" applyBorder="1" applyProtection="1">
      <protection hidden="1"/>
    </xf>
    <xf numFmtId="168" fontId="4" fillId="0" borderId="34" xfId="0" applyNumberFormat="1" applyFont="1" applyBorder="1" applyProtection="1">
      <protection hidden="1"/>
    </xf>
    <xf numFmtId="168" fontId="4" fillId="0" borderId="67" xfId="0" applyNumberFormat="1" applyFont="1" applyBorder="1" applyProtection="1">
      <protection hidden="1"/>
    </xf>
    <xf numFmtId="175" fontId="4" fillId="0" borderId="28" xfId="4" applyNumberFormat="1" applyFont="1" applyBorder="1" applyAlignment="1" applyProtection="1">
      <alignment horizontal="center"/>
      <protection hidden="1"/>
    </xf>
    <xf numFmtId="175" fontId="4" fillId="0" borderId="30" xfId="4" applyNumberFormat="1" applyFont="1" applyBorder="1" applyAlignment="1" applyProtection="1">
      <alignment horizontal="center"/>
      <protection hidden="1"/>
    </xf>
    <xf numFmtId="175" fontId="4" fillId="0" borderId="12" xfId="4" applyNumberFormat="1" applyFont="1" applyBorder="1" applyAlignment="1" applyProtection="1">
      <alignment horizontal="center"/>
      <protection hidden="1"/>
    </xf>
    <xf numFmtId="175" fontId="4" fillId="0" borderId="68" xfId="4" applyNumberFormat="1" applyFont="1" applyBorder="1" applyAlignment="1" applyProtection="1">
      <alignment horizontal="center"/>
      <protection hidden="1"/>
    </xf>
    <xf numFmtId="175" fontId="4" fillId="0" borderId="34" xfId="4" applyNumberFormat="1" applyFont="1" applyBorder="1" applyAlignment="1" applyProtection="1">
      <alignment horizontal="center"/>
      <protection hidden="1"/>
    </xf>
    <xf numFmtId="0" fontId="4" fillId="0" borderId="0" xfId="2" applyFont="1" applyFill="1" applyBorder="1" applyAlignment="1" applyProtection="1">
      <protection hidden="1"/>
    </xf>
    <xf numFmtId="179" fontId="4" fillId="0" borderId="16" xfId="0" applyNumberFormat="1" applyFont="1" applyBorder="1" applyAlignment="1" applyProtection="1">
      <alignment horizontal="right"/>
      <protection hidden="1"/>
    </xf>
    <xf numFmtId="168" fontId="4" fillId="0" borderId="14" xfId="0" applyNumberFormat="1" applyFont="1" applyBorder="1" applyProtection="1">
      <protection hidden="1"/>
    </xf>
    <xf numFmtId="168" fontId="4" fillId="0" borderId="69" xfId="0" applyNumberFormat="1" applyFont="1" applyBorder="1" applyProtection="1">
      <protection hidden="1"/>
    </xf>
    <xf numFmtId="175" fontId="4" fillId="0" borderId="13" xfId="4" applyNumberFormat="1" applyFont="1" applyBorder="1" applyAlignment="1" applyProtection="1">
      <alignment horizontal="center"/>
      <protection hidden="1"/>
    </xf>
    <xf numFmtId="175" fontId="4" fillId="0" borderId="15" xfId="4" applyNumberFormat="1" applyFont="1" applyBorder="1" applyAlignment="1" applyProtection="1">
      <alignment horizontal="center"/>
      <protection hidden="1"/>
    </xf>
    <xf numFmtId="175" fontId="4" fillId="0" borderId="16" xfId="4" applyNumberFormat="1" applyFont="1" applyBorder="1" applyAlignment="1" applyProtection="1">
      <alignment horizontal="center"/>
      <protection hidden="1"/>
    </xf>
    <xf numFmtId="175" fontId="4" fillId="0" borderId="52" xfId="4" applyNumberFormat="1" applyFont="1" applyBorder="1" applyAlignment="1" applyProtection="1">
      <alignment horizontal="center"/>
      <protection hidden="1"/>
    </xf>
    <xf numFmtId="175" fontId="4" fillId="0" borderId="14" xfId="4" applyNumberFormat="1" applyFont="1" applyBorder="1" applyAlignment="1" applyProtection="1">
      <alignment horizontal="center"/>
      <protection hidden="1"/>
    </xf>
    <xf numFmtId="179" fontId="4" fillId="0" borderId="32" xfId="0" applyNumberFormat="1" applyFont="1" applyBorder="1" applyAlignment="1" applyProtection="1">
      <alignment horizontal="right"/>
      <protection hidden="1"/>
    </xf>
    <xf numFmtId="168" fontId="4" fillId="0" borderId="37" xfId="0" applyNumberFormat="1" applyFont="1" applyBorder="1" applyProtection="1">
      <protection hidden="1"/>
    </xf>
    <xf numFmtId="168" fontId="4" fillId="0" borderId="70" xfId="0" applyNumberFormat="1" applyFont="1" applyBorder="1" applyProtection="1">
      <protection hidden="1"/>
    </xf>
    <xf numFmtId="175" fontId="4" fillId="0" borderId="29" xfId="4" applyNumberFormat="1" applyFont="1" applyBorder="1" applyAlignment="1" applyProtection="1">
      <alignment horizontal="center"/>
      <protection hidden="1"/>
    </xf>
    <xf numFmtId="175" fontId="4" fillId="0" borderId="31" xfId="4" applyNumberFormat="1" applyFont="1" applyBorder="1" applyAlignment="1" applyProtection="1">
      <alignment horizontal="center"/>
      <protection hidden="1"/>
    </xf>
    <xf numFmtId="175" fontId="4" fillId="0" borderId="32" xfId="4" applyNumberFormat="1" applyFont="1" applyBorder="1" applyAlignment="1" applyProtection="1">
      <alignment horizontal="center"/>
      <protection hidden="1"/>
    </xf>
    <xf numFmtId="175" fontId="4" fillId="0" borderId="57" xfId="4" applyNumberFormat="1" applyFont="1" applyBorder="1" applyAlignment="1" applyProtection="1">
      <alignment horizontal="center"/>
      <protection hidden="1"/>
    </xf>
    <xf numFmtId="175" fontId="4" fillId="0" borderId="37" xfId="4" applyNumberFormat="1" applyFont="1" applyBorder="1" applyAlignment="1" applyProtection="1">
      <alignment horizontal="center"/>
      <protection hidden="1"/>
    </xf>
    <xf numFmtId="0" fontId="4" fillId="0" borderId="1" xfId="0" applyFont="1" applyBorder="1" applyAlignment="1" applyProtection="1">
      <alignment horizontal="right"/>
      <protection hidden="1"/>
    </xf>
    <xf numFmtId="168" fontId="4" fillId="0" borderId="71" xfId="0" applyNumberFormat="1" applyFont="1" applyBorder="1" applyProtection="1">
      <protection hidden="1"/>
    </xf>
    <xf numFmtId="168" fontId="4" fillId="0" borderId="72" xfId="0" applyNumberFormat="1" applyFont="1" applyBorder="1" applyProtection="1">
      <protection hidden="1"/>
    </xf>
    <xf numFmtId="168" fontId="4" fillId="0" borderId="38" xfId="0" applyNumberFormat="1" applyFont="1" applyBorder="1" applyProtection="1">
      <protection hidden="1"/>
    </xf>
    <xf numFmtId="172" fontId="4" fillId="0" borderId="71" xfId="4" applyNumberFormat="1" applyFont="1" applyBorder="1" applyAlignment="1" applyProtection="1">
      <alignment horizontal="center"/>
      <protection hidden="1"/>
    </xf>
    <xf numFmtId="172" fontId="4" fillId="0" borderId="73" xfId="4" applyNumberFormat="1" applyFont="1" applyBorder="1" applyAlignment="1" applyProtection="1">
      <alignment horizontal="center"/>
      <protection hidden="1"/>
    </xf>
    <xf numFmtId="172" fontId="4" fillId="0" borderId="27" xfId="4" applyNumberFormat="1" applyFont="1" applyBorder="1" applyAlignment="1" applyProtection="1">
      <alignment horizontal="center"/>
      <protection hidden="1"/>
    </xf>
    <xf numFmtId="172" fontId="4" fillId="0" borderId="74" xfId="4" applyNumberFormat="1" applyFont="1" applyBorder="1" applyAlignment="1" applyProtection="1">
      <alignment horizontal="center"/>
      <protection hidden="1"/>
    </xf>
    <xf numFmtId="172" fontId="4" fillId="0" borderId="72" xfId="4" applyNumberFormat="1" applyFont="1" applyBorder="1" applyAlignment="1" applyProtection="1">
      <alignment horizontal="center"/>
      <protection hidden="1"/>
    </xf>
    <xf numFmtId="0" fontId="4" fillId="0" borderId="3" xfId="0" applyFont="1" applyBorder="1" applyAlignment="1" applyProtection="1">
      <alignment horizontal="right"/>
      <protection hidden="1"/>
    </xf>
    <xf numFmtId="168" fontId="4" fillId="0" borderId="40" xfId="0" applyNumberFormat="1" applyFont="1" applyBorder="1" applyProtection="1">
      <protection hidden="1"/>
    </xf>
    <xf numFmtId="168" fontId="4" fillId="0" borderId="41" xfId="0" applyNumberFormat="1" applyFont="1" applyBorder="1" applyProtection="1">
      <protection hidden="1"/>
    </xf>
    <xf numFmtId="168" fontId="4" fillId="0" borderId="75" xfId="0" applyNumberFormat="1" applyFont="1" applyBorder="1" applyProtection="1">
      <protection hidden="1"/>
    </xf>
    <xf numFmtId="175" fontId="4" fillId="0" borderId="40" xfId="4" applyNumberFormat="1" applyFont="1" applyBorder="1" applyAlignment="1" applyProtection="1">
      <alignment horizontal="center"/>
      <protection hidden="1"/>
    </xf>
    <xf numFmtId="175" fontId="4" fillId="0" borderId="4" xfId="4" applyNumberFormat="1" applyFont="1" applyBorder="1" applyAlignment="1" applyProtection="1">
      <alignment horizontal="center"/>
      <protection hidden="1"/>
    </xf>
    <xf numFmtId="175" fontId="4" fillId="0" borderId="35" xfId="4" applyNumberFormat="1" applyFont="1" applyBorder="1" applyAlignment="1" applyProtection="1">
      <alignment horizontal="center"/>
      <protection hidden="1"/>
    </xf>
    <xf numFmtId="175" fontId="4" fillId="0" borderId="76" xfId="4" applyNumberFormat="1" applyFont="1" applyBorder="1" applyAlignment="1" applyProtection="1">
      <alignment horizontal="center"/>
      <protection hidden="1"/>
    </xf>
    <xf numFmtId="175" fontId="4" fillId="0" borderId="36" xfId="4" applyNumberFormat="1" applyFont="1" applyBorder="1" applyAlignment="1" applyProtection="1">
      <alignment horizontal="center"/>
      <protection hidden="1"/>
    </xf>
    <xf numFmtId="0" fontId="4" fillId="0" borderId="0" xfId="0" applyFont="1" applyBorder="1" applyAlignment="1" applyProtection="1">
      <alignment horizontal="right"/>
      <protection hidden="1"/>
    </xf>
    <xf numFmtId="168" fontId="4" fillId="0" borderId="0" xfId="0" applyNumberFormat="1" applyFont="1" applyBorder="1" applyProtection="1">
      <protection hidden="1"/>
    </xf>
    <xf numFmtId="172" fontId="4" fillId="0" borderId="64" xfId="0" applyNumberFormat="1" applyFont="1" applyBorder="1" applyAlignment="1" applyProtection="1">
      <protection hidden="1"/>
    </xf>
    <xf numFmtId="172" fontId="4" fillId="0" borderId="33" xfId="0" applyNumberFormat="1" applyFont="1" applyBorder="1" applyAlignment="1" applyProtection="1">
      <protection hidden="1"/>
    </xf>
    <xf numFmtId="172" fontId="4" fillId="0" borderId="0" xfId="0" applyNumberFormat="1" applyFont="1" applyBorder="1" applyAlignment="1" applyProtection="1">
      <alignment horizontal="center"/>
      <protection hidden="1"/>
    </xf>
    <xf numFmtId="0" fontId="4" fillId="3" borderId="0" xfId="2" applyFont="1" applyBorder="1" applyAlignment="1" applyProtection="1">
      <alignment horizontal="right"/>
      <protection hidden="1"/>
    </xf>
    <xf numFmtId="168" fontId="4" fillId="3" borderId="0" xfId="2" applyNumberFormat="1" applyFont="1" applyBorder="1" applyAlignment="1" applyProtection="1">
      <protection hidden="1"/>
    </xf>
    <xf numFmtId="171" fontId="4" fillId="3" borderId="0" xfId="2" applyNumberFormat="1" applyFont="1" applyBorder="1" applyAlignment="1" applyProtection="1">
      <protection hidden="1"/>
    </xf>
    <xf numFmtId="0" fontId="4" fillId="3" borderId="0" xfId="2" applyFont="1" applyBorder="1" applyAlignment="1" applyProtection="1">
      <protection hidden="1"/>
    </xf>
    <xf numFmtId="2" fontId="20" fillId="9" borderId="33" xfId="0" applyNumberFormat="1" applyFont="1" applyFill="1" applyBorder="1" applyAlignment="1">
      <alignment horizontal="center"/>
    </xf>
    <xf numFmtId="177" fontId="19" fillId="14" borderId="46" xfId="0" applyNumberFormat="1" applyFont="1" applyFill="1" applyBorder="1"/>
    <xf numFmtId="178" fontId="19" fillId="2" borderId="42" xfId="1" applyNumberFormat="1" applyFont="1" applyBorder="1"/>
    <xf numFmtId="1" fontId="19" fillId="0" borderId="48" xfId="0" applyNumberFormat="1" applyFont="1" applyBorder="1"/>
    <xf numFmtId="168" fontId="4" fillId="5" borderId="28" xfId="0" applyNumberFormat="1" applyFont="1" applyFill="1" applyBorder="1" applyProtection="1">
      <protection hidden="1"/>
    </xf>
    <xf numFmtId="1" fontId="19" fillId="0" borderId="16" xfId="0" applyNumberFormat="1" applyFont="1" applyBorder="1"/>
    <xf numFmtId="1" fontId="19" fillId="6" borderId="16" xfId="0" applyNumberFormat="1" applyFont="1" applyFill="1" applyBorder="1"/>
    <xf numFmtId="1" fontId="19" fillId="6" borderId="32" xfId="0" applyNumberFormat="1" applyFont="1" applyFill="1" applyBorder="1"/>
    <xf numFmtId="0" fontId="25" fillId="0" borderId="81" xfId="3" applyFont="1" applyBorder="1" applyAlignment="1" applyProtection="1">
      <alignment horizontal="left" vertical="top"/>
    </xf>
    <xf numFmtId="0" fontId="25" fillId="0" borderId="82" xfId="3" applyFont="1" applyBorder="1" applyAlignment="1" applyProtection="1">
      <alignment horizontal="left" vertical="top"/>
    </xf>
    <xf numFmtId="0" fontId="25" fillId="0" borderId="83" xfId="3" applyFont="1" applyBorder="1" applyAlignment="1" applyProtection="1">
      <alignment horizontal="left" vertical="top"/>
    </xf>
    <xf numFmtId="0" fontId="27" fillId="0" borderId="81" xfId="0" applyFont="1" applyFill="1" applyBorder="1" applyAlignment="1">
      <alignment horizontal="left" vertical="top" wrapText="1"/>
    </xf>
    <xf numFmtId="0" fontId="27" fillId="0" borderId="82" xfId="0" applyFont="1" applyFill="1" applyBorder="1" applyAlignment="1">
      <alignment horizontal="left" vertical="top" wrapText="1"/>
    </xf>
    <xf numFmtId="0" fontId="27" fillId="0" borderId="83" xfId="0" applyFont="1" applyFill="1" applyBorder="1" applyAlignment="1">
      <alignment horizontal="left" vertical="top" wrapText="1"/>
    </xf>
    <xf numFmtId="0" fontId="20" fillId="15" borderId="64" xfId="0" applyFont="1" applyFill="1" applyBorder="1" applyAlignment="1">
      <alignment horizontal="center" vertical="top"/>
    </xf>
    <xf numFmtId="0" fontId="20" fillId="15" borderId="33" xfId="0" applyFont="1" applyFill="1" applyBorder="1" applyAlignment="1">
      <alignment horizontal="center" vertical="top"/>
    </xf>
    <xf numFmtId="0" fontId="20" fillId="15" borderId="42" xfId="0" applyFont="1" applyFill="1" applyBorder="1" applyAlignment="1">
      <alignment horizontal="center" vertical="top"/>
    </xf>
    <xf numFmtId="0" fontId="19" fillId="0" borderId="64" xfId="0" applyFont="1" applyBorder="1" applyAlignment="1">
      <alignment horizontal="left" vertical="top" wrapText="1"/>
    </xf>
    <xf numFmtId="0" fontId="19" fillId="0" borderId="33" xfId="0" applyFont="1" applyBorder="1" applyAlignment="1">
      <alignment horizontal="left" vertical="top" wrapText="1"/>
    </xf>
    <xf numFmtId="0" fontId="19" fillId="0" borderId="84" xfId="0" applyFont="1" applyBorder="1" applyAlignment="1">
      <alignment horizontal="left" vertical="top" wrapText="1"/>
    </xf>
    <xf numFmtId="0" fontId="20" fillId="0" borderId="77" xfId="0" applyFont="1" applyBorder="1" applyAlignment="1">
      <alignment horizontal="left" vertical="top"/>
    </xf>
    <xf numFmtId="0" fontId="19" fillId="0" borderId="24" xfId="0" applyFont="1" applyBorder="1" applyAlignment="1">
      <alignment horizontal="left" vertical="top"/>
    </xf>
    <xf numFmtId="0" fontId="19" fillId="0" borderId="26" xfId="0" applyFont="1" applyBorder="1" applyAlignment="1">
      <alignment horizontal="left" vertical="top"/>
    </xf>
    <xf numFmtId="0" fontId="26" fillId="15" borderId="78" xfId="0" applyFont="1" applyFill="1" applyBorder="1" applyAlignment="1">
      <alignment horizontal="center" vertical="top"/>
    </xf>
    <xf numFmtId="0" fontId="26" fillId="15" borderId="79" xfId="0" applyFont="1" applyFill="1" applyBorder="1" applyAlignment="1">
      <alignment horizontal="center" vertical="top"/>
    </xf>
    <xf numFmtId="0" fontId="26" fillId="15" borderId="80" xfId="0" applyFont="1" applyFill="1" applyBorder="1" applyAlignment="1">
      <alignment horizontal="center" vertical="top"/>
    </xf>
    <xf numFmtId="0" fontId="19" fillId="0" borderId="81" xfId="0" applyFont="1" applyBorder="1" applyAlignment="1">
      <alignment horizontal="left" vertical="top" wrapText="1"/>
    </xf>
    <xf numFmtId="0" fontId="19" fillId="0" borderId="82" xfId="0" applyFont="1" applyBorder="1" applyAlignment="1">
      <alignment horizontal="left" vertical="top" wrapText="1"/>
    </xf>
    <xf numFmtId="0" fontId="19" fillId="0" borderId="83" xfId="0" applyFont="1" applyBorder="1" applyAlignment="1">
      <alignment horizontal="left" vertical="top" wrapText="1"/>
    </xf>
    <xf numFmtId="0" fontId="28" fillId="16" borderId="81" xfId="0" applyFont="1" applyFill="1" applyBorder="1" applyAlignment="1">
      <alignment horizontal="left" vertical="top" wrapText="1"/>
    </xf>
    <xf numFmtId="0" fontId="28" fillId="16" borderId="82" xfId="0" applyFont="1" applyFill="1" applyBorder="1" applyAlignment="1">
      <alignment horizontal="left" vertical="top" wrapText="1"/>
    </xf>
    <xf numFmtId="0" fontId="28" fillId="16" borderId="83" xfId="0" applyFont="1" applyFill="1" applyBorder="1" applyAlignment="1">
      <alignment horizontal="left" vertical="top" wrapText="1"/>
    </xf>
    <xf numFmtId="0" fontId="19" fillId="0" borderId="64" xfId="0" applyFont="1" applyBorder="1" applyAlignment="1">
      <alignment vertical="top" wrapText="1"/>
    </xf>
    <xf numFmtId="0" fontId="19" fillId="0" borderId="33" xfId="0" applyFont="1" applyBorder="1" applyAlignment="1">
      <alignment vertical="top" wrapText="1"/>
    </xf>
    <xf numFmtId="0" fontId="19" fillId="0" borderId="84" xfId="0" applyFont="1" applyBorder="1" applyAlignment="1">
      <alignment vertical="top" wrapText="1"/>
    </xf>
    <xf numFmtId="0" fontId="19" fillId="0" borderId="77" xfId="0" applyFont="1" applyBorder="1" applyAlignment="1">
      <alignment horizontal="left" vertical="top" wrapText="1"/>
    </xf>
    <xf numFmtId="0" fontId="19" fillId="0" borderId="24" xfId="0" applyFont="1" applyBorder="1" applyAlignment="1">
      <alignment horizontal="left" vertical="top" wrapText="1"/>
    </xf>
    <xf numFmtId="0" fontId="19" fillId="0" borderId="26" xfId="0" applyFont="1" applyBorder="1" applyAlignment="1">
      <alignment horizontal="left" vertical="top" wrapText="1"/>
    </xf>
    <xf numFmtId="0" fontId="25" fillId="3" borderId="3" xfId="3" applyFont="1" applyFill="1" applyBorder="1" applyAlignment="1" applyProtection="1">
      <alignment horizontal="center"/>
      <protection locked="0"/>
    </xf>
    <xf numFmtId="0" fontId="25" fillId="3" borderId="4" xfId="3" applyFont="1" applyFill="1" applyBorder="1" applyAlignment="1" applyProtection="1">
      <alignment horizontal="center"/>
      <protection locked="0"/>
    </xf>
    <xf numFmtId="0" fontId="19" fillId="0" borderId="81" xfId="0" applyFont="1" applyBorder="1" applyAlignment="1">
      <alignment horizontal="left" vertical="top"/>
    </xf>
    <xf numFmtId="0" fontId="19" fillId="0" borderId="82" xfId="0" applyFont="1" applyBorder="1" applyAlignment="1">
      <alignment horizontal="left" vertical="top"/>
    </xf>
    <xf numFmtId="0" fontId="19" fillId="0" borderId="83" xfId="0" applyFont="1" applyBorder="1" applyAlignment="1">
      <alignment horizontal="left" vertical="top"/>
    </xf>
    <xf numFmtId="0" fontId="20" fillId="0" borderId="81" xfId="0" applyFont="1" applyBorder="1" applyAlignment="1">
      <alignment horizontal="left" vertical="top" wrapText="1"/>
    </xf>
    <xf numFmtId="0" fontId="29" fillId="2" borderId="21" xfId="1" applyFont="1" applyBorder="1" applyAlignment="1" applyProtection="1">
      <alignment horizontal="center" vertical="center"/>
    </xf>
    <xf numFmtId="0" fontId="29" fillId="2" borderId="22" xfId="1" applyFont="1" applyBorder="1" applyAlignment="1" applyProtection="1">
      <alignment horizontal="center" vertical="center"/>
    </xf>
    <xf numFmtId="0" fontId="29" fillId="2" borderId="85" xfId="1" applyFont="1" applyBorder="1" applyAlignment="1" applyProtection="1">
      <alignment horizontal="center" vertical="center"/>
    </xf>
    <xf numFmtId="0" fontId="31" fillId="2" borderId="86" xfId="1" applyFont="1" applyBorder="1" applyAlignment="1" applyProtection="1">
      <alignment horizontal="center" vertical="center"/>
    </xf>
    <xf numFmtId="0" fontId="31" fillId="2" borderId="87" xfId="1" applyFont="1" applyBorder="1" applyAlignment="1" applyProtection="1">
      <alignment horizontal="center" vertical="center"/>
    </xf>
    <xf numFmtId="0" fontId="31" fillId="2" borderId="88" xfId="1" applyFont="1" applyBorder="1" applyAlignment="1" applyProtection="1">
      <alignment horizontal="center" vertical="center"/>
    </xf>
    <xf numFmtId="173" fontId="18" fillId="2" borderId="64" xfId="1" applyNumberFormat="1" applyFont="1" applyBorder="1" applyAlignment="1">
      <alignment horizontal="center"/>
    </xf>
    <xf numFmtId="173" fontId="18" fillId="2" borderId="33" xfId="1" applyNumberFormat="1" applyFont="1" applyBorder="1" applyAlignment="1">
      <alignment horizontal="center"/>
    </xf>
    <xf numFmtId="0" fontId="19" fillId="0" borderId="27" xfId="0" applyFont="1" applyBorder="1" applyAlignment="1">
      <alignment horizontal="center" vertical="center" textRotation="90"/>
    </xf>
    <xf numFmtId="0" fontId="19" fillId="0" borderId="23" xfId="0" applyFont="1" applyBorder="1" applyAlignment="1">
      <alignment horizontal="center" vertical="center" textRotation="90"/>
    </xf>
    <xf numFmtId="0" fontId="19" fillId="0" borderId="11" xfId="0" applyFont="1" applyBorder="1" applyAlignment="1">
      <alignment horizontal="center" vertical="top"/>
    </xf>
    <xf numFmtId="0" fontId="19" fillId="0" borderId="27" xfId="0" applyFont="1" applyBorder="1" applyAlignment="1">
      <alignment horizontal="center" vertical="top"/>
    </xf>
    <xf numFmtId="0" fontId="19" fillId="0" borderId="23" xfId="0" applyFont="1" applyBorder="1" applyAlignment="1">
      <alignment horizontal="center" vertical="top"/>
    </xf>
    <xf numFmtId="0" fontId="19" fillId="0" borderId="8" xfId="0" applyFont="1" applyBorder="1" applyAlignment="1">
      <alignment horizontal="center" vertical="top"/>
    </xf>
    <xf numFmtId="0" fontId="19" fillId="0" borderId="71" xfId="0" applyFont="1" applyBorder="1" applyAlignment="1">
      <alignment horizontal="center" vertical="top"/>
    </xf>
    <xf numFmtId="0" fontId="19" fillId="0" borderId="89" xfId="0" applyFont="1" applyBorder="1" applyAlignment="1">
      <alignment horizontal="center" vertical="top"/>
    </xf>
    <xf numFmtId="0" fontId="19" fillId="5" borderId="10" xfId="0" applyFont="1" applyFill="1" applyBorder="1" applyAlignment="1">
      <alignment horizontal="center" vertical="center" wrapText="1"/>
    </xf>
    <xf numFmtId="0" fontId="19" fillId="5" borderId="45" xfId="0" applyFont="1" applyFill="1" applyBorder="1" applyAlignment="1">
      <alignment horizontal="center" vertical="center" wrapText="1"/>
    </xf>
    <xf numFmtId="165" fontId="6" fillId="0" borderId="0" xfId="0" applyNumberFormat="1" applyFont="1" applyAlignment="1">
      <alignment horizontal="left"/>
    </xf>
    <xf numFmtId="0" fontId="8" fillId="0" borderId="0" xfId="0" applyFont="1" applyAlignment="1">
      <alignment horizontal="center" vertical="top"/>
    </xf>
    <xf numFmtId="175" fontId="4" fillId="0" borderId="6" xfId="4" applyNumberFormat="1" applyFont="1" applyBorder="1" applyAlignment="1" applyProtection="1">
      <alignment horizontal="center"/>
      <protection hidden="1"/>
    </xf>
    <xf numFmtId="175" fontId="4" fillId="0" borderId="7" xfId="4" applyNumberFormat="1" applyFont="1" applyBorder="1" applyAlignment="1" applyProtection="1">
      <alignment horizontal="center"/>
      <protection hidden="1"/>
    </xf>
    <xf numFmtId="14" fontId="6" fillId="0" borderId="0" xfId="0" applyNumberFormat="1" applyFont="1" applyAlignment="1" applyProtection="1">
      <alignment horizontal="center"/>
      <protection hidden="1"/>
    </xf>
    <xf numFmtId="0" fontId="41" fillId="16" borderId="0" xfId="0" applyFont="1" applyFill="1" applyAlignment="1" applyProtection="1">
      <alignment horizontal="center"/>
      <protection hidden="1"/>
    </xf>
  </cellXfs>
  <cellStyles count="7">
    <cellStyle name="Barre" xfId="1"/>
    <cellStyle name="Fond" xfId="2"/>
    <cellStyle name="Lien hypertexte" xfId="3" builtinId="8"/>
    <cellStyle name="Milliers" xfId="4" builtinId="3"/>
    <cellStyle name="Normal" xfId="0" builtinId="0"/>
    <cellStyle name="Normal 2" xfId="5"/>
    <cellStyle name="Normal_SVM Vierge 2004" xfId="6"/>
  </cellStyles>
  <dxfs count="4">
    <dxf>
      <fill>
        <patternFill>
          <bgColor indexed="26"/>
        </patternFill>
      </fill>
    </dxf>
    <dxf>
      <font>
        <b val="0"/>
        <i val="0"/>
        <condense val="0"/>
        <extend val="0"/>
      </font>
      <fill>
        <patternFill>
          <bgColor indexed="27"/>
        </patternFill>
      </fill>
    </dxf>
    <dxf>
      <fill>
        <patternFill>
          <bgColor indexed="22"/>
        </patternFill>
      </fill>
    </dxf>
    <dxf>
      <fill>
        <patternFill>
          <bgColor indexed="4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47625</xdr:colOff>
      <xdr:row>7</xdr:row>
      <xdr:rowOff>123825</xdr:rowOff>
    </xdr:from>
    <xdr:ext cx="76200" cy="200025"/>
    <xdr:sp macro="" textlink="">
      <xdr:nvSpPr>
        <xdr:cNvPr id="2123" name="Text Box 75"/>
        <xdr:cNvSpPr txBox="1">
          <a:spLocks noChangeArrowheads="1"/>
        </xdr:cNvSpPr>
      </xdr:nvSpPr>
      <xdr:spPr bwMode="auto">
        <a:xfrm>
          <a:off x="3267075" y="1743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133350</xdr:colOff>
      <xdr:row>4</xdr:row>
      <xdr:rowOff>257175</xdr:rowOff>
    </xdr:from>
    <xdr:to>
      <xdr:col>20</xdr:col>
      <xdr:colOff>209550</xdr:colOff>
      <xdr:row>4</xdr:row>
      <xdr:rowOff>457200</xdr:rowOff>
    </xdr:to>
    <xdr:sp macro="" textlink="">
      <xdr:nvSpPr>
        <xdr:cNvPr id="9217" name="Text Box 1"/>
        <xdr:cNvSpPr txBox="1">
          <a:spLocks noChangeArrowheads="1"/>
        </xdr:cNvSpPr>
      </xdr:nvSpPr>
      <xdr:spPr bwMode="auto">
        <a:xfrm>
          <a:off x="8886825" y="6572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333375</xdr:colOff>
      <xdr:row>4</xdr:row>
      <xdr:rowOff>1133475</xdr:rowOff>
    </xdr:from>
    <xdr:to>
      <xdr:col>21</xdr:col>
      <xdr:colOff>152400</xdr:colOff>
      <xdr:row>17</xdr:row>
      <xdr:rowOff>47625</xdr:rowOff>
    </xdr:to>
    <xdr:sp macro="" textlink="">
      <xdr:nvSpPr>
        <xdr:cNvPr id="9218" name="Text Box 2"/>
        <xdr:cNvSpPr txBox="1">
          <a:spLocks noChangeArrowheads="1"/>
        </xdr:cNvSpPr>
      </xdr:nvSpPr>
      <xdr:spPr bwMode="auto">
        <a:xfrm>
          <a:off x="2095500" y="1533525"/>
          <a:ext cx="7324725" cy="2667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Suite aux modifications effectuées, mes problèmes sont les suivants :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* Onglet "horaires" - Colonne "forfait jours" - Si (forfait jours = "vrai" et si (temps travaillé&gt;5:00 = 1; 0,5) si (forfait jours ="faux" alors "pas de valeur")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Formule en H6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=SI($H$2=FAUX;"";SI($H$2=VRAI;SI(G6&lt;TEMPSVAL("05:00");1;0,5)))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mettre H6 au format Nombre.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* Onglet "semaines" - Colonne "motif absences" = je ne les récupère plus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afficher quelque chose, il faut auparavant récupérer en colonne H le Code Absence et celui-ci esy donné par la colonne "Motif Absence' de la Feuille "Horaires". Si tu ne sélectionnes pas un motif d'absence, tu n'auras pas le Code Absence.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* Onglet "récap année" = je ne récupère plus le total des heures par mois, 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Formule en colonne Mois en L5 de la Feuille "Horaires"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=MOIS(C5) et mettre la colonne au format Nombre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Feuille "Recap année" en G6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=SOMMEPROD((Mois=MOIS(F6))*(Heures))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IV48"/>
  <sheetViews>
    <sheetView showGridLines="0" showRowColHeaders="0" workbookViewId="0">
      <pane ySplit="3" topLeftCell="A4" activePane="bottomLeft" state="frozen"/>
      <selection pane="bottomLeft" activeCell="A25" sqref="A25:I25"/>
    </sheetView>
  </sheetViews>
  <sheetFormatPr baseColWidth="10" defaultColWidth="0" defaultRowHeight="12.75" zeroHeight="1"/>
  <cols>
    <col min="1" max="3" width="9.42578125" style="48" customWidth="1"/>
    <col min="4" max="4" width="10.42578125" style="48" bestFit="1" customWidth="1"/>
    <col min="5" max="10" width="9.42578125" style="48" customWidth="1"/>
    <col min="11" max="11" width="33.7109375" style="48" customWidth="1"/>
    <col min="12" max="16384" width="0" style="48" hidden="1"/>
  </cols>
  <sheetData>
    <row r="1" spans="1:256" ht="13.5" thickBot="1">
      <c r="A1" s="121"/>
      <c r="B1" s="210"/>
      <c r="C1" s="210"/>
      <c r="D1" s="210"/>
      <c r="E1" s="210"/>
      <c r="F1" s="210"/>
      <c r="G1" s="210"/>
      <c r="H1" s="210"/>
      <c r="I1" s="210"/>
      <c r="J1" s="211"/>
      <c r="K1" s="212"/>
    </row>
    <row r="2" spans="1:256" ht="13.5" thickBot="1">
      <c r="A2" s="121"/>
      <c r="B2" s="397" t="s">
        <v>10</v>
      </c>
      <c r="C2" s="398"/>
      <c r="D2" s="210"/>
      <c r="E2" s="397" t="s">
        <v>17</v>
      </c>
      <c r="F2" s="398"/>
      <c r="G2" s="210"/>
      <c r="H2" s="397" t="s">
        <v>23</v>
      </c>
      <c r="I2" s="398"/>
      <c r="J2" s="211"/>
      <c r="K2" s="212"/>
    </row>
    <row r="3" spans="1:256" ht="13.5" thickBot="1">
      <c r="A3" s="213"/>
      <c r="B3" s="214"/>
      <c r="C3" s="214"/>
      <c r="D3" s="214"/>
      <c r="E3" s="214"/>
      <c r="F3" s="214"/>
      <c r="G3" s="214"/>
      <c r="H3" s="214"/>
      <c r="I3" s="214"/>
      <c r="J3" s="215"/>
      <c r="K3" s="212"/>
    </row>
    <row r="4" spans="1:256" ht="8.25" customHeight="1" thickTop="1" thickBot="1">
      <c r="A4" s="117"/>
      <c r="B4" s="212"/>
      <c r="C4" s="212"/>
      <c r="D4" s="212"/>
      <c r="E4" s="212"/>
      <c r="F4" s="212"/>
      <c r="G4" s="212"/>
      <c r="H4" s="212"/>
      <c r="I4" s="212"/>
      <c r="J4" s="212"/>
      <c r="K4" s="212"/>
    </row>
    <row r="5" spans="1:256" ht="21.75" customHeight="1" thickTop="1" thickBot="1">
      <c r="A5" s="382" t="s">
        <v>10</v>
      </c>
      <c r="B5" s="383"/>
      <c r="C5" s="384"/>
      <c r="D5" s="212"/>
      <c r="E5" s="212"/>
      <c r="F5" s="212"/>
      <c r="G5" s="212"/>
      <c r="H5" s="212"/>
      <c r="I5" s="212"/>
      <c r="J5" s="212"/>
      <c r="K5" s="212"/>
    </row>
    <row r="6" spans="1:256" ht="34.5" customHeight="1" thickBot="1">
      <c r="A6" s="370" t="s">
        <v>22</v>
      </c>
      <c r="B6" s="371"/>
      <c r="C6" s="371"/>
      <c r="D6" s="371"/>
      <c r="E6" s="371"/>
      <c r="F6" s="371"/>
      <c r="G6" s="371"/>
      <c r="H6" s="371"/>
      <c r="I6" s="372"/>
      <c r="J6" s="212"/>
      <c r="K6" s="212"/>
    </row>
    <row r="7" spans="1:256" ht="14.25" thickTop="1" thickBot="1">
      <c r="A7" s="216"/>
      <c r="B7" s="212"/>
      <c r="C7" s="212"/>
      <c r="D7" s="212"/>
      <c r="E7" s="212"/>
      <c r="F7" s="212"/>
      <c r="G7" s="212"/>
      <c r="H7" s="212"/>
      <c r="I7" s="212"/>
      <c r="J7" s="212"/>
      <c r="K7" s="212"/>
    </row>
    <row r="8" spans="1:256" ht="13.5" thickBot="1">
      <c r="A8" s="216"/>
      <c r="B8" s="373" t="s">
        <v>11</v>
      </c>
      <c r="C8" s="374"/>
      <c r="D8" s="375"/>
      <c r="E8" s="212"/>
      <c r="F8" s="212"/>
      <c r="G8" s="212"/>
      <c r="H8" s="212"/>
      <c r="I8" s="212"/>
      <c r="J8" s="212"/>
      <c r="K8" s="212"/>
    </row>
    <row r="9" spans="1:256" ht="19.5" customHeight="1" thickBot="1">
      <c r="A9" s="216"/>
      <c r="B9" s="399" t="s">
        <v>27</v>
      </c>
      <c r="C9" s="400"/>
      <c r="D9" s="400"/>
      <c r="E9" s="400"/>
      <c r="F9" s="400"/>
      <c r="G9" s="400"/>
      <c r="H9" s="400"/>
      <c r="I9" s="400"/>
      <c r="J9" s="401"/>
      <c r="K9" s="212"/>
    </row>
    <row r="10" spans="1:256" ht="14.25" thickTop="1" thickBot="1">
      <c r="A10" s="216"/>
      <c r="B10" s="212"/>
      <c r="C10" s="212"/>
      <c r="D10" s="212"/>
      <c r="E10" s="212"/>
      <c r="F10" s="212"/>
      <c r="G10" s="212"/>
      <c r="H10" s="212"/>
      <c r="I10" s="212"/>
      <c r="J10" s="212"/>
      <c r="K10" s="212"/>
      <c r="L10" s="49"/>
      <c r="M10" s="49"/>
      <c r="N10" s="49"/>
      <c r="O10" s="49"/>
      <c r="P10" s="49"/>
      <c r="Q10" s="49"/>
      <c r="R10" s="49"/>
      <c r="S10" s="49"/>
      <c r="T10" s="49"/>
      <c r="U10" s="49"/>
      <c r="V10" s="49"/>
      <c r="W10" s="49"/>
      <c r="X10" s="49"/>
      <c r="Y10" s="49"/>
      <c r="Z10" s="49"/>
      <c r="AA10" s="49"/>
      <c r="AB10" s="49"/>
      <c r="AC10" s="49"/>
      <c r="AD10" s="49"/>
      <c r="AE10" s="49"/>
      <c r="AF10" s="49"/>
      <c r="AG10" s="49"/>
      <c r="AH10" s="49"/>
      <c r="AI10" s="49"/>
      <c r="AJ10" s="49"/>
      <c r="AK10" s="49"/>
      <c r="AL10" s="49"/>
      <c r="AM10" s="49"/>
      <c r="AN10" s="49"/>
      <c r="AO10" s="49"/>
      <c r="AP10" s="49"/>
      <c r="AQ10" s="49"/>
      <c r="AR10" s="49"/>
      <c r="AS10" s="49"/>
      <c r="AT10" s="49"/>
      <c r="AU10" s="49"/>
      <c r="AV10" s="49"/>
      <c r="AW10" s="49"/>
      <c r="AX10" s="49"/>
      <c r="AY10" s="49"/>
      <c r="AZ10" s="49"/>
      <c r="BA10" s="49"/>
      <c r="BB10" s="49"/>
      <c r="BC10" s="49"/>
      <c r="BD10" s="49"/>
      <c r="BE10" s="49"/>
      <c r="BF10" s="49"/>
      <c r="BG10" s="49"/>
      <c r="BH10" s="49"/>
      <c r="BI10" s="49"/>
      <c r="BJ10" s="49"/>
      <c r="BK10" s="49"/>
      <c r="BL10" s="49"/>
      <c r="BM10" s="49"/>
      <c r="BN10" s="49"/>
      <c r="BO10" s="49"/>
      <c r="BP10" s="49"/>
      <c r="BQ10" s="49"/>
      <c r="BR10" s="49"/>
      <c r="BS10" s="49"/>
      <c r="BT10" s="49"/>
      <c r="BU10" s="49"/>
      <c r="BV10" s="49"/>
      <c r="BW10" s="49"/>
      <c r="BX10" s="49"/>
      <c r="BY10" s="49"/>
      <c r="BZ10" s="49"/>
      <c r="CA10" s="49"/>
      <c r="CB10" s="49"/>
      <c r="CC10" s="49"/>
      <c r="CD10" s="49"/>
      <c r="CE10" s="49"/>
      <c r="CF10" s="49"/>
      <c r="CG10" s="49"/>
      <c r="CH10" s="49"/>
      <c r="CI10" s="49"/>
      <c r="CJ10" s="49"/>
      <c r="CK10" s="49"/>
      <c r="CL10" s="49"/>
      <c r="CM10" s="49"/>
      <c r="CN10" s="49"/>
      <c r="CO10" s="49"/>
      <c r="CP10" s="49"/>
      <c r="CQ10" s="49"/>
      <c r="CR10" s="49"/>
      <c r="CS10" s="49"/>
      <c r="CT10" s="49"/>
      <c r="CU10" s="49"/>
      <c r="CV10" s="49"/>
      <c r="CW10" s="49"/>
      <c r="CX10" s="49"/>
      <c r="CY10" s="49"/>
      <c r="CZ10" s="49"/>
      <c r="DA10" s="49"/>
      <c r="DB10" s="49"/>
      <c r="DC10" s="49"/>
      <c r="DD10" s="49"/>
      <c r="DE10" s="49"/>
      <c r="DF10" s="49"/>
      <c r="DG10" s="49"/>
      <c r="DH10" s="49"/>
      <c r="DI10" s="49"/>
      <c r="DJ10" s="49"/>
      <c r="DK10" s="49"/>
      <c r="DL10" s="49"/>
      <c r="DM10" s="49"/>
      <c r="DN10" s="49"/>
      <c r="DO10" s="49"/>
      <c r="DP10" s="49"/>
      <c r="DQ10" s="49"/>
      <c r="DR10" s="49"/>
      <c r="DS10" s="49"/>
      <c r="DT10" s="49"/>
      <c r="DU10" s="49"/>
      <c r="DV10" s="49"/>
      <c r="DW10" s="49"/>
      <c r="DX10" s="49"/>
      <c r="DY10" s="49"/>
      <c r="DZ10" s="49"/>
      <c r="EA10" s="49"/>
      <c r="EB10" s="49"/>
      <c r="EC10" s="49"/>
      <c r="ED10" s="49"/>
      <c r="EE10" s="49"/>
      <c r="EF10" s="49"/>
      <c r="EG10" s="49"/>
      <c r="EH10" s="49"/>
      <c r="EI10" s="49"/>
      <c r="EJ10" s="49"/>
      <c r="EK10" s="49"/>
      <c r="EL10" s="49"/>
      <c r="EM10" s="49"/>
      <c r="EN10" s="49"/>
      <c r="EO10" s="49"/>
      <c r="EP10" s="49"/>
      <c r="EQ10" s="49"/>
      <c r="ER10" s="49"/>
      <c r="ES10" s="49"/>
      <c r="ET10" s="49"/>
      <c r="EU10" s="49"/>
      <c r="EV10" s="49"/>
      <c r="EW10" s="49"/>
      <c r="EX10" s="49"/>
      <c r="EY10" s="49"/>
      <c r="EZ10" s="49"/>
      <c r="FA10" s="49"/>
      <c r="FB10" s="49"/>
      <c r="FC10" s="49"/>
      <c r="FD10" s="49"/>
      <c r="FE10" s="49"/>
      <c r="FF10" s="49"/>
      <c r="FG10" s="49"/>
      <c r="FH10" s="49"/>
      <c r="FI10" s="49"/>
      <c r="FJ10" s="49"/>
      <c r="FK10" s="49"/>
      <c r="FL10" s="49"/>
      <c r="FM10" s="49"/>
      <c r="FN10" s="49"/>
      <c r="FO10" s="49"/>
      <c r="FP10" s="49"/>
      <c r="FQ10" s="49"/>
      <c r="FR10" s="49"/>
      <c r="FS10" s="49"/>
      <c r="FT10" s="49"/>
      <c r="FU10" s="49"/>
      <c r="FV10" s="49"/>
      <c r="FW10" s="49"/>
      <c r="FX10" s="49"/>
      <c r="FY10" s="49"/>
      <c r="FZ10" s="49"/>
      <c r="GA10" s="49"/>
      <c r="GB10" s="49"/>
      <c r="GC10" s="49"/>
      <c r="GD10" s="49"/>
      <c r="GE10" s="49"/>
      <c r="GF10" s="49"/>
      <c r="GG10" s="49"/>
      <c r="GH10" s="49"/>
      <c r="GI10" s="49"/>
      <c r="GJ10" s="49"/>
      <c r="GK10" s="49"/>
      <c r="GL10" s="49"/>
      <c r="GM10" s="49"/>
      <c r="GN10" s="49"/>
      <c r="GO10" s="49"/>
      <c r="GP10" s="49"/>
      <c r="GQ10" s="49"/>
      <c r="GR10" s="49"/>
      <c r="GS10" s="49"/>
      <c r="GT10" s="49"/>
      <c r="GU10" s="49"/>
      <c r="GV10" s="49"/>
      <c r="GW10" s="49"/>
      <c r="GX10" s="49"/>
      <c r="GY10" s="49"/>
      <c r="GZ10" s="49"/>
      <c r="HA10" s="49"/>
      <c r="HB10" s="49"/>
      <c r="HC10" s="49"/>
      <c r="HD10" s="49"/>
      <c r="HE10" s="49"/>
      <c r="HF10" s="49"/>
      <c r="HG10" s="49"/>
      <c r="HH10" s="49"/>
      <c r="HI10" s="49"/>
      <c r="HJ10" s="49"/>
      <c r="HK10" s="49"/>
      <c r="HL10" s="49"/>
      <c r="HM10" s="49"/>
      <c r="HN10" s="49"/>
      <c r="HO10" s="49"/>
      <c r="HP10" s="49"/>
      <c r="HQ10" s="49"/>
      <c r="HR10" s="49"/>
      <c r="HS10" s="49"/>
      <c r="HT10" s="49"/>
      <c r="HU10" s="49"/>
      <c r="HV10" s="49"/>
      <c r="HW10" s="49"/>
      <c r="HX10" s="49"/>
      <c r="HY10" s="49"/>
      <c r="HZ10" s="49"/>
      <c r="IA10" s="49"/>
      <c r="IB10" s="49"/>
      <c r="IC10" s="49"/>
      <c r="ID10" s="49"/>
      <c r="IE10" s="49"/>
      <c r="IF10" s="49"/>
      <c r="IG10" s="49"/>
      <c r="IH10" s="49"/>
      <c r="II10" s="49"/>
      <c r="IJ10" s="49"/>
      <c r="IK10" s="49"/>
      <c r="IL10" s="49"/>
      <c r="IM10" s="49"/>
      <c r="IN10" s="49"/>
      <c r="IO10" s="49"/>
      <c r="IP10" s="49"/>
      <c r="IQ10" s="49"/>
      <c r="IR10" s="49"/>
      <c r="IS10" s="49"/>
      <c r="IT10" s="49"/>
      <c r="IU10" s="49"/>
      <c r="IV10" s="49"/>
    </row>
    <row r="11" spans="1:256" ht="13.5" thickBot="1">
      <c r="A11" s="216"/>
      <c r="B11" s="373" t="s">
        <v>12</v>
      </c>
      <c r="C11" s="374"/>
      <c r="D11" s="375"/>
      <c r="E11" s="212"/>
      <c r="F11" s="212"/>
      <c r="G11" s="212"/>
      <c r="H11" s="212"/>
      <c r="I11" s="212"/>
      <c r="J11" s="212"/>
      <c r="K11" s="212"/>
      <c r="L11" s="49"/>
      <c r="M11" s="49"/>
      <c r="N11" s="49"/>
      <c r="O11" s="49"/>
      <c r="P11" s="49"/>
      <c r="Q11" s="49"/>
      <c r="R11" s="49"/>
      <c r="S11" s="49"/>
      <c r="T11" s="49"/>
      <c r="U11" s="49"/>
      <c r="V11" s="49"/>
      <c r="W11" s="49"/>
      <c r="X11" s="49"/>
      <c r="Y11" s="49"/>
      <c r="Z11" s="49"/>
      <c r="AA11" s="49"/>
      <c r="AB11" s="49"/>
      <c r="AC11" s="49"/>
      <c r="AD11" s="49"/>
      <c r="AE11" s="49"/>
      <c r="AF11" s="49"/>
      <c r="AG11" s="49"/>
      <c r="AH11" s="49"/>
      <c r="AI11" s="49"/>
      <c r="AJ11" s="49"/>
      <c r="AK11" s="49"/>
      <c r="AL11" s="49"/>
      <c r="AM11" s="49"/>
      <c r="AN11" s="49"/>
      <c r="AO11" s="49"/>
      <c r="AP11" s="49"/>
      <c r="AQ11" s="49"/>
      <c r="AR11" s="49"/>
      <c r="AS11" s="49"/>
      <c r="AT11" s="49"/>
      <c r="AU11" s="49"/>
      <c r="AV11" s="49"/>
      <c r="AW11" s="49"/>
      <c r="AX11" s="49"/>
      <c r="AY11" s="49"/>
      <c r="AZ11" s="49"/>
      <c r="BA11" s="49"/>
      <c r="BB11" s="49"/>
      <c r="BC11" s="49"/>
      <c r="BD11" s="49"/>
      <c r="BE11" s="49"/>
      <c r="BF11" s="49"/>
      <c r="BG11" s="49"/>
      <c r="BH11" s="49"/>
      <c r="BI11" s="49"/>
      <c r="BJ11" s="49"/>
      <c r="BK11" s="49"/>
      <c r="BL11" s="49"/>
      <c r="BM11" s="49"/>
      <c r="BN11" s="49"/>
      <c r="BO11" s="49"/>
      <c r="BP11" s="49"/>
      <c r="BQ11" s="49"/>
      <c r="BR11" s="49"/>
      <c r="BS11" s="49"/>
      <c r="BT11" s="49"/>
      <c r="BU11" s="49"/>
      <c r="BV11" s="49"/>
      <c r="BW11" s="49"/>
      <c r="BX11" s="49"/>
      <c r="BY11" s="49"/>
      <c r="BZ11" s="49"/>
      <c r="CA11" s="49"/>
      <c r="CB11" s="49"/>
      <c r="CC11" s="49"/>
      <c r="CD11" s="49"/>
      <c r="CE11" s="49"/>
      <c r="CF11" s="49"/>
      <c r="CG11" s="49"/>
      <c r="CH11" s="49"/>
      <c r="CI11" s="49"/>
      <c r="CJ11" s="49"/>
      <c r="CK11" s="49"/>
      <c r="CL11" s="49"/>
      <c r="CM11" s="49"/>
      <c r="CN11" s="49"/>
      <c r="CO11" s="49"/>
      <c r="CP11" s="49"/>
      <c r="CQ11" s="49"/>
      <c r="CR11" s="49"/>
      <c r="CS11" s="49"/>
      <c r="CT11" s="49"/>
      <c r="CU11" s="49"/>
      <c r="CV11" s="49"/>
      <c r="CW11" s="49"/>
      <c r="CX11" s="49"/>
      <c r="CY11" s="49"/>
      <c r="CZ11" s="49"/>
      <c r="DA11" s="49"/>
      <c r="DB11" s="49"/>
      <c r="DC11" s="49"/>
      <c r="DD11" s="49"/>
      <c r="DE11" s="49"/>
      <c r="DF11" s="49"/>
      <c r="DG11" s="49"/>
      <c r="DH11" s="49"/>
      <c r="DI11" s="49"/>
      <c r="DJ11" s="49"/>
      <c r="DK11" s="49"/>
      <c r="DL11" s="49"/>
      <c r="DM11" s="49"/>
      <c r="DN11" s="49"/>
      <c r="DO11" s="49"/>
      <c r="DP11" s="49"/>
      <c r="DQ11" s="49"/>
      <c r="DR11" s="49"/>
      <c r="DS11" s="49"/>
      <c r="DT11" s="49"/>
      <c r="DU11" s="49"/>
      <c r="DV11" s="49"/>
      <c r="DW11" s="49"/>
      <c r="DX11" s="49"/>
      <c r="DY11" s="49"/>
      <c r="DZ11" s="49"/>
      <c r="EA11" s="49"/>
      <c r="EB11" s="49"/>
      <c r="EC11" s="49"/>
      <c r="ED11" s="49"/>
      <c r="EE11" s="49"/>
      <c r="EF11" s="49"/>
      <c r="EG11" s="49"/>
      <c r="EH11" s="49"/>
      <c r="EI11" s="49"/>
      <c r="EJ11" s="49"/>
      <c r="EK11" s="49"/>
      <c r="EL11" s="49"/>
      <c r="EM11" s="49"/>
      <c r="EN11" s="49"/>
      <c r="EO11" s="49"/>
      <c r="EP11" s="49"/>
      <c r="EQ11" s="49"/>
      <c r="ER11" s="49"/>
      <c r="ES11" s="49"/>
      <c r="ET11" s="49"/>
      <c r="EU11" s="49"/>
      <c r="EV11" s="49"/>
      <c r="EW11" s="49"/>
      <c r="EX11" s="49"/>
      <c r="EY11" s="49"/>
      <c r="EZ11" s="49"/>
      <c r="FA11" s="49"/>
      <c r="FB11" s="49"/>
      <c r="FC11" s="49"/>
      <c r="FD11" s="49"/>
      <c r="FE11" s="49"/>
      <c r="FF11" s="49"/>
      <c r="FG11" s="49"/>
      <c r="FH11" s="49"/>
      <c r="FI11" s="49"/>
      <c r="FJ11" s="49"/>
      <c r="FK11" s="49"/>
      <c r="FL11" s="49"/>
      <c r="FM11" s="49"/>
      <c r="FN11" s="49"/>
      <c r="FO11" s="49"/>
      <c r="FP11" s="49"/>
      <c r="FQ11" s="49"/>
      <c r="FR11" s="49"/>
      <c r="FS11" s="49"/>
      <c r="FT11" s="49"/>
      <c r="FU11" s="49"/>
      <c r="FV11" s="49"/>
      <c r="FW11" s="49"/>
      <c r="FX11" s="49"/>
      <c r="FY11" s="49"/>
      <c r="FZ11" s="49"/>
      <c r="GA11" s="49"/>
      <c r="GB11" s="49"/>
      <c r="GC11" s="49"/>
      <c r="GD11" s="49"/>
      <c r="GE11" s="49"/>
      <c r="GF11" s="49"/>
      <c r="GG11" s="49"/>
      <c r="GH11" s="49"/>
      <c r="GI11" s="49"/>
      <c r="GJ11" s="49"/>
      <c r="GK11" s="49"/>
      <c r="GL11" s="49"/>
      <c r="GM11" s="49"/>
      <c r="GN11" s="49"/>
      <c r="GO11" s="49"/>
      <c r="GP11" s="49"/>
      <c r="GQ11" s="49"/>
      <c r="GR11" s="49"/>
      <c r="GS11" s="49"/>
      <c r="GT11" s="49"/>
      <c r="GU11" s="49"/>
      <c r="GV11" s="49"/>
      <c r="GW11" s="49"/>
      <c r="GX11" s="49"/>
      <c r="GY11" s="49"/>
      <c r="GZ11" s="49"/>
      <c r="HA11" s="49"/>
      <c r="HB11" s="49"/>
      <c r="HC11" s="49"/>
      <c r="HD11" s="49"/>
      <c r="HE11" s="49"/>
      <c r="HF11" s="49"/>
      <c r="HG11" s="49"/>
      <c r="HH11" s="49"/>
      <c r="HI11" s="49"/>
      <c r="HJ11" s="49"/>
      <c r="HK11" s="49"/>
      <c r="HL11" s="49"/>
      <c r="HM11" s="49"/>
      <c r="HN11" s="49"/>
      <c r="HO11" s="49"/>
      <c r="HP11" s="49"/>
      <c r="HQ11" s="49"/>
      <c r="HR11" s="49"/>
      <c r="HS11" s="49"/>
      <c r="HT11" s="49"/>
      <c r="HU11" s="49"/>
      <c r="HV11" s="49"/>
      <c r="HW11" s="49"/>
      <c r="HX11" s="49"/>
      <c r="HY11" s="49"/>
      <c r="HZ11" s="49"/>
      <c r="IA11" s="49"/>
      <c r="IB11" s="49"/>
      <c r="IC11" s="49"/>
      <c r="ID11" s="49"/>
      <c r="IE11" s="49"/>
      <c r="IF11" s="49"/>
      <c r="IG11" s="49"/>
      <c r="IH11" s="49"/>
      <c r="II11" s="49"/>
      <c r="IJ11" s="49"/>
      <c r="IK11" s="49"/>
      <c r="IL11" s="49"/>
      <c r="IM11" s="49"/>
      <c r="IN11" s="49"/>
      <c r="IO11" s="49"/>
      <c r="IP11" s="49"/>
      <c r="IQ11" s="49"/>
      <c r="IR11" s="49"/>
      <c r="IS11" s="49"/>
      <c r="IT11" s="49"/>
      <c r="IU11" s="49"/>
      <c r="IV11" s="49"/>
    </row>
    <row r="12" spans="1:256" ht="45" customHeight="1">
      <c r="A12" s="216"/>
      <c r="B12" s="376" t="s">
        <v>119</v>
      </c>
      <c r="C12" s="377"/>
      <c r="D12" s="377"/>
      <c r="E12" s="377"/>
      <c r="F12" s="377"/>
      <c r="G12" s="377"/>
      <c r="H12" s="377"/>
      <c r="I12" s="377"/>
      <c r="J12" s="378"/>
      <c r="K12" s="212"/>
    </row>
    <row r="13" spans="1:256" ht="13.5" thickBot="1">
      <c r="A13" s="216"/>
      <c r="B13" s="379" t="s">
        <v>16</v>
      </c>
      <c r="C13" s="380"/>
      <c r="D13" s="380"/>
      <c r="E13" s="380"/>
      <c r="F13" s="380"/>
      <c r="G13" s="380"/>
      <c r="H13" s="380"/>
      <c r="I13" s="380"/>
      <c r="J13" s="381"/>
      <c r="K13" s="212"/>
    </row>
    <row r="14" spans="1:256" ht="14.25" thickTop="1" thickBot="1">
      <c r="A14" s="216"/>
      <c r="B14" s="212"/>
      <c r="C14" s="212"/>
      <c r="D14" s="212"/>
      <c r="E14" s="212"/>
      <c r="F14" s="212"/>
      <c r="G14" s="212"/>
      <c r="H14" s="212"/>
      <c r="I14" s="212"/>
      <c r="J14" s="212"/>
      <c r="K14" s="212"/>
    </row>
    <row r="15" spans="1:256" ht="13.5" thickBot="1">
      <c r="A15" s="216"/>
      <c r="B15" s="373" t="s">
        <v>13</v>
      </c>
      <c r="C15" s="374"/>
      <c r="D15" s="375"/>
      <c r="E15" s="212"/>
      <c r="F15" s="212"/>
      <c r="G15" s="212"/>
      <c r="H15" s="212"/>
      <c r="I15" s="212"/>
      <c r="J15" s="212"/>
      <c r="K15" s="212"/>
    </row>
    <row r="16" spans="1:256" ht="96.75" customHeight="1" thickBot="1">
      <c r="A16" s="216"/>
      <c r="B16" s="385" t="s">
        <v>120</v>
      </c>
      <c r="C16" s="386"/>
      <c r="D16" s="386"/>
      <c r="E16" s="386"/>
      <c r="F16" s="386"/>
      <c r="G16" s="386"/>
      <c r="H16" s="386"/>
      <c r="I16" s="386"/>
      <c r="J16" s="387"/>
      <c r="K16" s="212"/>
    </row>
    <row r="17" spans="1:11" ht="14.25" thickTop="1" thickBot="1">
      <c r="A17" s="216"/>
      <c r="B17" s="212"/>
      <c r="C17" s="212"/>
      <c r="D17" s="212"/>
      <c r="E17" s="212"/>
      <c r="F17" s="212"/>
      <c r="G17" s="212"/>
      <c r="H17" s="212"/>
      <c r="I17" s="212"/>
      <c r="J17" s="212"/>
      <c r="K17" s="212"/>
    </row>
    <row r="18" spans="1:11" ht="13.5" thickBot="1">
      <c r="A18" s="216"/>
      <c r="B18" s="373" t="s">
        <v>14</v>
      </c>
      <c r="C18" s="374"/>
      <c r="D18" s="375"/>
      <c r="E18" s="212"/>
      <c r="F18" s="212"/>
      <c r="G18" s="212"/>
      <c r="H18" s="212"/>
      <c r="I18" s="212"/>
      <c r="J18" s="212"/>
      <c r="K18" s="212"/>
    </row>
    <row r="19" spans="1:11" ht="75.75" customHeight="1" thickBot="1">
      <c r="A19" s="216"/>
      <c r="B19" s="402" t="s">
        <v>121</v>
      </c>
      <c r="C19" s="386"/>
      <c r="D19" s="386"/>
      <c r="E19" s="386"/>
      <c r="F19" s="386"/>
      <c r="G19" s="386"/>
      <c r="H19" s="386"/>
      <c r="I19" s="386"/>
      <c r="J19" s="387"/>
      <c r="K19" s="212"/>
    </row>
    <row r="20" spans="1:11" ht="8.25" customHeight="1" thickTop="1" thickBot="1">
      <c r="A20" s="216"/>
      <c r="B20" s="212"/>
      <c r="C20" s="212"/>
      <c r="D20" s="212"/>
      <c r="E20" s="212"/>
      <c r="F20" s="212"/>
      <c r="G20" s="212"/>
      <c r="H20" s="212"/>
      <c r="I20" s="212"/>
      <c r="J20" s="212"/>
      <c r="K20" s="212"/>
    </row>
    <row r="21" spans="1:11" ht="13.5" thickBot="1">
      <c r="A21" s="216"/>
      <c r="B21" s="373" t="s">
        <v>15</v>
      </c>
      <c r="C21" s="374"/>
      <c r="D21" s="375"/>
      <c r="E21" s="212"/>
      <c r="F21" s="212"/>
      <c r="G21" s="212"/>
      <c r="H21" s="212"/>
      <c r="I21" s="212"/>
      <c r="J21" s="212"/>
      <c r="K21" s="212"/>
    </row>
    <row r="22" spans="1:11" ht="30" customHeight="1" thickBot="1">
      <c r="A22" s="216"/>
      <c r="B22" s="385" t="s">
        <v>37</v>
      </c>
      <c r="C22" s="386"/>
      <c r="D22" s="386"/>
      <c r="E22" s="386"/>
      <c r="F22" s="386"/>
      <c r="G22" s="386"/>
      <c r="H22" s="386"/>
      <c r="I22" s="386"/>
      <c r="J22" s="387"/>
      <c r="K22" s="212"/>
    </row>
    <row r="23" spans="1:11" ht="8.25" customHeight="1" thickTop="1" thickBot="1">
      <c r="A23" s="216"/>
      <c r="B23" s="212"/>
      <c r="C23" s="212"/>
      <c r="D23" s="212"/>
      <c r="E23" s="212"/>
      <c r="F23" s="212"/>
      <c r="G23" s="212"/>
      <c r="H23" s="212"/>
      <c r="I23" s="212"/>
      <c r="J23" s="212"/>
      <c r="K23" s="212"/>
    </row>
    <row r="24" spans="1:11" ht="21.75" customHeight="1" thickTop="1" thickBot="1">
      <c r="A24" s="382" t="s">
        <v>17</v>
      </c>
      <c r="B24" s="383"/>
      <c r="C24" s="384"/>
      <c r="D24" s="212"/>
      <c r="E24" s="212"/>
      <c r="F24" s="212"/>
      <c r="G24" s="212"/>
      <c r="H24" s="212"/>
      <c r="I24" s="212"/>
      <c r="J24" s="212"/>
      <c r="K24" s="212"/>
    </row>
    <row r="25" spans="1:11" ht="20.25" customHeight="1" thickBot="1">
      <c r="A25" s="388" t="s">
        <v>36</v>
      </c>
      <c r="B25" s="389"/>
      <c r="C25" s="389"/>
      <c r="D25" s="389"/>
      <c r="E25" s="389"/>
      <c r="F25" s="389"/>
      <c r="G25" s="389"/>
      <c r="H25" s="389"/>
      <c r="I25" s="390"/>
      <c r="J25" s="212"/>
      <c r="K25" s="212"/>
    </row>
    <row r="26" spans="1:11" ht="14.25" customHeight="1" thickTop="1" thickBot="1">
      <c r="A26" s="216"/>
      <c r="B26" s="212"/>
      <c r="C26" s="212"/>
      <c r="D26" s="212"/>
      <c r="E26" s="212"/>
      <c r="F26" s="212"/>
      <c r="G26" s="212"/>
      <c r="H26" s="212"/>
      <c r="I26" s="212"/>
      <c r="J26" s="212"/>
      <c r="K26" s="212"/>
    </row>
    <row r="27" spans="1:11" ht="13.5" thickBot="1">
      <c r="A27" s="216"/>
      <c r="B27" s="373" t="s">
        <v>19</v>
      </c>
      <c r="C27" s="374"/>
      <c r="D27" s="375"/>
      <c r="E27" s="212"/>
      <c r="F27" s="212"/>
      <c r="G27" s="212"/>
      <c r="H27" s="212"/>
      <c r="I27" s="212"/>
      <c r="J27" s="212"/>
      <c r="K27" s="212"/>
    </row>
    <row r="28" spans="1:11" ht="27.75" customHeight="1">
      <c r="A28" s="216"/>
      <c r="B28" s="391" t="s">
        <v>18</v>
      </c>
      <c r="C28" s="392"/>
      <c r="D28" s="392"/>
      <c r="E28" s="392"/>
      <c r="F28" s="392"/>
      <c r="G28" s="392"/>
      <c r="H28" s="392"/>
      <c r="I28" s="392"/>
      <c r="J28" s="393"/>
      <c r="K28" s="212"/>
    </row>
    <row r="29" spans="1:11" ht="31.5" customHeight="1" thickBot="1">
      <c r="A29" s="216"/>
      <c r="B29" s="394" t="s">
        <v>35</v>
      </c>
      <c r="C29" s="395"/>
      <c r="D29" s="395"/>
      <c r="E29" s="395"/>
      <c r="F29" s="395"/>
      <c r="G29" s="395"/>
      <c r="H29" s="395"/>
      <c r="I29" s="395"/>
      <c r="J29" s="396"/>
      <c r="K29" s="212"/>
    </row>
    <row r="30" spans="1:11" ht="8.25" customHeight="1" thickTop="1" thickBot="1">
      <c r="A30" s="216"/>
      <c r="B30" s="212"/>
      <c r="C30" s="212"/>
      <c r="D30" s="212"/>
      <c r="E30" s="212"/>
      <c r="F30" s="212"/>
      <c r="G30" s="212"/>
      <c r="H30" s="212"/>
      <c r="I30" s="212"/>
      <c r="J30" s="212"/>
      <c r="K30" s="212"/>
    </row>
    <row r="31" spans="1:11" ht="13.5" thickBot="1">
      <c r="A31" s="216"/>
      <c r="B31" s="373" t="s">
        <v>20</v>
      </c>
      <c r="C31" s="374"/>
      <c r="D31" s="375"/>
      <c r="E31" s="212"/>
      <c r="F31" s="212"/>
      <c r="G31" s="212"/>
      <c r="H31" s="212"/>
      <c r="I31" s="212"/>
      <c r="J31" s="212"/>
      <c r="K31" s="212"/>
    </row>
    <row r="32" spans="1:11" ht="60" customHeight="1">
      <c r="A32" s="216"/>
      <c r="B32" s="376" t="s">
        <v>31</v>
      </c>
      <c r="C32" s="377"/>
      <c r="D32" s="377"/>
      <c r="E32" s="377"/>
      <c r="F32" s="377"/>
      <c r="G32" s="377"/>
      <c r="H32" s="377"/>
      <c r="I32" s="377"/>
      <c r="J32" s="378"/>
      <c r="K32" s="212"/>
    </row>
    <row r="33" spans="1:11" ht="71.25" customHeight="1" thickBot="1">
      <c r="A33" s="216"/>
      <c r="B33" s="394" t="s">
        <v>21</v>
      </c>
      <c r="C33" s="395"/>
      <c r="D33" s="395"/>
      <c r="E33" s="395"/>
      <c r="F33" s="395"/>
      <c r="G33" s="395"/>
      <c r="H33" s="395"/>
      <c r="I33" s="395"/>
      <c r="J33" s="396"/>
      <c r="K33" s="212"/>
    </row>
    <row r="34" spans="1:11" ht="8.25" customHeight="1" thickTop="1" thickBot="1">
      <c r="A34" s="212"/>
      <c r="B34" s="212"/>
      <c r="C34" s="212"/>
      <c r="D34" s="212"/>
      <c r="E34" s="212"/>
      <c r="F34" s="212"/>
      <c r="G34" s="212"/>
      <c r="H34" s="212"/>
      <c r="I34" s="212"/>
      <c r="J34" s="212"/>
      <c r="K34" s="212"/>
    </row>
    <row r="35" spans="1:11" ht="21.75" customHeight="1" thickTop="1" thickBot="1">
      <c r="A35" s="382" t="s">
        <v>29</v>
      </c>
      <c r="B35" s="383"/>
      <c r="C35" s="384"/>
      <c r="D35" s="212"/>
      <c r="E35" s="212"/>
      <c r="F35" s="212"/>
      <c r="G35" s="212"/>
      <c r="H35" s="212"/>
      <c r="I35" s="212"/>
      <c r="J35" s="212"/>
      <c r="K35" s="212"/>
    </row>
    <row r="36" spans="1:11" ht="15" customHeight="1" thickBot="1">
      <c r="A36" s="370" t="s">
        <v>30</v>
      </c>
      <c r="B36" s="371"/>
      <c r="C36" s="371"/>
      <c r="D36" s="371"/>
      <c r="E36" s="371"/>
      <c r="F36" s="371"/>
      <c r="G36" s="371"/>
      <c r="H36" s="371"/>
      <c r="I36" s="372"/>
      <c r="J36" s="212"/>
      <c r="K36" s="212"/>
    </row>
    <row r="37" spans="1:11" ht="14.25" customHeight="1" thickTop="1" thickBot="1">
      <c r="A37" s="216"/>
      <c r="B37" s="212"/>
      <c r="C37" s="212"/>
      <c r="D37" s="212"/>
      <c r="E37" s="212"/>
      <c r="F37" s="212"/>
      <c r="G37" s="212"/>
      <c r="H37" s="212"/>
      <c r="I37" s="212"/>
      <c r="J37" s="212"/>
      <c r="K37" s="212"/>
    </row>
    <row r="38" spans="1:11" ht="13.5" thickBot="1">
      <c r="A38" s="216"/>
      <c r="B38" s="373" t="s">
        <v>19</v>
      </c>
      <c r="C38" s="374"/>
      <c r="D38" s="375"/>
      <c r="E38" s="212"/>
      <c r="F38" s="212"/>
      <c r="G38" s="212"/>
      <c r="H38" s="212"/>
      <c r="I38" s="212"/>
      <c r="J38" s="212"/>
      <c r="K38" s="212"/>
    </row>
    <row r="39" spans="1:11" ht="87" customHeight="1" thickBot="1">
      <c r="A39" s="216"/>
      <c r="B39" s="385" t="s">
        <v>28</v>
      </c>
      <c r="C39" s="386"/>
      <c r="D39" s="386"/>
      <c r="E39" s="386"/>
      <c r="F39" s="386"/>
      <c r="G39" s="386"/>
      <c r="H39" s="386"/>
      <c r="I39" s="386"/>
      <c r="J39" s="387"/>
      <c r="K39" s="212"/>
    </row>
    <row r="40" spans="1:11" ht="14.25" customHeight="1" thickTop="1" thickBot="1">
      <c r="A40" s="216"/>
      <c r="B40" s="212"/>
      <c r="C40" s="212"/>
      <c r="D40" s="212"/>
      <c r="E40" s="212"/>
      <c r="F40" s="212"/>
      <c r="G40" s="212"/>
      <c r="H40" s="212"/>
      <c r="I40" s="212"/>
      <c r="J40" s="212"/>
      <c r="K40" s="212"/>
    </row>
    <row r="41" spans="1:11" ht="13.5" thickBot="1">
      <c r="A41" s="216"/>
      <c r="B41" s="373" t="s">
        <v>24</v>
      </c>
      <c r="C41" s="374"/>
      <c r="D41" s="375"/>
      <c r="E41" s="212"/>
      <c r="F41" s="212"/>
      <c r="G41" s="212"/>
      <c r="H41" s="212"/>
      <c r="I41" s="212"/>
      <c r="J41" s="212"/>
      <c r="K41" s="212"/>
    </row>
    <row r="42" spans="1:11" ht="13.5" thickBot="1">
      <c r="A42" s="212"/>
      <c r="B42" s="367"/>
      <c r="C42" s="368"/>
      <c r="D42" s="368"/>
      <c r="E42" s="368"/>
      <c r="F42" s="368"/>
      <c r="G42" s="368"/>
      <c r="H42" s="368"/>
      <c r="I42" s="368"/>
      <c r="J42" s="369"/>
      <c r="K42" s="212"/>
    </row>
    <row r="43" spans="1:11" ht="13.5" thickTop="1">
      <c r="A43" s="50"/>
      <c r="B43" s="50"/>
      <c r="C43" s="50"/>
      <c r="D43" s="50"/>
      <c r="E43" s="50"/>
      <c r="F43" s="50"/>
      <c r="G43" s="50"/>
      <c r="H43" s="50"/>
      <c r="I43" s="50"/>
      <c r="J43" s="50"/>
      <c r="K43" s="50"/>
    </row>
    <row r="44" spans="1:11">
      <c r="A44" s="50"/>
      <c r="B44" s="50"/>
      <c r="C44" s="50"/>
      <c r="D44" s="50"/>
      <c r="E44" s="50"/>
      <c r="F44" s="50"/>
      <c r="G44" s="50"/>
      <c r="H44" s="50"/>
      <c r="I44" s="50"/>
      <c r="J44" s="50"/>
      <c r="K44" s="50"/>
    </row>
    <row r="45" spans="1:11">
      <c r="A45" s="50"/>
      <c r="B45" s="50"/>
      <c r="C45" s="50"/>
      <c r="D45" s="50"/>
      <c r="E45" s="50"/>
      <c r="F45" s="50"/>
      <c r="G45" s="50"/>
      <c r="H45" s="50"/>
      <c r="I45" s="50"/>
      <c r="J45" s="50"/>
      <c r="K45" s="50"/>
    </row>
    <row r="46" spans="1:11">
      <c r="A46" s="50"/>
      <c r="B46" s="50"/>
      <c r="C46" s="50"/>
      <c r="D46" s="50"/>
      <c r="E46" s="50"/>
      <c r="F46" s="50"/>
      <c r="G46" s="50"/>
      <c r="H46" s="50"/>
      <c r="I46" s="50"/>
      <c r="J46" s="50"/>
      <c r="K46" s="50"/>
    </row>
    <row r="47" spans="1:11">
      <c r="A47" s="50"/>
      <c r="B47" s="50"/>
      <c r="C47" s="50"/>
      <c r="D47" s="50"/>
      <c r="E47" s="50"/>
      <c r="F47" s="50"/>
      <c r="G47" s="50"/>
      <c r="H47" s="50"/>
      <c r="I47" s="50"/>
      <c r="J47" s="50"/>
      <c r="K47" s="50"/>
    </row>
    <row r="48" spans="1:11">
      <c r="A48" s="50"/>
      <c r="B48" s="50"/>
      <c r="C48" s="50"/>
      <c r="D48" s="50"/>
      <c r="E48" s="50"/>
      <c r="F48" s="50"/>
      <c r="G48" s="50"/>
      <c r="H48" s="50"/>
      <c r="I48" s="50"/>
      <c r="J48" s="50"/>
      <c r="K48" s="50"/>
    </row>
  </sheetData>
  <sheetProtection selectLockedCells="1"/>
  <mergeCells count="30">
    <mergeCell ref="B11:D11"/>
    <mergeCell ref="B9:J9"/>
    <mergeCell ref="B29:J29"/>
    <mergeCell ref="A24:C24"/>
    <mergeCell ref="B16:J16"/>
    <mergeCell ref="B18:D18"/>
    <mergeCell ref="B21:D21"/>
    <mergeCell ref="B27:D27"/>
    <mergeCell ref="B19:J19"/>
    <mergeCell ref="B22:J22"/>
    <mergeCell ref="B28:J28"/>
    <mergeCell ref="B15:D15"/>
    <mergeCell ref="B33:J33"/>
    <mergeCell ref="B2:C2"/>
    <mergeCell ref="E2:F2"/>
    <mergeCell ref="B31:D31"/>
    <mergeCell ref="A6:I6"/>
    <mergeCell ref="A5:C5"/>
    <mergeCell ref="H2:I2"/>
    <mergeCell ref="B8:D8"/>
    <mergeCell ref="B42:J42"/>
    <mergeCell ref="A36:I36"/>
    <mergeCell ref="B38:D38"/>
    <mergeCell ref="B41:D41"/>
    <mergeCell ref="B12:J12"/>
    <mergeCell ref="B13:J13"/>
    <mergeCell ref="A35:C35"/>
    <mergeCell ref="B39:J39"/>
    <mergeCell ref="B32:J32"/>
    <mergeCell ref="A25:I25"/>
  </mergeCells>
  <phoneticPr fontId="17" type="noConversion"/>
  <hyperlinks>
    <hyperlink ref="B2:C2" location="MA_onglets" display="Les onglets"/>
    <hyperlink ref="E2:F2" location="MA_Aide" display="Aide"/>
    <hyperlink ref="H2:I2" location="Ma_PB" display="Problèmes"/>
  </hyperlinks>
  <pageMargins left="0.78740157499999996" right="0.78740157499999996" top="0.984251969" bottom="0.984251969" header="0.4921259845" footer="0.4921259845"/>
  <headerFooter alignWithMargin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I81"/>
  <sheetViews>
    <sheetView showRowColHeaders="0" showZeros="0" workbookViewId="0">
      <selection activeCell="G5" sqref="G5"/>
    </sheetView>
  </sheetViews>
  <sheetFormatPr baseColWidth="10" defaultColWidth="0" defaultRowHeight="12.75" zeroHeight="1"/>
  <cols>
    <col min="1" max="2" width="2.140625" style="220" customWidth="1"/>
    <col min="3" max="3" width="25.7109375" style="220" customWidth="1"/>
    <col min="4" max="4" width="29.28515625" style="220" customWidth="1"/>
    <col min="5" max="5" width="4.28515625" style="220" customWidth="1"/>
    <col min="6" max="6" width="22.7109375" style="220" customWidth="1"/>
    <col min="7" max="7" width="23.140625" style="220" customWidth="1"/>
    <col min="8" max="8" width="3.7109375" style="220" customWidth="1"/>
  </cols>
  <sheetData>
    <row r="1" spans="1:9" s="1" customFormat="1" ht="20.25" customHeight="1" thickTop="1" thickBot="1">
      <c r="A1" s="403" t="s">
        <v>3</v>
      </c>
      <c r="B1" s="404"/>
      <c r="C1" s="404"/>
      <c r="D1" s="404"/>
      <c r="E1" s="404"/>
      <c r="F1" s="404"/>
      <c r="G1" s="404"/>
      <c r="H1" s="405"/>
      <c r="I1" s="2"/>
    </row>
    <row r="2" spans="1:9" ht="10.5" customHeight="1" thickTop="1">
      <c r="A2" s="228"/>
      <c r="B2" s="228"/>
      <c r="C2" s="217"/>
      <c r="D2" s="229"/>
      <c r="E2" s="229"/>
      <c r="F2" s="229"/>
      <c r="G2" s="217"/>
      <c r="H2" s="230"/>
    </row>
    <row r="3" spans="1:9" ht="24.95" customHeight="1" thickBot="1">
      <c r="A3" s="218"/>
      <c r="B3" s="218"/>
      <c r="C3" s="218" t="s">
        <v>59</v>
      </c>
      <c r="D3" s="251"/>
      <c r="E3" s="231"/>
      <c r="F3" s="218" t="s">
        <v>122</v>
      </c>
      <c r="G3" s="251"/>
      <c r="H3" s="232"/>
    </row>
    <row r="4" spans="1:9" ht="24.95" customHeight="1" thickTop="1">
      <c r="A4" s="233"/>
      <c r="B4" s="233"/>
      <c r="C4" s="233"/>
      <c r="D4" s="233"/>
      <c r="E4" s="234"/>
      <c r="F4" s="233"/>
      <c r="G4" s="233"/>
      <c r="H4" s="232"/>
    </row>
    <row r="5" spans="1:9" ht="24.95" customHeight="1" thickBot="1">
      <c r="A5" s="219"/>
      <c r="B5" s="219"/>
      <c r="C5" s="218" t="s">
        <v>60</v>
      </c>
      <c r="D5" s="251"/>
      <c r="E5" s="231"/>
      <c r="F5" s="218" t="s">
        <v>109</v>
      </c>
      <c r="G5" s="251"/>
      <c r="H5" s="230"/>
    </row>
    <row r="6" spans="1:9" ht="24.95" customHeight="1" thickTop="1">
      <c r="A6" s="235"/>
      <c r="B6" s="235"/>
      <c r="C6" s="219"/>
      <c r="D6" s="229"/>
      <c r="E6" s="229"/>
      <c r="F6" s="229"/>
      <c r="G6" s="233"/>
      <c r="H6" s="230"/>
    </row>
    <row r="7" spans="1:9" ht="24.95" customHeight="1" thickBot="1">
      <c r="A7" s="219"/>
      <c r="B7" s="219"/>
      <c r="C7" s="218" t="s">
        <v>107</v>
      </c>
      <c r="D7" s="236" t="s">
        <v>144</v>
      </c>
      <c r="E7" s="231"/>
      <c r="F7" s="218" t="s">
        <v>58</v>
      </c>
      <c r="G7" s="237"/>
      <c r="H7" s="230"/>
    </row>
    <row r="8" spans="1:9" ht="24.95" customHeight="1" thickTop="1">
      <c r="A8" s="219"/>
      <c r="B8" s="219"/>
      <c r="C8" s="218"/>
      <c r="D8" s="247"/>
      <c r="E8" s="248"/>
      <c r="F8" s="249"/>
      <c r="G8" s="250"/>
      <c r="H8" s="230"/>
    </row>
    <row r="9" spans="1:9" ht="24.95" customHeight="1">
      <c r="A9" s="219"/>
      <c r="B9" s="219"/>
      <c r="C9" s="218" t="s">
        <v>140</v>
      </c>
      <c r="D9" s="256" t="s">
        <v>142</v>
      </c>
      <c r="E9" s="254"/>
      <c r="F9" s="257"/>
      <c r="G9" s="252"/>
      <c r="H9" s="230"/>
    </row>
    <row r="10" spans="1:9" ht="24.95" customHeight="1">
      <c r="A10" s="219"/>
      <c r="B10" s="219"/>
      <c r="C10" s="218"/>
      <c r="D10" s="256" t="s">
        <v>141</v>
      </c>
      <c r="E10" s="254"/>
      <c r="F10" s="257"/>
      <c r="G10" s="252"/>
      <c r="H10" s="230"/>
    </row>
    <row r="11" spans="1:9" ht="24.95" customHeight="1">
      <c r="A11" s="229"/>
      <c r="B11" s="229"/>
      <c r="C11" s="233"/>
      <c r="D11" s="255" t="s">
        <v>143</v>
      </c>
      <c r="E11" s="253"/>
      <c r="F11" s="254"/>
      <c r="G11" s="233"/>
      <c r="H11" s="238"/>
    </row>
    <row r="12" spans="1:9" ht="24.95" customHeight="1" thickBot="1">
      <c r="A12" s="406" t="s">
        <v>92</v>
      </c>
      <c r="B12" s="407"/>
      <c r="C12" s="407"/>
      <c r="D12" s="407"/>
      <c r="E12" s="407"/>
      <c r="F12" s="407"/>
      <c r="G12" s="407"/>
      <c r="H12" s="408"/>
    </row>
    <row r="13" spans="1:9" ht="24.95" customHeight="1" thickTop="1">
      <c r="A13" s="233"/>
      <c r="B13" s="219" t="s">
        <v>124</v>
      </c>
      <c r="C13" s="233"/>
      <c r="D13" s="233"/>
      <c r="E13" s="234"/>
      <c r="F13" s="239" t="s">
        <v>123</v>
      </c>
      <c r="G13" s="233"/>
      <c r="H13" s="238"/>
    </row>
    <row r="14" spans="1:9" ht="24.95" customHeight="1" thickBot="1">
      <c r="A14" s="233"/>
      <c r="B14" s="233"/>
      <c r="C14" s="219" t="s">
        <v>38</v>
      </c>
      <c r="D14" s="240">
        <v>39629</v>
      </c>
      <c r="E14" s="231"/>
      <c r="F14" s="241">
        <v>39630</v>
      </c>
      <c r="G14" s="229"/>
      <c r="H14" s="238"/>
    </row>
    <row r="15" spans="1:9" ht="24.95" customHeight="1" thickTop="1">
      <c r="A15" s="233"/>
      <c r="B15" s="233"/>
      <c r="C15" s="219"/>
      <c r="D15" s="242"/>
      <c r="E15" s="219"/>
      <c r="F15" s="219"/>
      <c r="G15" s="233"/>
      <c r="H15" s="238"/>
    </row>
    <row r="16" spans="1:9" s="227" customFormat="1" ht="24.95" customHeight="1" thickBot="1">
      <c r="A16" s="233"/>
      <c r="B16" s="233"/>
      <c r="C16" s="219" t="s">
        <v>98</v>
      </c>
      <c r="D16" s="240">
        <v>39993</v>
      </c>
      <c r="E16" s="231"/>
      <c r="F16" s="241">
        <v>39991</v>
      </c>
      <c r="G16" s="243"/>
      <c r="H16" s="238"/>
    </row>
    <row r="17" spans="1:8" ht="16.5" hidden="1" customHeight="1" thickBot="1">
      <c r="A17" s="244"/>
      <c r="B17" s="244"/>
      <c r="C17" s="244"/>
      <c r="D17" s="244"/>
      <c r="E17" s="244"/>
      <c r="F17" s="244"/>
      <c r="G17" s="244"/>
      <c r="H17" s="244"/>
    </row>
    <row r="18" spans="1:8" ht="16.5" hidden="1" thickTop="1">
      <c r="A18" s="245"/>
      <c r="B18" s="245"/>
      <c r="C18" s="245"/>
      <c r="D18" s="245"/>
      <c r="E18" s="245"/>
      <c r="F18" s="245"/>
      <c r="G18" s="245"/>
      <c r="H18" s="245"/>
    </row>
    <row r="19" spans="1:8" ht="16.5" hidden="1" thickTop="1">
      <c r="A19" s="245"/>
      <c r="B19" s="245"/>
      <c r="C19" s="245"/>
      <c r="D19" s="245"/>
      <c r="E19" s="245"/>
      <c r="F19" s="245"/>
      <c r="G19" s="245"/>
      <c r="H19" s="245"/>
    </row>
    <row r="20" spans="1:8" ht="16.5" hidden="1" thickTop="1">
      <c r="A20" s="245"/>
      <c r="B20" s="245"/>
      <c r="C20" s="245"/>
      <c r="D20" s="245"/>
      <c r="E20" s="245"/>
      <c r="F20" s="245"/>
      <c r="G20" s="245"/>
      <c r="H20" s="245"/>
    </row>
    <row r="21" spans="1:8" ht="16.5" hidden="1" thickTop="1">
      <c r="A21" s="245"/>
      <c r="B21" s="245"/>
      <c r="C21" s="245"/>
      <c r="D21" s="245"/>
      <c r="E21" s="245"/>
      <c r="F21" s="245"/>
      <c r="G21" s="245"/>
      <c r="H21" s="245"/>
    </row>
    <row r="22" spans="1:8" ht="16.5" hidden="1" thickTop="1">
      <c r="A22" s="245"/>
      <c r="B22" s="245"/>
      <c r="C22" s="245"/>
      <c r="D22" s="245"/>
      <c r="E22" s="245"/>
      <c r="F22" s="245"/>
      <c r="G22" s="245"/>
      <c r="H22" s="245"/>
    </row>
    <row r="23" spans="1:8" ht="16.5" hidden="1" thickTop="1">
      <c r="A23" s="245"/>
      <c r="B23" s="245"/>
      <c r="C23" s="245"/>
      <c r="D23" s="245"/>
      <c r="E23" s="245"/>
      <c r="F23" s="245"/>
      <c r="G23" s="245"/>
      <c r="H23" s="245"/>
    </row>
    <row r="24" spans="1:8" ht="16.5" hidden="1" thickTop="1">
      <c r="A24" s="245"/>
      <c r="B24" s="245"/>
      <c r="C24" s="245"/>
      <c r="D24" s="245"/>
      <c r="E24" s="245"/>
      <c r="F24" s="245"/>
      <c r="G24" s="245"/>
      <c r="H24" s="245"/>
    </row>
    <row r="25" spans="1:8" ht="16.5" hidden="1" thickTop="1">
      <c r="A25" s="245"/>
      <c r="B25" s="245"/>
      <c r="C25" s="245"/>
      <c r="D25" s="245"/>
      <c r="E25" s="245"/>
      <c r="F25" s="245"/>
      <c r="G25" s="245"/>
      <c r="H25" s="245"/>
    </row>
    <row r="26" spans="1:8" ht="16.5" hidden="1" thickTop="1">
      <c r="A26" s="245"/>
      <c r="B26" s="245"/>
      <c r="C26" s="245"/>
      <c r="D26" s="245"/>
      <c r="E26" s="245"/>
      <c r="F26" s="245"/>
      <c r="G26" s="245"/>
      <c r="H26" s="245"/>
    </row>
    <row r="27" spans="1:8" ht="16.5" hidden="1" thickTop="1">
      <c r="A27" s="245"/>
      <c r="B27" s="245"/>
      <c r="C27" s="245"/>
      <c r="D27" s="245"/>
      <c r="E27" s="245"/>
      <c r="F27" s="245"/>
      <c r="G27" s="245"/>
      <c r="H27" s="245"/>
    </row>
    <row r="28" spans="1:8" ht="16.5" hidden="1" thickTop="1">
      <c r="A28" s="245"/>
      <c r="B28" s="245"/>
      <c r="C28" s="245"/>
      <c r="D28" s="245"/>
      <c r="E28" s="245"/>
      <c r="F28" s="245"/>
      <c r="G28" s="245"/>
      <c r="H28" s="245"/>
    </row>
    <row r="29" spans="1:8" ht="16.5" hidden="1" thickTop="1">
      <c r="A29" s="245"/>
      <c r="B29" s="245"/>
      <c r="C29" s="245"/>
      <c r="D29" s="245"/>
      <c r="E29" s="245"/>
      <c r="F29" s="245"/>
      <c r="G29" s="245"/>
      <c r="H29" s="245"/>
    </row>
    <row r="30" spans="1:8" ht="16.5" hidden="1" thickTop="1">
      <c r="A30" s="245"/>
      <c r="B30" s="245"/>
      <c r="C30" s="245"/>
      <c r="D30" s="245"/>
      <c r="E30" s="245"/>
      <c r="F30" s="245"/>
      <c r="G30" s="245"/>
      <c r="H30" s="245"/>
    </row>
    <row r="31" spans="1:8" ht="16.5" hidden="1" thickTop="1">
      <c r="A31" s="245"/>
      <c r="B31" s="245"/>
      <c r="C31" s="245"/>
      <c r="D31" s="246"/>
      <c r="E31" s="246"/>
      <c r="F31" s="246"/>
      <c r="G31" s="245"/>
      <c r="H31" s="245"/>
    </row>
    <row r="32" spans="1:8" ht="16.5" hidden="1" thickTop="1">
      <c r="A32" s="245"/>
      <c r="B32" s="245"/>
      <c r="C32" s="245"/>
      <c r="D32" s="246"/>
      <c r="E32" s="246"/>
      <c r="F32" s="246"/>
      <c r="G32" s="245"/>
      <c r="H32" s="245"/>
    </row>
    <row r="33" spans="1:8" ht="16.5" hidden="1" thickTop="1">
      <c r="A33" s="245"/>
      <c r="B33" s="245"/>
      <c r="C33" s="245"/>
      <c r="D33" s="246"/>
      <c r="E33" s="246"/>
      <c r="F33" s="246"/>
      <c r="G33" s="245"/>
      <c r="H33" s="245"/>
    </row>
    <row r="34" spans="1:8" ht="16.5" hidden="1" thickTop="1">
      <c r="A34" s="245"/>
      <c r="B34" s="245"/>
      <c r="C34" s="245"/>
      <c r="D34" s="246"/>
      <c r="E34" s="246"/>
      <c r="F34" s="246"/>
      <c r="G34" s="245"/>
      <c r="H34" s="245"/>
    </row>
    <row r="35" spans="1:8" ht="16.5" hidden="1" thickTop="1">
      <c r="A35" s="245"/>
      <c r="B35" s="245"/>
      <c r="C35" s="245"/>
      <c r="D35" s="246"/>
      <c r="E35" s="246"/>
      <c r="F35" s="246"/>
      <c r="G35" s="245"/>
      <c r="H35" s="245"/>
    </row>
    <row r="36" spans="1:8" ht="16.5" hidden="1" thickTop="1">
      <c r="A36" s="245"/>
      <c r="B36" s="245"/>
      <c r="C36" s="245"/>
      <c r="D36" s="246"/>
      <c r="E36" s="246"/>
      <c r="F36" s="246"/>
      <c r="G36" s="245"/>
      <c r="H36" s="245"/>
    </row>
    <row r="37" spans="1:8" ht="16.5" hidden="1" thickTop="1">
      <c r="A37" s="245"/>
      <c r="B37" s="245"/>
      <c r="C37" s="245"/>
      <c r="D37" s="246"/>
      <c r="E37" s="246"/>
      <c r="F37" s="246"/>
      <c r="G37" s="245"/>
      <c r="H37" s="245"/>
    </row>
    <row r="38" spans="1:8" ht="16.5" hidden="1" thickTop="1">
      <c r="A38" s="245"/>
      <c r="B38" s="245"/>
      <c r="C38" s="245"/>
      <c r="D38" s="246"/>
      <c r="E38" s="246"/>
      <c r="F38" s="246"/>
      <c r="G38" s="245"/>
      <c r="H38" s="245"/>
    </row>
    <row r="39" spans="1:8" ht="16.5" hidden="1" thickTop="1">
      <c r="A39" s="245"/>
      <c r="B39" s="245"/>
      <c r="C39" s="245"/>
      <c r="D39" s="246"/>
      <c r="E39" s="246"/>
      <c r="F39" s="246"/>
      <c r="G39" s="245"/>
      <c r="H39" s="245"/>
    </row>
    <row r="40" spans="1:8" ht="16.5" hidden="1" thickTop="1">
      <c r="A40" s="245"/>
      <c r="B40" s="245"/>
      <c r="C40" s="245"/>
      <c r="D40" s="246"/>
      <c r="E40" s="246"/>
      <c r="F40" s="246"/>
      <c r="G40" s="245"/>
      <c r="H40" s="245"/>
    </row>
    <row r="41" spans="1:8" ht="16.5" hidden="1" thickTop="1">
      <c r="A41" s="245"/>
      <c r="B41" s="245"/>
      <c r="C41" s="245"/>
      <c r="D41" s="246"/>
      <c r="E41" s="246"/>
      <c r="F41" s="246"/>
      <c r="G41" s="245"/>
      <c r="H41" s="245"/>
    </row>
    <row r="42" spans="1:8" ht="16.5" hidden="1" thickTop="1">
      <c r="A42" s="245"/>
      <c r="B42" s="245"/>
      <c r="C42" s="245"/>
      <c r="D42" s="246"/>
      <c r="E42" s="246"/>
      <c r="F42" s="246"/>
      <c r="G42" s="245"/>
      <c r="H42" s="245"/>
    </row>
    <row r="43" spans="1:8" ht="16.5" hidden="1" thickTop="1">
      <c r="A43" s="245"/>
      <c r="B43" s="245"/>
      <c r="C43" s="245"/>
      <c r="D43" s="246"/>
      <c r="E43" s="246"/>
      <c r="F43" s="246"/>
      <c r="G43" s="245"/>
      <c r="H43" s="245"/>
    </row>
    <row r="44" spans="1:8" ht="16.5" hidden="1" thickTop="1">
      <c r="A44" s="245"/>
      <c r="B44" s="245"/>
      <c r="C44" s="245"/>
      <c r="D44" s="246"/>
      <c r="E44" s="246"/>
      <c r="F44" s="246"/>
      <c r="G44" s="245"/>
      <c r="H44" s="245"/>
    </row>
    <row r="45" spans="1:8" ht="16.5" hidden="1" thickTop="1">
      <c r="A45" s="245"/>
      <c r="B45" s="245"/>
      <c r="C45" s="245"/>
      <c r="D45" s="246"/>
      <c r="E45" s="246"/>
      <c r="F45" s="246"/>
      <c r="G45" s="245"/>
      <c r="H45" s="245"/>
    </row>
    <row r="46" spans="1:8" ht="16.5" hidden="1" thickTop="1">
      <c r="A46" s="245"/>
      <c r="B46" s="245"/>
      <c r="C46" s="245"/>
      <c r="D46" s="246"/>
      <c r="E46" s="246"/>
      <c r="F46" s="246"/>
      <c r="G46" s="245"/>
      <c r="H46" s="245"/>
    </row>
    <row r="47" spans="1:8" ht="16.5" hidden="1" thickTop="1">
      <c r="A47" s="245"/>
      <c r="B47" s="245"/>
      <c r="C47" s="245"/>
      <c r="D47" s="246"/>
      <c r="E47" s="246"/>
      <c r="F47" s="246"/>
      <c r="G47" s="245"/>
      <c r="H47" s="245"/>
    </row>
    <row r="48" spans="1:8" ht="16.5" hidden="1" thickTop="1">
      <c r="A48" s="245"/>
      <c r="B48" s="245"/>
      <c r="C48" s="245"/>
      <c r="D48" s="246"/>
      <c r="E48" s="246"/>
      <c r="F48" s="246"/>
      <c r="G48" s="245"/>
      <c r="H48" s="245"/>
    </row>
    <row r="49" spans="1:8" ht="16.5" hidden="1" thickTop="1">
      <c r="A49" s="245"/>
      <c r="B49" s="245"/>
      <c r="C49" s="245"/>
      <c r="D49" s="246"/>
      <c r="E49" s="246"/>
      <c r="F49" s="246"/>
      <c r="G49" s="245"/>
      <c r="H49" s="245"/>
    </row>
    <row r="50" spans="1:8" ht="16.5" hidden="1" thickTop="1">
      <c r="A50" s="245"/>
      <c r="B50" s="245"/>
      <c r="C50" s="245"/>
      <c r="D50" s="246"/>
      <c r="E50" s="246"/>
      <c r="F50" s="246"/>
      <c r="G50" s="245"/>
      <c r="H50" s="245"/>
    </row>
    <row r="51" spans="1:8" ht="16.5" hidden="1" thickTop="1">
      <c r="A51" s="245"/>
      <c r="B51" s="245"/>
      <c r="C51" s="245"/>
      <c r="D51" s="246"/>
      <c r="E51" s="246"/>
      <c r="F51" s="246"/>
      <c r="G51" s="245"/>
      <c r="H51" s="245"/>
    </row>
    <row r="52" spans="1:8" ht="16.5" hidden="1" thickTop="1">
      <c r="A52" s="245"/>
      <c r="B52" s="245"/>
      <c r="C52" s="245"/>
      <c r="D52" s="246"/>
      <c r="E52" s="246"/>
      <c r="F52" s="246"/>
      <c r="G52" s="245"/>
      <c r="H52" s="245"/>
    </row>
    <row r="53" spans="1:8" ht="16.5" hidden="1" thickTop="1">
      <c r="A53" s="245"/>
      <c r="B53" s="245"/>
      <c r="C53" s="245"/>
      <c r="D53" s="246"/>
      <c r="E53" s="246"/>
      <c r="F53" s="246"/>
      <c r="G53" s="245"/>
      <c r="H53" s="245"/>
    </row>
    <row r="54" spans="1:8" ht="16.5" hidden="1" thickTop="1">
      <c r="A54" s="245"/>
      <c r="B54" s="245"/>
      <c r="C54" s="245"/>
      <c r="D54" s="246"/>
      <c r="E54" s="246"/>
      <c r="F54" s="246"/>
      <c r="G54" s="245"/>
      <c r="H54" s="245"/>
    </row>
    <row r="55" spans="1:8" ht="16.5" hidden="1" thickTop="1">
      <c r="A55" s="245"/>
      <c r="B55" s="245"/>
      <c r="C55" s="245"/>
      <c r="D55" s="246"/>
      <c r="E55" s="246"/>
      <c r="F55" s="246"/>
      <c r="G55" s="245"/>
      <c r="H55" s="245"/>
    </row>
    <row r="56" spans="1:8" ht="16.5" hidden="1" thickTop="1">
      <c r="A56" s="245"/>
      <c r="B56" s="245"/>
      <c r="C56" s="245"/>
      <c r="D56" s="246"/>
      <c r="E56" s="246"/>
      <c r="F56" s="246"/>
      <c r="G56" s="245"/>
      <c r="H56" s="245"/>
    </row>
    <row r="57" spans="1:8" ht="16.5" hidden="1" thickTop="1">
      <c r="A57" s="245"/>
      <c r="B57" s="245"/>
      <c r="C57" s="245"/>
      <c r="D57" s="246"/>
      <c r="E57" s="246"/>
      <c r="F57" s="246"/>
      <c r="G57" s="245"/>
      <c r="H57" s="245"/>
    </row>
    <row r="58" spans="1:8" ht="16.5" hidden="1" thickTop="1">
      <c r="A58" s="245"/>
      <c r="B58" s="245"/>
      <c r="C58" s="245"/>
      <c r="D58" s="246"/>
      <c r="E58" s="246"/>
      <c r="F58" s="246"/>
      <c r="G58" s="245"/>
      <c r="H58" s="245"/>
    </row>
    <row r="59" spans="1:8" ht="16.5" hidden="1" thickTop="1">
      <c r="A59" s="245"/>
      <c r="B59" s="245"/>
      <c r="C59" s="245"/>
      <c r="D59" s="246"/>
      <c r="E59" s="246"/>
      <c r="F59" s="246"/>
      <c r="G59" s="245"/>
      <c r="H59" s="245"/>
    </row>
    <row r="60" spans="1:8" ht="16.5" hidden="1" thickTop="1">
      <c r="A60" s="245"/>
      <c r="B60" s="245"/>
      <c r="C60" s="245"/>
      <c r="D60" s="246"/>
      <c r="E60" s="246"/>
      <c r="F60" s="246"/>
      <c r="G60" s="245"/>
      <c r="H60" s="245"/>
    </row>
    <row r="61" spans="1:8" ht="16.5" hidden="1" thickTop="1">
      <c r="A61" s="245"/>
      <c r="B61" s="245"/>
      <c r="C61" s="245"/>
      <c r="D61" s="246"/>
      <c r="E61" s="246"/>
      <c r="F61" s="246"/>
      <c r="G61" s="245"/>
      <c r="H61" s="245"/>
    </row>
    <row r="62" spans="1:8" ht="16.5" hidden="1" thickTop="1">
      <c r="A62" s="245"/>
      <c r="B62" s="245"/>
      <c r="C62" s="245"/>
      <c r="D62" s="246"/>
      <c r="E62" s="246"/>
      <c r="F62" s="246"/>
      <c r="G62" s="245"/>
      <c r="H62" s="245"/>
    </row>
    <row r="63" spans="1:8" ht="16.5" hidden="1" thickTop="1">
      <c r="A63" s="245"/>
      <c r="B63" s="245"/>
      <c r="C63" s="245"/>
      <c r="D63" s="246"/>
      <c r="E63" s="246"/>
      <c r="F63" s="246"/>
      <c r="G63" s="245"/>
      <c r="H63" s="245"/>
    </row>
    <row r="64" spans="1:8" ht="16.5" hidden="1" thickTop="1">
      <c r="A64" s="245"/>
      <c r="B64" s="245"/>
      <c r="C64" s="245"/>
      <c r="D64" s="246"/>
      <c r="E64" s="246"/>
      <c r="F64" s="246"/>
      <c r="G64" s="245"/>
      <c r="H64" s="245"/>
    </row>
    <row r="65" spans="1:8" ht="16.5" hidden="1" thickTop="1">
      <c r="A65" s="245"/>
      <c r="B65" s="245"/>
      <c r="C65" s="245"/>
      <c r="D65" s="246"/>
      <c r="E65" s="246"/>
      <c r="F65" s="246"/>
      <c r="G65" s="245"/>
      <c r="H65" s="245"/>
    </row>
    <row r="66" spans="1:8" ht="16.5" hidden="1" thickTop="1">
      <c r="A66" s="245"/>
      <c r="B66" s="245"/>
      <c r="C66" s="245"/>
      <c r="D66" s="246"/>
      <c r="E66" s="246"/>
      <c r="F66" s="246"/>
      <c r="G66" s="245"/>
      <c r="H66" s="245"/>
    </row>
    <row r="67" spans="1:8" ht="16.5" hidden="1" thickTop="1">
      <c r="A67" s="245"/>
      <c r="B67" s="245"/>
      <c r="C67" s="245"/>
      <c r="D67" s="246"/>
      <c r="E67" s="246"/>
      <c r="F67" s="246"/>
      <c r="G67" s="245"/>
      <c r="H67" s="245"/>
    </row>
    <row r="68" spans="1:8" ht="16.5" hidden="1" thickTop="1">
      <c r="A68" s="245"/>
      <c r="B68" s="245"/>
      <c r="C68" s="245"/>
      <c r="D68" s="246"/>
      <c r="E68" s="246"/>
      <c r="F68" s="246"/>
      <c r="G68" s="245"/>
      <c r="H68" s="245"/>
    </row>
    <row r="69" spans="1:8" ht="16.5" hidden="1" thickTop="1">
      <c r="A69" s="245"/>
      <c r="B69" s="245"/>
      <c r="C69" s="245"/>
      <c r="D69" s="245"/>
      <c r="E69" s="245"/>
      <c r="F69" s="245"/>
      <c r="G69" s="245"/>
      <c r="H69" s="245"/>
    </row>
    <row r="70" spans="1:8" ht="16.5" hidden="1" thickTop="1">
      <c r="A70" s="245"/>
      <c r="B70" s="245"/>
      <c r="C70" s="245"/>
      <c r="D70" s="245"/>
      <c r="E70" s="245"/>
      <c r="F70" s="245"/>
      <c r="G70" s="245"/>
      <c r="H70" s="245"/>
    </row>
    <row r="71" spans="1:8" ht="16.5" thickTop="1">
      <c r="A71" s="244"/>
      <c r="B71" s="244"/>
      <c r="C71" s="244"/>
      <c r="D71" s="244"/>
      <c r="E71" s="244"/>
      <c r="F71" s="244"/>
      <c r="G71" s="244"/>
      <c r="H71" s="244"/>
    </row>
    <row r="72" spans="1:8"/>
    <row r="73" spans="1:8" hidden="1"/>
    <row r="74" spans="1:8"/>
    <row r="75" spans="1:8"/>
    <row r="76" spans="1:8"/>
    <row r="77" spans="1:8"/>
    <row r="78" spans="1:8"/>
    <row r="79" spans="1:8"/>
    <row r="80" spans="1:8"/>
    <row r="81"/>
  </sheetData>
  <sheetProtection selectLockedCells="1"/>
  <dataConsolidate/>
  <mergeCells count="2">
    <mergeCell ref="A1:H1"/>
    <mergeCell ref="A12:H12"/>
  </mergeCells>
  <phoneticPr fontId="17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outlinePr summaryRight="0"/>
  </sheetPr>
  <dimension ref="A1:AA376"/>
  <sheetViews>
    <sheetView showGridLines="0" workbookViewId="0">
      <pane xSplit="3" ySplit="4" topLeftCell="J5" activePane="bottomRight" state="frozen"/>
      <selection activeCell="A6" sqref="A6:I6"/>
      <selection pane="topRight" activeCell="A6" sqref="A6:I6"/>
      <selection pane="bottomLeft" activeCell="A6" sqref="A6:I6"/>
      <selection pane="bottomRight" activeCell="K6" sqref="K6"/>
    </sheetView>
  </sheetViews>
  <sheetFormatPr baseColWidth="10" defaultColWidth="0" defaultRowHeight="12.75" zeroHeight="1"/>
  <cols>
    <col min="1" max="1" width="5.7109375" style="74" customWidth="1"/>
    <col min="2" max="2" width="4.42578125" style="74" customWidth="1"/>
    <col min="3" max="3" width="21" style="75" bestFit="1" customWidth="1"/>
    <col min="4" max="4" width="9.85546875" style="74" bestFit="1" customWidth="1"/>
    <col min="5" max="5" width="7.28515625" style="74" customWidth="1"/>
    <col min="6" max="6" width="7.85546875" style="74" customWidth="1"/>
    <col min="7" max="8" width="8.7109375" style="74" customWidth="1"/>
    <col min="9" max="9" width="28.7109375" style="74" bestFit="1" customWidth="1"/>
    <col min="10" max="10" width="8.28515625" style="209" customWidth="1"/>
    <col min="11" max="11" width="9.42578125" style="74" customWidth="1"/>
    <col min="12" max="13" width="6.42578125" style="274" customWidth="1"/>
    <col min="14" max="14" width="6.42578125" style="74" customWidth="1"/>
    <col min="15" max="17" width="7.28515625" style="74" customWidth="1"/>
    <col min="18" max="18" width="6.42578125" style="74" customWidth="1"/>
    <col min="19" max="22" width="6.85546875" style="74" customWidth="1"/>
    <col min="23" max="23" width="7.42578125" style="74" bestFit="1" customWidth="1"/>
    <col min="24" max="25" width="7.7109375" style="74" customWidth="1"/>
    <col min="26" max="26" width="8.85546875" style="74" customWidth="1"/>
    <col min="27" max="27" width="35.140625" style="74" customWidth="1"/>
    <col min="28" max="16384" width="0" style="74" hidden="1"/>
  </cols>
  <sheetData>
    <row r="1" spans="1:27" ht="30.75" customHeight="1" thickBot="1">
      <c r="A1" s="409">
        <f ca="1">TODAY()</f>
        <v>39637</v>
      </c>
      <c r="B1" s="410"/>
      <c r="C1" s="410"/>
      <c r="D1" s="110" t="s">
        <v>95</v>
      </c>
      <c r="E1" s="111"/>
      <c r="F1" s="111"/>
      <c r="G1" s="419" t="s">
        <v>25</v>
      </c>
      <c r="H1" s="277" t="s">
        <v>143</v>
      </c>
      <c r="I1" s="112" t="s">
        <v>81</v>
      </c>
      <c r="J1" s="113" t="s">
        <v>83</v>
      </c>
      <c r="K1" s="114"/>
      <c r="L1" s="268"/>
      <c r="M1" s="268"/>
      <c r="N1" s="359">
        <v>0.5</v>
      </c>
      <c r="O1" s="114"/>
      <c r="P1" s="114"/>
      <c r="Q1" s="114"/>
      <c r="R1" s="114"/>
      <c r="S1" s="114"/>
      <c r="T1" s="114"/>
      <c r="U1" s="114"/>
      <c r="V1" s="114"/>
      <c r="W1" s="115" t="s">
        <v>96</v>
      </c>
      <c r="X1" s="116" t="s">
        <v>9</v>
      </c>
      <c r="Y1" s="111"/>
      <c r="Z1" s="361"/>
      <c r="AA1" s="117"/>
    </row>
    <row r="2" spans="1:27" ht="18" customHeight="1" thickBot="1">
      <c r="A2" s="118"/>
      <c r="B2" s="119" t="s">
        <v>93</v>
      </c>
      <c r="C2" s="265">
        <f ca="1">INT((A1-FirstDay)/7)+1</f>
        <v>2</v>
      </c>
      <c r="D2" s="120">
        <f ca="1">COUNT(Fériés)-1</f>
        <v>11</v>
      </c>
      <c r="E2" s="121"/>
      <c r="F2" s="121"/>
      <c r="G2" s="420"/>
      <c r="H2" s="278" t="b">
        <v>1</v>
      </c>
      <c r="I2" s="122"/>
      <c r="J2" s="123">
        <v>3</v>
      </c>
      <c r="K2" s="124" t="s">
        <v>105</v>
      </c>
      <c r="L2" s="269"/>
      <c r="M2" s="269"/>
      <c r="N2" s="125"/>
      <c r="O2" s="126"/>
      <c r="P2" s="126"/>
      <c r="Q2" s="126"/>
      <c r="R2" s="127"/>
      <c r="S2" s="127"/>
      <c r="T2" s="127"/>
      <c r="U2" s="127"/>
      <c r="V2" s="127"/>
      <c r="W2" s="128">
        <f>COUNT(J5:J369)</f>
        <v>3</v>
      </c>
      <c r="X2" s="129">
        <f t="array" aca="1" ref="X2" ca="1">AVERAGE(IF(bornes_sem,H_Sem,""))</f>
        <v>5.7500000000000002E-2</v>
      </c>
      <c r="Y2" s="121"/>
      <c r="Z2" s="130"/>
      <c r="AA2" s="117"/>
    </row>
    <row r="3" spans="1:27" ht="7.5" customHeight="1" thickBot="1">
      <c r="A3" s="131"/>
      <c r="B3" s="132"/>
      <c r="C3" s="258"/>
      <c r="D3" s="132"/>
      <c r="E3" s="132"/>
      <c r="F3" s="132"/>
      <c r="G3" s="132"/>
      <c r="H3" s="132"/>
      <c r="I3" s="132"/>
      <c r="J3" s="133"/>
      <c r="K3" s="132"/>
      <c r="L3" s="270"/>
      <c r="M3" s="270"/>
      <c r="N3" s="132"/>
      <c r="O3" s="132"/>
      <c r="P3" s="132"/>
      <c r="Q3" s="132"/>
      <c r="R3" s="132"/>
      <c r="S3" s="132"/>
      <c r="T3" s="132"/>
      <c r="U3" s="132"/>
      <c r="V3" s="132"/>
      <c r="W3" s="132"/>
      <c r="X3" s="132"/>
      <c r="Y3" s="132"/>
      <c r="Z3" s="134"/>
      <c r="AA3" s="117"/>
    </row>
    <row r="4" spans="1:27" ht="30.75" customHeight="1" thickBot="1">
      <c r="A4" s="135" t="s">
        <v>102</v>
      </c>
      <c r="B4" s="136" t="s">
        <v>44</v>
      </c>
      <c r="C4" s="259" t="s">
        <v>43</v>
      </c>
      <c r="D4" s="137" t="s">
        <v>39</v>
      </c>
      <c r="E4" s="138" t="s">
        <v>40</v>
      </c>
      <c r="F4" s="139" t="s">
        <v>41</v>
      </c>
      <c r="G4" s="140" t="s">
        <v>69</v>
      </c>
      <c r="H4" s="281" t="s">
        <v>146</v>
      </c>
      <c r="I4" s="116" t="s">
        <v>81</v>
      </c>
      <c r="J4" s="115" t="s">
        <v>83</v>
      </c>
      <c r="K4" s="141" t="s">
        <v>70</v>
      </c>
      <c r="L4" s="276" t="s">
        <v>145</v>
      </c>
      <c r="M4" s="275" t="s">
        <v>44</v>
      </c>
      <c r="N4" s="115" t="s">
        <v>103</v>
      </c>
      <c r="O4" s="137" t="s">
        <v>45</v>
      </c>
      <c r="P4" s="138"/>
      <c r="Q4" s="139" t="s">
        <v>84</v>
      </c>
      <c r="R4" s="141" t="s">
        <v>99</v>
      </c>
      <c r="S4" s="142" t="s">
        <v>8</v>
      </c>
      <c r="T4" s="142" t="s">
        <v>26</v>
      </c>
      <c r="U4" s="143" t="s">
        <v>32</v>
      </c>
      <c r="V4" s="115" t="s">
        <v>104</v>
      </c>
      <c r="W4" s="115" t="s">
        <v>6</v>
      </c>
      <c r="X4" s="115" t="s">
        <v>100</v>
      </c>
      <c r="Y4" s="115" t="s">
        <v>101</v>
      </c>
      <c r="Z4" s="115" t="s">
        <v>7</v>
      </c>
      <c r="AA4" s="117"/>
    </row>
    <row r="5" spans="1:27" ht="13.5" thickBot="1">
      <c r="A5" s="413">
        <v>1</v>
      </c>
      <c r="B5" s="411" t="str">
        <f>IF(L5&lt;&gt;L11,TEXT(C11,"mmm"&amp;"-"),"")&amp;TEXT(C5,"mmm")</f>
        <v>juil</v>
      </c>
      <c r="C5" s="260">
        <v>39629</v>
      </c>
      <c r="D5" s="144"/>
      <c r="E5" s="145"/>
      <c r="F5" s="146"/>
      <c r="G5" s="147">
        <f>E5-D5-F5</f>
        <v>0</v>
      </c>
      <c r="H5" s="294">
        <f>I8</f>
        <v>0</v>
      </c>
      <c r="I5" s="148"/>
      <c r="J5" s="149" t="str">
        <f t="shared" ref="J5:J68" ca="1" si="0">IF(I5&lt;&gt;"",MATCH(I5,L_Motif_Abscence,0),"")</f>
        <v/>
      </c>
      <c r="K5" s="150" t="b">
        <f t="shared" ref="K5:K11" ca="1" si="1">IF(J5&lt;&gt;"",INDEX(H_abscence,J5))</f>
        <v>0</v>
      </c>
      <c r="L5" s="362">
        <f t="shared" ref="L5:L69" si="2">MONTH(C5)</f>
        <v>7</v>
      </c>
      <c r="M5" s="266">
        <v>39629</v>
      </c>
      <c r="N5" s="151">
        <f t="shared" ref="N5:N68" si="3">WEEKDAY(C5,2)</f>
        <v>7</v>
      </c>
      <c r="O5" s="152">
        <f t="shared" ref="O5:O68" ca="1" si="4">NETWORKDAYS(C5,C5,Fériés)</f>
        <v>0</v>
      </c>
      <c r="P5" s="153">
        <f t="shared" ref="P5:P68" si="5">NETWORKDAYS(C5,C5)</f>
        <v>0</v>
      </c>
      <c r="Q5" s="154" t="b">
        <f t="shared" ref="Q5:Q11" si="6">(O5+P5)=1</f>
        <v>0</v>
      </c>
      <c r="R5" s="155" t="b">
        <f t="shared" ref="R5:R68" ca="1" si="7">AND(C5&gt;=Jour_Debut,C5&lt;=Jour_Fin)</f>
        <v>0</v>
      </c>
      <c r="S5" s="156"/>
      <c r="T5" s="156"/>
      <c r="U5" s="157">
        <f t="shared" ref="U5:U68" ca="1" si="8">IF(bornes,"7:00"*1,0)</f>
        <v>0</v>
      </c>
      <c r="V5" s="158"/>
      <c r="W5" s="159">
        <f t="shared" ref="W5:W68" si="9">G5+K5</f>
        <v>0</v>
      </c>
      <c r="X5" s="160"/>
      <c r="Y5" s="160"/>
      <c r="Z5" s="160"/>
      <c r="AA5" s="117"/>
    </row>
    <row r="6" spans="1:27" ht="13.5" thickBot="1">
      <c r="A6" s="414"/>
      <c r="B6" s="411"/>
      <c r="C6" s="261">
        <f>C5+1</f>
        <v>39630</v>
      </c>
      <c r="D6" s="161">
        <v>0.33333333333333331</v>
      </c>
      <c r="E6" s="162">
        <v>0.52083333333333337</v>
      </c>
      <c r="F6" s="163"/>
      <c r="G6" s="164">
        <f t="shared" ref="G6:G69" si="10">E6-D6-F6</f>
        <v>0.18750000000000006</v>
      </c>
      <c r="H6" s="360">
        <f>IF($H$2=FALSE,"",IF($H$2=TRUE,IF(G6&lt;TIMEVALUE("05:00"),1,0.5)))</f>
        <v>1</v>
      </c>
      <c r="I6" s="165" t="s">
        <v>86</v>
      </c>
      <c r="J6" s="149">
        <f ca="1">IF(I6&lt;&gt;"",MATCH(I6,L_Motif_Abscence,0),"")</f>
        <v>1</v>
      </c>
      <c r="K6" s="150">
        <f t="shared" ca="1" si="1"/>
        <v>0.29166666666666669</v>
      </c>
      <c r="L6" s="364">
        <f t="shared" si="2"/>
        <v>7</v>
      </c>
      <c r="M6" s="267">
        <v>39630</v>
      </c>
      <c r="N6" s="166">
        <f t="shared" si="3"/>
        <v>1</v>
      </c>
      <c r="O6" s="167">
        <f t="shared" ca="1" si="4"/>
        <v>1</v>
      </c>
      <c r="P6" s="168">
        <f t="shared" si="5"/>
        <v>1</v>
      </c>
      <c r="Q6" s="169" t="b">
        <f t="shared" si="6"/>
        <v>0</v>
      </c>
      <c r="R6" s="170" t="b">
        <f t="shared" ca="1" si="7"/>
        <v>1</v>
      </c>
      <c r="S6" s="166"/>
      <c r="T6" s="166"/>
      <c r="U6" s="171">
        <f t="shared" ca="1" si="8"/>
        <v>0.29166666666666669</v>
      </c>
      <c r="V6" s="172"/>
      <c r="W6" s="173">
        <f t="shared" si="9"/>
        <v>0.47916666666666674</v>
      </c>
      <c r="X6" s="174"/>
      <c r="Y6" s="174"/>
      <c r="Z6" s="174"/>
      <c r="AA6" s="117"/>
    </row>
    <row r="7" spans="1:27" ht="13.5" thickBot="1">
      <c r="A7" s="414"/>
      <c r="B7" s="411"/>
      <c r="C7" s="261">
        <f t="shared" ref="C7:C32" si="11">C6+1</f>
        <v>39631</v>
      </c>
      <c r="D7" s="161"/>
      <c r="E7" s="162"/>
      <c r="F7" s="163"/>
      <c r="G7" s="164">
        <f t="shared" si="10"/>
        <v>0</v>
      </c>
      <c r="H7" s="147"/>
      <c r="I7" s="165"/>
      <c r="J7" s="149" t="str">
        <f t="shared" ca="1" si="0"/>
        <v/>
      </c>
      <c r="K7" s="150" t="b">
        <f t="shared" ca="1" si="1"/>
        <v>0</v>
      </c>
      <c r="L7" s="364">
        <f t="shared" si="2"/>
        <v>7</v>
      </c>
      <c r="M7" s="267">
        <v>39631</v>
      </c>
      <c r="N7" s="166">
        <f t="shared" si="3"/>
        <v>2</v>
      </c>
      <c r="O7" s="167">
        <f t="shared" ca="1" si="4"/>
        <v>1</v>
      </c>
      <c r="P7" s="168">
        <f t="shared" si="5"/>
        <v>1</v>
      </c>
      <c r="Q7" s="169" t="b">
        <f t="shared" si="6"/>
        <v>0</v>
      </c>
      <c r="R7" s="170" t="b">
        <f t="shared" ca="1" si="7"/>
        <v>1</v>
      </c>
      <c r="S7" s="166"/>
      <c r="T7" s="166"/>
      <c r="U7" s="171">
        <f t="shared" ca="1" si="8"/>
        <v>0.29166666666666669</v>
      </c>
      <c r="V7" s="172"/>
      <c r="W7" s="173">
        <f t="shared" si="9"/>
        <v>0</v>
      </c>
      <c r="X7" s="174"/>
      <c r="Y7" s="174"/>
      <c r="Z7" s="174"/>
      <c r="AA7" s="117"/>
    </row>
    <row r="8" spans="1:27" ht="13.5" thickBot="1">
      <c r="A8" s="414"/>
      <c r="B8" s="411"/>
      <c r="C8" s="261">
        <f t="shared" si="11"/>
        <v>39632</v>
      </c>
      <c r="D8" s="161"/>
      <c r="E8" s="162"/>
      <c r="F8" s="163"/>
      <c r="G8" s="164">
        <f t="shared" si="10"/>
        <v>0</v>
      </c>
      <c r="H8" s="147"/>
      <c r="I8" s="165"/>
      <c r="J8" s="149" t="str">
        <f t="shared" ca="1" si="0"/>
        <v/>
      </c>
      <c r="K8" s="150" t="b">
        <f t="shared" ca="1" si="1"/>
        <v>0</v>
      </c>
      <c r="L8" s="364">
        <f t="shared" si="2"/>
        <v>7</v>
      </c>
      <c r="M8" s="267">
        <v>39632</v>
      </c>
      <c r="N8" s="166">
        <f t="shared" si="3"/>
        <v>3</v>
      </c>
      <c r="O8" s="167">
        <f t="shared" ca="1" si="4"/>
        <v>1</v>
      </c>
      <c r="P8" s="168">
        <f t="shared" si="5"/>
        <v>1</v>
      </c>
      <c r="Q8" s="169" t="b">
        <f t="shared" si="6"/>
        <v>0</v>
      </c>
      <c r="R8" s="170" t="b">
        <f t="shared" ca="1" si="7"/>
        <v>1</v>
      </c>
      <c r="S8" s="166"/>
      <c r="T8" s="166"/>
      <c r="U8" s="171">
        <f t="shared" ca="1" si="8"/>
        <v>0.29166666666666669</v>
      </c>
      <c r="V8" s="172"/>
      <c r="W8" s="173">
        <f t="shared" si="9"/>
        <v>0</v>
      </c>
      <c r="X8" s="174"/>
      <c r="Y8" s="174"/>
      <c r="Z8" s="174"/>
      <c r="AA8" s="117"/>
    </row>
    <row r="9" spans="1:27" ht="13.5" thickBot="1">
      <c r="A9" s="414"/>
      <c r="B9" s="411"/>
      <c r="C9" s="261">
        <f t="shared" si="11"/>
        <v>39633</v>
      </c>
      <c r="D9" s="161"/>
      <c r="E9" s="162"/>
      <c r="F9" s="163"/>
      <c r="G9" s="164">
        <f t="shared" si="10"/>
        <v>0</v>
      </c>
      <c r="H9" s="147"/>
      <c r="I9" s="165"/>
      <c r="J9" s="149" t="str">
        <f t="shared" ca="1" si="0"/>
        <v/>
      </c>
      <c r="K9" s="150" t="b">
        <f t="shared" ca="1" si="1"/>
        <v>0</v>
      </c>
      <c r="L9" s="364">
        <f t="shared" si="2"/>
        <v>7</v>
      </c>
      <c r="M9" s="267">
        <v>39633</v>
      </c>
      <c r="N9" s="166">
        <f t="shared" si="3"/>
        <v>4</v>
      </c>
      <c r="O9" s="167">
        <f t="shared" ca="1" si="4"/>
        <v>1</v>
      </c>
      <c r="P9" s="168">
        <f t="shared" si="5"/>
        <v>1</v>
      </c>
      <c r="Q9" s="169" t="b">
        <f t="shared" si="6"/>
        <v>0</v>
      </c>
      <c r="R9" s="170" t="b">
        <f t="shared" ca="1" si="7"/>
        <v>1</v>
      </c>
      <c r="S9" s="166"/>
      <c r="T9" s="166"/>
      <c r="U9" s="171">
        <f t="shared" ca="1" si="8"/>
        <v>0.29166666666666669</v>
      </c>
      <c r="V9" s="172"/>
      <c r="W9" s="173">
        <f t="shared" si="9"/>
        <v>0</v>
      </c>
      <c r="X9" s="174"/>
      <c r="Y9" s="174"/>
      <c r="Z9" s="174"/>
      <c r="AA9" s="117"/>
    </row>
    <row r="10" spans="1:27" ht="13.5" thickBot="1">
      <c r="A10" s="414"/>
      <c r="B10" s="411"/>
      <c r="C10" s="262">
        <f t="shared" si="11"/>
        <v>39634</v>
      </c>
      <c r="D10" s="175"/>
      <c r="E10" s="176"/>
      <c r="F10" s="177"/>
      <c r="G10" s="178">
        <f t="shared" si="10"/>
        <v>0</v>
      </c>
      <c r="H10" s="279"/>
      <c r="I10" s="179"/>
      <c r="J10" s="180" t="str">
        <f t="shared" ca="1" si="0"/>
        <v/>
      </c>
      <c r="K10" s="181" t="b">
        <f t="shared" ca="1" si="1"/>
        <v>0</v>
      </c>
      <c r="L10" s="365">
        <f t="shared" si="2"/>
        <v>7</v>
      </c>
      <c r="M10" s="271">
        <v>39634</v>
      </c>
      <c r="N10" s="182">
        <f t="shared" si="3"/>
        <v>5</v>
      </c>
      <c r="O10" s="183">
        <f t="shared" ca="1" si="4"/>
        <v>1</v>
      </c>
      <c r="P10" s="184">
        <f t="shared" si="5"/>
        <v>1</v>
      </c>
      <c r="Q10" s="185" t="b">
        <f t="shared" si="6"/>
        <v>0</v>
      </c>
      <c r="R10" s="186" t="b">
        <f t="shared" ca="1" si="7"/>
        <v>1</v>
      </c>
      <c r="S10" s="182"/>
      <c r="T10" s="182"/>
      <c r="U10" s="187"/>
      <c r="V10" s="172"/>
      <c r="W10" s="188">
        <f t="shared" si="9"/>
        <v>0</v>
      </c>
      <c r="X10" s="174"/>
      <c r="Y10" s="174"/>
      <c r="Z10" s="174"/>
      <c r="AA10" s="117"/>
    </row>
    <row r="11" spans="1:27" ht="13.5" thickBot="1">
      <c r="A11" s="415"/>
      <c r="B11" s="412"/>
      <c r="C11" s="263">
        <f t="shared" si="11"/>
        <v>39635</v>
      </c>
      <c r="D11" s="189"/>
      <c r="E11" s="190"/>
      <c r="F11" s="191"/>
      <c r="G11" s="192">
        <f t="shared" si="10"/>
        <v>0</v>
      </c>
      <c r="H11" s="280"/>
      <c r="I11" s="193"/>
      <c r="J11" s="194" t="str">
        <f t="shared" ca="1" si="0"/>
        <v/>
      </c>
      <c r="K11" s="195" t="b">
        <f t="shared" ca="1" si="1"/>
        <v>0</v>
      </c>
      <c r="L11" s="366">
        <f t="shared" si="2"/>
        <v>7</v>
      </c>
      <c r="M11" s="272">
        <v>39635</v>
      </c>
      <c r="N11" s="196">
        <f t="shared" si="3"/>
        <v>6</v>
      </c>
      <c r="O11" s="197">
        <f t="shared" ca="1" si="4"/>
        <v>0</v>
      </c>
      <c r="P11" s="198">
        <f t="shared" si="5"/>
        <v>0</v>
      </c>
      <c r="Q11" s="199" t="b">
        <f t="shared" si="6"/>
        <v>0</v>
      </c>
      <c r="R11" s="200" t="b">
        <f t="shared" ca="1" si="7"/>
        <v>1</v>
      </c>
      <c r="S11" s="196" t="b">
        <f>AND(R11,R5)</f>
        <v>0</v>
      </c>
      <c r="T11" s="196" t="b">
        <f>OR(R11,R5)</f>
        <v>1</v>
      </c>
      <c r="U11" s="201"/>
      <c r="V11" s="202">
        <f ca="1">IF(Sem_entame,SUM(U5:U11),"")</f>
        <v>1.1666666666666667</v>
      </c>
      <c r="W11" s="203">
        <f t="shared" si="9"/>
        <v>0</v>
      </c>
      <c r="X11" s="204">
        <f ca="1">SUM(W5:W11)</f>
        <v>0.47916666666666674</v>
      </c>
      <c r="Y11" s="204">
        <f ca="1">IF(Sem_entame,X11-V11,"")</f>
        <v>-0.6875</v>
      </c>
      <c r="Z11" s="204">
        <f ca="1">IF(Sem_entame,Y11+IF(ISNUMBER(Z4),Z4,0),"")</f>
        <v>-0.6875</v>
      </c>
      <c r="AA11" s="117"/>
    </row>
    <row r="12" spans="1:27" ht="12.75" customHeight="1" thickBot="1">
      <c r="A12" s="413">
        <f>A5+1</f>
        <v>2</v>
      </c>
      <c r="B12" s="411" t="str">
        <f>IF(L12&lt;&gt;L18,TEXT(C18,"mmm"&amp;"-"),"")&amp;TEXT(C12,"mmm")</f>
        <v>juil</v>
      </c>
      <c r="C12" s="260">
        <f t="shared" si="11"/>
        <v>39636</v>
      </c>
      <c r="D12" s="205">
        <v>0.375</v>
      </c>
      <c r="E12" s="206">
        <v>0.79166666666666663</v>
      </c>
      <c r="F12" s="146">
        <v>6.25E-2</v>
      </c>
      <c r="G12" s="147">
        <f t="shared" si="10"/>
        <v>0.35416666666666663</v>
      </c>
      <c r="H12" s="147"/>
      <c r="I12" s="148" t="s">
        <v>115</v>
      </c>
      <c r="J12" s="207">
        <f t="shared" ca="1" si="0"/>
        <v>5</v>
      </c>
      <c r="K12" s="150">
        <f t="shared" ref="K12:K75" ca="1" si="12">IF(J12&lt;&gt;"",INDEX(H_abscence,J12))</f>
        <v>1</v>
      </c>
      <c r="L12" s="362">
        <f t="shared" si="2"/>
        <v>7</v>
      </c>
      <c r="M12" s="266">
        <v>39636</v>
      </c>
      <c r="N12" s="151">
        <f t="shared" si="3"/>
        <v>7</v>
      </c>
      <c r="O12" s="152">
        <f t="shared" ca="1" si="4"/>
        <v>0</v>
      </c>
      <c r="P12" s="153">
        <f t="shared" si="5"/>
        <v>0</v>
      </c>
      <c r="Q12" s="154" t="b">
        <f t="shared" ref="Q12:Q75" si="13">(O12+P12)=1</f>
        <v>0</v>
      </c>
      <c r="R12" s="155" t="b">
        <f t="shared" ca="1" si="7"/>
        <v>1</v>
      </c>
      <c r="S12" s="156"/>
      <c r="T12" s="156"/>
      <c r="U12" s="157">
        <f t="shared" ca="1" si="8"/>
        <v>0.29166666666666669</v>
      </c>
      <c r="V12" s="158"/>
      <c r="W12" s="159">
        <f t="shared" si="9"/>
        <v>1.3541666666666665</v>
      </c>
      <c r="X12" s="160"/>
      <c r="Y12" s="160"/>
      <c r="Z12" s="160"/>
      <c r="AA12" s="117"/>
    </row>
    <row r="13" spans="1:27" ht="13.5" thickBot="1">
      <c r="A13" s="414"/>
      <c r="B13" s="411"/>
      <c r="C13" s="261">
        <f t="shared" si="11"/>
        <v>39637</v>
      </c>
      <c r="D13" s="144">
        <v>0.35416666666666669</v>
      </c>
      <c r="E13" s="145">
        <v>0.77083333333333337</v>
      </c>
      <c r="F13" s="146">
        <v>4.1666666666666664E-2</v>
      </c>
      <c r="G13" s="164">
        <f t="shared" si="10"/>
        <v>0.375</v>
      </c>
      <c r="H13" s="147"/>
      <c r="I13" s="165"/>
      <c r="J13" s="149" t="str">
        <f t="shared" ca="1" si="0"/>
        <v/>
      </c>
      <c r="K13" s="150" t="b">
        <f t="shared" ca="1" si="12"/>
        <v>0</v>
      </c>
      <c r="L13" s="364">
        <f t="shared" si="2"/>
        <v>7</v>
      </c>
      <c r="M13" s="267">
        <v>39637</v>
      </c>
      <c r="N13" s="166">
        <f t="shared" si="3"/>
        <v>1</v>
      </c>
      <c r="O13" s="167">
        <f t="shared" ca="1" si="4"/>
        <v>1</v>
      </c>
      <c r="P13" s="168">
        <f t="shared" si="5"/>
        <v>1</v>
      </c>
      <c r="Q13" s="169" t="b">
        <f t="shared" si="13"/>
        <v>0</v>
      </c>
      <c r="R13" s="170" t="b">
        <f t="shared" ca="1" si="7"/>
        <v>1</v>
      </c>
      <c r="S13" s="166"/>
      <c r="T13" s="166"/>
      <c r="U13" s="171">
        <f t="shared" ca="1" si="8"/>
        <v>0.29166666666666669</v>
      </c>
      <c r="V13" s="172"/>
      <c r="W13" s="173">
        <f t="shared" si="9"/>
        <v>0.375</v>
      </c>
      <c r="X13" s="174"/>
      <c r="Y13" s="174"/>
      <c r="Z13" s="174"/>
      <c r="AA13" s="117"/>
    </row>
    <row r="14" spans="1:27" ht="13.5" thickBot="1">
      <c r="A14" s="414"/>
      <c r="B14" s="411"/>
      <c r="C14" s="261">
        <f t="shared" si="11"/>
        <v>39638</v>
      </c>
      <c r="D14" s="144">
        <v>0.375</v>
      </c>
      <c r="E14" s="145">
        <v>0.79166666666666663</v>
      </c>
      <c r="F14" s="146">
        <v>6.25E-2</v>
      </c>
      <c r="G14" s="164">
        <f t="shared" si="10"/>
        <v>0.35416666666666663</v>
      </c>
      <c r="H14" s="147"/>
      <c r="I14" s="165"/>
      <c r="J14" s="149" t="str">
        <f t="shared" ca="1" si="0"/>
        <v/>
      </c>
      <c r="K14" s="150" t="b">
        <f t="shared" ca="1" si="12"/>
        <v>0</v>
      </c>
      <c r="L14" s="364">
        <f t="shared" si="2"/>
        <v>7</v>
      </c>
      <c r="M14" s="267">
        <v>39638</v>
      </c>
      <c r="N14" s="166">
        <f t="shared" si="3"/>
        <v>2</v>
      </c>
      <c r="O14" s="167">
        <f t="shared" ca="1" si="4"/>
        <v>1</v>
      </c>
      <c r="P14" s="168">
        <f t="shared" si="5"/>
        <v>1</v>
      </c>
      <c r="Q14" s="169" t="b">
        <f t="shared" si="13"/>
        <v>0</v>
      </c>
      <c r="R14" s="170" t="b">
        <f t="shared" ca="1" si="7"/>
        <v>1</v>
      </c>
      <c r="S14" s="166"/>
      <c r="T14" s="166"/>
      <c r="U14" s="171">
        <f t="shared" ca="1" si="8"/>
        <v>0.29166666666666669</v>
      </c>
      <c r="V14" s="172"/>
      <c r="W14" s="173">
        <f t="shared" si="9"/>
        <v>0.35416666666666663</v>
      </c>
      <c r="X14" s="174"/>
      <c r="Y14" s="174"/>
      <c r="Z14" s="174"/>
      <c r="AA14" s="117"/>
    </row>
    <row r="15" spans="1:27" ht="13.5" thickBot="1">
      <c r="A15" s="414"/>
      <c r="B15" s="411"/>
      <c r="C15" s="261">
        <f t="shared" si="11"/>
        <v>39639</v>
      </c>
      <c r="D15" s="144">
        <v>0.41666666666666669</v>
      </c>
      <c r="E15" s="145">
        <v>0.75</v>
      </c>
      <c r="F15" s="146">
        <v>6.25E-2</v>
      </c>
      <c r="G15" s="164">
        <f t="shared" si="10"/>
        <v>0.27083333333333331</v>
      </c>
      <c r="H15" s="147"/>
      <c r="I15" s="165"/>
      <c r="J15" s="149" t="str">
        <f t="shared" ca="1" si="0"/>
        <v/>
      </c>
      <c r="K15" s="150" t="b">
        <f t="shared" ca="1" si="12"/>
        <v>0</v>
      </c>
      <c r="L15" s="364">
        <f t="shared" si="2"/>
        <v>7</v>
      </c>
      <c r="M15" s="267">
        <v>39639</v>
      </c>
      <c r="N15" s="166">
        <f t="shared" si="3"/>
        <v>3</v>
      </c>
      <c r="O15" s="167">
        <f t="shared" ca="1" si="4"/>
        <v>1</v>
      </c>
      <c r="P15" s="168">
        <f t="shared" si="5"/>
        <v>1</v>
      </c>
      <c r="Q15" s="169" t="b">
        <f t="shared" si="13"/>
        <v>0</v>
      </c>
      <c r="R15" s="170" t="b">
        <f t="shared" ca="1" si="7"/>
        <v>1</v>
      </c>
      <c r="S15" s="166"/>
      <c r="T15" s="166"/>
      <c r="U15" s="171">
        <f t="shared" ca="1" si="8"/>
        <v>0.29166666666666669</v>
      </c>
      <c r="V15" s="172"/>
      <c r="W15" s="173">
        <f t="shared" si="9"/>
        <v>0.27083333333333331</v>
      </c>
      <c r="X15" s="174"/>
      <c r="Y15" s="174"/>
      <c r="Z15" s="174"/>
      <c r="AA15" s="117"/>
    </row>
    <row r="16" spans="1:27" ht="13.5" thickBot="1">
      <c r="A16" s="414"/>
      <c r="B16" s="411"/>
      <c r="C16" s="261">
        <f t="shared" si="11"/>
        <v>39640</v>
      </c>
      <c r="D16" s="144">
        <v>0.41666666666666669</v>
      </c>
      <c r="E16" s="145">
        <v>0.79166666666666663</v>
      </c>
      <c r="F16" s="146"/>
      <c r="G16" s="164">
        <f t="shared" si="10"/>
        <v>0.37499999999999994</v>
      </c>
      <c r="H16" s="147"/>
      <c r="I16" s="165" t="s">
        <v>114</v>
      </c>
      <c r="J16" s="149">
        <f t="shared" ca="1" si="0"/>
        <v>4</v>
      </c>
      <c r="K16" s="150">
        <f t="shared" ca="1" si="12"/>
        <v>0.14583333333333334</v>
      </c>
      <c r="L16" s="364">
        <f t="shared" si="2"/>
        <v>7</v>
      </c>
      <c r="M16" s="267">
        <v>39640</v>
      </c>
      <c r="N16" s="166">
        <f t="shared" si="3"/>
        <v>4</v>
      </c>
      <c r="O16" s="167">
        <f t="shared" ca="1" si="4"/>
        <v>1</v>
      </c>
      <c r="P16" s="168">
        <f t="shared" si="5"/>
        <v>1</v>
      </c>
      <c r="Q16" s="169" t="b">
        <f t="shared" si="13"/>
        <v>0</v>
      </c>
      <c r="R16" s="170" t="b">
        <f t="shared" ca="1" si="7"/>
        <v>1</v>
      </c>
      <c r="S16" s="166"/>
      <c r="T16" s="166"/>
      <c r="U16" s="171">
        <f t="shared" ca="1" si="8"/>
        <v>0.29166666666666669</v>
      </c>
      <c r="V16" s="172"/>
      <c r="W16" s="173">
        <f t="shared" si="9"/>
        <v>0.52083333333333326</v>
      </c>
      <c r="X16" s="174"/>
      <c r="Y16" s="174"/>
      <c r="Z16" s="174"/>
      <c r="AA16" s="117"/>
    </row>
    <row r="17" spans="1:27" ht="13.5" thickBot="1">
      <c r="A17" s="414"/>
      <c r="B17" s="411"/>
      <c r="C17" s="262">
        <f t="shared" si="11"/>
        <v>39641</v>
      </c>
      <c r="D17" s="175"/>
      <c r="E17" s="176"/>
      <c r="F17" s="177"/>
      <c r="G17" s="178">
        <f t="shared" si="10"/>
        <v>0</v>
      </c>
      <c r="H17" s="279"/>
      <c r="I17" s="179"/>
      <c r="J17" s="180" t="str">
        <f t="shared" ca="1" si="0"/>
        <v/>
      </c>
      <c r="K17" s="181" t="b">
        <f t="shared" ca="1" si="12"/>
        <v>0</v>
      </c>
      <c r="L17" s="365">
        <f t="shared" si="2"/>
        <v>7</v>
      </c>
      <c r="M17" s="271">
        <v>39641</v>
      </c>
      <c r="N17" s="182">
        <f t="shared" si="3"/>
        <v>5</v>
      </c>
      <c r="O17" s="183">
        <f t="shared" ca="1" si="4"/>
        <v>1</v>
      </c>
      <c r="P17" s="184">
        <f t="shared" si="5"/>
        <v>1</v>
      </c>
      <c r="Q17" s="185" t="b">
        <f t="shared" si="13"/>
        <v>0</v>
      </c>
      <c r="R17" s="186" t="b">
        <f t="shared" ca="1" si="7"/>
        <v>1</v>
      </c>
      <c r="S17" s="182"/>
      <c r="T17" s="182"/>
      <c r="U17" s="187"/>
      <c r="V17" s="172"/>
      <c r="W17" s="188">
        <f t="shared" si="9"/>
        <v>0</v>
      </c>
      <c r="X17" s="174"/>
      <c r="Y17" s="174"/>
      <c r="Z17" s="174"/>
      <c r="AA17" s="117"/>
    </row>
    <row r="18" spans="1:27" ht="13.5" thickBot="1">
      <c r="A18" s="415"/>
      <c r="B18" s="412"/>
      <c r="C18" s="263">
        <f t="shared" si="11"/>
        <v>39642</v>
      </c>
      <c r="D18" s="189"/>
      <c r="E18" s="190"/>
      <c r="F18" s="191"/>
      <c r="G18" s="192">
        <f t="shared" si="10"/>
        <v>0</v>
      </c>
      <c r="H18" s="280"/>
      <c r="I18" s="193"/>
      <c r="J18" s="194" t="str">
        <f t="shared" ca="1" si="0"/>
        <v/>
      </c>
      <c r="K18" s="195" t="b">
        <f t="shared" ca="1" si="12"/>
        <v>0</v>
      </c>
      <c r="L18" s="366">
        <f t="shared" si="2"/>
        <v>7</v>
      </c>
      <c r="M18" s="272">
        <v>39642</v>
      </c>
      <c r="N18" s="196">
        <f t="shared" si="3"/>
        <v>6</v>
      </c>
      <c r="O18" s="197">
        <f t="shared" ca="1" si="4"/>
        <v>0</v>
      </c>
      <c r="P18" s="198">
        <f t="shared" si="5"/>
        <v>0</v>
      </c>
      <c r="Q18" s="199" t="b">
        <f t="shared" si="13"/>
        <v>0</v>
      </c>
      <c r="R18" s="200" t="b">
        <f t="shared" ca="1" si="7"/>
        <v>1</v>
      </c>
      <c r="S18" s="196" t="b">
        <f>AND(R18,R12)</f>
        <v>1</v>
      </c>
      <c r="T18" s="196" t="b">
        <f>OR(R18,R12)</f>
        <v>1</v>
      </c>
      <c r="U18" s="201"/>
      <c r="V18" s="202">
        <f ca="1">IF(Sem_entame,SUM(U12:U18),"")</f>
        <v>1.4583333333333335</v>
      </c>
      <c r="W18" s="203">
        <f t="shared" si="9"/>
        <v>0</v>
      </c>
      <c r="X18" s="204">
        <f ca="1">SUM(W12:W18)</f>
        <v>2.875</v>
      </c>
      <c r="Y18" s="204">
        <f ca="1">IF(Sem_entame,X18-V18,"")</f>
        <v>1.4166666666666665</v>
      </c>
      <c r="Z18" s="204">
        <f ca="1">IF(Sem_entame,Y18+IF(ISNUMBER(Z11),Z11,0),"")</f>
        <v>0.72916666666666652</v>
      </c>
      <c r="AA18" s="117"/>
    </row>
    <row r="19" spans="1:27" ht="12.75" customHeight="1" thickBot="1">
      <c r="A19" s="416">
        <f>A12+1</f>
        <v>3</v>
      </c>
      <c r="B19" s="411" t="str">
        <f>IF(L19&lt;&gt;L25,TEXT(C25,"mmm"&amp;"-"),"")&amp;TEXT(C19,"mmm")</f>
        <v>juil</v>
      </c>
      <c r="C19" s="260">
        <f t="shared" si="11"/>
        <v>39643</v>
      </c>
      <c r="D19" s="144"/>
      <c r="E19" s="145"/>
      <c r="F19" s="146"/>
      <c r="G19" s="147">
        <f t="shared" si="10"/>
        <v>0</v>
      </c>
      <c r="H19" s="147"/>
      <c r="I19" s="148"/>
      <c r="J19" s="207" t="str">
        <f t="shared" ca="1" si="0"/>
        <v/>
      </c>
      <c r="K19" s="150" t="b">
        <f t="shared" ca="1" si="12"/>
        <v>0</v>
      </c>
      <c r="L19" s="362">
        <f t="shared" si="2"/>
        <v>7</v>
      </c>
      <c r="M19" s="266">
        <v>39643</v>
      </c>
      <c r="N19" s="151">
        <f t="shared" si="3"/>
        <v>7</v>
      </c>
      <c r="O19" s="152">
        <f t="shared" ca="1" si="4"/>
        <v>0</v>
      </c>
      <c r="P19" s="153">
        <f t="shared" si="5"/>
        <v>0</v>
      </c>
      <c r="Q19" s="154" t="b">
        <f t="shared" si="13"/>
        <v>0</v>
      </c>
      <c r="R19" s="155" t="b">
        <f t="shared" ca="1" si="7"/>
        <v>1</v>
      </c>
      <c r="S19" s="156"/>
      <c r="T19" s="156"/>
      <c r="U19" s="157">
        <f t="shared" ca="1" si="8"/>
        <v>0.29166666666666669</v>
      </c>
      <c r="V19" s="158"/>
      <c r="W19" s="159">
        <f t="shared" si="9"/>
        <v>0</v>
      </c>
      <c r="X19" s="160"/>
      <c r="Y19" s="160"/>
      <c r="Z19" s="160"/>
      <c r="AA19" s="117"/>
    </row>
    <row r="20" spans="1:27" ht="13.5" thickBot="1">
      <c r="A20" s="417"/>
      <c r="B20" s="411"/>
      <c r="C20" s="261">
        <f t="shared" si="11"/>
        <v>39644</v>
      </c>
      <c r="D20" s="144"/>
      <c r="E20" s="145"/>
      <c r="F20" s="146"/>
      <c r="G20" s="164">
        <f t="shared" si="10"/>
        <v>0</v>
      </c>
      <c r="H20" s="147"/>
      <c r="I20" s="165"/>
      <c r="J20" s="149" t="str">
        <f t="shared" ca="1" si="0"/>
        <v/>
      </c>
      <c r="K20" s="150" t="b">
        <f t="shared" ca="1" si="12"/>
        <v>0</v>
      </c>
      <c r="L20" s="364">
        <f t="shared" si="2"/>
        <v>7</v>
      </c>
      <c r="M20" s="267">
        <v>39644</v>
      </c>
      <c r="N20" s="166">
        <f t="shared" si="3"/>
        <v>1</v>
      </c>
      <c r="O20" s="167">
        <f t="shared" ca="1" si="4"/>
        <v>1</v>
      </c>
      <c r="P20" s="168">
        <f t="shared" si="5"/>
        <v>1</v>
      </c>
      <c r="Q20" s="169" t="b">
        <f t="shared" si="13"/>
        <v>0</v>
      </c>
      <c r="R20" s="170" t="b">
        <f t="shared" ca="1" si="7"/>
        <v>1</v>
      </c>
      <c r="S20" s="166"/>
      <c r="T20" s="166"/>
      <c r="U20" s="171">
        <f t="shared" ca="1" si="8"/>
        <v>0.29166666666666669</v>
      </c>
      <c r="V20" s="172"/>
      <c r="W20" s="173">
        <f t="shared" si="9"/>
        <v>0</v>
      </c>
      <c r="X20" s="174"/>
      <c r="Y20" s="174"/>
      <c r="Z20" s="174"/>
      <c r="AA20" s="117"/>
    </row>
    <row r="21" spans="1:27" ht="13.5" thickBot="1">
      <c r="A21" s="417"/>
      <c r="B21" s="411"/>
      <c r="C21" s="261">
        <f t="shared" si="11"/>
        <v>39645</v>
      </c>
      <c r="D21" s="144"/>
      <c r="E21" s="145"/>
      <c r="F21" s="146"/>
      <c r="G21" s="164">
        <f t="shared" si="10"/>
        <v>0</v>
      </c>
      <c r="H21" s="147"/>
      <c r="I21" s="165"/>
      <c r="J21" s="149" t="str">
        <f t="shared" ca="1" si="0"/>
        <v/>
      </c>
      <c r="K21" s="150" t="b">
        <f t="shared" ca="1" si="12"/>
        <v>0</v>
      </c>
      <c r="L21" s="364">
        <f t="shared" si="2"/>
        <v>7</v>
      </c>
      <c r="M21" s="267">
        <v>39645</v>
      </c>
      <c r="N21" s="166">
        <f t="shared" si="3"/>
        <v>2</v>
      </c>
      <c r="O21" s="167">
        <f t="shared" ca="1" si="4"/>
        <v>1</v>
      </c>
      <c r="P21" s="168">
        <f t="shared" si="5"/>
        <v>1</v>
      </c>
      <c r="Q21" s="169" t="b">
        <f t="shared" si="13"/>
        <v>0</v>
      </c>
      <c r="R21" s="170" t="b">
        <f t="shared" ca="1" si="7"/>
        <v>1</v>
      </c>
      <c r="S21" s="166"/>
      <c r="T21" s="166"/>
      <c r="U21" s="171">
        <f t="shared" ca="1" si="8"/>
        <v>0.29166666666666669</v>
      </c>
      <c r="V21" s="172"/>
      <c r="W21" s="173">
        <f t="shared" si="9"/>
        <v>0</v>
      </c>
      <c r="X21" s="174"/>
      <c r="Y21" s="174"/>
      <c r="Z21" s="174"/>
      <c r="AA21" s="117"/>
    </row>
    <row r="22" spans="1:27" ht="13.5" thickBot="1">
      <c r="A22" s="417"/>
      <c r="B22" s="411"/>
      <c r="C22" s="261">
        <f t="shared" si="11"/>
        <v>39646</v>
      </c>
      <c r="D22" s="144"/>
      <c r="E22" s="145"/>
      <c r="F22" s="146"/>
      <c r="G22" s="164">
        <f t="shared" si="10"/>
        <v>0</v>
      </c>
      <c r="H22" s="147"/>
      <c r="I22" s="165"/>
      <c r="J22" s="149" t="str">
        <f t="shared" ca="1" si="0"/>
        <v/>
      </c>
      <c r="K22" s="150" t="b">
        <f t="shared" ca="1" si="12"/>
        <v>0</v>
      </c>
      <c r="L22" s="364">
        <f t="shared" si="2"/>
        <v>7</v>
      </c>
      <c r="M22" s="267">
        <v>39646</v>
      </c>
      <c r="N22" s="166">
        <f t="shared" si="3"/>
        <v>3</v>
      </c>
      <c r="O22" s="167">
        <f t="shared" ca="1" si="4"/>
        <v>1</v>
      </c>
      <c r="P22" s="168">
        <f t="shared" si="5"/>
        <v>1</v>
      </c>
      <c r="Q22" s="169" t="b">
        <f t="shared" si="13"/>
        <v>0</v>
      </c>
      <c r="R22" s="170" t="b">
        <f t="shared" ca="1" si="7"/>
        <v>1</v>
      </c>
      <c r="S22" s="166"/>
      <c r="T22" s="166"/>
      <c r="U22" s="171">
        <f t="shared" ca="1" si="8"/>
        <v>0.29166666666666669</v>
      </c>
      <c r="V22" s="172"/>
      <c r="W22" s="173">
        <f t="shared" si="9"/>
        <v>0</v>
      </c>
      <c r="X22" s="174"/>
      <c r="Y22" s="174"/>
      <c r="Z22" s="174"/>
      <c r="AA22" s="117"/>
    </row>
    <row r="23" spans="1:27" ht="13.5" thickBot="1">
      <c r="A23" s="417"/>
      <c r="B23" s="411"/>
      <c r="C23" s="261">
        <f t="shared" si="11"/>
        <v>39647</v>
      </c>
      <c r="D23" s="144"/>
      <c r="E23" s="145"/>
      <c r="F23" s="146"/>
      <c r="G23" s="164">
        <f t="shared" si="10"/>
        <v>0</v>
      </c>
      <c r="H23" s="147"/>
      <c r="I23" s="165"/>
      <c r="J23" s="149" t="str">
        <f t="shared" ca="1" si="0"/>
        <v/>
      </c>
      <c r="K23" s="150" t="b">
        <f t="shared" ca="1" si="12"/>
        <v>0</v>
      </c>
      <c r="L23" s="364">
        <f t="shared" si="2"/>
        <v>7</v>
      </c>
      <c r="M23" s="267">
        <v>39647</v>
      </c>
      <c r="N23" s="166">
        <f t="shared" si="3"/>
        <v>4</v>
      </c>
      <c r="O23" s="167">
        <f t="shared" ca="1" si="4"/>
        <v>1</v>
      </c>
      <c r="P23" s="168">
        <f t="shared" si="5"/>
        <v>1</v>
      </c>
      <c r="Q23" s="169" t="b">
        <f t="shared" si="13"/>
        <v>0</v>
      </c>
      <c r="R23" s="170" t="b">
        <f t="shared" ca="1" si="7"/>
        <v>1</v>
      </c>
      <c r="S23" s="166"/>
      <c r="T23" s="166"/>
      <c r="U23" s="171">
        <f t="shared" ca="1" si="8"/>
        <v>0.29166666666666669</v>
      </c>
      <c r="V23" s="172"/>
      <c r="W23" s="173">
        <f t="shared" si="9"/>
        <v>0</v>
      </c>
      <c r="X23" s="174"/>
      <c r="Y23" s="174"/>
      <c r="Z23" s="174"/>
      <c r="AA23" s="117"/>
    </row>
    <row r="24" spans="1:27" ht="13.5" thickBot="1">
      <c r="A24" s="417"/>
      <c r="B24" s="411"/>
      <c r="C24" s="262">
        <f t="shared" si="11"/>
        <v>39648</v>
      </c>
      <c r="D24" s="175"/>
      <c r="E24" s="176"/>
      <c r="F24" s="177"/>
      <c r="G24" s="178">
        <f t="shared" si="10"/>
        <v>0</v>
      </c>
      <c r="H24" s="279"/>
      <c r="I24" s="179"/>
      <c r="J24" s="180" t="str">
        <f t="shared" ca="1" si="0"/>
        <v/>
      </c>
      <c r="K24" s="181" t="b">
        <f t="shared" ca="1" si="12"/>
        <v>0</v>
      </c>
      <c r="L24" s="365">
        <f t="shared" si="2"/>
        <v>7</v>
      </c>
      <c r="M24" s="271">
        <v>39648</v>
      </c>
      <c r="N24" s="182">
        <f t="shared" si="3"/>
        <v>5</v>
      </c>
      <c r="O24" s="183">
        <f t="shared" ca="1" si="4"/>
        <v>1</v>
      </c>
      <c r="P24" s="184">
        <f t="shared" si="5"/>
        <v>1</v>
      </c>
      <c r="Q24" s="185" t="b">
        <f t="shared" si="13"/>
        <v>0</v>
      </c>
      <c r="R24" s="186" t="b">
        <f t="shared" ca="1" si="7"/>
        <v>1</v>
      </c>
      <c r="S24" s="182"/>
      <c r="T24" s="182"/>
      <c r="U24" s="187"/>
      <c r="V24" s="172"/>
      <c r="W24" s="188">
        <f t="shared" si="9"/>
        <v>0</v>
      </c>
      <c r="X24" s="174"/>
      <c r="Y24" s="174"/>
      <c r="Z24" s="174"/>
      <c r="AA24" s="117"/>
    </row>
    <row r="25" spans="1:27" ht="13.5" thickBot="1">
      <c r="A25" s="418"/>
      <c r="B25" s="412"/>
      <c r="C25" s="263">
        <f t="shared" si="11"/>
        <v>39649</v>
      </c>
      <c r="D25" s="189"/>
      <c r="E25" s="190"/>
      <c r="F25" s="191"/>
      <c r="G25" s="192">
        <f t="shared" si="10"/>
        <v>0</v>
      </c>
      <c r="H25" s="280"/>
      <c r="I25" s="193"/>
      <c r="J25" s="194" t="str">
        <f t="shared" ca="1" si="0"/>
        <v/>
      </c>
      <c r="K25" s="195" t="b">
        <f t="shared" ca="1" si="12"/>
        <v>0</v>
      </c>
      <c r="L25" s="366">
        <f t="shared" si="2"/>
        <v>7</v>
      </c>
      <c r="M25" s="272">
        <v>39649</v>
      </c>
      <c r="N25" s="196">
        <f t="shared" si="3"/>
        <v>6</v>
      </c>
      <c r="O25" s="197">
        <f t="shared" ca="1" si="4"/>
        <v>0</v>
      </c>
      <c r="P25" s="198">
        <f t="shared" si="5"/>
        <v>0</v>
      </c>
      <c r="Q25" s="199" t="b">
        <f t="shared" si="13"/>
        <v>0</v>
      </c>
      <c r="R25" s="200" t="b">
        <f t="shared" ca="1" si="7"/>
        <v>1</v>
      </c>
      <c r="S25" s="196" t="b">
        <f>AND(R25,R19)</f>
        <v>1</v>
      </c>
      <c r="T25" s="196" t="b">
        <f>OR(R25,R19)</f>
        <v>1</v>
      </c>
      <c r="U25" s="201"/>
      <c r="V25" s="202">
        <f ca="1">IF(Sem_entame,SUM(U19:U25),"")</f>
        <v>1.4583333333333335</v>
      </c>
      <c r="W25" s="203">
        <f t="shared" si="9"/>
        <v>0</v>
      </c>
      <c r="X25" s="204">
        <f ca="1">SUM(W19:W25)</f>
        <v>0</v>
      </c>
      <c r="Y25" s="204">
        <f ca="1">IF(Sem_entame,X25-V25,"")</f>
        <v>-1.4583333333333335</v>
      </c>
      <c r="Z25" s="204">
        <f ca="1">IF(Sem_entame,Y25+IF(ISNUMBER(Z18),Z18,0),"")</f>
        <v>-0.72916666666666696</v>
      </c>
      <c r="AA25" s="117"/>
    </row>
    <row r="26" spans="1:27" ht="12.75" customHeight="1" thickBot="1">
      <c r="A26" s="416">
        <f>A19+1</f>
        <v>4</v>
      </c>
      <c r="B26" s="411" t="str">
        <f>IF(L26&lt;&gt;L32,TEXT(C32,"mmm"&amp;"-"),"")&amp;TEXT(C26,"mmm")</f>
        <v>juil</v>
      </c>
      <c r="C26" s="260">
        <f t="shared" si="11"/>
        <v>39650</v>
      </c>
      <c r="D26" s="144"/>
      <c r="E26" s="145"/>
      <c r="F26" s="146"/>
      <c r="G26" s="147">
        <f t="shared" si="10"/>
        <v>0</v>
      </c>
      <c r="H26" s="147"/>
      <c r="I26" s="148"/>
      <c r="J26" s="207" t="str">
        <f t="shared" ca="1" si="0"/>
        <v/>
      </c>
      <c r="K26" s="150" t="b">
        <f t="shared" ca="1" si="12"/>
        <v>0</v>
      </c>
      <c r="L26" s="362">
        <f t="shared" si="2"/>
        <v>7</v>
      </c>
      <c r="M26" s="266">
        <v>39650</v>
      </c>
      <c r="N26" s="151">
        <f t="shared" si="3"/>
        <v>7</v>
      </c>
      <c r="O26" s="152">
        <f t="shared" ca="1" si="4"/>
        <v>0</v>
      </c>
      <c r="P26" s="153">
        <f t="shared" si="5"/>
        <v>0</v>
      </c>
      <c r="Q26" s="154" t="b">
        <f t="shared" si="13"/>
        <v>0</v>
      </c>
      <c r="R26" s="155" t="b">
        <f t="shared" ca="1" si="7"/>
        <v>1</v>
      </c>
      <c r="S26" s="156"/>
      <c r="T26" s="156"/>
      <c r="U26" s="157">
        <f t="shared" ca="1" si="8"/>
        <v>0.29166666666666669</v>
      </c>
      <c r="V26" s="158"/>
      <c r="W26" s="159">
        <f t="shared" si="9"/>
        <v>0</v>
      </c>
      <c r="X26" s="160"/>
      <c r="Y26" s="160"/>
      <c r="Z26" s="160"/>
      <c r="AA26" s="117"/>
    </row>
    <row r="27" spans="1:27" ht="13.5" thickBot="1">
      <c r="A27" s="417"/>
      <c r="B27" s="411"/>
      <c r="C27" s="261">
        <f t="shared" si="11"/>
        <v>39651</v>
      </c>
      <c r="D27" s="144"/>
      <c r="E27" s="145"/>
      <c r="F27" s="146"/>
      <c r="G27" s="164">
        <f t="shared" si="10"/>
        <v>0</v>
      </c>
      <c r="H27" s="147"/>
      <c r="I27" s="165"/>
      <c r="J27" s="149" t="str">
        <f t="shared" ca="1" si="0"/>
        <v/>
      </c>
      <c r="K27" s="150" t="b">
        <f t="shared" ca="1" si="12"/>
        <v>0</v>
      </c>
      <c r="L27" s="364">
        <f t="shared" si="2"/>
        <v>7</v>
      </c>
      <c r="M27" s="267">
        <v>39651</v>
      </c>
      <c r="N27" s="166">
        <f t="shared" si="3"/>
        <v>1</v>
      </c>
      <c r="O27" s="167">
        <f t="shared" ca="1" si="4"/>
        <v>1</v>
      </c>
      <c r="P27" s="168">
        <f t="shared" si="5"/>
        <v>1</v>
      </c>
      <c r="Q27" s="169" t="b">
        <f t="shared" si="13"/>
        <v>0</v>
      </c>
      <c r="R27" s="170" t="b">
        <f t="shared" ca="1" si="7"/>
        <v>1</v>
      </c>
      <c r="S27" s="166"/>
      <c r="T27" s="166"/>
      <c r="U27" s="171">
        <f t="shared" ca="1" si="8"/>
        <v>0.29166666666666669</v>
      </c>
      <c r="V27" s="172"/>
      <c r="W27" s="173">
        <f t="shared" si="9"/>
        <v>0</v>
      </c>
      <c r="X27" s="174"/>
      <c r="Y27" s="174"/>
      <c r="Z27" s="174"/>
      <c r="AA27" s="117"/>
    </row>
    <row r="28" spans="1:27" ht="13.5" thickBot="1">
      <c r="A28" s="417"/>
      <c r="B28" s="411"/>
      <c r="C28" s="261">
        <f t="shared" si="11"/>
        <v>39652</v>
      </c>
      <c r="D28" s="144"/>
      <c r="E28" s="145"/>
      <c r="F28" s="146"/>
      <c r="G28" s="164">
        <f t="shared" si="10"/>
        <v>0</v>
      </c>
      <c r="H28" s="147"/>
      <c r="I28" s="165"/>
      <c r="J28" s="149" t="str">
        <f t="shared" ca="1" si="0"/>
        <v/>
      </c>
      <c r="K28" s="150" t="b">
        <f t="shared" ca="1" si="12"/>
        <v>0</v>
      </c>
      <c r="L28" s="364">
        <f t="shared" si="2"/>
        <v>7</v>
      </c>
      <c r="M28" s="267">
        <v>39652</v>
      </c>
      <c r="N28" s="166">
        <f t="shared" si="3"/>
        <v>2</v>
      </c>
      <c r="O28" s="167">
        <f t="shared" ca="1" si="4"/>
        <v>1</v>
      </c>
      <c r="P28" s="168">
        <f t="shared" si="5"/>
        <v>1</v>
      </c>
      <c r="Q28" s="169" t="b">
        <f t="shared" si="13"/>
        <v>0</v>
      </c>
      <c r="R28" s="170" t="b">
        <f t="shared" ca="1" si="7"/>
        <v>1</v>
      </c>
      <c r="S28" s="166"/>
      <c r="T28" s="166"/>
      <c r="U28" s="171">
        <f t="shared" ca="1" si="8"/>
        <v>0.29166666666666669</v>
      </c>
      <c r="V28" s="172"/>
      <c r="W28" s="173">
        <f t="shared" si="9"/>
        <v>0</v>
      </c>
      <c r="X28" s="174"/>
      <c r="Y28" s="174"/>
      <c r="Z28" s="174"/>
      <c r="AA28" s="117"/>
    </row>
    <row r="29" spans="1:27" ht="13.5" thickBot="1">
      <c r="A29" s="417"/>
      <c r="B29" s="411"/>
      <c r="C29" s="261">
        <f t="shared" si="11"/>
        <v>39653</v>
      </c>
      <c r="D29" s="144"/>
      <c r="E29" s="145"/>
      <c r="F29" s="146"/>
      <c r="G29" s="164">
        <f t="shared" si="10"/>
        <v>0</v>
      </c>
      <c r="H29" s="147"/>
      <c r="I29" s="165"/>
      <c r="J29" s="149" t="str">
        <f t="shared" ca="1" si="0"/>
        <v/>
      </c>
      <c r="K29" s="150" t="b">
        <f t="shared" ca="1" si="12"/>
        <v>0</v>
      </c>
      <c r="L29" s="364">
        <f t="shared" si="2"/>
        <v>7</v>
      </c>
      <c r="M29" s="267">
        <v>39653</v>
      </c>
      <c r="N29" s="166">
        <f t="shared" si="3"/>
        <v>3</v>
      </c>
      <c r="O29" s="167">
        <f t="shared" ca="1" si="4"/>
        <v>1</v>
      </c>
      <c r="P29" s="168">
        <f t="shared" si="5"/>
        <v>1</v>
      </c>
      <c r="Q29" s="169" t="b">
        <f t="shared" si="13"/>
        <v>0</v>
      </c>
      <c r="R29" s="170" t="b">
        <f t="shared" ca="1" si="7"/>
        <v>1</v>
      </c>
      <c r="S29" s="166"/>
      <c r="T29" s="166"/>
      <c r="U29" s="171">
        <f t="shared" ca="1" si="8"/>
        <v>0.29166666666666669</v>
      </c>
      <c r="V29" s="172"/>
      <c r="W29" s="173">
        <f t="shared" si="9"/>
        <v>0</v>
      </c>
      <c r="X29" s="174"/>
      <c r="Y29" s="174"/>
      <c r="Z29" s="174"/>
      <c r="AA29" s="117"/>
    </row>
    <row r="30" spans="1:27" ht="13.5" thickBot="1">
      <c r="A30" s="417"/>
      <c r="B30" s="411"/>
      <c r="C30" s="261">
        <f t="shared" si="11"/>
        <v>39654</v>
      </c>
      <c r="D30" s="144"/>
      <c r="E30" s="145"/>
      <c r="F30" s="146"/>
      <c r="G30" s="164">
        <f t="shared" si="10"/>
        <v>0</v>
      </c>
      <c r="H30" s="147"/>
      <c r="I30" s="165"/>
      <c r="J30" s="149" t="str">
        <f t="shared" ca="1" si="0"/>
        <v/>
      </c>
      <c r="K30" s="150" t="b">
        <f t="shared" ca="1" si="12"/>
        <v>0</v>
      </c>
      <c r="L30" s="364">
        <f t="shared" si="2"/>
        <v>7</v>
      </c>
      <c r="M30" s="267">
        <v>39654</v>
      </c>
      <c r="N30" s="166">
        <f t="shared" si="3"/>
        <v>4</v>
      </c>
      <c r="O30" s="167">
        <f t="shared" ca="1" si="4"/>
        <v>1</v>
      </c>
      <c r="P30" s="168">
        <f t="shared" si="5"/>
        <v>1</v>
      </c>
      <c r="Q30" s="169" t="b">
        <f t="shared" si="13"/>
        <v>0</v>
      </c>
      <c r="R30" s="170" t="b">
        <f t="shared" ca="1" si="7"/>
        <v>1</v>
      </c>
      <c r="S30" s="166"/>
      <c r="T30" s="166"/>
      <c r="U30" s="171">
        <f t="shared" ca="1" si="8"/>
        <v>0.29166666666666669</v>
      </c>
      <c r="V30" s="172"/>
      <c r="W30" s="173">
        <f t="shared" si="9"/>
        <v>0</v>
      </c>
      <c r="X30" s="174"/>
      <c r="Y30" s="174"/>
      <c r="Z30" s="174"/>
      <c r="AA30" s="117"/>
    </row>
    <row r="31" spans="1:27" ht="13.5" thickBot="1">
      <c r="A31" s="417"/>
      <c r="B31" s="411"/>
      <c r="C31" s="262">
        <f t="shared" si="11"/>
        <v>39655</v>
      </c>
      <c r="D31" s="175"/>
      <c r="E31" s="176"/>
      <c r="F31" s="177"/>
      <c r="G31" s="178">
        <f t="shared" si="10"/>
        <v>0</v>
      </c>
      <c r="H31" s="279"/>
      <c r="I31" s="179"/>
      <c r="J31" s="180" t="str">
        <f t="shared" ca="1" si="0"/>
        <v/>
      </c>
      <c r="K31" s="181" t="b">
        <f t="shared" ca="1" si="12"/>
        <v>0</v>
      </c>
      <c r="L31" s="365">
        <f t="shared" si="2"/>
        <v>7</v>
      </c>
      <c r="M31" s="271">
        <v>39655</v>
      </c>
      <c r="N31" s="182">
        <f t="shared" si="3"/>
        <v>5</v>
      </c>
      <c r="O31" s="183">
        <f t="shared" ca="1" si="4"/>
        <v>1</v>
      </c>
      <c r="P31" s="184">
        <f t="shared" si="5"/>
        <v>1</v>
      </c>
      <c r="Q31" s="185" t="b">
        <f t="shared" si="13"/>
        <v>0</v>
      </c>
      <c r="R31" s="186" t="b">
        <f t="shared" ca="1" si="7"/>
        <v>1</v>
      </c>
      <c r="S31" s="182"/>
      <c r="T31" s="182"/>
      <c r="U31" s="187"/>
      <c r="V31" s="172"/>
      <c r="W31" s="188">
        <f t="shared" si="9"/>
        <v>0</v>
      </c>
      <c r="X31" s="174"/>
      <c r="Y31" s="174"/>
      <c r="Z31" s="174"/>
      <c r="AA31" s="117"/>
    </row>
    <row r="32" spans="1:27" ht="13.5" thickBot="1">
      <c r="A32" s="418"/>
      <c r="B32" s="412"/>
      <c r="C32" s="263">
        <f t="shared" si="11"/>
        <v>39656</v>
      </c>
      <c r="D32" s="189"/>
      <c r="E32" s="190"/>
      <c r="F32" s="191"/>
      <c r="G32" s="192">
        <f t="shared" si="10"/>
        <v>0</v>
      </c>
      <c r="H32" s="280"/>
      <c r="I32" s="193"/>
      <c r="J32" s="194" t="str">
        <f t="shared" ca="1" si="0"/>
        <v/>
      </c>
      <c r="K32" s="195" t="b">
        <f t="shared" ca="1" si="12"/>
        <v>0</v>
      </c>
      <c r="L32" s="366">
        <f t="shared" si="2"/>
        <v>7</v>
      </c>
      <c r="M32" s="272">
        <v>39656</v>
      </c>
      <c r="N32" s="196">
        <f t="shared" si="3"/>
        <v>6</v>
      </c>
      <c r="O32" s="197">
        <f t="shared" ca="1" si="4"/>
        <v>0</v>
      </c>
      <c r="P32" s="198">
        <f t="shared" si="5"/>
        <v>0</v>
      </c>
      <c r="Q32" s="199" t="b">
        <f t="shared" si="13"/>
        <v>0</v>
      </c>
      <c r="R32" s="200" t="b">
        <f t="shared" ca="1" si="7"/>
        <v>1</v>
      </c>
      <c r="S32" s="196" t="b">
        <f>AND(R32,R26)</f>
        <v>1</v>
      </c>
      <c r="T32" s="196" t="b">
        <f>OR(R32,R26)</f>
        <v>1</v>
      </c>
      <c r="U32" s="201"/>
      <c r="V32" s="202">
        <f ca="1">IF(Sem_entame,SUM(U26:U32),"")</f>
        <v>1.4583333333333335</v>
      </c>
      <c r="W32" s="203">
        <f t="shared" si="9"/>
        <v>0</v>
      </c>
      <c r="X32" s="204">
        <f ca="1">SUM(W26:W32)</f>
        <v>0</v>
      </c>
      <c r="Y32" s="204">
        <f ca="1">IF(Sem_entame,X32-V32,"")</f>
        <v>-1.4583333333333335</v>
      </c>
      <c r="Z32" s="204">
        <f ca="1">IF(Sem_entame,Y32+IF(ISNUMBER(Z25),Z25,0),"")</f>
        <v>-2.1875000000000004</v>
      </c>
      <c r="AA32" s="117"/>
    </row>
    <row r="33" spans="1:27" ht="12.75" customHeight="1" thickBot="1">
      <c r="A33" s="416">
        <f>A26+1</f>
        <v>5</v>
      </c>
      <c r="B33" s="411" t="str">
        <f>IF(L33&lt;&gt;L39,TEXT(C39,"mmm"&amp;"-"),"")&amp;TEXT(C33,"mmm")</f>
        <v>août-juil</v>
      </c>
      <c r="C33" s="260">
        <f>C32+1</f>
        <v>39657</v>
      </c>
      <c r="D33" s="144"/>
      <c r="E33" s="145"/>
      <c r="F33" s="146"/>
      <c r="G33" s="147">
        <f t="shared" si="10"/>
        <v>0</v>
      </c>
      <c r="H33" s="147"/>
      <c r="I33" s="148"/>
      <c r="J33" s="207" t="str">
        <f t="shared" ca="1" si="0"/>
        <v/>
      </c>
      <c r="K33" s="150" t="b">
        <f t="shared" ca="1" si="12"/>
        <v>0</v>
      </c>
      <c r="L33" s="362">
        <f t="shared" si="2"/>
        <v>7</v>
      </c>
      <c r="M33" s="266">
        <v>39657</v>
      </c>
      <c r="N33" s="151">
        <f t="shared" si="3"/>
        <v>7</v>
      </c>
      <c r="O33" s="152">
        <f t="shared" ca="1" si="4"/>
        <v>0</v>
      </c>
      <c r="P33" s="153">
        <f t="shared" si="5"/>
        <v>0</v>
      </c>
      <c r="Q33" s="154" t="b">
        <f t="shared" si="13"/>
        <v>0</v>
      </c>
      <c r="R33" s="155" t="b">
        <f t="shared" ca="1" si="7"/>
        <v>1</v>
      </c>
      <c r="S33" s="156"/>
      <c r="T33" s="156"/>
      <c r="U33" s="157">
        <f t="shared" ca="1" si="8"/>
        <v>0.29166666666666669</v>
      </c>
      <c r="V33" s="158"/>
      <c r="W33" s="159">
        <f t="shared" si="9"/>
        <v>0</v>
      </c>
      <c r="X33" s="160"/>
      <c r="Y33" s="160"/>
      <c r="Z33" s="160"/>
      <c r="AA33" s="117"/>
    </row>
    <row r="34" spans="1:27" ht="13.5" thickBot="1">
      <c r="A34" s="417"/>
      <c r="B34" s="411"/>
      <c r="C34" s="261">
        <f>C33+1</f>
        <v>39658</v>
      </c>
      <c r="D34" s="144"/>
      <c r="E34" s="145"/>
      <c r="F34" s="146"/>
      <c r="G34" s="164">
        <f t="shared" si="10"/>
        <v>0</v>
      </c>
      <c r="H34" s="147"/>
      <c r="I34" s="165"/>
      <c r="J34" s="149" t="str">
        <f t="shared" ca="1" si="0"/>
        <v/>
      </c>
      <c r="K34" s="150" t="b">
        <f t="shared" ca="1" si="12"/>
        <v>0</v>
      </c>
      <c r="L34" s="364">
        <f t="shared" si="2"/>
        <v>7</v>
      </c>
      <c r="M34" s="267">
        <v>39658</v>
      </c>
      <c r="N34" s="166">
        <f t="shared" si="3"/>
        <v>1</v>
      </c>
      <c r="O34" s="167">
        <f t="shared" ca="1" si="4"/>
        <v>1</v>
      </c>
      <c r="P34" s="168">
        <f t="shared" si="5"/>
        <v>1</v>
      </c>
      <c r="Q34" s="169" t="b">
        <f t="shared" si="13"/>
        <v>0</v>
      </c>
      <c r="R34" s="170" t="b">
        <f t="shared" ca="1" si="7"/>
        <v>1</v>
      </c>
      <c r="S34" s="166"/>
      <c r="T34" s="166"/>
      <c r="U34" s="171">
        <f t="shared" ca="1" si="8"/>
        <v>0.29166666666666669</v>
      </c>
      <c r="V34" s="172"/>
      <c r="W34" s="173">
        <f t="shared" si="9"/>
        <v>0</v>
      </c>
      <c r="X34" s="174"/>
      <c r="Y34" s="174"/>
      <c r="Z34" s="174"/>
      <c r="AA34" s="117"/>
    </row>
    <row r="35" spans="1:27" ht="13.5" thickBot="1">
      <c r="A35" s="417"/>
      <c r="B35" s="411"/>
      <c r="C35" s="261">
        <f t="shared" ref="C35:C60" si="14">C34+1</f>
        <v>39659</v>
      </c>
      <c r="D35" s="144"/>
      <c r="E35" s="145"/>
      <c r="F35" s="146"/>
      <c r="G35" s="164">
        <f t="shared" si="10"/>
        <v>0</v>
      </c>
      <c r="H35" s="147"/>
      <c r="I35" s="165"/>
      <c r="J35" s="149" t="str">
        <f t="shared" ca="1" si="0"/>
        <v/>
      </c>
      <c r="K35" s="150" t="b">
        <f t="shared" ca="1" si="12"/>
        <v>0</v>
      </c>
      <c r="L35" s="364">
        <f t="shared" si="2"/>
        <v>7</v>
      </c>
      <c r="M35" s="267">
        <v>39659</v>
      </c>
      <c r="N35" s="166">
        <f t="shared" si="3"/>
        <v>2</v>
      </c>
      <c r="O35" s="167">
        <f t="shared" ca="1" si="4"/>
        <v>1</v>
      </c>
      <c r="P35" s="168">
        <f t="shared" si="5"/>
        <v>1</v>
      </c>
      <c r="Q35" s="169" t="b">
        <f t="shared" si="13"/>
        <v>0</v>
      </c>
      <c r="R35" s="170" t="b">
        <f t="shared" ca="1" si="7"/>
        <v>1</v>
      </c>
      <c r="S35" s="166"/>
      <c r="T35" s="166"/>
      <c r="U35" s="171">
        <f t="shared" ca="1" si="8"/>
        <v>0.29166666666666669</v>
      </c>
      <c r="V35" s="172"/>
      <c r="W35" s="173">
        <f t="shared" si="9"/>
        <v>0</v>
      </c>
      <c r="X35" s="174"/>
      <c r="Y35" s="174"/>
      <c r="Z35" s="174"/>
      <c r="AA35" s="117"/>
    </row>
    <row r="36" spans="1:27" ht="13.5" thickBot="1">
      <c r="A36" s="417"/>
      <c r="B36" s="411"/>
      <c r="C36" s="261">
        <f t="shared" si="14"/>
        <v>39660</v>
      </c>
      <c r="D36" s="144"/>
      <c r="E36" s="145"/>
      <c r="F36" s="146"/>
      <c r="G36" s="164">
        <f t="shared" si="10"/>
        <v>0</v>
      </c>
      <c r="H36" s="147"/>
      <c r="I36" s="165"/>
      <c r="J36" s="149" t="str">
        <f t="shared" ca="1" si="0"/>
        <v/>
      </c>
      <c r="K36" s="150" t="b">
        <f t="shared" ca="1" si="12"/>
        <v>0</v>
      </c>
      <c r="L36" s="364">
        <f t="shared" si="2"/>
        <v>8</v>
      </c>
      <c r="M36" s="267">
        <v>39660</v>
      </c>
      <c r="N36" s="166">
        <f t="shared" si="3"/>
        <v>3</v>
      </c>
      <c r="O36" s="167">
        <f t="shared" ca="1" si="4"/>
        <v>1</v>
      </c>
      <c r="P36" s="168">
        <f t="shared" si="5"/>
        <v>1</v>
      </c>
      <c r="Q36" s="169" t="b">
        <f t="shared" si="13"/>
        <v>0</v>
      </c>
      <c r="R36" s="170" t="b">
        <f t="shared" ca="1" si="7"/>
        <v>1</v>
      </c>
      <c r="S36" s="166"/>
      <c r="T36" s="166"/>
      <c r="U36" s="171">
        <f t="shared" ca="1" si="8"/>
        <v>0.29166666666666669</v>
      </c>
      <c r="V36" s="172"/>
      <c r="W36" s="173">
        <f t="shared" si="9"/>
        <v>0</v>
      </c>
      <c r="X36" s="174"/>
      <c r="Y36" s="174"/>
      <c r="Z36" s="174"/>
      <c r="AA36" s="117"/>
    </row>
    <row r="37" spans="1:27" ht="13.5" thickBot="1">
      <c r="A37" s="417"/>
      <c r="B37" s="411"/>
      <c r="C37" s="261">
        <f t="shared" si="14"/>
        <v>39661</v>
      </c>
      <c r="D37" s="144"/>
      <c r="E37" s="145"/>
      <c r="F37" s="146"/>
      <c r="G37" s="164">
        <f t="shared" si="10"/>
        <v>0</v>
      </c>
      <c r="H37" s="147"/>
      <c r="I37" s="165"/>
      <c r="J37" s="149" t="str">
        <f t="shared" ca="1" si="0"/>
        <v/>
      </c>
      <c r="K37" s="150" t="b">
        <f t="shared" ca="1" si="12"/>
        <v>0</v>
      </c>
      <c r="L37" s="364">
        <f t="shared" si="2"/>
        <v>8</v>
      </c>
      <c r="M37" s="267">
        <v>39661</v>
      </c>
      <c r="N37" s="166">
        <f t="shared" si="3"/>
        <v>4</v>
      </c>
      <c r="O37" s="167">
        <f t="shared" ca="1" si="4"/>
        <v>1</v>
      </c>
      <c r="P37" s="168">
        <f t="shared" si="5"/>
        <v>1</v>
      </c>
      <c r="Q37" s="169" t="b">
        <f t="shared" si="13"/>
        <v>0</v>
      </c>
      <c r="R37" s="170" t="b">
        <f t="shared" ca="1" si="7"/>
        <v>1</v>
      </c>
      <c r="S37" s="166"/>
      <c r="T37" s="166"/>
      <c r="U37" s="171">
        <f t="shared" ca="1" si="8"/>
        <v>0.29166666666666669</v>
      </c>
      <c r="V37" s="172"/>
      <c r="W37" s="173">
        <f t="shared" si="9"/>
        <v>0</v>
      </c>
      <c r="X37" s="174"/>
      <c r="Y37" s="174"/>
      <c r="Z37" s="174"/>
      <c r="AA37" s="117"/>
    </row>
    <row r="38" spans="1:27" ht="13.5" thickBot="1">
      <c r="A38" s="417"/>
      <c r="B38" s="411"/>
      <c r="C38" s="262">
        <f t="shared" si="14"/>
        <v>39662</v>
      </c>
      <c r="D38" s="175"/>
      <c r="E38" s="176"/>
      <c r="F38" s="177"/>
      <c r="G38" s="178">
        <f t="shared" si="10"/>
        <v>0</v>
      </c>
      <c r="H38" s="279"/>
      <c r="I38" s="179"/>
      <c r="J38" s="180" t="str">
        <f t="shared" ca="1" si="0"/>
        <v/>
      </c>
      <c r="K38" s="181" t="b">
        <f t="shared" ca="1" si="12"/>
        <v>0</v>
      </c>
      <c r="L38" s="365">
        <f t="shared" si="2"/>
        <v>8</v>
      </c>
      <c r="M38" s="271">
        <v>39662</v>
      </c>
      <c r="N38" s="182">
        <f t="shared" si="3"/>
        <v>5</v>
      </c>
      <c r="O38" s="183">
        <f t="shared" ca="1" si="4"/>
        <v>1</v>
      </c>
      <c r="P38" s="184">
        <f t="shared" si="5"/>
        <v>1</v>
      </c>
      <c r="Q38" s="185" t="b">
        <f t="shared" si="13"/>
        <v>0</v>
      </c>
      <c r="R38" s="186" t="b">
        <f t="shared" ca="1" si="7"/>
        <v>1</v>
      </c>
      <c r="S38" s="182"/>
      <c r="T38" s="182"/>
      <c r="U38" s="187"/>
      <c r="V38" s="172"/>
      <c r="W38" s="188">
        <f t="shared" si="9"/>
        <v>0</v>
      </c>
      <c r="X38" s="174"/>
      <c r="Y38" s="174"/>
      <c r="Z38" s="174"/>
      <c r="AA38" s="117"/>
    </row>
    <row r="39" spans="1:27" ht="13.5" thickBot="1">
      <c r="A39" s="418"/>
      <c r="B39" s="412"/>
      <c r="C39" s="263">
        <f t="shared" si="14"/>
        <v>39663</v>
      </c>
      <c r="D39" s="189"/>
      <c r="E39" s="190"/>
      <c r="F39" s="191"/>
      <c r="G39" s="192">
        <f t="shared" si="10"/>
        <v>0</v>
      </c>
      <c r="H39" s="280"/>
      <c r="I39" s="193"/>
      <c r="J39" s="194" t="str">
        <f t="shared" ca="1" si="0"/>
        <v/>
      </c>
      <c r="K39" s="195" t="b">
        <f t="shared" ca="1" si="12"/>
        <v>0</v>
      </c>
      <c r="L39" s="366">
        <f t="shared" si="2"/>
        <v>8</v>
      </c>
      <c r="M39" s="272">
        <v>39663</v>
      </c>
      <c r="N39" s="196">
        <f t="shared" si="3"/>
        <v>6</v>
      </c>
      <c r="O39" s="197">
        <f t="shared" ca="1" si="4"/>
        <v>0</v>
      </c>
      <c r="P39" s="198">
        <f t="shared" si="5"/>
        <v>0</v>
      </c>
      <c r="Q39" s="199" t="b">
        <f t="shared" si="13"/>
        <v>0</v>
      </c>
      <c r="R39" s="200" t="b">
        <f t="shared" ca="1" si="7"/>
        <v>1</v>
      </c>
      <c r="S39" s="196" t="b">
        <f>AND(R39,R33)</f>
        <v>1</v>
      </c>
      <c r="T39" s="196" t="b">
        <f>OR(R39,R33)</f>
        <v>1</v>
      </c>
      <c r="U39" s="201"/>
      <c r="V39" s="202">
        <f ca="1">IF(Sem_entame,SUM(U33:U39),"")</f>
        <v>1.4583333333333335</v>
      </c>
      <c r="W39" s="203">
        <f t="shared" si="9"/>
        <v>0</v>
      </c>
      <c r="X39" s="204">
        <f ca="1">SUM(W33:W39)</f>
        <v>0</v>
      </c>
      <c r="Y39" s="204">
        <f ca="1">IF(Sem_entame,X39-V39,"")</f>
        <v>-1.4583333333333335</v>
      </c>
      <c r="Z39" s="204">
        <f ca="1">IF(Sem_entame,Y39+IF(ISNUMBER(Z32),Z32,0),"")</f>
        <v>-3.6458333333333339</v>
      </c>
      <c r="AA39" s="117"/>
    </row>
    <row r="40" spans="1:27" ht="12.75" customHeight="1" thickBot="1">
      <c r="A40" s="416">
        <f>A33+1</f>
        <v>6</v>
      </c>
      <c r="B40" s="411" t="str">
        <f>IF(L40&lt;&gt;L46,TEXT(C46,"mmm"&amp;"-"),"")&amp;TEXT(C40,"mmm")</f>
        <v>août</v>
      </c>
      <c r="C40" s="260">
        <f t="shared" si="14"/>
        <v>39664</v>
      </c>
      <c r="D40" s="144"/>
      <c r="E40" s="145"/>
      <c r="F40" s="146"/>
      <c r="G40" s="147">
        <f t="shared" si="10"/>
        <v>0</v>
      </c>
      <c r="H40" s="147"/>
      <c r="I40" s="148"/>
      <c r="J40" s="207" t="str">
        <f t="shared" ca="1" si="0"/>
        <v/>
      </c>
      <c r="K40" s="150" t="b">
        <f t="shared" ca="1" si="12"/>
        <v>0</v>
      </c>
      <c r="L40" s="362">
        <f t="shared" si="2"/>
        <v>8</v>
      </c>
      <c r="M40" s="266">
        <v>39664</v>
      </c>
      <c r="N40" s="151">
        <f t="shared" si="3"/>
        <v>7</v>
      </c>
      <c r="O40" s="152">
        <f t="shared" ca="1" si="4"/>
        <v>0</v>
      </c>
      <c r="P40" s="153">
        <f t="shared" si="5"/>
        <v>0</v>
      </c>
      <c r="Q40" s="154" t="b">
        <f t="shared" si="13"/>
        <v>0</v>
      </c>
      <c r="R40" s="155" t="b">
        <f t="shared" ca="1" si="7"/>
        <v>1</v>
      </c>
      <c r="S40" s="156"/>
      <c r="T40" s="156"/>
      <c r="U40" s="157">
        <f t="shared" ca="1" si="8"/>
        <v>0.29166666666666669</v>
      </c>
      <c r="V40" s="158"/>
      <c r="W40" s="159">
        <f t="shared" si="9"/>
        <v>0</v>
      </c>
      <c r="X40" s="160"/>
      <c r="Y40" s="160"/>
      <c r="Z40" s="160"/>
      <c r="AA40" s="117"/>
    </row>
    <row r="41" spans="1:27" ht="13.5" thickBot="1">
      <c r="A41" s="417"/>
      <c r="B41" s="411"/>
      <c r="C41" s="261">
        <f t="shared" si="14"/>
        <v>39665</v>
      </c>
      <c r="D41" s="144"/>
      <c r="E41" s="145"/>
      <c r="F41" s="146"/>
      <c r="G41" s="164">
        <f t="shared" si="10"/>
        <v>0</v>
      </c>
      <c r="H41" s="147"/>
      <c r="I41" s="165"/>
      <c r="J41" s="149" t="str">
        <f t="shared" ca="1" si="0"/>
        <v/>
      </c>
      <c r="K41" s="150" t="b">
        <f t="shared" ca="1" si="12"/>
        <v>0</v>
      </c>
      <c r="L41" s="364">
        <f t="shared" si="2"/>
        <v>8</v>
      </c>
      <c r="M41" s="267">
        <v>39665</v>
      </c>
      <c r="N41" s="166">
        <f t="shared" si="3"/>
        <v>1</v>
      </c>
      <c r="O41" s="167">
        <f t="shared" ca="1" si="4"/>
        <v>1</v>
      </c>
      <c r="P41" s="168">
        <f t="shared" si="5"/>
        <v>1</v>
      </c>
      <c r="Q41" s="169" t="b">
        <f t="shared" si="13"/>
        <v>0</v>
      </c>
      <c r="R41" s="170" t="b">
        <f t="shared" ca="1" si="7"/>
        <v>1</v>
      </c>
      <c r="S41" s="166"/>
      <c r="T41" s="166"/>
      <c r="U41" s="171">
        <f t="shared" ca="1" si="8"/>
        <v>0.29166666666666669</v>
      </c>
      <c r="V41" s="172"/>
      <c r="W41" s="173">
        <f t="shared" si="9"/>
        <v>0</v>
      </c>
      <c r="X41" s="174"/>
      <c r="Y41" s="174"/>
      <c r="Z41" s="174"/>
      <c r="AA41" s="117"/>
    </row>
    <row r="42" spans="1:27" ht="13.5" thickBot="1">
      <c r="A42" s="417"/>
      <c r="B42" s="411"/>
      <c r="C42" s="261">
        <f t="shared" si="14"/>
        <v>39666</v>
      </c>
      <c r="D42" s="144"/>
      <c r="E42" s="145"/>
      <c r="F42" s="146"/>
      <c r="G42" s="164">
        <f t="shared" si="10"/>
        <v>0</v>
      </c>
      <c r="H42" s="147"/>
      <c r="I42" s="165"/>
      <c r="J42" s="149" t="str">
        <f t="shared" ca="1" si="0"/>
        <v/>
      </c>
      <c r="K42" s="150" t="b">
        <f t="shared" ca="1" si="12"/>
        <v>0</v>
      </c>
      <c r="L42" s="364">
        <f t="shared" si="2"/>
        <v>8</v>
      </c>
      <c r="M42" s="267">
        <v>39666</v>
      </c>
      <c r="N42" s="166">
        <f t="shared" si="3"/>
        <v>2</v>
      </c>
      <c r="O42" s="167">
        <f t="shared" ca="1" si="4"/>
        <v>1</v>
      </c>
      <c r="P42" s="168">
        <f t="shared" si="5"/>
        <v>1</v>
      </c>
      <c r="Q42" s="169" t="b">
        <f t="shared" si="13"/>
        <v>0</v>
      </c>
      <c r="R42" s="170" t="b">
        <f t="shared" ca="1" si="7"/>
        <v>1</v>
      </c>
      <c r="S42" s="166"/>
      <c r="T42" s="166"/>
      <c r="U42" s="171">
        <f t="shared" ca="1" si="8"/>
        <v>0.29166666666666669</v>
      </c>
      <c r="V42" s="172"/>
      <c r="W42" s="173">
        <f t="shared" si="9"/>
        <v>0</v>
      </c>
      <c r="X42" s="174"/>
      <c r="Y42" s="174"/>
      <c r="Z42" s="174"/>
      <c r="AA42" s="117"/>
    </row>
    <row r="43" spans="1:27" ht="13.5" thickBot="1">
      <c r="A43" s="417"/>
      <c r="B43" s="411"/>
      <c r="C43" s="261">
        <f t="shared" si="14"/>
        <v>39667</v>
      </c>
      <c r="D43" s="144"/>
      <c r="E43" s="145"/>
      <c r="F43" s="146"/>
      <c r="G43" s="164">
        <f t="shared" si="10"/>
        <v>0</v>
      </c>
      <c r="H43" s="147"/>
      <c r="I43" s="165"/>
      <c r="J43" s="149" t="str">
        <f t="shared" ca="1" si="0"/>
        <v/>
      </c>
      <c r="K43" s="150" t="b">
        <f t="shared" ca="1" si="12"/>
        <v>0</v>
      </c>
      <c r="L43" s="364">
        <f t="shared" si="2"/>
        <v>8</v>
      </c>
      <c r="M43" s="267">
        <v>39667</v>
      </c>
      <c r="N43" s="166">
        <f t="shared" si="3"/>
        <v>3</v>
      </c>
      <c r="O43" s="167">
        <f t="shared" ca="1" si="4"/>
        <v>1</v>
      </c>
      <c r="P43" s="168">
        <f t="shared" si="5"/>
        <v>1</v>
      </c>
      <c r="Q43" s="169" t="b">
        <f t="shared" si="13"/>
        <v>0</v>
      </c>
      <c r="R43" s="170" t="b">
        <f t="shared" ca="1" si="7"/>
        <v>1</v>
      </c>
      <c r="S43" s="166"/>
      <c r="T43" s="166"/>
      <c r="U43" s="171">
        <f t="shared" ca="1" si="8"/>
        <v>0.29166666666666669</v>
      </c>
      <c r="V43" s="172"/>
      <c r="W43" s="173">
        <f t="shared" si="9"/>
        <v>0</v>
      </c>
      <c r="X43" s="174"/>
      <c r="Y43" s="174"/>
      <c r="Z43" s="174"/>
      <c r="AA43" s="117"/>
    </row>
    <row r="44" spans="1:27" ht="13.5" thickBot="1">
      <c r="A44" s="417"/>
      <c r="B44" s="411"/>
      <c r="C44" s="261">
        <f t="shared" si="14"/>
        <v>39668</v>
      </c>
      <c r="D44" s="144"/>
      <c r="E44" s="145"/>
      <c r="F44" s="146"/>
      <c r="G44" s="164">
        <f t="shared" si="10"/>
        <v>0</v>
      </c>
      <c r="H44" s="147"/>
      <c r="I44" s="165"/>
      <c r="J44" s="149" t="str">
        <f t="shared" ca="1" si="0"/>
        <v/>
      </c>
      <c r="K44" s="150" t="b">
        <f t="shared" ca="1" si="12"/>
        <v>0</v>
      </c>
      <c r="L44" s="364">
        <f t="shared" si="2"/>
        <v>8</v>
      </c>
      <c r="M44" s="267">
        <v>39668</v>
      </c>
      <c r="N44" s="166">
        <f t="shared" si="3"/>
        <v>4</v>
      </c>
      <c r="O44" s="167">
        <f t="shared" ca="1" si="4"/>
        <v>1</v>
      </c>
      <c r="P44" s="168">
        <f t="shared" si="5"/>
        <v>1</v>
      </c>
      <c r="Q44" s="169" t="b">
        <f t="shared" si="13"/>
        <v>0</v>
      </c>
      <c r="R44" s="170" t="b">
        <f t="shared" ca="1" si="7"/>
        <v>1</v>
      </c>
      <c r="S44" s="166"/>
      <c r="T44" s="166"/>
      <c r="U44" s="171">
        <f t="shared" ca="1" si="8"/>
        <v>0.29166666666666669</v>
      </c>
      <c r="V44" s="172"/>
      <c r="W44" s="173">
        <f t="shared" si="9"/>
        <v>0</v>
      </c>
      <c r="X44" s="174"/>
      <c r="Y44" s="174"/>
      <c r="Z44" s="174"/>
      <c r="AA44" s="117"/>
    </row>
    <row r="45" spans="1:27" ht="13.5" thickBot="1">
      <c r="A45" s="417"/>
      <c r="B45" s="411"/>
      <c r="C45" s="262">
        <f t="shared" si="14"/>
        <v>39669</v>
      </c>
      <c r="D45" s="175"/>
      <c r="E45" s="176"/>
      <c r="F45" s="177"/>
      <c r="G45" s="178">
        <f t="shared" si="10"/>
        <v>0</v>
      </c>
      <c r="H45" s="279"/>
      <c r="I45" s="179"/>
      <c r="J45" s="180" t="str">
        <f t="shared" ca="1" si="0"/>
        <v/>
      </c>
      <c r="K45" s="181" t="b">
        <f t="shared" ca="1" si="12"/>
        <v>0</v>
      </c>
      <c r="L45" s="365">
        <f t="shared" si="2"/>
        <v>8</v>
      </c>
      <c r="M45" s="271">
        <v>39669</v>
      </c>
      <c r="N45" s="182">
        <f t="shared" si="3"/>
        <v>5</v>
      </c>
      <c r="O45" s="183">
        <f t="shared" ca="1" si="4"/>
        <v>1</v>
      </c>
      <c r="P45" s="184">
        <f t="shared" si="5"/>
        <v>1</v>
      </c>
      <c r="Q45" s="185" t="b">
        <f t="shared" si="13"/>
        <v>0</v>
      </c>
      <c r="R45" s="186" t="b">
        <f t="shared" ca="1" si="7"/>
        <v>1</v>
      </c>
      <c r="S45" s="182"/>
      <c r="T45" s="182"/>
      <c r="U45" s="187"/>
      <c r="V45" s="172"/>
      <c r="W45" s="188">
        <f t="shared" si="9"/>
        <v>0</v>
      </c>
      <c r="X45" s="174"/>
      <c r="Y45" s="174"/>
      <c r="Z45" s="174"/>
      <c r="AA45" s="117"/>
    </row>
    <row r="46" spans="1:27" ht="13.5" thickBot="1">
      <c r="A46" s="418"/>
      <c r="B46" s="412"/>
      <c r="C46" s="263">
        <f t="shared" si="14"/>
        <v>39670</v>
      </c>
      <c r="D46" s="189"/>
      <c r="E46" s="190"/>
      <c r="F46" s="191"/>
      <c r="G46" s="192">
        <f t="shared" si="10"/>
        <v>0</v>
      </c>
      <c r="H46" s="280"/>
      <c r="I46" s="193"/>
      <c r="J46" s="194" t="str">
        <f t="shared" ca="1" si="0"/>
        <v/>
      </c>
      <c r="K46" s="195" t="b">
        <f t="shared" ca="1" si="12"/>
        <v>0</v>
      </c>
      <c r="L46" s="366">
        <f t="shared" si="2"/>
        <v>8</v>
      </c>
      <c r="M46" s="272">
        <v>39670</v>
      </c>
      <c r="N46" s="196">
        <f t="shared" si="3"/>
        <v>6</v>
      </c>
      <c r="O46" s="197">
        <f t="shared" ca="1" si="4"/>
        <v>0</v>
      </c>
      <c r="P46" s="198">
        <f t="shared" si="5"/>
        <v>0</v>
      </c>
      <c r="Q46" s="199" t="b">
        <f t="shared" si="13"/>
        <v>0</v>
      </c>
      <c r="R46" s="200" t="b">
        <f t="shared" ca="1" si="7"/>
        <v>1</v>
      </c>
      <c r="S46" s="196" t="b">
        <f>AND(R46,R40)</f>
        <v>1</v>
      </c>
      <c r="T46" s="196" t="b">
        <f>OR(R46,R40)</f>
        <v>1</v>
      </c>
      <c r="U46" s="201"/>
      <c r="V46" s="202">
        <f ca="1">IF(Sem_entame,SUM(U40:U46),"")</f>
        <v>1.4583333333333335</v>
      </c>
      <c r="W46" s="203">
        <f t="shared" si="9"/>
        <v>0</v>
      </c>
      <c r="X46" s="204">
        <f ca="1">SUM(W40:W46)</f>
        <v>0</v>
      </c>
      <c r="Y46" s="204">
        <f ca="1">IF(Sem_entame,X46-V46,"")</f>
        <v>-1.4583333333333335</v>
      </c>
      <c r="Z46" s="204">
        <f ca="1">IF(Sem_entame,Y46+IF(ISNUMBER(Z39),Z39,0),"")</f>
        <v>-5.1041666666666679</v>
      </c>
      <c r="AA46" s="117"/>
    </row>
    <row r="47" spans="1:27" ht="12.75" customHeight="1" thickBot="1">
      <c r="A47" s="416">
        <f>A40+1</f>
        <v>7</v>
      </c>
      <c r="B47" s="411" t="str">
        <f>IF(L47&lt;&gt;L53,TEXT(C53,"mmm"&amp;"-"),"")&amp;TEXT(C47,"mmm")</f>
        <v>août</v>
      </c>
      <c r="C47" s="260">
        <f t="shared" si="14"/>
        <v>39671</v>
      </c>
      <c r="D47" s="144"/>
      <c r="E47" s="145"/>
      <c r="F47" s="146"/>
      <c r="G47" s="147">
        <f t="shared" si="10"/>
        <v>0</v>
      </c>
      <c r="H47" s="147"/>
      <c r="I47" s="148"/>
      <c r="J47" s="207" t="str">
        <f t="shared" ca="1" si="0"/>
        <v/>
      </c>
      <c r="K47" s="150" t="b">
        <f t="shared" ca="1" si="12"/>
        <v>0</v>
      </c>
      <c r="L47" s="362">
        <f t="shared" si="2"/>
        <v>8</v>
      </c>
      <c r="M47" s="266">
        <v>39671</v>
      </c>
      <c r="N47" s="151">
        <f t="shared" si="3"/>
        <v>7</v>
      </c>
      <c r="O47" s="152">
        <f t="shared" ca="1" si="4"/>
        <v>0</v>
      </c>
      <c r="P47" s="153">
        <f t="shared" si="5"/>
        <v>0</v>
      </c>
      <c r="Q47" s="154" t="b">
        <f t="shared" si="13"/>
        <v>0</v>
      </c>
      <c r="R47" s="155" t="b">
        <f t="shared" ca="1" si="7"/>
        <v>1</v>
      </c>
      <c r="S47" s="156"/>
      <c r="T47" s="156"/>
      <c r="U47" s="157">
        <f t="shared" ca="1" si="8"/>
        <v>0.29166666666666669</v>
      </c>
      <c r="V47" s="158"/>
      <c r="W47" s="159">
        <f t="shared" si="9"/>
        <v>0</v>
      </c>
      <c r="X47" s="160"/>
      <c r="Y47" s="160"/>
      <c r="Z47" s="160"/>
      <c r="AA47" s="117"/>
    </row>
    <row r="48" spans="1:27" ht="13.5" thickBot="1">
      <c r="A48" s="417"/>
      <c r="B48" s="411"/>
      <c r="C48" s="261">
        <f t="shared" si="14"/>
        <v>39672</v>
      </c>
      <c r="D48" s="144"/>
      <c r="E48" s="145"/>
      <c r="F48" s="146"/>
      <c r="G48" s="164">
        <f t="shared" si="10"/>
        <v>0</v>
      </c>
      <c r="H48" s="147"/>
      <c r="I48" s="165"/>
      <c r="J48" s="149" t="str">
        <f t="shared" ca="1" si="0"/>
        <v/>
      </c>
      <c r="K48" s="150" t="b">
        <f t="shared" ca="1" si="12"/>
        <v>0</v>
      </c>
      <c r="L48" s="364">
        <f t="shared" si="2"/>
        <v>8</v>
      </c>
      <c r="M48" s="267">
        <v>39672</v>
      </c>
      <c r="N48" s="166">
        <f t="shared" si="3"/>
        <v>1</v>
      </c>
      <c r="O48" s="167">
        <f t="shared" ca="1" si="4"/>
        <v>1</v>
      </c>
      <c r="P48" s="168">
        <f t="shared" si="5"/>
        <v>1</v>
      </c>
      <c r="Q48" s="169" t="b">
        <f t="shared" si="13"/>
        <v>0</v>
      </c>
      <c r="R48" s="170" t="b">
        <f t="shared" ca="1" si="7"/>
        <v>1</v>
      </c>
      <c r="S48" s="166"/>
      <c r="T48" s="166"/>
      <c r="U48" s="171">
        <f t="shared" ca="1" si="8"/>
        <v>0.29166666666666669</v>
      </c>
      <c r="V48" s="172"/>
      <c r="W48" s="173">
        <f t="shared" si="9"/>
        <v>0</v>
      </c>
      <c r="X48" s="174"/>
      <c r="Y48" s="174"/>
      <c r="Z48" s="174"/>
      <c r="AA48" s="117"/>
    </row>
    <row r="49" spans="1:27" ht="13.5" thickBot="1">
      <c r="A49" s="417"/>
      <c r="B49" s="411"/>
      <c r="C49" s="261">
        <f t="shared" si="14"/>
        <v>39673</v>
      </c>
      <c r="D49" s="144"/>
      <c r="E49" s="145"/>
      <c r="F49" s="146"/>
      <c r="G49" s="164">
        <f t="shared" si="10"/>
        <v>0</v>
      </c>
      <c r="H49" s="147"/>
      <c r="I49" s="165"/>
      <c r="J49" s="149" t="str">
        <f t="shared" ca="1" si="0"/>
        <v/>
      </c>
      <c r="K49" s="150" t="b">
        <f t="shared" ca="1" si="12"/>
        <v>0</v>
      </c>
      <c r="L49" s="364">
        <f t="shared" si="2"/>
        <v>8</v>
      </c>
      <c r="M49" s="267">
        <v>39673</v>
      </c>
      <c r="N49" s="166">
        <f t="shared" si="3"/>
        <v>2</v>
      </c>
      <c r="O49" s="167">
        <f t="shared" ca="1" si="4"/>
        <v>1</v>
      </c>
      <c r="P49" s="168">
        <f t="shared" si="5"/>
        <v>1</v>
      </c>
      <c r="Q49" s="169" t="b">
        <f t="shared" si="13"/>
        <v>0</v>
      </c>
      <c r="R49" s="170" t="b">
        <f t="shared" ca="1" si="7"/>
        <v>1</v>
      </c>
      <c r="S49" s="166"/>
      <c r="T49" s="166"/>
      <c r="U49" s="171">
        <f t="shared" ca="1" si="8"/>
        <v>0.29166666666666669</v>
      </c>
      <c r="V49" s="172"/>
      <c r="W49" s="173">
        <f t="shared" si="9"/>
        <v>0</v>
      </c>
      <c r="X49" s="174"/>
      <c r="Y49" s="174"/>
      <c r="Z49" s="174"/>
      <c r="AA49" s="117"/>
    </row>
    <row r="50" spans="1:27" ht="13.5" thickBot="1">
      <c r="A50" s="417"/>
      <c r="B50" s="411"/>
      <c r="C50" s="261">
        <f t="shared" si="14"/>
        <v>39674</v>
      </c>
      <c r="D50" s="144"/>
      <c r="E50" s="145"/>
      <c r="F50" s="146"/>
      <c r="G50" s="164">
        <f t="shared" si="10"/>
        <v>0</v>
      </c>
      <c r="H50" s="147"/>
      <c r="I50" s="165"/>
      <c r="J50" s="149" t="str">
        <f t="shared" ca="1" si="0"/>
        <v/>
      </c>
      <c r="K50" s="150" t="b">
        <f t="shared" ca="1" si="12"/>
        <v>0</v>
      </c>
      <c r="L50" s="364">
        <f t="shared" si="2"/>
        <v>8</v>
      </c>
      <c r="M50" s="267">
        <v>39674</v>
      </c>
      <c r="N50" s="166">
        <f t="shared" si="3"/>
        <v>3</v>
      </c>
      <c r="O50" s="167">
        <f t="shared" ca="1" si="4"/>
        <v>0</v>
      </c>
      <c r="P50" s="168">
        <f t="shared" si="5"/>
        <v>1</v>
      </c>
      <c r="Q50" s="169" t="b">
        <f t="shared" si="13"/>
        <v>1</v>
      </c>
      <c r="R50" s="170" t="b">
        <f t="shared" ca="1" si="7"/>
        <v>1</v>
      </c>
      <c r="S50" s="166"/>
      <c r="T50" s="166"/>
      <c r="U50" s="171">
        <f t="shared" ca="1" si="8"/>
        <v>0.29166666666666669</v>
      </c>
      <c r="V50" s="172"/>
      <c r="W50" s="173">
        <f t="shared" si="9"/>
        <v>0</v>
      </c>
      <c r="X50" s="174"/>
      <c r="Y50" s="174"/>
      <c r="Z50" s="174"/>
      <c r="AA50" s="117"/>
    </row>
    <row r="51" spans="1:27" ht="13.5" thickBot="1">
      <c r="A51" s="417"/>
      <c r="B51" s="411"/>
      <c r="C51" s="261">
        <f t="shared" si="14"/>
        <v>39675</v>
      </c>
      <c r="D51" s="144"/>
      <c r="E51" s="145"/>
      <c r="F51" s="146"/>
      <c r="G51" s="164">
        <f t="shared" si="10"/>
        <v>0</v>
      </c>
      <c r="H51" s="147"/>
      <c r="I51" s="165"/>
      <c r="J51" s="149" t="str">
        <f t="shared" ca="1" si="0"/>
        <v/>
      </c>
      <c r="K51" s="150" t="b">
        <f t="shared" ca="1" si="12"/>
        <v>0</v>
      </c>
      <c r="L51" s="364">
        <f t="shared" si="2"/>
        <v>8</v>
      </c>
      <c r="M51" s="267">
        <v>39675</v>
      </c>
      <c r="N51" s="166">
        <f t="shared" si="3"/>
        <v>4</v>
      </c>
      <c r="O51" s="167">
        <f t="shared" ca="1" si="4"/>
        <v>1</v>
      </c>
      <c r="P51" s="168">
        <f t="shared" si="5"/>
        <v>1</v>
      </c>
      <c r="Q51" s="169" t="b">
        <f t="shared" si="13"/>
        <v>0</v>
      </c>
      <c r="R51" s="170" t="b">
        <f t="shared" ca="1" si="7"/>
        <v>1</v>
      </c>
      <c r="S51" s="166"/>
      <c r="T51" s="166"/>
      <c r="U51" s="171">
        <f t="shared" ca="1" si="8"/>
        <v>0.29166666666666669</v>
      </c>
      <c r="V51" s="172"/>
      <c r="W51" s="173">
        <f t="shared" si="9"/>
        <v>0</v>
      </c>
      <c r="X51" s="174"/>
      <c r="Y51" s="174"/>
      <c r="Z51" s="174"/>
      <c r="AA51" s="117"/>
    </row>
    <row r="52" spans="1:27" ht="13.5" thickBot="1">
      <c r="A52" s="417"/>
      <c r="B52" s="411"/>
      <c r="C52" s="262">
        <f t="shared" si="14"/>
        <v>39676</v>
      </c>
      <c r="D52" s="175"/>
      <c r="E52" s="176"/>
      <c r="F52" s="177"/>
      <c r="G52" s="178">
        <f t="shared" si="10"/>
        <v>0</v>
      </c>
      <c r="H52" s="279"/>
      <c r="I52" s="179"/>
      <c r="J52" s="180" t="str">
        <f t="shared" ca="1" si="0"/>
        <v/>
      </c>
      <c r="K52" s="181" t="b">
        <f t="shared" ca="1" si="12"/>
        <v>0</v>
      </c>
      <c r="L52" s="365">
        <f t="shared" si="2"/>
        <v>8</v>
      </c>
      <c r="M52" s="271">
        <v>39676</v>
      </c>
      <c r="N52" s="182">
        <f t="shared" si="3"/>
        <v>5</v>
      </c>
      <c r="O52" s="183">
        <f t="shared" ca="1" si="4"/>
        <v>1</v>
      </c>
      <c r="P52" s="184">
        <f t="shared" si="5"/>
        <v>1</v>
      </c>
      <c r="Q52" s="185" t="b">
        <f t="shared" si="13"/>
        <v>0</v>
      </c>
      <c r="R52" s="186" t="b">
        <f t="shared" ca="1" si="7"/>
        <v>1</v>
      </c>
      <c r="S52" s="182"/>
      <c r="T52" s="182"/>
      <c r="U52" s="187"/>
      <c r="V52" s="172"/>
      <c r="W52" s="188">
        <f t="shared" si="9"/>
        <v>0</v>
      </c>
      <c r="X52" s="174"/>
      <c r="Y52" s="174"/>
      <c r="Z52" s="174"/>
      <c r="AA52" s="117"/>
    </row>
    <row r="53" spans="1:27" ht="13.5" thickBot="1">
      <c r="A53" s="418"/>
      <c r="B53" s="412"/>
      <c r="C53" s="263">
        <f t="shared" si="14"/>
        <v>39677</v>
      </c>
      <c r="D53" s="189"/>
      <c r="E53" s="190"/>
      <c r="F53" s="191"/>
      <c r="G53" s="192">
        <f t="shared" si="10"/>
        <v>0</v>
      </c>
      <c r="H53" s="280"/>
      <c r="I53" s="193"/>
      <c r="J53" s="194" t="str">
        <f t="shared" ca="1" si="0"/>
        <v/>
      </c>
      <c r="K53" s="195" t="b">
        <f t="shared" ca="1" si="12"/>
        <v>0</v>
      </c>
      <c r="L53" s="366">
        <f t="shared" si="2"/>
        <v>8</v>
      </c>
      <c r="M53" s="272">
        <v>39677</v>
      </c>
      <c r="N53" s="196">
        <f t="shared" si="3"/>
        <v>6</v>
      </c>
      <c r="O53" s="197">
        <f t="shared" ca="1" si="4"/>
        <v>0</v>
      </c>
      <c r="P53" s="198">
        <f t="shared" si="5"/>
        <v>0</v>
      </c>
      <c r="Q53" s="199" t="b">
        <f t="shared" si="13"/>
        <v>0</v>
      </c>
      <c r="R53" s="200" t="b">
        <f t="shared" ca="1" si="7"/>
        <v>1</v>
      </c>
      <c r="S53" s="196" t="b">
        <f>AND(R53,R47)</f>
        <v>1</v>
      </c>
      <c r="T53" s="196" t="b">
        <f>OR(R53,R47)</f>
        <v>1</v>
      </c>
      <c r="U53" s="201"/>
      <c r="V53" s="202">
        <f ca="1">IF(Sem_entame,SUM(U47:U53),"")</f>
        <v>1.4583333333333335</v>
      </c>
      <c r="W53" s="203">
        <f t="shared" si="9"/>
        <v>0</v>
      </c>
      <c r="X53" s="204">
        <f ca="1">SUM(W47:W53)</f>
        <v>0</v>
      </c>
      <c r="Y53" s="204">
        <f ca="1">IF(Sem_entame,X53-V53,"")</f>
        <v>-1.4583333333333335</v>
      </c>
      <c r="Z53" s="204">
        <f ca="1">IF(Sem_entame,Y53+IF(ISNUMBER(Z46),Z46,0),"")</f>
        <v>-6.5625000000000018</v>
      </c>
      <c r="AA53" s="117"/>
    </row>
    <row r="54" spans="1:27" ht="12.75" customHeight="1" thickBot="1">
      <c r="A54" s="416">
        <f>A47+1</f>
        <v>8</v>
      </c>
      <c r="B54" s="411" t="str">
        <f>IF(L54&lt;&gt;L60,TEXT(C60,"mmm"&amp;"-"),"")&amp;TEXT(C54,"mmm")</f>
        <v>août</v>
      </c>
      <c r="C54" s="260">
        <f t="shared" si="14"/>
        <v>39678</v>
      </c>
      <c r="D54" s="144"/>
      <c r="E54" s="145"/>
      <c r="F54" s="146"/>
      <c r="G54" s="147">
        <f t="shared" si="10"/>
        <v>0</v>
      </c>
      <c r="H54" s="147"/>
      <c r="I54" s="148"/>
      <c r="J54" s="207" t="str">
        <f t="shared" ca="1" si="0"/>
        <v/>
      </c>
      <c r="K54" s="150" t="b">
        <f t="shared" ca="1" si="12"/>
        <v>0</v>
      </c>
      <c r="L54" s="362">
        <f t="shared" si="2"/>
        <v>8</v>
      </c>
      <c r="M54" s="266">
        <v>39678</v>
      </c>
      <c r="N54" s="151">
        <f t="shared" si="3"/>
        <v>7</v>
      </c>
      <c r="O54" s="152">
        <f t="shared" ca="1" si="4"/>
        <v>0</v>
      </c>
      <c r="P54" s="153">
        <f t="shared" si="5"/>
        <v>0</v>
      </c>
      <c r="Q54" s="154" t="b">
        <f t="shared" si="13"/>
        <v>0</v>
      </c>
      <c r="R54" s="155" t="b">
        <f t="shared" ca="1" si="7"/>
        <v>1</v>
      </c>
      <c r="S54" s="156"/>
      <c r="T54" s="156"/>
      <c r="U54" s="157">
        <f t="shared" ca="1" si="8"/>
        <v>0.29166666666666669</v>
      </c>
      <c r="V54" s="158"/>
      <c r="W54" s="159">
        <f t="shared" si="9"/>
        <v>0</v>
      </c>
      <c r="X54" s="160"/>
      <c r="Y54" s="160"/>
      <c r="Z54" s="160"/>
      <c r="AA54" s="117"/>
    </row>
    <row r="55" spans="1:27" ht="13.5" thickBot="1">
      <c r="A55" s="417"/>
      <c r="B55" s="411"/>
      <c r="C55" s="261">
        <f t="shared" si="14"/>
        <v>39679</v>
      </c>
      <c r="D55" s="144"/>
      <c r="E55" s="145"/>
      <c r="F55" s="146"/>
      <c r="G55" s="164">
        <f t="shared" si="10"/>
        <v>0</v>
      </c>
      <c r="H55" s="147"/>
      <c r="I55" s="165"/>
      <c r="J55" s="149" t="str">
        <f t="shared" ca="1" si="0"/>
        <v/>
      </c>
      <c r="K55" s="150" t="b">
        <f t="shared" ca="1" si="12"/>
        <v>0</v>
      </c>
      <c r="L55" s="364">
        <f t="shared" si="2"/>
        <v>8</v>
      </c>
      <c r="M55" s="267">
        <v>39679</v>
      </c>
      <c r="N55" s="166">
        <f t="shared" si="3"/>
        <v>1</v>
      </c>
      <c r="O55" s="167">
        <f t="shared" ca="1" si="4"/>
        <v>1</v>
      </c>
      <c r="P55" s="168">
        <f t="shared" si="5"/>
        <v>1</v>
      </c>
      <c r="Q55" s="169" t="b">
        <f t="shared" si="13"/>
        <v>0</v>
      </c>
      <c r="R55" s="170" t="b">
        <f t="shared" ca="1" si="7"/>
        <v>1</v>
      </c>
      <c r="S55" s="166"/>
      <c r="T55" s="166"/>
      <c r="U55" s="171">
        <f t="shared" ca="1" si="8"/>
        <v>0.29166666666666669</v>
      </c>
      <c r="V55" s="172"/>
      <c r="W55" s="173">
        <f t="shared" si="9"/>
        <v>0</v>
      </c>
      <c r="X55" s="174"/>
      <c r="Y55" s="174"/>
      <c r="Z55" s="174"/>
      <c r="AA55" s="117"/>
    </row>
    <row r="56" spans="1:27" ht="13.5" thickBot="1">
      <c r="A56" s="417"/>
      <c r="B56" s="411"/>
      <c r="C56" s="261">
        <f t="shared" si="14"/>
        <v>39680</v>
      </c>
      <c r="D56" s="144"/>
      <c r="E56" s="145"/>
      <c r="F56" s="146"/>
      <c r="G56" s="164">
        <f t="shared" si="10"/>
        <v>0</v>
      </c>
      <c r="H56" s="147"/>
      <c r="I56" s="165"/>
      <c r="J56" s="149" t="str">
        <f t="shared" ca="1" si="0"/>
        <v/>
      </c>
      <c r="K56" s="150" t="b">
        <f t="shared" ca="1" si="12"/>
        <v>0</v>
      </c>
      <c r="L56" s="364">
        <f t="shared" si="2"/>
        <v>8</v>
      </c>
      <c r="M56" s="267">
        <v>39680</v>
      </c>
      <c r="N56" s="166">
        <f t="shared" si="3"/>
        <v>2</v>
      </c>
      <c r="O56" s="167">
        <f t="shared" ca="1" si="4"/>
        <v>1</v>
      </c>
      <c r="P56" s="168">
        <f t="shared" si="5"/>
        <v>1</v>
      </c>
      <c r="Q56" s="169" t="b">
        <f t="shared" si="13"/>
        <v>0</v>
      </c>
      <c r="R56" s="170" t="b">
        <f t="shared" ca="1" si="7"/>
        <v>1</v>
      </c>
      <c r="S56" s="166"/>
      <c r="T56" s="166"/>
      <c r="U56" s="171">
        <f t="shared" ca="1" si="8"/>
        <v>0.29166666666666669</v>
      </c>
      <c r="V56" s="172"/>
      <c r="W56" s="173">
        <f t="shared" si="9"/>
        <v>0</v>
      </c>
      <c r="X56" s="174"/>
      <c r="Y56" s="174"/>
      <c r="Z56" s="174"/>
      <c r="AA56" s="117"/>
    </row>
    <row r="57" spans="1:27" ht="13.5" thickBot="1">
      <c r="A57" s="417"/>
      <c r="B57" s="411"/>
      <c r="C57" s="261">
        <f t="shared" si="14"/>
        <v>39681</v>
      </c>
      <c r="D57" s="144"/>
      <c r="E57" s="145"/>
      <c r="F57" s="146"/>
      <c r="G57" s="164">
        <f t="shared" si="10"/>
        <v>0</v>
      </c>
      <c r="H57" s="147"/>
      <c r="I57" s="165"/>
      <c r="J57" s="149" t="str">
        <f t="shared" ca="1" si="0"/>
        <v/>
      </c>
      <c r="K57" s="150" t="b">
        <f t="shared" ca="1" si="12"/>
        <v>0</v>
      </c>
      <c r="L57" s="364">
        <f t="shared" si="2"/>
        <v>8</v>
      </c>
      <c r="M57" s="267">
        <v>39681</v>
      </c>
      <c r="N57" s="166">
        <f t="shared" si="3"/>
        <v>3</v>
      </c>
      <c r="O57" s="167">
        <f t="shared" ca="1" si="4"/>
        <v>1</v>
      </c>
      <c r="P57" s="168">
        <f t="shared" si="5"/>
        <v>1</v>
      </c>
      <c r="Q57" s="169" t="b">
        <f t="shared" si="13"/>
        <v>0</v>
      </c>
      <c r="R57" s="170" t="b">
        <f t="shared" ca="1" si="7"/>
        <v>1</v>
      </c>
      <c r="S57" s="166"/>
      <c r="T57" s="166"/>
      <c r="U57" s="171">
        <f t="shared" ca="1" si="8"/>
        <v>0.29166666666666669</v>
      </c>
      <c r="V57" s="172"/>
      <c r="W57" s="173">
        <f t="shared" si="9"/>
        <v>0</v>
      </c>
      <c r="X57" s="174"/>
      <c r="Y57" s="174"/>
      <c r="Z57" s="174"/>
      <c r="AA57" s="117"/>
    </row>
    <row r="58" spans="1:27" ht="13.5" thickBot="1">
      <c r="A58" s="417"/>
      <c r="B58" s="411"/>
      <c r="C58" s="261">
        <f t="shared" si="14"/>
        <v>39682</v>
      </c>
      <c r="D58" s="144"/>
      <c r="E58" s="145"/>
      <c r="F58" s="146"/>
      <c r="G58" s="164">
        <f t="shared" si="10"/>
        <v>0</v>
      </c>
      <c r="H58" s="147"/>
      <c r="I58" s="165"/>
      <c r="J58" s="149" t="str">
        <f t="shared" ca="1" si="0"/>
        <v/>
      </c>
      <c r="K58" s="150" t="b">
        <f t="shared" ca="1" si="12"/>
        <v>0</v>
      </c>
      <c r="L58" s="364">
        <f t="shared" si="2"/>
        <v>8</v>
      </c>
      <c r="M58" s="267">
        <v>39682</v>
      </c>
      <c r="N58" s="166">
        <f t="shared" si="3"/>
        <v>4</v>
      </c>
      <c r="O58" s="167">
        <f t="shared" ca="1" si="4"/>
        <v>1</v>
      </c>
      <c r="P58" s="168">
        <f t="shared" si="5"/>
        <v>1</v>
      </c>
      <c r="Q58" s="169" t="b">
        <f t="shared" si="13"/>
        <v>0</v>
      </c>
      <c r="R58" s="170" t="b">
        <f t="shared" ca="1" si="7"/>
        <v>1</v>
      </c>
      <c r="S58" s="166"/>
      <c r="T58" s="166"/>
      <c r="U58" s="171">
        <f t="shared" ca="1" si="8"/>
        <v>0.29166666666666669</v>
      </c>
      <c r="V58" s="172"/>
      <c r="W58" s="173">
        <f t="shared" si="9"/>
        <v>0</v>
      </c>
      <c r="X58" s="174"/>
      <c r="Y58" s="174"/>
      <c r="Z58" s="174"/>
      <c r="AA58" s="117"/>
    </row>
    <row r="59" spans="1:27" ht="13.5" thickBot="1">
      <c r="A59" s="417"/>
      <c r="B59" s="411"/>
      <c r="C59" s="262">
        <f t="shared" si="14"/>
        <v>39683</v>
      </c>
      <c r="D59" s="175"/>
      <c r="E59" s="176"/>
      <c r="F59" s="177"/>
      <c r="G59" s="178">
        <f t="shared" si="10"/>
        <v>0</v>
      </c>
      <c r="H59" s="279"/>
      <c r="I59" s="179"/>
      <c r="J59" s="180" t="str">
        <f t="shared" ca="1" si="0"/>
        <v/>
      </c>
      <c r="K59" s="181" t="b">
        <f t="shared" ca="1" si="12"/>
        <v>0</v>
      </c>
      <c r="L59" s="365">
        <f t="shared" si="2"/>
        <v>8</v>
      </c>
      <c r="M59" s="271">
        <v>39683</v>
      </c>
      <c r="N59" s="182">
        <f t="shared" si="3"/>
        <v>5</v>
      </c>
      <c r="O59" s="183">
        <f t="shared" ca="1" si="4"/>
        <v>1</v>
      </c>
      <c r="P59" s="184">
        <f t="shared" si="5"/>
        <v>1</v>
      </c>
      <c r="Q59" s="185" t="b">
        <f t="shared" si="13"/>
        <v>0</v>
      </c>
      <c r="R59" s="186" t="b">
        <f t="shared" ca="1" si="7"/>
        <v>1</v>
      </c>
      <c r="S59" s="182"/>
      <c r="T59" s="182"/>
      <c r="U59" s="187"/>
      <c r="V59" s="172"/>
      <c r="W59" s="188">
        <f t="shared" si="9"/>
        <v>0</v>
      </c>
      <c r="X59" s="174"/>
      <c r="Y59" s="174"/>
      <c r="Z59" s="174"/>
      <c r="AA59" s="117"/>
    </row>
    <row r="60" spans="1:27" ht="13.5" thickBot="1">
      <c r="A60" s="418"/>
      <c r="B60" s="412"/>
      <c r="C60" s="263">
        <f t="shared" si="14"/>
        <v>39684</v>
      </c>
      <c r="D60" s="189"/>
      <c r="E60" s="190"/>
      <c r="F60" s="191"/>
      <c r="G60" s="192">
        <f t="shared" si="10"/>
        <v>0</v>
      </c>
      <c r="H60" s="280"/>
      <c r="I60" s="193"/>
      <c r="J60" s="194" t="str">
        <f t="shared" ca="1" si="0"/>
        <v/>
      </c>
      <c r="K60" s="195" t="b">
        <f t="shared" ca="1" si="12"/>
        <v>0</v>
      </c>
      <c r="L60" s="366">
        <f t="shared" si="2"/>
        <v>8</v>
      </c>
      <c r="M60" s="272">
        <v>39684</v>
      </c>
      <c r="N60" s="196">
        <f t="shared" si="3"/>
        <v>6</v>
      </c>
      <c r="O60" s="197">
        <f t="shared" ca="1" si="4"/>
        <v>0</v>
      </c>
      <c r="P60" s="198">
        <f t="shared" si="5"/>
        <v>0</v>
      </c>
      <c r="Q60" s="199" t="b">
        <f t="shared" si="13"/>
        <v>0</v>
      </c>
      <c r="R60" s="200" t="b">
        <f t="shared" ca="1" si="7"/>
        <v>1</v>
      </c>
      <c r="S60" s="196" t="b">
        <f>AND(R60,R54)</f>
        <v>1</v>
      </c>
      <c r="T60" s="196" t="b">
        <f>OR(R60,R54)</f>
        <v>1</v>
      </c>
      <c r="U60" s="201"/>
      <c r="V60" s="202">
        <f ca="1">IF(Sem_entame,SUM(U54:U60),"")</f>
        <v>1.4583333333333335</v>
      </c>
      <c r="W60" s="203">
        <f t="shared" si="9"/>
        <v>0</v>
      </c>
      <c r="X60" s="204">
        <f ca="1">SUM(W54:W60)</f>
        <v>0</v>
      </c>
      <c r="Y60" s="204">
        <f ca="1">IF(Sem_entame,X60-V60,"")</f>
        <v>-1.4583333333333335</v>
      </c>
      <c r="Z60" s="204">
        <f ca="1">IF(Sem_entame,Y60+IF(ISNUMBER(Z53),Z53,0),"")</f>
        <v>-8.0208333333333357</v>
      </c>
      <c r="AA60" s="117"/>
    </row>
    <row r="61" spans="1:27" ht="12.75" customHeight="1" thickBot="1">
      <c r="A61" s="416">
        <f>A54+1</f>
        <v>9</v>
      </c>
      <c r="B61" s="411" t="str">
        <f>IF(L61&lt;&gt;L67,TEXT(C67,"mmm"&amp;"-"),"")&amp;TEXT(C61,"mmm")</f>
        <v>sept-août</v>
      </c>
      <c r="C61" s="260">
        <f t="shared" ref="C61:C67" si="15">C60+1</f>
        <v>39685</v>
      </c>
      <c r="D61" s="144"/>
      <c r="E61" s="145"/>
      <c r="F61" s="146"/>
      <c r="G61" s="147">
        <f t="shared" si="10"/>
        <v>0</v>
      </c>
      <c r="H61" s="147"/>
      <c r="I61" s="148"/>
      <c r="J61" s="207" t="str">
        <f t="shared" ca="1" si="0"/>
        <v/>
      </c>
      <c r="K61" s="150" t="b">
        <f t="shared" ca="1" si="12"/>
        <v>0</v>
      </c>
      <c r="L61" s="362">
        <f t="shared" si="2"/>
        <v>8</v>
      </c>
      <c r="M61" s="266">
        <v>39685</v>
      </c>
      <c r="N61" s="151">
        <f t="shared" si="3"/>
        <v>7</v>
      </c>
      <c r="O61" s="152">
        <f t="shared" ca="1" si="4"/>
        <v>0</v>
      </c>
      <c r="P61" s="153">
        <f t="shared" si="5"/>
        <v>0</v>
      </c>
      <c r="Q61" s="154" t="b">
        <f t="shared" si="13"/>
        <v>0</v>
      </c>
      <c r="R61" s="155" t="b">
        <f t="shared" ca="1" si="7"/>
        <v>1</v>
      </c>
      <c r="S61" s="156"/>
      <c r="T61" s="156"/>
      <c r="U61" s="157">
        <f t="shared" ca="1" si="8"/>
        <v>0.29166666666666669</v>
      </c>
      <c r="V61" s="158"/>
      <c r="W61" s="159">
        <f t="shared" si="9"/>
        <v>0</v>
      </c>
      <c r="X61" s="160"/>
      <c r="Y61" s="160"/>
      <c r="Z61" s="160"/>
      <c r="AA61" s="117"/>
    </row>
    <row r="62" spans="1:27" ht="13.5" thickBot="1">
      <c r="A62" s="417"/>
      <c r="B62" s="411"/>
      <c r="C62" s="261">
        <f t="shared" si="15"/>
        <v>39686</v>
      </c>
      <c r="D62" s="144"/>
      <c r="E62" s="145"/>
      <c r="F62" s="146"/>
      <c r="G62" s="164">
        <f t="shared" si="10"/>
        <v>0</v>
      </c>
      <c r="H62" s="147"/>
      <c r="I62" s="165"/>
      <c r="J62" s="149" t="str">
        <f t="shared" ca="1" si="0"/>
        <v/>
      </c>
      <c r="K62" s="150" t="b">
        <f t="shared" ca="1" si="12"/>
        <v>0</v>
      </c>
      <c r="L62" s="364">
        <f t="shared" si="2"/>
        <v>8</v>
      </c>
      <c r="M62" s="267">
        <v>39686</v>
      </c>
      <c r="N62" s="166">
        <f t="shared" si="3"/>
        <v>1</v>
      </c>
      <c r="O62" s="167">
        <f t="shared" ca="1" si="4"/>
        <v>1</v>
      </c>
      <c r="P62" s="168">
        <f t="shared" si="5"/>
        <v>1</v>
      </c>
      <c r="Q62" s="169" t="b">
        <f t="shared" si="13"/>
        <v>0</v>
      </c>
      <c r="R62" s="170" t="b">
        <f t="shared" ca="1" si="7"/>
        <v>1</v>
      </c>
      <c r="S62" s="166"/>
      <c r="T62" s="166"/>
      <c r="U62" s="171">
        <f t="shared" ca="1" si="8"/>
        <v>0.29166666666666669</v>
      </c>
      <c r="V62" s="172"/>
      <c r="W62" s="173">
        <f t="shared" si="9"/>
        <v>0</v>
      </c>
      <c r="X62" s="174"/>
      <c r="Y62" s="174"/>
      <c r="Z62" s="174"/>
      <c r="AA62" s="117"/>
    </row>
    <row r="63" spans="1:27" ht="13.5" thickBot="1">
      <c r="A63" s="417"/>
      <c r="B63" s="411"/>
      <c r="C63" s="261">
        <f t="shared" si="15"/>
        <v>39687</v>
      </c>
      <c r="D63" s="144"/>
      <c r="E63" s="145"/>
      <c r="F63" s="146"/>
      <c r="G63" s="164">
        <f t="shared" si="10"/>
        <v>0</v>
      </c>
      <c r="H63" s="147"/>
      <c r="I63" s="165"/>
      <c r="J63" s="149" t="str">
        <f t="shared" ca="1" si="0"/>
        <v/>
      </c>
      <c r="K63" s="150" t="b">
        <f t="shared" ca="1" si="12"/>
        <v>0</v>
      </c>
      <c r="L63" s="364">
        <f t="shared" si="2"/>
        <v>8</v>
      </c>
      <c r="M63" s="267">
        <v>39687</v>
      </c>
      <c r="N63" s="166">
        <f t="shared" si="3"/>
        <v>2</v>
      </c>
      <c r="O63" s="167">
        <f t="shared" ca="1" si="4"/>
        <v>1</v>
      </c>
      <c r="P63" s="168">
        <f t="shared" si="5"/>
        <v>1</v>
      </c>
      <c r="Q63" s="169" t="b">
        <f t="shared" si="13"/>
        <v>0</v>
      </c>
      <c r="R63" s="170" t="b">
        <f t="shared" ca="1" si="7"/>
        <v>1</v>
      </c>
      <c r="S63" s="166"/>
      <c r="T63" s="166"/>
      <c r="U63" s="171">
        <f t="shared" ca="1" si="8"/>
        <v>0.29166666666666669</v>
      </c>
      <c r="V63" s="172"/>
      <c r="W63" s="173">
        <f t="shared" si="9"/>
        <v>0</v>
      </c>
      <c r="X63" s="174"/>
      <c r="Y63" s="174"/>
      <c r="Z63" s="174"/>
      <c r="AA63" s="117"/>
    </row>
    <row r="64" spans="1:27" ht="13.5" thickBot="1">
      <c r="A64" s="417"/>
      <c r="B64" s="411"/>
      <c r="C64" s="261">
        <f t="shared" si="15"/>
        <v>39688</v>
      </c>
      <c r="D64" s="144"/>
      <c r="E64" s="145"/>
      <c r="F64" s="146"/>
      <c r="G64" s="164">
        <f t="shared" si="10"/>
        <v>0</v>
      </c>
      <c r="H64" s="147"/>
      <c r="I64" s="165"/>
      <c r="J64" s="149" t="str">
        <f t="shared" ca="1" si="0"/>
        <v/>
      </c>
      <c r="K64" s="150" t="b">
        <f t="shared" ca="1" si="12"/>
        <v>0</v>
      </c>
      <c r="L64" s="364">
        <f t="shared" si="2"/>
        <v>8</v>
      </c>
      <c r="M64" s="267">
        <v>39688</v>
      </c>
      <c r="N64" s="166">
        <f t="shared" si="3"/>
        <v>3</v>
      </c>
      <c r="O64" s="167">
        <f t="shared" ca="1" si="4"/>
        <v>1</v>
      </c>
      <c r="P64" s="168">
        <f t="shared" si="5"/>
        <v>1</v>
      </c>
      <c r="Q64" s="169" t="b">
        <f t="shared" si="13"/>
        <v>0</v>
      </c>
      <c r="R64" s="170" t="b">
        <f t="shared" ca="1" si="7"/>
        <v>1</v>
      </c>
      <c r="S64" s="166"/>
      <c r="T64" s="166"/>
      <c r="U64" s="171">
        <f t="shared" ca="1" si="8"/>
        <v>0.29166666666666669</v>
      </c>
      <c r="V64" s="172"/>
      <c r="W64" s="173">
        <f t="shared" si="9"/>
        <v>0</v>
      </c>
      <c r="X64" s="174"/>
      <c r="Y64" s="174"/>
      <c r="Z64" s="174"/>
      <c r="AA64" s="117"/>
    </row>
    <row r="65" spans="1:27" ht="13.5" thickBot="1">
      <c r="A65" s="417"/>
      <c r="B65" s="411"/>
      <c r="C65" s="261">
        <f t="shared" si="15"/>
        <v>39689</v>
      </c>
      <c r="D65" s="144"/>
      <c r="E65" s="145"/>
      <c r="F65" s="146"/>
      <c r="G65" s="164">
        <f t="shared" si="10"/>
        <v>0</v>
      </c>
      <c r="H65" s="147"/>
      <c r="I65" s="165"/>
      <c r="J65" s="149" t="str">
        <f t="shared" ca="1" si="0"/>
        <v/>
      </c>
      <c r="K65" s="150" t="b">
        <f t="shared" ca="1" si="12"/>
        <v>0</v>
      </c>
      <c r="L65" s="364">
        <f t="shared" si="2"/>
        <v>8</v>
      </c>
      <c r="M65" s="267">
        <v>39689</v>
      </c>
      <c r="N65" s="166">
        <f t="shared" si="3"/>
        <v>4</v>
      </c>
      <c r="O65" s="167">
        <f t="shared" ca="1" si="4"/>
        <v>1</v>
      </c>
      <c r="P65" s="168">
        <f t="shared" si="5"/>
        <v>1</v>
      </c>
      <c r="Q65" s="169" t="b">
        <f t="shared" si="13"/>
        <v>0</v>
      </c>
      <c r="R65" s="170" t="b">
        <f t="shared" ca="1" si="7"/>
        <v>1</v>
      </c>
      <c r="S65" s="166"/>
      <c r="T65" s="166"/>
      <c r="U65" s="171">
        <f t="shared" ca="1" si="8"/>
        <v>0.29166666666666669</v>
      </c>
      <c r="V65" s="172"/>
      <c r="W65" s="173">
        <f t="shared" si="9"/>
        <v>0</v>
      </c>
      <c r="X65" s="174"/>
      <c r="Y65" s="174"/>
      <c r="Z65" s="174"/>
      <c r="AA65" s="117"/>
    </row>
    <row r="66" spans="1:27" ht="13.5" thickBot="1">
      <c r="A66" s="417"/>
      <c r="B66" s="411"/>
      <c r="C66" s="262">
        <f t="shared" si="15"/>
        <v>39690</v>
      </c>
      <c r="D66" s="175"/>
      <c r="E66" s="176"/>
      <c r="F66" s="177"/>
      <c r="G66" s="178">
        <f t="shared" si="10"/>
        <v>0</v>
      </c>
      <c r="H66" s="279"/>
      <c r="I66" s="179"/>
      <c r="J66" s="180" t="str">
        <f t="shared" ca="1" si="0"/>
        <v/>
      </c>
      <c r="K66" s="181" t="b">
        <f t="shared" ca="1" si="12"/>
        <v>0</v>
      </c>
      <c r="L66" s="365">
        <f t="shared" si="2"/>
        <v>8</v>
      </c>
      <c r="M66" s="271">
        <v>39690</v>
      </c>
      <c r="N66" s="182">
        <f t="shared" si="3"/>
        <v>5</v>
      </c>
      <c r="O66" s="183">
        <f t="shared" ca="1" si="4"/>
        <v>1</v>
      </c>
      <c r="P66" s="184">
        <f t="shared" si="5"/>
        <v>1</v>
      </c>
      <c r="Q66" s="185" t="b">
        <f t="shared" si="13"/>
        <v>0</v>
      </c>
      <c r="R66" s="186" t="b">
        <f t="shared" ca="1" si="7"/>
        <v>1</v>
      </c>
      <c r="S66" s="182"/>
      <c r="T66" s="182"/>
      <c r="U66" s="187"/>
      <c r="V66" s="172"/>
      <c r="W66" s="188">
        <f t="shared" si="9"/>
        <v>0</v>
      </c>
      <c r="X66" s="174"/>
      <c r="Y66" s="174"/>
      <c r="Z66" s="174"/>
      <c r="AA66" s="117"/>
    </row>
    <row r="67" spans="1:27" ht="13.5" thickBot="1">
      <c r="A67" s="418"/>
      <c r="B67" s="412"/>
      <c r="C67" s="263">
        <f t="shared" si="15"/>
        <v>39691</v>
      </c>
      <c r="D67" s="189"/>
      <c r="E67" s="190"/>
      <c r="F67" s="191"/>
      <c r="G67" s="192">
        <f t="shared" si="10"/>
        <v>0</v>
      </c>
      <c r="H67" s="280"/>
      <c r="I67" s="193"/>
      <c r="J67" s="194" t="str">
        <f t="shared" ca="1" si="0"/>
        <v/>
      </c>
      <c r="K67" s="195" t="b">
        <f t="shared" ca="1" si="12"/>
        <v>0</v>
      </c>
      <c r="L67" s="366">
        <f t="shared" si="2"/>
        <v>9</v>
      </c>
      <c r="M67" s="272">
        <v>39691</v>
      </c>
      <c r="N67" s="196">
        <f t="shared" si="3"/>
        <v>6</v>
      </c>
      <c r="O67" s="197">
        <f t="shared" ca="1" si="4"/>
        <v>0</v>
      </c>
      <c r="P67" s="198">
        <f t="shared" si="5"/>
        <v>0</v>
      </c>
      <c r="Q67" s="199" t="b">
        <f t="shared" si="13"/>
        <v>0</v>
      </c>
      <c r="R67" s="200" t="b">
        <f t="shared" ca="1" si="7"/>
        <v>1</v>
      </c>
      <c r="S67" s="196" t="b">
        <f>AND(R67,R61)</f>
        <v>1</v>
      </c>
      <c r="T67" s="196" t="b">
        <f>OR(R67,R61)</f>
        <v>1</v>
      </c>
      <c r="U67" s="201"/>
      <c r="V67" s="202">
        <f ca="1">IF(Sem_entame,SUM(U61:U67),"")</f>
        <v>1.4583333333333335</v>
      </c>
      <c r="W67" s="203">
        <f t="shared" si="9"/>
        <v>0</v>
      </c>
      <c r="X67" s="204">
        <f ca="1">SUM(W61:W67)</f>
        <v>0</v>
      </c>
      <c r="Y67" s="204">
        <f ca="1">IF(Sem_entame,X67-V67,"")</f>
        <v>-1.4583333333333335</v>
      </c>
      <c r="Z67" s="204">
        <f ca="1">IF(Sem_entame,Y67+IF(ISNUMBER(Z60),Z60,0),"")</f>
        <v>-9.4791666666666696</v>
      </c>
      <c r="AA67" s="117"/>
    </row>
    <row r="68" spans="1:27" ht="12.75" customHeight="1" thickBot="1">
      <c r="A68" s="416">
        <f>A61+1</f>
        <v>10</v>
      </c>
      <c r="B68" s="411" t="str">
        <f>IF(L68&lt;&gt;L74,TEXT(C74,"mmm"&amp;"-"),"")&amp;TEXT(C68,"mmm")</f>
        <v>sept</v>
      </c>
      <c r="C68" s="260">
        <f>C67+1</f>
        <v>39692</v>
      </c>
      <c r="D68" s="144"/>
      <c r="E68" s="145"/>
      <c r="F68" s="146"/>
      <c r="G68" s="147">
        <f t="shared" si="10"/>
        <v>0</v>
      </c>
      <c r="H68" s="147"/>
      <c r="I68" s="148"/>
      <c r="J68" s="207" t="str">
        <f t="shared" ca="1" si="0"/>
        <v/>
      </c>
      <c r="K68" s="150" t="b">
        <f t="shared" ca="1" si="12"/>
        <v>0</v>
      </c>
      <c r="L68" s="362">
        <f t="shared" si="2"/>
        <v>9</v>
      </c>
      <c r="M68" s="266">
        <v>39692</v>
      </c>
      <c r="N68" s="151">
        <f t="shared" si="3"/>
        <v>7</v>
      </c>
      <c r="O68" s="152">
        <f t="shared" ca="1" si="4"/>
        <v>0</v>
      </c>
      <c r="P68" s="153">
        <f t="shared" si="5"/>
        <v>0</v>
      </c>
      <c r="Q68" s="154" t="b">
        <f t="shared" si="13"/>
        <v>0</v>
      </c>
      <c r="R68" s="155" t="b">
        <f t="shared" ca="1" si="7"/>
        <v>1</v>
      </c>
      <c r="S68" s="156"/>
      <c r="T68" s="156"/>
      <c r="U68" s="157">
        <f t="shared" ca="1" si="8"/>
        <v>0.29166666666666669</v>
      </c>
      <c r="V68" s="158"/>
      <c r="W68" s="159">
        <f t="shared" si="9"/>
        <v>0</v>
      </c>
      <c r="X68" s="160"/>
      <c r="Y68" s="160"/>
      <c r="Z68" s="160"/>
      <c r="AA68" s="117"/>
    </row>
    <row r="69" spans="1:27" ht="13.5" thickBot="1">
      <c r="A69" s="417"/>
      <c r="B69" s="411"/>
      <c r="C69" s="261">
        <f>C68+1</f>
        <v>39693</v>
      </c>
      <c r="D69" s="144"/>
      <c r="E69" s="145"/>
      <c r="F69" s="146"/>
      <c r="G69" s="164">
        <f t="shared" si="10"/>
        <v>0</v>
      </c>
      <c r="H69" s="147"/>
      <c r="I69" s="165"/>
      <c r="J69" s="149" t="str">
        <f t="shared" ref="J69:J132" ca="1" si="16">IF(I69&lt;&gt;"",MATCH(I69,L_Motif_Abscence,0),"")</f>
        <v/>
      </c>
      <c r="K69" s="150" t="b">
        <f t="shared" ca="1" si="12"/>
        <v>0</v>
      </c>
      <c r="L69" s="364">
        <f t="shared" si="2"/>
        <v>9</v>
      </c>
      <c r="M69" s="267">
        <v>39693</v>
      </c>
      <c r="N69" s="166">
        <f t="shared" ref="N69:N132" si="17">WEEKDAY(C69,2)</f>
        <v>1</v>
      </c>
      <c r="O69" s="167">
        <f t="shared" ref="O69:O132" ca="1" si="18">NETWORKDAYS(C69,C69,Fériés)</f>
        <v>1</v>
      </c>
      <c r="P69" s="168">
        <f t="shared" ref="P69:P132" si="19">NETWORKDAYS(C69,C69)</f>
        <v>1</v>
      </c>
      <c r="Q69" s="169" t="b">
        <f t="shared" si="13"/>
        <v>0</v>
      </c>
      <c r="R69" s="170" t="b">
        <f t="shared" ref="R69:R132" ca="1" si="20">AND(C69&gt;=Jour_Debut,C69&lt;=Jour_Fin)</f>
        <v>1</v>
      </c>
      <c r="S69" s="166"/>
      <c r="T69" s="166"/>
      <c r="U69" s="171">
        <f t="shared" ref="U69:U132" ca="1" si="21">IF(bornes,"7:00"*1,0)</f>
        <v>0.29166666666666669</v>
      </c>
      <c r="V69" s="172"/>
      <c r="W69" s="173">
        <f t="shared" ref="W69:W132" si="22">G69+K69</f>
        <v>0</v>
      </c>
      <c r="X69" s="174"/>
      <c r="Y69" s="174"/>
      <c r="Z69" s="174"/>
      <c r="AA69" s="117"/>
    </row>
    <row r="70" spans="1:27" ht="13.5" thickBot="1">
      <c r="A70" s="417"/>
      <c r="B70" s="411"/>
      <c r="C70" s="261">
        <f t="shared" ref="C70:C95" si="23">C69+1</f>
        <v>39694</v>
      </c>
      <c r="D70" s="144"/>
      <c r="E70" s="145"/>
      <c r="F70" s="146"/>
      <c r="G70" s="164">
        <f t="shared" ref="G70:G133" si="24">E70-D70-F70</f>
        <v>0</v>
      </c>
      <c r="H70" s="147"/>
      <c r="I70" s="165"/>
      <c r="J70" s="149" t="str">
        <f t="shared" ca="1" si="16"/>
        <v/>
      </c>
      <c r="K70" s="150" t="b">
        <f t="shared" ca="1" si="12"/>
        <v>0</v>
      </c>
      <c r="L70" s="364">
        <f t="shared" ref="L70:L133" si="25">MONTH(C70)</f>
        <v>9</v>
      </c>
      <c r="M70" s="267">
        <v>39694</v>
      </c>
      <c r="N70" s="166">
        <f t="shared" si="17"/>
        <v>2</v>
      </c>
      <c r="O70" s="167">
        <f t="shared" ca="1" si="18"/>
        <v>1</v>
      </c>
      <c r="P70" s="168">
        <f t="shared" si="19"/>
        <v>1</v>
      </c>
      <c r="Q70" s="169" t="b">
        <f t="shared" si="13"/>
        <v>0</v>
      </c>
      <c r="R70" s="170" t="b">
        <f t="shared" ca="1" si="20"/>
        <v>1</v>
      </c>
      <c r="S70" s="166"/>
      <c r="T70" s="166"/>
      <c r="U70" s="171">
        <f t="shared" ca="1" si="21"/>
        <v>0.29166666666666669</v>
      </c>
      <c r="V70" s="172"/>
      <c r="W70" s="173">
        <f t="shared" si="22"/>
        <v>0</v>
      </c>
      <c r="X70" s="174"/>
      <c r="Y70" s="174"/>
      <c r="Z70" s="174"/>
      <c r="AA70" s="117"/>
    </row>
    <row r="71" spans="1:27" ht="13.5" thickBot="1">
      <c r="A71" s="417"/>
      <c r="B71" s="411"/>
      <c r="C71" s="261">
        <f t="shared" si="23"/>
        <v>39695</v>
      </c>
      <c r="D71" s="144"/>
      <c r="E71" s="145"/>
      <c r="F71" s="146"/>
      <c r="G71" s="164">
        <f t="shared" si="24"/>
        <v>0</v>
      </c>
      <c r="H71" s="147"/>
      <c r="I71" s="165"/>
      <c r="J71" s="149" t="str">
        <f t="shared" ca="1" si="16"/>
        <v/>
      </c>
      <c r="K71" s="150" t="b">
        <f t="shared" ca="1" si="12"/>
        <v>0</v>
      </c>
      <c r="L71" s="364">
        <f t="shared" si="25"/>
        <v>9</v>
      </c>
      <c r="M71" s="267">
        <v>39695</v>
      </c>
      <c r="N71" s="166">
        <f t="shared" si="17"/>
        <v>3</v>
      </c>
      <c r="O71" s="167">
        <f t="shared" ca="1" si="18"/>
        <v>1</v>
      </c>
      <c r="P71" s="168">
        <f t="shared" si="19"/>
        <v>1</v>
      </c>
      <c r="Q71" s="169" t="b">
        <f t="shared" si="13"/>
        <v>0</v>
      </c>
      <c r="R71" s="170" t="b">
        <f t="shared" ca="1" si="20"/>
        <v>1</v>
      </c>
      <c r="S71" s="166"/>
      <c r="T71" s="166"/>
      <c r="U71" s="171">
        <f t="shared" ca="1" si="21"/>
        <v>0.29166666666666669</v>
      </c>
      <c r="V71" s="172"/>
      <c r="W71" s="173">
        <f t="shared" si="22"/>
        <v>0</v>
      </c>
      <c r="X71" s="174"/>
      <c r="Y71" s="174"/>
      <c r="Z71" s="174"/>
      <c r="AA71" s="117"/>
    </row>
    <row r="72" spans="1:27" ht="13.5" thickBot="1">
      <c r="A72" s="417"/>
      <c r="B72" s="411"/>
      <c r="C72" s="261">
        <f t="shared" si="23"/>
        <v>39696</v>
      </c>
      <c r="D72" s="144"/>
      <c r="E72" s="145"/>
      <c r="F72" s="146"/>
      <c r="G72" s="164">
        <f t="shared" si="24"/>
        <v>0</v>
      </c>
      <c r="H72" s="147"/>
      <c r="I72" s="165"/>
      <c r="J72" s="149" t="str">
        <f t="shared" ca="1" si="16"/>
        <v/>
      </c>
      <c r="K72" s="150" t="b">
        <f t="shared" ca="1" si="12"/>
        <v>0</v>
      </c>
      <c r="L72" s="364">
        <f t="shared" si="25"/>
        <v>9</v>
      </c>
      <c r="M72" s="267">
        <v>39696</v>
      </c>
      <c r="N72" s="166">
        <f t="shared" si="17"/>
        <v>4</v>
      </c>
      <c r="O72" s="167">
        <f t="shared" ca="1" si="18"/>
        <v>1</v>
      </c>
      <c r="P72" s="168">
        <f t="shared" si="19"/>
        <v>1</v>
      </c>
      <c r="Q72" s="169" t="b">
        <f t="shared" si="13"/>
        <v>0</v>
      </c>
      <c r="R72" s="170" t="b">
        <f t="shared" ca="1" si="20"/>
        <v>1</v>
      </c>
      <c r="S72" s="166"/>
      <c r="T72" s="166"/>
      <c r="U72" s="171">
        <f t="shared" ca="1" si="21"/>
        <v>0.29166666666666669</v>
      </c>
      <c r="V72" s="172"/>
      <c r="W72" s="173">
        <f t="shared" si="22"/>
        <v>0</v>
      </c>
      <c r="X72" s="174"/>
      <c r="Y72" s="174"/>
      <c r="Z72" s="174"/>
      <c r="AA72" s="117"/>
    </row>
    <row r="73" spans="1:27" ht="13.5" thickBot="1">
      <c r="A73" s="417"/>
      <c r="B73" s="411"/>
      <c r="C73" s="262">
        <f t="shared" si="23"/>
        <v>39697</v>
      </c>
      <c r="D73" s="175"/>
      <c r="E73" s="176"/>
      <c r="F73" s="177"/>
      <c r="G73" s="178">
        <f t="shared" si="24"/>
        <v>0</v>
      </c>
      <c r="H73" s="279"/>
      <c r="I73" s="179"/>
      <c r="J73" s="180" t="str">
        <f t="shared" ca="1" si="16"/>
        <v/>
      </c>
      <c r="K73" s="181" t="b">
        <f t="shared" ca="1" si="12"/>
        <v>0</v>
      </c>
      <c r="L73" s="365">
        <f t="shared" si="25"/>
        <v>9</v>
      </c>
      <c r="M73" s="271">
        <v>39697</v>
      </c>
      <c r="N73" s="182">
        <f t="shared" si="17"/>
        <v>5</v>
      </c>
      <c r="O73" s="183">
        <f t="shared" ca="1" si="18"/>
        <v>1</v>
      </c>
      <c r="P73" s="184">
        <f t="shared" si="19"/>
        <v>1</v>
      </c>
      <c r="Q73" s="185" t="b">
        <f t="shared" si="13"/>
        <v>0</v>
      </c>
      <c r="R73" s="186" t="b">
        <f t="shared" ca="1" si="20"/>
        <v>1</v>
      </c>
      <c r="S73" s="182"/>
      <c r="T73" s="182"/>
      <c r="U73" s="187"/>
      <c r="V73" s="172"/>
      <c r="W73" s="188">
        <f t="shared" si="22"/>
        <v>0</v>
      </c>
      <c r="X73" s="174"/>
      <c r="Y73" s="174"/>
      <c r="Z73" s="174"/>
      <c r="AA73" s="117"/>
    </row>
    <row r="74" spans="1:27" ht="13.5" thickBot="1">
      <c r="A74" s="418"/>
      <c r="B74" s="412"/>
      <c r="C74" s="263">
        <f t="shared" si="23"/>
        <v>39698</v>
      </c>
      <c r="D74" s="189"/>
      <c r="E74" s="190"/>
      <c r="F74" s="191"/>
      <c r="G74" s="192">
        <f t="shared" si="24"/>
        <v>0</v>
      </c>
      <c r="H74" s="280"/>
      <c r="I74" s="193"/>
      <c r="J74" s="194" t="str">
        <f t="shared" ca="1" si="16"/>
        <v/>
      </c>
      <c r="K74" s="195" t="b">
        <f t="shared" ca="1" si="12"/>
        <v>0</v>
      </c>
      <c r="L74" s="366">
        <f t="shared" si="25"/>
        <v>9</v>
      </c>
      <c r="M74" s="272">
        <v>39698</v>
      </c>
      <c r="N74" s="196">
        <f t="shared" si="17"/>
        <v>6</v>
      </c>
      <c r="O74" s="197">
        <f t="shared" ca="1" si="18"/>
        <v>0</v>
      </c>
      <c r="P74" s="198">
        <f t="shared" si="19"/>
        <v>0</v>
      </c>
      <c r="Q74" s="199" t="b">
        <f t="shared" si="13"/>
        <v>0</v>
      </c>
      <c r="R74" s="200" t="b">
        <f t="shared" ca="1" si="20"/>
        <v>1</v>
      </c>
      <c r="S74" s="196" t="b">
        <f>AND(R74,R68)</f>
        <v>1</v>
      </c>
      <c r="T74" s="196" t="b">
        <f>OR(R74,R68)</f>
        <v>1</v>
      </c>
      <c r="U74" s="201"/>
      <c r="V74" s="202">
        <f ca="1">IF(Sem_entame,SUM(U68:U74),"")</f>
        <v>1.4583333333333335</v>
      </c>
      <c r="W74" s="203">
        <f t="shared" si="22"/>
        <v>0</v>
      </c>
      <c r="X74" s="204">
        <f ca="1">SUM(W68:W74)</f>
        <v>0</v>
      </c>
      <c r="Y74" s="204">
        <f ca="1">IF(Sem_entame,X74-V74,"")</f>
        <v>-1.4583333333333335</v>
      </c>
      <c r="Z74" s="204">
        <f ca="1">IF(Sem_entame,Y74+IF(ISNUMBER(Z67),Z67,0),"")</f>
        <v>-10.937500000000004</v>
      </c>
      <c r="AA74" s="117"/>
    </row>
    <row r="75" spans="1:27" ht="12.75" customHeight="1" thickBot="1">
      <c r="A75" s="416">
        <f>A68+1</f>
        <v>11</v>
      </c>
      <c r="B75" s="411" t="str">
        <f>IF(L75&lt;&gt;L81,TEXT(C81,"mmm"&amp;"-"),"")&amp;TEXT(C75,"mmm")</f>
        <v>sept</v>
      </c>
      <c r="C75" s="260">
        <f t="shared" si="23"/>
        <v>39699</v>
      </c>
      <c r="D75" s="144"/>
      <c r="E75" s="145"/>
      <c r="F75" s="146"/>
      <c r="G75" s="147">
        <f t="shared" si="24"/>
        <v>0</v>
      </c>
      <c r="H75" s="147"/>
      <c r="I75" s="148"/>
      <c r="J75" s="207" t="str">
        <f t="shared" ca="1" si="16"/>
        <v/>
      </c>
      <c r="K75" s="150" t="b">
        <f t="shared" ca="1" si="12"/>
        <v>0</v>
      </c>
      <c r="L75" s="362">
        <f t="shared" si="25"/>
        <v>9</v>
      </c>
      <c r="M75" s="266">
        <v>39699</v>
      </c>
      <c r="N75" s="151">
        <f t="shared" si="17"/>
        <v>7</v>
      </c>
      <c r="O75" s="152">
        <f t="shared" ca="1" si="18"/>
        <v>0</v>
      </c>
      <c r="P75" s="153">
        <f t="shared" si="19"/>
        <v>0</v>
      </c>
      <c r="Q75" s="154" t="b">
        <f t="shared" si="13"/>
        <v>0</v>
      </c>
      <c r="R75" s="155" t="b">
        <f t="shared" ca="1" si="20"/>
        <v>1</v>
      </c>
      <c r="S75" s="156"/>
      <c r="T75" s="156"/>
      <c r="U75" s="157">
        <f t="shared" ca="1" si="21"/>
        <v>0.29166666666666669</v>
      </c>
      <c r="V75" s="158"/>
      <c r="W75" s="159">
        <f t="shared" si="22"/>
        <v>0</v>
      </c>
      <c r="X75" s="160"/>
      <c r="Y75" s="160"/>
      <c r="Z75" s="160"/>
      <c r="AA75" s="117"/>
    </row>
    <row r="76" spans="1:27" ht="13.5" thickBot="1">
      <c r="A76" s="417"/>
      <c r="B76" s="411"/>
      <c r="C76" s="261">
        <f t="shared" si="23"/>
        <v>39700</v>
      </c>
      <c r="D76" s="144"/>
      <c r="E76" s="145"/>
      <c r="F76" s="146"/>
      <c r="G76" s="164">
        <f t="shared" si="24"/>
        <v>0</v>
      </c>
      <c r="H76" s="147"/>
      <c r="I76" s="165"/>
      <c r="J76" s="149" t="str">
        <f t="shared" ca="1" si="16"/>
        <v/>
      </c>
      <c r="K76" s="150" t="b">
        <f t="shared" ref="K76:K139" ca="1" si="26">IF(J76&lt;&gt;"",INDEX(H_abscence,J76))</f>
        <v>0</v>
      </c>
      <c r="L76" s="364">
        <f t="shared" si="25"/>
        <v>9</v>
      </c>
      <c r="M76" s="267">
        <v>39700</v>
      </c>
      <c r="N76" s="166">
        <f t="shared" si="17"/>
        <v>1</v>
      </c>
      <c r="O76" s="167">
        <f t="shared" ca="1" si="18"/>
        <v>1</v>
      </c>
      <c r="P76" s="168">
        <f t="shared" si="19"/>
        <v>1</v>
      </c>
      <c r="Q76" s="169" t="b">
        <f t="shared" ref="Q76:Q139" si="27">(O76+P76)=1</f>
        <v>0</v>
      </c>
      <c r="R76" s="170" t="b">
        <f t="shared" ca="1" si="20"/>
        <v>1</v>
      </c>
      <c r="S76" s="166"/>
      <c r="T76" s="166"/>
      <c r="U76" s="171">
        <f t="shared" ca="1" si="21"/>
        <v>0.29166666666666669</v>
      </c>
      <c r="V76" s="172"/>
      <c r="W76" s="173">
        <f t="shared" si="22"/>
        <v>0</v>
      </c>
      <c r="X76" s="174"/>
      <c r="Y76" s="174"/>
      <c r="Z76" s="174"/>
      <c r="AA76" s="117"/>
    </row>
    <row r="77" spans="1:27" ht="13.5" thickBot="1">
      <c r="A77" s="417"/>
      <c r="B77" s="411"/>
      <c r="C77" s="261">
        <f t="shared" si="23"/>
        <v>39701</v>
      </c>
      <c r="D77" s="144"/>
      <c r="E77" s="145"/>
      <c r="F77" s="146"/>
      <c r="G77" s="164">
        <f t="shared" si="24"/>
        <v>0</v>
      </c>
      <c r="H77" s="147"/>
      <c r="I77" s="165"/>
      <c r="J77" s="149" t="str">
        <f t="shared" ca="1" si="16"/>
        <v/>
      </c>
      <c r="K77" s="150" t="b">
        <f t="shared" ca="1" si="26"/>
        <v>0</v>
      </c>
      <c r="L77" s="364">
        <f t="shared" si="25"/>
        <v>9</v>
      </c>
      <c r="M77" s="267">
        <v>39701</v>
      </c>
      <c r="N77" s="166">
        <f t="shared" si="17"/>
        <v>2</v>
      </c>
      <c r="O77" s="167">
        <f t="shared" ca="1" si="18"/>
        <v>1</v>
      </c>
      <c r="P77" s="168">
        <f t="shared" si="19"/>
        <v>1</v>
      </c>
      <c r="Q77" s="169" t="b">
        <f t="shared" si="27"/>
        <v>0</v>
      </c>
      <c r="R77" s="170" t="b">
        <f t="shared" ca="1" si="20"/>
        <v>1</v>
      </c>
      <c r="S77" s="166"/>
      <c r="T77" s="166"/>
      <c r="U77" s="171">
        <f t="shared" ca="1" si="21"/>
        <v>0.29166666666666669</v>
      </c>
      <c r="V77" s="172"/>
      <c r="W77" s="173">
        <f t="shared" si="22"/>
        <v>0</v>
      </c>
      <c r="X77" s="174"/>
      <c r="Y77" s="174"/>
      <c r="Z77" s="174"/>
      <c r="AA77" s="117"/>
    </row>
    <row r="78" spans="1:27" ht="13.5" thickBot="1">
      <c r="A78" s="417"/>
      <c r="B78" s="411"/>
      <c r="C78" s="261">
        <f t="shared" si="23"/>
        <v>39702</v>
      </c>
      <c r="D78" s="144"/>
      <c r="E78" s="145"/>
      <c r="F78" s="146"/>
      <c r="G78" s="164">
        <f t="shared" si="24"/>
        <v>0</v>
      </c>
      <c r="H78" s="147"/>
      <c r="I78" s="165"/>
      <c r="J78" s="149" t="str">
        <f t="shared" ca="1" si="16"/>
        <v/>
      </c>
      <c r="K78" s="150" t="b">
        <f t="shared" ca="1" si="26"/>
        <v>0</v>
      </c>
      <c r="L78" s="364">
        <f t="shared" si="25"/>
        <v>9</v>
      </c>
      <c r="M78" s="267">
        <v>39702</v>
      </c>
      <c r="N78" s="166">
        <f t="shared" si="17"/>
        <v>3</v>
      </c>
      <c r="O78" s="167">
        <f t="shared" ca="1" si="18"/>
        <v>1</v>
      </c>
      <c r="P78" s="168">
        <f t="shared" si="19"/>
        <v>1</v>
      </c>
      <c r="Q78" s="169" t="b">
        <f t="shared" si="27"/>
        <v>0</v>
      </c>
      <c r="R78" s="170" t="b">
        <f t="shared" ca="1" si="20"/>
        <v>1</v>
      </c>
      <c r="S78" s="166"/>
      <c r="T78" s="166"/>
      <c r="U78" s="171">
        <f t="shared" ca="1" si="21"/>
        <v>0.29166666666666669</v>
      </c>
      <c r="V78" s="172"/>
      <c r="W78" s="173">
        <f t="shared" si="22"/>
        <v>0</v>
      </c>
      <c r="X78" s="174"/>
      <c r="Y78" s="174"/>
      <c r="Z78" s="174"/>
      <c r="AA78" s="117"/>
    </row>
    <row r="79" spans="1:27" ht="13.5" thickBot="1">
      <c r="A79" s="417"/>
      <c r="B79" s="411"/>
      <c r="C79" s="261">
        <f t="shared" si="23"/>
        <v>39703</v>
      </c>
      <c r="D79" s="144"/>
      <c r="E79" s="145"/>
      <c r="F79" s="146"/>
      <c r="G79" s="164">
        <f t="shared" si="24"/>
        <v>0</v>
      </c>
      <c r="H79" s="147"/>
      <c r="I79" s="165"/>
      <c r="J79" s="149" t="str">
        <f t="shared" ca="1" si="16"/>
        <v/>
      </c>
      <c r="K79" s="150" t="b">
        <f t="shared" ca="1" si="26"/>
        <v>0</v>
      </c>
      <c r="L79" s="364">
        <f t="shared" si="25"/>
        <v>9</v>
      </c>
      <c r="M79" s="267">
        <v>39703</v>
      </c>
      <c r="N79" s="166">
        <f t="shared" si="17"/>
        <v>4</v>
      </c>
      <c r="O79" s="167">
        <f t="shared" ca="1" si="18"/>
        <v>1</v>
      </c>
      <c r="P79" s="168">
        <f t="shared" si="19"/>
        <v>1</v>
      </c>
      <c r="Q79" s="169" t="b">
        <f t="shared" si="27"/>
        <v>0</v>
      </c>
      <c r="R79" s="170" t="b">
        <f t="shared" ca="1" si="20"/>
        <v>1</v>
      </c>
      <c r="S79" s="166"/>
      <c r="T79" s="166"/>
      <c r="U79" s="171">
        <f t="shared" ca="1" si="21"/>
        <v>0.29166666666666669</v>
      </c>
      <c r="V79" s="172"/>
      <c r="W79" s="173">
        <f t="shared" si="22"/>
        <v>0</v>
      </c>
      <c r="X79" s="174"/>
      <c r="Y79" s="174"/>
      <c r="Z79" s="174"/>
      <c r="AA79" s="117"/>
    </row>
    <row r="80" spans="1:27" ht="13.5" thickBot="1">
      <c r="A80" s="417"/>
      <c r="B80" s="411"/>
      <c r="C80" s="262">
        <f t="shared" si="23"/>
        <v>39704</v>
      </c>
      <c r="D80" s="175"/>
      <c r="E80" s="176"/>
      <c r="F80" s="177"/>
      <c r="G80" s="178">
        <f t="shared" si="24"/>
        <v>0</v>
      </c>
      <c r="H80" s="279"/>
      <c r="I80" s="179"/>
      <c r="J80" s="180" t="str">
        <f t="shared" ca="1" si="16"/>
        <v/>
      </c>
      <c r="K80" s="181" t="b">
        <f t="shared" ca="1" si="26"/>
        <v>0</v>
      </c>
      <c r="L80" s="365">
        <f t="shared" si="25"/>
        <v>9</v>
      </c>
      <c r="M80" s="271">
        <v>39704</v>
      </c>
      <c r="N80" s="182">
        <f t="shared" si="17"/>
        <v>5</v>
      </c>
      <c r="O80" s="183">
        <f t="shared" ca="1" si="18"/>
        <v>1</v>
      </c>
      <c r="P80" s="184">
        <f t="shared" si="19"/>
        <v>1</v>
      </c>
      <c r="Q80" s="185" t="b">
        <f t="shared" si="27"/>
        <v>0</v>
      </c>
      <c r="R80" s="186" t="b">
        <f t="shared" ca="1" si="20"/>
        <v>1</v>
      </c>
      <c r="S80" s="182"/>
      <c r="T80" s="182"/>
      <c r="U80" s="187"/>
      <c r="V80" s="172"/>
      <c r="W80" s="188">
        <f t="shared" si="22"/>
        <v>0</v>
      </c>
      <c r="X80" s="174"/>
      <c r="Y80" s="174"/>
      <c r="Z80" s="174"/>
      <c r="AA80" s="117"/>
    </row>
    <row r="81" spans="1:27" ht="13.5" thickBot="1">
      <c r="A81" s="418"/>
      <c r="B81" s="412"/>
      <c r="C81" s="263">
        <f t="shared" si="23"/>
        <v>39705</v>
      </c>
      <c r="D81" s="189"/>
      <c r="E81" s="190"/>
      <c r="F81" s="191"/>
      <c r="G81" s="192">
        <f t="shared" si="24"/>
        <v>0</v>
      </c>
      <c r="H81" s="280"/>
      <c r="I81" s="193"/>
      <c r="J81" s="194" t="str">
        <f t="shared" ca="1" si="16"/>
        <v/>
      </c>
      <c r="K81" s="195" t="b">
        <f t="shared" ca="1" si="26"/>
        <v>0</v>
      </c>
      <c r="L81" s="366">
        <f t="shared" si="25"/>
        <v>9</v>
      </c>
      <c r="M81" s="272">
        <v>39705</v>
      </c>
      <c r="N81" s="196">
        <f t="shared" si="17"/>
        <v>6</v>
      </c>
      <c r="O81" s="197">
        <f t="shared" ca="1" si="18"/>
        <v>0</v>
      </c>
      <c r="P81" s="198">
        <f t="shared" si="19"/>
        <v>0</v>
      </c>
      <c r="Q81" s="199" t="b">
        <f t="shared" si="27"/>
        <v>0</v>
      </c>
      <c r="R81" s="200" t="b">
        <f t="shared" ca="1" si="20"/>
        <v>1</v>
      </c>
      <c r="S81" s="196" t="b">
        <f>AND(R81,R75)</f>
        <v>1</v>
      </c>
      <c r="T81" s="196" t="b">
        <f>OR(R81,R75)</f>
        <v>1</v>
      </c>
      <c r="U81" s="201"/>
      <c r="V81" s="202">
        <f ca="1">IF(Sem_entame,SUM(U75:U81),"")</f>
        <v>1.4583333333333335</v>
      </c>
      <c r="W81" s="203">
        <f t="shared" si="22"/>
        <v>0</v>
      </c>
      <c r="X81" s="204">
        <f ca="1">SUM(W75:W81)</f>
        <v>0</v>
      </c>
      <c r="Y81" s="204">
        <f ca="1">IF(Sem_entame,X81-V81,"")</f>
        <v>-1.4583333333333335</v>
      </c>
      <c r="Z81" s="204">
        <f ca="1">IF(Sem_entame,Y81+IF(ISNUMBER(Z74),Z74,0),"")</f>
        <v>-12.395833333333337</v>
      </c>
      <c r="AA81" s="117"/>
    </row>
    <row r="82" spans="1:27" ht="12.75" customHeight="1" thickBot="1">
      <c r="A82" s="416">
        <f>A75+1</f>
        <v>12</v>
      </c>
      <c r="B82" s="411" t="str">
        <f>IF(L82&lt;&gt;L88,TEXT(C88,"mmm"&amp;"-"),"")&amp;TEXT(C82,"mmm")</f>
        <v>sept</v>
      </c>
      <c r="C82" s="260">
        <f t="shared" si="23"/>
        <v>39706</v>
      </c>
      <c r="D82" s="144"/>
      <c r="E82" s="145"/>
      <c r="F82" s="146"/>
      <c r="G82" s="147">
        <f t="shared" si="24"/>
        <v>0</v>
      </c>
      <c r="H82" s="147"/>
      <c r="I82" s="148"/>
      <c r="J82" s="207" t="str">
        <f t="shared" ca="1" si="16"/>
        <v/>
      </c>
      <c r="K82" s="150" t="b">
        <f t="shared" ca="1" si="26"/>
        <v>0</v>
      </c>
      <c r="L82" s="362">
        <f t="shared" si="25"/>
        <v>9</v>
      </c>
      <c r="M82" s="266">
        <v>39706</v>
      </c>
      <c r="N82" s="151">
        <f t="shared" si="17"/>
        <v>7</v>
      </c>
      <c r="O82" s="152">
        <f t="shared" ca="1" si="18"/>
        <v>0</v>
      </c>
      <c r="P82" s="153">
        <f t="shared" si="19"/>
        <v>0</v>
      </c>
      <c r="Q82" s="154" t="b">
        <f t="shared" si="27"/>
        <v>0</v>
      </c>
      <c r="R82" s="155" t="b">
        <f t="shared" ca="1" si="20"/>
        <v>1</v>
      </c>
      <c r="S82" s="156"/>
      <c r="T82" s="156"/>
      <c r="U82" s="157">
        <f t="shared" ca="1" si="21"/>
        <v>0.29166666666666669</v>
      </c>
      <c r="V82" s="158"/>
      <c r="W82" s="159">
        <f t="shared" si="22"/>
        <v>0</v>
      </c>
      <c r="X82" s="160"/>
      <c r="Y82" s="160"/>
      <c r="Z82" s="160"/>
      <c r="AA82" s="117"/>
    </row>
    <row r="83" spans="1:27" ht="13.5" thickBot="1">
      <c r="A83" s="417"/>
      <c r="B83" s="411"/>
      <c r="C83" s="261">
        <f t="shared" si="23"/>
        <v>39707</v>
      </c>
      <c r="D83" s="144"/>
      <c r="E83" s="145"/>
      <c r="F83" s="146"/>
      <c r="G83" s="164">
        <f t="shared" si="24"/>
        <v>0</v>
      </c>
      <c r="H83" s="147"/>
      <c r="I83" s="165"/>
      <c r="J83" s="149" t="str">
        <f t="shared" ca="1" si="16"/>
        <v/>
      </c>
      <c r="K83" s="150" t="b">
        <f t="shared" ca="1" si="26"/>
        <v>0</v>
      </c>
      <c r="L83" s="364">
        <f t="shared" si="25"/>
        <v>9</v>
      </c>
      <c r="M83" s="267">
        <v>39707</v>
      </c>
      <c r="N83" s="166">
        <f t="shared" si="17"/>
        <v>1</v>
      </c>
      <c r="O83" s="167">
        <f t="shared" ca="1" si="18"/>
        <v>1</v>
      </c>
      <c r="P83" s="168">
        <f t="shared" si="19"/>
        <v>1</v>
      </c>
      <c r="Q83" s="169" t="b">
        <f t="shared" si="27"/>
        <v>0</v>
      </c>
      <c r="R83" s="170" t="b">
        <f t="shared" ca="1" si="20"/>
        <v>1</v>
      </c>
      <c r="S83" s="166"/>
      <c r="T83" s="166"/>
      <c r="U83" s="171">
        <f t="shared" ca="1" si="21"/>
        <v>0.29166666666666669</v>
      </c>
      <c r="V83" s="172"/>
      <c r="W83" s="173">
        <f t="shared" si="22"/>
        <v>0</v>
      </c>
      <c r="X83" s="174"/>
      <c r="Y83" s="174"/>
      <c r="Z83" s="174"/>
      <c r="AA83" s="117"/>
    </row>
    <row r="84" spans="1:27" ht="13.5" thickBot="1">
      <c r="A84" s="417"/>
      <c r="B84" s="411"/>
      <c r="C84" s="261">
        <f t="shared" si="23"/>
        <v>39708</v>
      </c>
      <c r="D84" s="144"/>
      <c r="E84" s="145"/>
      <c r="F84" s="146"/>
      <c r="G84" s="164">
        <f t="shared" si="24"/>
        <v>0</v>
      </c>
      <c r="H84" s="147"/>
      <c r="I84" s="165"/>
      <c r="J84" s="149" t="str">
        <f t="shared" ca="1" si="16"/>
        <v/>
      </c>
      <c r="K84" s="150" t="b">
        <f t="shared" ca="1" si="26"/>
        <v>0</v>
      </c>
      <c r="L84" s="364">
        <f t="shared" si="25"/>
        <v>9</v>
      </c>
      <c r="M84" s="267">
        <v>39708</v>
      </c>
      <c r="N84" s="166">
        <f t="shared" si="17"/>
        <v>2</v>
      </c>
      <c r="O84" s="167">
        <f t="shared" ca="1" si="18"/>
        <v>1</v>
      </c>
      <c r="P84" s="168">
        <f t="shared" si="19"/>
        <v>1</v>
      </c>
      <c r="Q84" s="169" t="b">
        <f t="shared" si="27"/>
        <v>0</v>
      </c>
      <c r="R84" s="170" t="b">
        <f t="shared" ca="1" si="20"/>
        <v>1</v>
      </c>
      <c r="S84" s="166"/>
      <c r="T84" s="166"/>
      <c r="U84" s="171">
        <f t="shared" ca="1" si="21"/>
        <v>0.29166666666666669</v>
      </c>
      <c r="V84" s="172"/>
      <c r="W84" s="173">
        <f t="shared" si="22"/>
        <v>0</v>
      </c>
      <c r="X84" s="174"/>
      <c r="Y84" s="174"/>
      <c r="Z84" s="174"/>
      <c r="AA84" s="117"/>
    </row>
    <row r="85" spans="1:27" ht="13.5" thickBot="1">
      <c r="A85" s="417"/>
      <c r="B85" s="411"/>
      <c r="C85" s="261">
        <f t="shared" si="23"/>
        <v>39709</v>
      </c>
      <c r="D85" s="144"/>
      <c r="E85" s="145"/>
      <c r="F85" s="146"/>
      <c r="G85" s="164">
        <f t="shared" si="24"/>
        <v>0</v>
      </c>
      <c r="H85" s="147"/>
      <c r="I85" s="165"/>
      <c r="J85" s="149" t="str">
        <f t="shared" ca="1" si="16"/>
        <v/>
      </c>
      <c r="K85" s="150" t="b">
        <f t="shared" ca="1" si="26"/>
        <v>0</v>
      </c>
      <c r="L85" s="364">
        <f t="shared" si="25"/>
        <v>9</v>
      </c>
      <c r="M85" s="267">
        <v>39709</v>
      </c>
      <c r="N85" s="166">
        <f t="shared" si="17"/>
        <v>3</v>
      </c>
      <c r="O85" s="167">
        <f t="shared" ca="1" si="18"/>
        <v>1</v>
      </c>
      <c r="P85" s="168">
        <f t="shared" si="19"/>
        <v>1</v>
      </c>
      <c r="Q85" s="169" t="b">
        <f t="shared" si="27"/>
        <v>0</v>
      </c>
      <c r="R85" s="170" t="b">
        <f t="shared" ca="1" si="20"/>
        <v>1</v>
      </c>
      <c r="S85" s="166"/>
      <c r="T85" s="166"/>
      <c r="U85" s="171">
        <f t="shared" ca="1" si="21"/>
        <v>0.29166666666666669</v>
      </c>
      <c r="V85" s="172"/>
      <c r="W85" s="173">
        <f t="shared" si="22"/>
        <v>0</v>
      </c>
      <c r="X85" s="174"/>
      <c r="Y85" s="174"/>
      <c r="Z85" s="174"/>
      <c r="AA85" s="117"/>
    </row>
    <row r="86" spans="1:27" ht="13.5" thickBot="1">
      <c r="A86" s="417"/>
      <c r="B86" s="411"/>
      <c r="C86" s="261">
        <f t="shared" si="23"/>
        <v>39710</v>
      </c>
      <c r="D86" s="144"/>
      <c r="E86" s="145"/>
      <c r="F86" s="146"/>
      <c r="G86" s="164">
        <f t="shared" si="24"/>
        <v>0</v>
      </c>
      <c r="H86" s="147"/>
      <c r="I86" s="165"/>
      <c r="J86" s="149" t="str">
        <f t="shared" ca="1" si="16"/>
        <v/>
      </c>
      <c r="K86" s="150" t="b">
        <f t="shared" ca="1" si="26"/>
        <v>0</v>
      </c>
      <c r="L86" s="364">
        <f t="shared" si="25"/>
        <v>9</v>
      </c>
      <c r="M86" s="267">
        <v>39710</v>
      </c>
      <c r="N86" s="166">
        <f t="shared" si="17"/>
        <v>4</v>
      </c>
      <c r="O86" s="167">
        <f t="shared" ca="1" si="18"/>
        <v>1</v>
      </c>
      <c r="P86" s="168">
        <f t="shared" si="19"/>
        <v>1</v>
      </c>
      <c r="Q86" s="169" t="b">
        <f t="shared" si="27"/>
        <v>0</v>
      </c>
      <c r="R86" s="170" t="b">
        <f t="shared" ca="1" si="20"/>
        <v>1</v>
      </c>
      <c r="S86" s="166"/>
      <c r="T86" s="166"/>
      <c r="U86" s="171">
        <f t="shared" ca="1" si="21"/>
        <v>0.29166666666666669</v>
      </c>
      <c r="V86" s="172"/>
      <c r="W86" s="173">
        <f t="shared" si="22"/>
        <v>0</v>
      </c>
      <c r="X86" s="174"/>
      <c r="Y86" s="174"/>
      <c r="Z86" s="174"/>
      <c r="AA86" s="117"/>
    </row>
    <row r="87" spans="1:27" ht="13.5" thickBot="1">
      <c r="A87" s="417"/>
      <c r="B87" s="411"/>
      <c r="C87" s="262">
        <f t="shared" si="23"/>
        <v>39711</v>
      </c>
      <c r="D87" s="175"/>
      <c r="E87" s="176"/>
      <c r="F87" s="177"/>
      <c r="G87" s="178">
        <f t="shared" si="24"/>
        <v>0</v>
      </c>
      <c r="H87" s="279"/>
      <c r="I87" s="179"/>
      <c r="J87" s="180" t="str">
        <f t="shared" ca="1" si="16"/>
        <v/>
      </c>
      <c r="K87" s="181" t="b">
        <f t="shared" ca="1" si="26"/>
        <v>0</v>
      </c>
      <c r="L87" s="365">
        <f t="shared" si="25"/>
        <v>9</v>
      </c>
      <c r="M87" s="271">
        <v>39711</v>
      </c>
      <c r="N87" s="182">
        <f t="shared" si="17"/>
        <v>5</v>
      </c>
      <c r="O87" s="183">
        <f t="shared" ca="1" si="18"/>
        <v>1</v>
      </c>
      <c r="P87" s="184">
        <f t="shared" si="19"/>
        <v>1</v>
      </c>
      <c r="Q87" s="185" t="b">
        <f t="shared" si="27"/>
        <v>0</v>
      </c>
      <c r="R87" s="186" t="b">
        <f t="shared" ca="1" si="20"/>
        <v>1</v>
      </c>
      <c r="S87" s="182"/>
      <c r="T87" s="182"/>
      <c r="U87" s="187"/>
      <c r="V87" s="172"/>
      <c r="W87" s="188">
        <f t="shared" si="22"/>
        <v>0</v>
      </c>
      <c r="X87" s="174"/>
      <c r="Y87" s="174"/>
      <c r="Z87" s="174"/>
      <c r="AA87" s="117"/>
    </row>
    <row r="88" spans="1:27" ht="13.5" thickBot="1">
      <c r="A88" s="418"/>
      <c r="B88" s="412"/>
      <c r="C88" s="263">
        <f t="shared" si="23"/>
        <v>39712</v>
      </c>
      <c r="D88" s="189"/>
      <c r="E88" s="190"/>
      <c r="F88" s="191"/>
      <c r="G88" s="192">
        <f t="shared" si="24"/>
        <v>0</v>
      </c>
      <c r="H88" s="280"/>
      <c r="I88" s="193"/>
      <c r="J88" s="194" t="str">
        <f t="shared" ca="1" si="16"/>
        <v/>
      </c>
      <c r="K88" s="195" t="b">
        <f t="shared" ca="1" si="26"/>
        <v>0</v>
      </c>
      <c r="L88" s="366">
        <f t="shared" si="25"/>
        <v>9</v>
      </c>
      <c r="M88" s="272">
        <v>39712</v>
      </c>
      <c r="N88" s="196">
        <f t="shared" si="17"/>
        <v>6</v>
      </c>
      <c r="O88" s="197">
        <f t="shared" ca="1" si="18"/>
        <v>0</v>
      </c>
      <c r="P88" s="198">
        <f t="shared" si="19"/>
        <v>0</v>
      </c>
      <c r="Q88" s="199" t="b">
        <f t="shared" si="27"/>
        <v>0</v>
      </c>
      <c r="R88" s="200" t="b">
        <f t="shared" ca="1" si="20"/>
        <v>1</v>
      </c>
      <c r="S88" s="196" t="b">
        <f>AND(R88,R82)</f>
        <v>1</v>
      </c>
      <c r="T88" s="196" t="b">
        <f>OR(R88,R82)</f>
        <v>1</v>
      </c>
      <c r="U88" s="201"/>
      <c r="V88" s="202">
        <f ca="1">IF(Sem_entame,SUM(U82:U88),"")</f>
        <v>1.4583333333333335</v>
      </c>
      <c r="W88" s="203">
        <f t="shared" si="22"/>
        <v>0</v>
      </c>
      <c r="X88" s="204">
        <f ca="1">SUM(W82:W88)</f>
        <v>0</v>
      </c>
      <c r="Y88" s="204">
        <f ca="1">IF(Sem_entame,X88-V88,"")</f>
        <v>-1.4583333333333335</v>
      </c>
      <c r="Z88" s="204">
        <f ca="1">IF(Sem_entame,Y88+IF(ISNUMBER(Z81),Z81,0),"")</f>
        <v>-13.854166666666671</v>
      </c>
      <c r="AA88" s="117"/>
    </row>
    <row r="89" spans="1:27" ht="12.75" customHeight="1" thickBot="1">
      <c r="A89" s="416">
        <f>A82+1</f>
        <v>13</v>
      </c>
      <c r="B89" s="411" t="str">
        <f>IF(L89&lt;&gt;L95,TEXT(C95,"mmm"&amp;"-"),"")&amp;TEXT(C89,"mmm")</f>
        <v>sept</v>
      </c>
      <c r="C89" s="260">
        <f t="shared" si="23"/>
        <v>39713</v>
      </c>
      <c r="D89" s="144"/>
      <c r="E89" s="145"/>
      <c r="F89" s="146"/>
      <c r="G89" s="147">
        <f t="shared" si="24"/>
        <v>0</v>
      </c>
      <c r="H89" s="147"/>
      <c r="I89" s="148"/>
      <c r="J89" s="207" t="str">
        <f t="shared" ca="1" si="16"/>
        <v/>
      </c>
      <c r="K89" s="150" t="b">
        <f t="shared" ca="1" si="26"/>
        <v>0</v>
      </c>
      <c r="L89" s="362">
        <f t="shared" si="25"/>
        <v>9</v>
      </c>
      <c r="M89" s="266">
        <v>39713</v>
      </c>
      <c r="N89" s="151">
        <f t="shared" si="17"/>
        <v>7</v>
      </c>
      <c r="O89" s="152">
        <f t="shared" ca="1" si="18"/>
        <v>0</v>
      </c>
      <c r="P89" s="153">
        <f t="shared" si="19"/>
        <v>0</v>
      </c>
      <c r="Q89" s="154" t="b">
        <f t="shared" si="27"/>
        <v>0</v>
      </c>
      <c r="R89" s="155" t="b">
        <f t="shared" ca="1" si="20"/>
        <v>1</v>
      </c>
      <c r="S89" s="156"/>
      <c r="T89" s="156"/>
      <c r="U89" s="157">
        <f t="shared" ca="1" si="21"/>
        <v>0.29166666666666669</v>
      </c>
      <c r="V89" s="158"/>
      <c r="W89" s="159">
        <f t="shared" si="22"/>
        <v>0</v>
      </c>
      <c r="X89" s="160"/>
      <c r="Y89" s="160"/>
      <c r="Z89" s="160"/>
      <c r="AA89" s="117"/>
    </row>
    <row r="90" spans="1:27" ht="13.5" thickBot="1">
      <c r="A90" s="417"/>
      <c r="B90" s="411"/>
      <c r="C90" s="261">
        <f t="shared" si="23"/>
        <v>39714</v>
      </c>
      <c r="D90" s="144"/>
      <c r="E90" s="145"/>
      <c r="F90" s="146"/>
      <c r="G90" s="164">
        <f t="shared" si="24"/>
        <v>0</v>
      </c>
      <c r="H90" s="147"/>
      <c r="I90" s="165"/>
      <c r="J90" s="149" t="str">
        <f t="shared" ca="1" si="16"/>
        <v/>
      </c>
      <c r="K90" s="150" t="b">
        <f t="shared" ca="1" si="26"/>
        <v>0</v>
      </c>
      <c r="L90" s="364">
        <f t="shared" si="25"/>
        <v>9</v>
      </c>
      <c r="M90" s="267">
        <v>39714</v>
      </c>
      <c r="N90" s="166">
        <f t="shared" si="17"/>
        <v>1</v>
      </c>
      <c r="O90" s="167">
        <f t="shared" ca="1" si="18"/>
        <v>1</v>
      </c>
      <c r="P90" s="168">
        <f t="shared" si="19"/>
        <v>1</v>
      </c>
      <c r="Q90" s="169" t="b">
        <f t="shared" si="27"/>
        <v>0</v>
      </c>
      <c r="R90" s="170" t="b">
        <f t="shared" ca="1" si="20"/>
        <v>1</v>
      </c>
      <c r="S90" s="166"/>
      <c r="T90" s="166"/>
      <c r="U90" s="171">
        <f t="shared" ca="1" si="21"/>
        <v>0.29166666666666669</v>
      </c>
      <c r="V90" s="172"/>
      <c r="W90" s="173">
        <f t="shared" si="22"/>
        <v>0</v>
      </c>
      <c r="X90" s="174"/>
      <c r="Y90" s="174"/>
      <c r="Z90" s="174"/>
      <c r="AA90" s="117"/>
    </row>
    <row r="91" spans="1:27" ht="13.5" thickBot="1">
      <c r="A91" s="417"/>
      <c r="B91" s="411"/>
      <c r="C91" s="261">
        <f t="shared" si="23"/>
        <v>39715</v>
      </c>
      <c r="D91" s="144"/>
      <c r="E91" s="145"/>
      <c r="F91" s="146"/>
      <c r="G91" s="164">
        <f t="shared" si="24"/>
        <v>0</v>
      </c>
      <c r="H91" s="147"/>
      <c r="I91" s="165"/>
      <c r="J91" s="149" t="str">
        <f t="shared" ca="1" si="16"/>
        <v/>
      </c>
      <c r="K91" s="150" t="b">
        <f t="shared" ca="1" si="26"/>
        <v>0</v>
      </c>
      <c r="L91" s="364">
        <f t="shared" si="25"/>
        <v>9</v>
      </c>
      <c r="M91" s="267">
        <v>39715</v>
      </c>
      <c r="N91" s="166">
        <f t="shared" si="17"/>
        <v>2</v>
      </c>
      <c r="O91" s="167">
        <f t="shared" ca="1" si="18"/>
        <v>1</v>
      </c>
      <c r="P91" s="168">
        <f t="shared" si="19"/>
        <v>1</v>
      </c>
      <c r="Q91" s="169" t="b">
        <f t="shared" si="27"/>
        <v>0</v>
      </c>
      <c r="R91" s="170" t="b">
        <f t="shared" ca="1" si="20"/>
        <v>1</v>
      </c>
      <c r="S91" s="166"/>
      <c r="T91" s="166"/>
      <c r="U91" s="171">
        <f t="shared" ca="1" si="21"/>
        <v>0.29166666666666669</v>
      </c>
      <c r="V91" s="172"/>
      <c r="W91" s="173">
        <f t="shared" si="22"/>
        <v>0</v>
      </c>
      <c r="X91" s="174"/>
      <c r="Y91" s="174"/>
      <c r="Z91" s="174"/>
      <c r="AA91" s="117"/>
    </row>
    <row r="92" spans="1:27" ht="13.5" thickBot="1">
      <c r="A92" s="417"/>
      <c r="B92" s="411"/>
      <c r="C92" s="261">
        <f t="shared" si="23"/>
        <v>39716</v>
      </c>
      <c r="D92" s="144"/>
      <c r="E92" s="145"/>
      <c r="F92" s="146"/>
      <c r="G92" s="164">
        <f t="shared" si="24"/>
        <v>0</v>
      </c>
      <c r="H92" s="147"/>
      <c r="I92" s="165"/>
      <c r="J92" s="149" t="str">
        <f t="shared" ca="1" si="16"/>
        <v/>
      </c>
      <c r="K92" s="150" t="b">
        <f t="shared" ca="1" si="26"/>
        <v>0</v>
      </c>
      <c r="L92" s="364">
        <f t="shared" si="25"/>
        <v>9</v>
      </c>
      <c r="M92" s="267">
        <v>39716</v>
      </c>
      <c r="N92" s="166">
        <f t="shared" si="17"/>
        <v>3</v>
      </c>
      <c r="O92" s="167">
        <f t="shared" ca="1" si="18"/>
        <v>1</v>
      </c>
      <c r="P92" s="168">
        <f t="shared" si="19"/>
        <v>1</v>
      </c>
      <c r="Q92" s="169" t="b">
        <f t="shared" si="27"/>
        <v>0</v>
      </c>
      <c r="R92" s="170" t="b">
        <f t="shared" ca="1" si="20"/>
        <v>1</v>
      </c>
      <c r="S92" s="166"/>
      <c r="T92" s="166"/>
      <c r="U92" s="171">
        <f t="shared" ca="1" si="21"/>
        <v>0.29166666666666669</v>
      </c>
      <c r="V92" s="172"/>
      <c r="W92" s="173">
        <f t="shared" si="22"/>
        <v>0</v>
      </c>
      <c r="X92" s="174"/>
      <c r="Y92" s="174"/>
      <c r="Z92" s="174"/>
      <c r="AA92" s="117"/>
    </row>
    <row r="93" spans="1:27" ht="13.5" thickBot="1">
      <c r="A93" s="417"/>
      <c r="B93" s="411"/>
      <c r="C93" s="261">
        <f t="shared" si="23"/>
        <v>39717</v>
      </c>
      <c r="D93" s="144"/>
      <c r="E93" s="145"/>
      <c r="F93" s="146"/>
      <c r="G93" s="164">
        <f t="shared" si="24"/>
        <v>0</v>
      </c>
      <c r="H93" s="147"/>
      <c r="I93" s="165"/>
      <c r="J93" s="149" t="str">
        <f t="shared" ca="1" si="16"/>
        <v/>
      </c>
      <c r="K93" s="150" t="b">
        <f t="shared" ca="1" si="26"/>
        <v>0</v>
      </c>
      <c r="L93" s="364">
        <f t="shared" si="25"/>
        <v>9</v>
      </c>
      <c r="M93" s="267">
        <v>39717</v>
      </c>
      <c r="N93" s="166">
        <f t="shared" si="17"/>
        <v>4</v>
      </c>
      <c r="O93" s="167">
        <f t="shared" ca="1" si="18"/>
        <v>1</v>
      </c>
      <c r="P93" s="168">
        <f t="shared" si="19"/>
        <v>1</v>
      </c>
      <c r="Q93" s="169" t="b">
        <f t="shared" si="27"/>
        <v>0</v>
      </c>
      <c r="R93" s="170" t="b">
        <f t="shared" ca="1" si="20"/>
        <v>1</v>
      </c>
      <c r="S93" s="166"/>
      <c r="T93" s="166"/>
      <c r="U93" s="171">
        <f t="shared" ca="1" si="21"/>
        <v>0.29166666666666669</v>
      </c>
      <c r="V93" s="172"/>
      <c r="W93" s="173">
        <f t="shared" si="22"/>
        <v>0</v>
      </c>
      <c r="X93" s="174"/>
      <c r="Y93" s="174"/>
      <c r="Z93" s="174"/>
      <c r="AA93" s="117"/>
    </row>
    <row r="94" spans="1:27" ht="13.5" thickBot="1">
      <c r="A94" s="417"/>
      <c r="B94" s="411"/>
      <c r="C94" s="262">
        <f t="shared" si="23"/>
        <v>39718</v>
      </c>
      <c r="D94" s="175"/>
      <c r="E94" s="176"/>
      <c r="F94" s="177"/>
      <c r="G94" s="178">
        <f t="shared" si="24"/>
        <v>0</v>
      </c>
      <c r="H94" s="279"/>
      <c r="I94" s="179"/>
      <c r="J94" s="180" t="str">
        <f t="shared" ca="1" si="16"/>
        <v/>
      </c>
      <c r="K94" s="181" t="b">
        <f t="shared" ca="1" si="26"/>
        <v>0</v>
      </c>
      <c r="L94" s="365">
        <f t="shared" si="25"/>
        <v>9</v>
      </c>
      <c r="M94" s="271">
        <v>39718</v>
      </c>
      <c r="N94" s="182">
        <f t="shared" si="17"/>
        <v>5</v>
      </c>
      <c r="O94" s="183">
        <f t="shared" ca="1" si="18"/>
        <v>1</v>
      </c>
      <c r="P94" s="184">
        <f t="shared" si="19"/>
        <v>1</v>
      </c>
      <c r="Q94" s="185" t="b">
        <f t="shared" si="27"/>
        <v>0</v>
      </c>
      <c r="R94" s="186" t="b">
        <f t="shared" ca="1" si="20"/>
        <v>1</v>
      </c>
      <c r="S94" s="182"/>
      <c r="T94" s="182"/>
      <c r="U94" s="187"/>
      <c r="V94" s="172"/>
      <c r="W94" s="188">
        <f t="shared" si="22"/>
        <v>0</v>
      </c>
      <c r="X94" s="174"/>
      <c r="Y94" s="174"/>
      <c r="Z94" s="174"/>
      <c r="AA94" s="117"/>
    </row>
    <row r="95" spans="1:27" ht="13.5" thickBot="1">
      <c r="A95" s="418"/>
      <c r="B95" s="412"/>
      <c r="C95" s="263">
        <f t="shared" si="23"/>
        <v>39719</v>
      </c>
      <c r="D95" s="189"/>
      <c r="E95" s="190"/>
      <c r="F95" s="191"/>
      <c r="G95" s="192">
        <f t="shared" si="24"/>
        <v>0</v>
      </c>
      <c r="H95" s="280"/>
      <c r="I95" s="193"/>
      <c r="J95" s="194" t="str">
        <f t="shared" ca="1" si="16"/>
        <v/>
      </c>
      <c r="K95" s="195" t="b">
        <f t="shared" ca="1" si="26"/>
        <v>0</v>
      </c>
      <c r="L95" s="366">
        <f t="shared" si="25"/>
        <v>9</v>
      </c>
      <c r="M95" s="272">
        <v>39719</v>
      </c>
      <c r="N95" s="196">
        <f t="shared" si="17"/>
        <v>6</v>
      </c>
      <c r="O95" s="197">
        <f t="shared" ca="1" si="18"/>
        <v>0</v>
      </c>
      <c r="P95" s="198">
        <f t="shared" si="19"/>
        <v>0</v>
      </c>
      <c r="Q95" s="199" t="b">
        <f t="shared" si="27"/>
        <v>0</v>
      </c>
      <c r="R95" s="200" t="b">
        <f t="shared" ca="1" si="20"/>
        <v>1</v>
      </c>
      <c r="S95" s="196" t="b">
        <f>AND(R95,R89)</f>
        <v>1</v>
      </c>
      <c r="T95" s="196" t="b">
        <f>OR(R95,R89)</f>
        <v>1</v>
      </c>
      <c r="U95" s="201"/>
      <c r="V95" s="202">
        <f ca="1">IF(Sem_entame,SUM(U89:U95),"")</f>
        <v>1.4583333333333335</v>
      </c>
      <c r="W95" s="203">
        <f t="shared" si="22"/>
        <v>0</v>
      </c>
      <c r="X95" s="204">
        <f ca="1">SUM(W89:W95)</f>
        <v>0</v>
      </c>
      <c r="Y95" s="204">
        <f ca="1">IF(Sem_entame,X95-V95,"")</f>
        <v>-1.4583333333333335</v>
      </c>
      <c r="Z95" s="204">
        <f ca="1">IF(Sem_entame,Y95+IF(ISNUMBER(Z88),Z88,0),"")</f>
        <v>-15.312500000000005</v>
      </c>
      <c r="AA95" s="117"/>
    </row>
    <row r="96" spans="1:27" ht="12.75" customHeight="1" thickBot="1">
      <c r="A96" s="416">
        <f>A89+1</f>
        <v>14</v>
      </c>
      <c r="B96" s="411" t="str">
        <f>IF(L96&lt;&gt;L102,TEXT(C102,"mmm"&amp;"-"),"")&amp;TEXT(C96,"mmm")</f>
        <v>oct-sept</v>
      </c>
      <c r="C96" s="260">
        <f>C95+1</f>
        <v>39720</v>
      </c>
      <c r="D96" s="144"/>
      <c r="E96" s="145"/>
      <c r="F96" s="146"/>
      <c r="G96" s="147">
        <f t="shared" si="24"/>
        <v>0</v>
      </c>
      <c r="H96" s="147"/>
      <c r="I96" s="148"/>
      <c r="J96" s="207" t="str">
        <f t="shared" ca="1" si="16"/>
        <v/>
      </c>
      <c r="K96" s="150" t="b">
        <f t="shared" ca="1" si="26"/>
        <v>0</v>
      </c>
      <c r="L96" s="362">
        <f t="shared" si="25"/>
        <v>9</v>
      </c>
      <c r="M96" s="266">
        <v>39720</v>
      </c>
      <c r="N96" s="151">
        <f t="shared" si="17"/>
        <v>7</v>
      </c>
      <c r="O96" s="152">
        <f t="shared" ca="1" si="18"/>
        <v>0</v>
      </c>
      <c r="P96" s="153">
        <f t="shared" si="19"/>
        <v>0</v>
      </c>
      <c r="Q96" s="154" t="b">
        <f t="shared" si="27"/>
        <v>0</v>
      </c>
      <c r="R96" s="155" t="b">
        <f t="shared" ca="1" si="20"/>
        <v>1</v>
      </c>
      <c r="S96" s="156"/>
      <c r="T96" s="156"/>
      <c r="U96" s="157">
        <f t="shared" ca="1" si="21"/>
        <v>0.29166666666666669</v>
      </c>
      <c r="V96" s="158"/>
      <c r="W96" s="159">
        <f t="shared" si="22"/>
        <v>0</v>
      </c>
      <c r="X96" s="160"/>
      <c r="Y96" s="160"/>
      <c r="Z96" s="160"/>
      <c r="AA96" s="117"/>
    </row>
    <row r="97" spans="1:27" ht="13.5" thickBot="1">
      <c r="A97" s="417"/>
      <c r="B97" s="411"/>
      <c r="C97" s="261">
        <f>C96+1</f>
        <v>39721</v>
      </c>
      <c r="D97" s="144"/>
      <c r="E97" s="145"/>
      <c r="F97" s="146"/>
      <c r="G97" s="164">
        <f t="shared" si="24"/>
        <v>0</v>
      </c>
      <c r="H97" s="147"/>
      <c r="I97" s="165"/>
      <c r="J97" s="149" t="str">
        <f t="shared" ca="1" si="16"/>
        <v/>
      </c>
      <c r="K97" s="150" t="b">
        <f t="shared" ca="1" si="26"/>
        <v>0</v>
      </c>
      <c r="L97" s="364">
        <f t="shared" si="25"/>
        <v>10</v>
      </c>
      <c r="M97" s="267">
        <v>39721</v>
      </c>
      <c r="N97" s="166">
        <f t="shared" si="17"/>
        <v>1</v>
      </c>
      <c r="O97" s="167">
        <f t="shared" ca="1" si="18"/>
        <v>1</v>
      </c>
      <c r="P97" s="168">
        <f t="shared" si="19"/>
        <v>1</v>
      </c>
      <c r="Q97" s="169" t="b">
        <f t="shared" si="27"/>
        <v>0</v>
      </c>
      <c r="R97" s="170" t="b">
        <f t="shared" ca="1" si="20"/>
        <v>1</v>
      </c>
      <c r="S97" s="166"/>
      <c r="T97" s="166"/>
      <c r="U97" s="171">
        <f t="shared" ca="1" si="21"/>
        <v>0.29166666666666669</v>
      </c>
      <c r="V97" s="172"/>
      <c r="W97" s="173">
        <f t="shared" si="22"/>
        <v>0</v>
      </c>
      <c r="X97" s="174"/>
      <c r="Y97" s="174"/>
      <c r="Z97" s="174"/>
      <c r="AA97" s="117"/>
    </row>
    <row r="98" spans="1:27" ht="13.5" thickBot="1">
      <c r="A98" s="417"/>
      <c r="B98" s="411"/>
      <c r="C98" s="261">
        <f t="shared" ref="C98:C151" si="28">C97+1</f>
        <v>39722</v>
      </c>
      <c r="D98" s="144"/>
      <c r="E98" s="145"/>
      <c r="F98" s="146"/>
      <c r="G98" s="164">
        <f t="shared" si="24"/>
        <v>0</v>
      </c>
      <c r="H98" s="147"/>
      <c r="I98" s="165"/>
      <c r="J98" s="149" t="str">
        <f t="shared" ca="1" si="16"/>
        <v/>
      </c>
      <c r="K98" s="150" t="b">
        <f t="shared" ca="1" si="26"/>
        <v>0</v>
      </c>
      <c r="L98" s="364">
        <f t="shared" si="25"/>
        <v>10</v>
      </c>
      <c r="M98" s="267">
        <v>39722</v>
      </c>
      <c r="N98" s="166">
        <f t="shared" si="17"/>
        <v>2</v>
      </c>
      <c r="O98" s="167">
        <f t="shared" ca="1" si="18"/>
        <v>1</v>
      </c>
      <c r="P98" s="168">
        <f t="shared" si="19"/>
        <v>1</v>
      </c>
      <c r="Q98" s="169" t="b">
        <f t="shared" si="27"/>
        <v>0</v>
      </c>
      <c r="R98" s="170" t="b">
        <f t="shared" ca="1" si="20"/>
        <v>1</v>
      </c>
      <c r="S98" s="166"/>
      <c r="T98" s="166"/>
      <c r="U98" s="171">
        <f t="shared" ca="1" si="21"/>
        <v>0.29166666666666669</v>
      </c>
      <c r="V98" s="172"/>
      <c r="W98" s="173">
        <f t="shared" si="22"/>
        <v>0</v>
      </c>
      <c r="X98" s="174"/>
      <c r="Y98" s="174"/>
      <c r="Z98" s="174"/>
      <c r="AA98" s="117"/>
    </row>
    <row r="99" spans="1:27" ht="13.5" thickBot="1">
      <c r="A99" s="417"/>
      <c r="B99" s="411"/>
      <c r="C99" s="261">
        <f t="shared" si="28"/>
        <v>39723</v>
      </c>
      <c r="D99" s="144"/>
      <c r="E99" s="145"/>
      <c r="F99" s="146"/>
      <c r="G99" s="164">
        <f t="shared" si="24"/>
        <v>0</v>
      </c>
      <c r="H99" s="147"/>
      <c r="I99" s="165"/>
      <c r="J99" s="149" t="str">
        <f t="shared" ca="1" si="16"/>
        <v/>
      </c>
      <c r="K99" s="150" t="b">
        <f t="shared" ca="1" si="26"/>
        <v>0</v>
      </c>
      <c r="L99" s="364">
        <f t="shared" si="25"/>
        <v>10</v>
      </c>
      <c r="M99" s="267">
        <v>39723</v>
      </c>
      <c r="N99" s="166">
        <f t="shared" si="17"/>
        <v>3</v>
      </c>
      <c r="O99" s="167">
        <f t="shared" ca="1" si="18"/>
        <v>1</v>
      </c>
      <c r="P99" s="168">
        <f t="shared" si="19"/>
        <v>1</v>
      </c>
      <c r="Q99" s="169" t="b">
        <f t="shared" si="27"/>
        <v>0</v>
      </c>
      <c r="R99" s="170" t="b">
        <f t="shared" ca="1" si="20"/>
        <v>1</v>
      </c>
      <c r="S99" s="166"/>
      <c r="T99" s="166"/>
      <c r="U99" s="171">
        <f t="shared" ca="1" si="21"/>
        <v>0.29166666666666669</v>
      </c>
      <c r="V99" s="172"/>
      <c r="W99" s="173">
        <f t="shared" si="22"/>
        <v>0</v>
      </c>
      <c r="X99" s="174"/>
      <c r="Y99" s="174"/>
      <c r="Z99" s="174"/>
      <c r="AA99" s="117"/>
    </row>
    <row r="100" spans="1:27" ht="13.5" thickBot="1">
      <c r="A100" s="417"/>
      <c r="B100" s="411"/>
      <c r="C100" s="261">
        <f t="shared" si="28"/>
        <v>39724</v>
      </c>
      <c r="D100" s="144"/>
      <c r="E100" s="145"/>
      <c r="F100" s="146"/>
      <c r="G100" s="164">
        <f t="shared" si="24"/>
        <v>0</v>
      </c>
      <c r="H100" s="147"/>
      <c r="I100" s="165"/>
      <c r="J100" s="149" t="str">
        <f t="shared" ca="1" si="16"/>
        <v/>
      </c>
      <c r="K100" s="150" t="b">
        <f t="shared" ca="1" si="26"/>
        <v>0</v>
      </c>
      <c r="L100" s="364">
        <f t="shared" si="25"/>
        <v>10</v>
      </c>
      <c r="M100" s="267">
        <v>39724</v>
      </c>
      <c r="N100" s="166">
        <f t="shared" si="17"/>
        <v>4</v>
      </c>
      <c r="O100" s="167">
        <f t="shared" ca="1" si="18"/>
        <v>1</v>
      </c>
      <c r="P100" s="168">
        <f t="shared" si="19"/>
        <v>1</v>
      </c>
      <c r="Q100" s="169" t="b">
        <f t="shared" si="27"/>
        <v>0</v>
      </c>
      <c r="R100" s="170" t="b">
        <f t="shared" ca="1" si="20"/>
        <v>1</v>
      </c>
      <c r="S100" s="166"/>
      <c r="T100" s="166"/>
      <c r="U100" s="171">
        <f t="shared" ca="1" si="21"/>
        <v>0.29166666666666669</v>
      </c>
      <c r="V100" s="172"/>
      <c r="W100" s="173">
        <f t="shared" si="22"/>
        <v>0</v>
      </c>
      <c r="X100" s="174"/>
      <c r="Y100" s="174"/>
      <c r="Z100" s="174"/>
      <c r="AA100" s="117"/>
    </row>
    <row r="101" spans="1:27" ht="13.5" thickBot="1">
      <c r="A101" s="417"/>
      <c r="B101" s="411"/>
      <c r="C101" s="262">
        <f t="shared" si="28"/>
        <v>39725</v>
      </c>
      <c r="D101" s="175"/>
      <c r="E101" s="176"/>
      <c r="F101" s="177"/>
      <c r="G101" s="178">
        <f t="shared" si="24"/>
        <v>0</v>
      </c>
      <c r="H101" s="279"/>
      <c r="I101" s="179"/>
      <c r="J101" s="180" t="str">
        <f t="shared" ca="1" si="16"/>
        <v/>
      </c>
      <c r="K101" s="181" t="b">
        <f t="shared" ca="1" si="26"/>
        <v>0</v>
      </c>
      <c r="L101" s="365">
        <f t="shared" si="25"/>
        <v>10</v>
      </c>
      <c r="M101" s="271">
        <v>39725</v>
      </c>
      <c r="N101" s="182">
        <f t="shared" si="17"/>
        <v>5</v>
      </c>
      <c r="O101" s="183">
        <f t="shared" ca="1" si="18"/>
        <v>1</v>
      </c>
      <c r="P101" s="184">
        <f t="shared" si="19"/>
        <v>1</v>
      </c>
      <c r="Q101" s="185" t="b">
        <f t="shared" si="27"/>
        <v>0</v>
      </c>
      <c r="R101" s="186" t="b">
        <f t="shared" ca="1" si="20"/>
        <v>1</v>
      </c>
      <c r="S101" s="182"/>
      <c r="T101" s="182"/>
      <c r="U101" s="187"/>
      <c r="V101" s="172"/>
      <c r="W101" s="188">
        <f t="shared" si="22"/>
        <v>0</v>
      </c>
      <c r="X101" s="174"/>
      <c r="Y101" s="174"/>
      <c r="Z101" s="174"/>
      <c r="AA101" s="117"/>
    </row>
    <row r="102" spans="1:27" ht="13.5" thickBot="1">
      <c r="A102" s="418"/>
      <c r="B102" s="412"/>
      <c r="C102" s="263">
        <f t="shared" si="28"/>
        <v>39726</v>
      </c>
      <c r="D102" s="189"/>
      <c r="E102" s="190"/>
      <c r="F102" s="191"/>
      <c r="G102" s="192">
        <f t="shared" si="24"/>
        <v>0</v>
      </c>
      <c r="H102" s="280"/>
      <c r="I102" s="193"/>
      <c r="J102" s="194" t="str">
        <f t="shared" ca="1" si="16"/>
        <v/>
      </c>
      <c r="K102" s="195" t="b">
        <f t="shared" ca="1" si="26"/>
        <v>0</v>
      </c>
      <c r="L102" s="366">
        <f t="shared" si="25"/>
        <v>10</v>
      </c>
      <c r="M102" s="272">
        <v>39726</v>
      </c>
      <c r="N102" s="196">
        <f t="shared" si="17"/>
        <v>6</v>
      </c>
      <c r="O102" s="197">
        <f t="shared" ca="1" si="18"/>
        <v>0</v>
      </c>
      <c r="P102" s="198">
        <f t="shared" si="19"/>
        <v>0</v>
      </c>
      <c r="Q102" s="199" t="b">
        <f t="shared" si="27"/>
        <v>0</v>
      </c>
      <c r="R102" s="200" t="b">
        <f t="shared" ca="1" si="20"/>
        <v>1</v>
      </c>
      <c r="S102" s="196" t="b">
        <f>AND(R102,R96)</f>
        <v>1</v>
      </c>
      <c r="T102" s="196" t="b">
        <f>OR(R102,R96)</f>
        <v>1</v>
      </c>
      <c r="U102" s="201"/>
      <c r="V102" s="202">
        <f ca="1">IF(Sem_entame,SUM(U96:U102),"")</f>
        <v>1.4583333333333335</v>
      </c>
      <c r="W102" s="203">
        <f t="shared" si="22"/>
        <v>0</v>
      </c>
      <c r="X102" s="204">
        <f ca="1">SUM(W96:W102)</f>
        <v>0</v>
      </c>
      <c r="Y102" s="204">
        <f ca="1">IF(Sem_entame,X102-V102,"")</f>
        <v>-1.4583333333333335</v>
      </c>
      <c r="Z102" s="204">
        <f ca="1">IF(Sem_entame,Y102+IF(ISNUMBER(Z95),Z95,0),"")</f>
        <v>-16.770833333333339</v>
      </c>
      <c r="AA102" s="117"/>
    </row>
    <row r="103" spans="1:27" ht="12.75" customHeight="1" thickBot="1">
      <c r="A103" s="416">
        <f>A96+1</f>
        <v>15</v>
      </c>
      <c r="B103" s="411" t="str">
        <f>IF(L103&lt;&gt;L109,TEXT(C109,"mmm"&amp;"-"),"")&amp;TEXT(C103,"mmm")</f>
        <v>oct</v>
      </c>
      <c r="C103" s="260">
        <f t="shared" si="28"/>
        <v>39727</v>
      </c>
      <c r="D103" s="144"/>
      <c r="E103" s="145"/>
      <c r="F103" s="146"/>
      <c r="G103" s="147">
        <f t="shared" si="24"/>
        <v>0</v>
      </c>
      <c r="H103" s="147"/>
      <c r="I103" s="148"/>
      <c r="J103" s="207" t="str">
        <f t="shared" ca="1" si="16"/>
        <v/>
      </c>
      <c r="K103" s="150" t="b">
        <f t="shared" ca="1" si="26"/>
        <v>0</v>
      </c>
      <c r="L103" s="362">
        <f t="shared" si="25"/>
        <v>10</v>
      </c>
      <c r="M103" s="266">
        <v>39727</v>
      </c>
      <c r="N103" s="151">
        <f t="shared" si="17"/>
        <v>7</v>
      </c>
      <c r="O103" s="152">
        <f t="shared" ca="1" si="18"/>
        <v>0</v>
      </c>
      <c r="P103" s="153">
        <f t="shared" si="19"/>
        <v>0</v>
      </c>
      <c r="Q103" s="154" t="b">
        <f t="shared" si="27"/>
        <v>0</v>
      </c>
      <c r="R103" s="155" t="b">
        <f t="shared" ca="1" si="20"/>
        <v>1</v>
      </c>
      <c r="S103" s="156"/>
      <c r="T103" s="156"/>
      <c r="U103" s="157">
        <f t="shared" ca="1" si="21"/>
        <v>0.29166666666666669</v>
      </c>
      <c r="V103" s="158"/>
      <c r="W103" s="159">
        <f t="shared" si="22"/>
        <v>0</v>
      </c>
      <c r="X103" s="160"/>
      <c r="Y103" s="160"/>
      <c r="Z103" s="160"/>
      <c r="AA103" s="117"/>
    </row>
    <row r="104" spans="1:27" ht="13.5" thickBot="1">
      <c r="A104" s="417"/>
      <c r="B104" s="411"/>
      <c r="C104" s="261">
        <f t="shared" si="28"/>
        <v>39728</v>
      </c>
      <c r="D104" s="144"/>
      <c r="E104" s="145"/>
      <c r="F104" s="146"/>
      <c r="G104" s="164">
        <f t="shared" si="24"/>
        <v>0</v>
      </c>
      <c r="H104" s="147"/>
      <c r="I104" s="165"/>
      <c r="J104" s="149" t="str">
        <f t="shared" ca="1" si="16"/>
        <v/>
      </c>
      <c r="K104" s="150" t="b">
        <f t="shared" ca="1" si="26"/>
        <v>0</v>
      </c>
      <c r="L104" s="364">
        <f t="shared" si="25"/>
        <v>10</v>
      </c>
      <c r="M104" s="267">
        <v>39728</v>
      </c>
      <c r="N104" s="166">
        <f t="shared" si="17"/>
        <v>1</v>
      </c>
      <c r="O104" s="167">
        <f t="shared" ca="1" si="18"/>
        <v>1</v>
      </c>
      <c r="P104" s="168">
        <f t="shared" si="19"/>
        <v>1</v>
      </c>
      <c r="Q104" s="169" t="b">
        <f t="shared" si="27"/>
        <v>0</v>
      </c>
      <c r="R104" s="170" t="b">
        <f t="shared" ca="1" si="20"/>
        <v>1</v>
      </c>
      <c r="S104" s="166"/>
      <c r="T104" s="166"/>
      <c r="U104" s="171">
        <f t="shared" ca="1" si="21"/>
        <v>0.29166666666666669</v>
      </c>
      <c r="V104" s="172"/>
      <c r="W104" s="173">
        <f t="shared" si="22"/>
        <v>0</v>
      </c>
      <c r="X104" s="174"/>
      <c r="Y104" s="174"/>
      <c r="Z104" s="174"/>
      <c r="AA104" s="117"/>
    </row>
    <row r="105" spans="1:27" ht="13.5" thickBot="1">
      <c r="A105" s="417"/>
      <c r="B105" s="411"/>
      <c r="C105" s="261">
        <f t="shared" si="28"/>
        <v>39729</v>
      </c>
      <c r="D105" s="144"/>
      <c r="E105" s="145"/>
      <c r="F105" s="146"/>
      <c r="G105" s="164">
        <f t="shared" si="24"/>
        <v>0</v>
      </c>
      <c r="H105" s="147"/>
      <c r="I105" s="165"/>
      <c r="J105" s="149" t="str">
        <f t="shared" ca="1" si="16"/>
        <v/>
      </c>
      <c r="K105" s="150" t="b">
        <f t="shared" ca="1" si="26"/>
        <v>0</v>
      </c>
      <c r="L105" s="364">
        <f t="shared" si="25"/>
        <v>10</v>
      </c>
      <c r="M105" s="267">
        <v>39729</v>
      </c>
      <c r="N105" s="166">
        <f t="shared" si="17"/>
        <v>2</v>
      </c>
      <c r="O105" s="167">
        <f t="shared" ca="1" si="18"/>
        <v>1</v>
      </c>
      <c r="P105" s="168">
        <f t="shared" si="19"/>
        <v>1</v>
      </c>
      <c r="Q105" s="169" t="b">
        <f t="shared" si="27"/>
        <v>0</v>
      </c>
      <c r="R105" s="170" t="b">
        <f t="shared" ca="1" si="20"/>
        <v>1</v>
      </c>
      <c r="S105" s="166"/>
      <c r="T105" s="166"/>
      <c r="U105" s="171">
        <f t="shared" ca="1" si="21"/>
        <v>0.29166666666666669</v>
      </c>
      <c r="V105" s="172"/>
      <c r="W105" s="173">
        <f t="shared" si="22"/>
        <v>0</v>
      </c>
      <c r="X105" s="174"/>
      <c r="Y105" s="174"/>
      <c r="Z105" s="174"/>
      <c r="AA105" s="117"/>
    </row>
    <row r="106" spans="1:27" ht="13.5" thickBot="1">
      <c r="A106" s="417"/>
      <c r="B106" s="411"/>
      <c r="C106" s="261">
        <f t="shared" si="28"/>
        <v>39730</v>
      </c>
      <c r="D106" s="144"/>
      <c r="E106" s="145"/>
      <c r="F106" s="146"/>
      <c r="G106" s="164">
        <f t="shared" si="24"/>
        <v>0</v>
      </c>
      <c r="H106" s="147"/>
      <c r="I106" s="165"/>
      <c r="J106" s="149" t="str">
        <f t="shared" ca="1" si="16"/>
        <v/>
      </c>
      <c r="K106" s="150" t="b">
        <f t="shared" ca="1" si="26"/>
        <v>0</v>
      </c>
      <c r="L106" s="364">
        <f t="shared" si="25"/>
        <v>10</v>
      </c>
      <c r="M106" s="267">
        <v>39730</v>
      </c>
      <c r="N106" s="166">
        <f t="shared" si="17"/>
        <v>3</v>
      </c>
      <c r="O106" s="167">
        <f t="shared" ca="1" si="18"/>
        <v>1</v>
      </c>
      <c r="P106" s="168">
        <f t="shared" si="19"/>
        <v>1</v>
      </c>
      <c r="Q106" s="169" t="b">
        <f t="shared" si="27"/>
        <v>0</v>
      </c>
      <c r="R106" s="170" t="b">
        <f t="shared" ca="1" si="20"/>
        <v>1</v>
      </c>
      <c r="S106" s="166"/>
      <c r="T106" s="166"/>
      <c r="U106" s="171">
        <f t="shared" ca="1" si="21"/>
        <v>0.29166666666666669</v>
      </c>
      <c r="V106" s="172"/>
      <c r="W106" s="173">
        <f t="shared" si="22"/>
        <v>0</v>
      </c>
      <c r="X106" s="174"/>
      <c r="Y106" s="174"/>
      <c r="Z106" s="174"/>
      <c r="AA106" s="117"/>
    </row>
    <row r="107" spans="1:27" ht="13.5" thickBot="1">
      <c r="A107" s="417"/>
      <c r="B107" s="411"/>
      <c r="C107" s="261">
        <f t="shared" si="28"/>
        <v>39731</v>
      </c>
      <c r="D107" s="144"/>
      <c r="E107" s="145"/>
      <c r="F107" s="146"/>
      <c r="G107" s="164">
        <f t="shared" si="24"/>
        <v>0</v>
      </c>
      <c r="H107" s="147"/>
      <c r="I107" s="165"/>
      <c r="J107" s="149" t="str">
        <f t="shared" ca="1" si="16"/>
        <v/>
      </c>
      <c r="K107" s="150" t="b">
        <f t="shared" ca="1" si="26"/>
        <v>0</v>
      </c>
      <c r="L107" s="364">
        <f t="shared" si="25"/>
        <v>10</v>
      </c>
      <c r="M107" s="267">
        <v>39731</v>
      </c>
      <c r="N107" s="166">
        <f t="shared" si="17"/>
        <v>4</v>
      </c>
      <c r="O107" s="167">
        <f t="shared" ca="1" si="18"/>
        <v>1</v>
      </c>
      <c r="P107" s="168">
        <f t="shared" si="19"/>
        <v>1</v>
      </c>
      <c r="Q107" s="169" t="b">
        <f t="shared" si="27"/>
        <v>0</v>
      </c>
      <c r="R107" s="170" t="b">
        <f t="shared" ca="1" si="20"/>
        <v>1</v>
      </c>
      <c r="S107" s="166"/>
      <c r="T107" s="166"/>
      <c r="U107" s="171">
        <f t="shared" ca="1" si="21"/>
        <v>0.29166666666666669</v>
      </c>
      <c r="V107" s="172"/>
      <c r="W107" s="173">
        <f t="shared" si="22"/>
        <v>0</v>
      </c>
      <c r="X107" s="174"/>
      <c r="Y107" s="174"/>
      <c r="Z107" s="174"/>
      <c r="AA107" s="117"/>
    </row>
    <row r="108" spans="1:27" ht="13.5" thickBot="1">
      <c r="A108" s="417"/>
      <c r="B108" s="411"/>
      <c r="C108" s="262">
        <f t="shared" si="28"/>
        <v>39732</v>
      </c>
      <c r="D108" s="175"/>
      <c r="E108" s="176"/>
      <c r="F108" s="177"/>
      <c r="G108" s="178">
        <f t="shared" si="24"/>
        <v>0</v>
      </c>
      <c r="H108" s="279"/>
      <c r="I108" s="179"/>
      <c r="J108" s="180" t="str">
        <f t="shared" ca="1" si="16"/>
        <v/>
      </c>
      <c r="K108" s="181" t="b">
        <f t="shared" ca="1" si="26"/>
        <v>0</v>
      </c>
      <c r="L108" s="365">
        <f t="shared" si="25"/>
        <v>10</v>
      </c>
      <c r="M108" s="271">
        <v>39732</v>
      </c>
      <c r="N108" s="182">
        <f t="shared" si="17"/>
        <v>5</v>
      </c>
      <c r="O108" s="183">
        <f t="shared" ca="1" si="18"/>
        <v>1</v>
      </c>
      <c r="P108" s="184">
        <f t="shared" si="19"/>
        <v>1</v>
      </c>
      <c r="Q108" s="185" t="b">
        <f t="shared" si="27"/>
        <v>0</v>
      </c>
      <c r="R108" s="186" t="b">
        <f t="shared" ca="1" si="20"/>
        <v>1</v>
      </c>
      <c r="S108" s="182"/>
      <c r="T108" s="182"/>
      <c r="U108" s="187"/>
      <c r="V108" s="172"/>
      <c r="W108" s="188">
        <f t="shared" si="22"/>
        <v>0</v>
      </c>
      <c r="X108" s="174"/>
      <c r="Y108" s="174"/>
      <c r="Z108" s="174"/>
      <c r="AA108" s="117"/>
    </row>
    <row r="109" spans="1:27" ht="13.5" thickBot="1">
      <c r="A109" s="418"/>
      <c r="B109" s="412"/>
      <c r="C109" s="263">
        <f t="shared" si="28"/>
        <v>39733</v>
      </c>
      <c r="D109" s="189"/>
      <c r="E109" s="190"/>
      <c r="F109" s="191"/>
      <c r="G109" s="192">
        <f t="shared" si="24"/>
        <v>0</v>
      </c>
      <c r="H109" s="280"/>
      <c r="I109" s="193"/>
      <c r="J109" s="194" t="str">
        <f t="shared" ca="1" si="16"/>
        <v/>
      </c>
      <c r="K109" s="195" t="b">
        <f t="shared" ca="1" si="26"/>
        <v>0</v>
      </c>
      <c r="L109" s="366">
        <f t="shared" si="25"/>
        <v>10</v>
      </c>
      <c r="M109" s="272">
        <v>39733</v>
      </c>
      <c r="N109" s="196">
        <f t="shared" si="17"/>
        <v>6</v>
      </c>
      <c r="O109" s="197">
        <f t="shared" ca="1" si="18"/>
        <v>0</v>
      </c>
      <c r="P109" s="198">
        <f t="shared" si="19"/>
        <v>0</v>
      </c>
      <c r="Q109" s="199" t="b">
        <f t="shared" si="27"/>
        <v>0</v>
      </c>
      <c r="R109" s="200" t="b">
        <f t="shared" ca="1" si="20"/>
        <v>1</v>
      </c>
      <c r="S109" s="196" t="b">
        <f>AND(R109,R103)</f>
        <v>1</v>
      </c>
      <c r="T109" s="196" t="b">
        <f>OR(R109,R103)</f>
        <v>1</v>
      </c>
      <c r="U109" s="201"/>
      <c r="V109" s="202">
        <f ca="1">IF(Sem_entame,SUM(U103:U109),"")</f>
        <v>1.4583333333333335</v>
      </c>
      <c r="W109" s="203">
        <f t="shared" si="22"/>
        <v>0</v>
      </c>
      <c r="X109" s="204">
        <f ca="1">SUM(W103:W109)</f>
        <v>0</v>
      </c>
      <c r="Y109" s="204">
        <f ca="1">IF(Sem_entame,X109-V109,"")</f>
        <v>-1.4583333333333335</v>
      </c>
      <c r="Z109" s="204">
        <f ca="1">IF(Sem_entame,Y109+IF(ISNUMBER(Z102),Z102,0),"")</f>
        <v>-18.229166666666671</v>
      </c>
      <c r="AA109" s="117"/>
    </row>
    <row r="110" spans="1:27" ht="12.75" customHeight="1" thickBot="1">
      <c r="A110" s="416">
        <f>A103+1</f>
        <v>16</v>
      </c>
      <c r="B110" s="411" t="str">
        <f>IF(L110&lt;&gt;L116,TEXT(C116,"mmm"&amp;"-"),"")&amp;TEXT(C110,"mmm")</f>
        <v>oct</v>
      </c>
      <c r="C110" s="260">
        <f t="shared" si="28"/>
        <v>39734</v>
      </c>
      <c r="D110" s="144"/>
      <c r="E110" s="145"/>
      <c r="F110" s="146"/>
      <c r="G110" s="147">
        <f t="shared" si="24"/>
        <v>0</v>
      </c>
      <c r="H110" s="147"/>
      <c r="I110" s="148"/>
      <c r="J110" s="207" t="str">
        <f t="shared" ca="1" si="16"/>
        <v/>
      </c>
      <c r="K110" s="150" t="b">
        <f t="shared" ca="1" si="26"/>
        <v>0</v>
      </c>
      <c r="L110" s="362">
        <f t="shared" si="25"/>
        <v>10</v>
      </c>
      <c r="M110" s="266">
        <v>39734</v>
      </c>
      <c r="N110" s="151">
        <f t="shared" si="17"/>
        <v>7</v>
      </c>
      <c r="O110" s="152">
        <f t="shared" ca="1" si="18"/>
        <v>0</v>
      </c>
      <c r="P110" s="153">
        <f t="shared" si="19"/>
        <v>0</v>
      </c>
      <c r="Q110" s="154" t="b">
        <f t="shared" si="27"/>
        <v>0</v>
      </c>
      <c r="R110" s="155" t="b">
        <f t="shared" ca="1" si="20"/>
        <v>1</v>
      </c>
      <c r="S110" s="156"/>
      <c r="T110" s="156"/>
      <c r="U110" s="157">
        <f t="shared" ca="1" si="21"/>
        <v>0.29166666666666669</v>
      </c>
      <c r="V110" s="158"/>
      <c r="W110" s="159">
        <f t="shared" si="22"/>
        <v>0</v>
      </c>
      <c r="X110" s="160"/>
      <c r="Y110" s="160"/>
      <c r="Z110" s="160"/>
      <c r="AA110" s="117"/>
    </row>
    <row r="111" spans="1:27" ht="13.5" thickBot="1">
      <c r="A111" s="417"/>
      <c r="B111" s="411"/>
      <c r="C111" s="261">
        <f t="shared" si="28"/>
        <v>39735</v>
      </c>
      <c r="D111" s="144"/>
      <c r="E111" s="145"/>
      <c r="F111" s="146"/>
      <c r="G111" s="164">
        <f t="shared" si="24"/>
        <v>0</v>
      </c>
      <c r="H111" s="147"/>
      <c r="I111" s="165"/>
      <c r="J111" s="149" t="str">
        <f t="shared" ca="1" si="16"/>
        <v/>
      </c>
      <c r="K111" s="150" t="b">
        <f t="shared" ca="1" si="26"/>
        <v>0</v>
      </c>
      <c r="L111" s="364">
        <f t="shared" si="25"/>
        <v>10</v>
      </c>
      <c r="M111" s="267">
        <v>39735</v>
      </c>
      <c r="N111" s="166">
        <f t="shared" si="17"/>
        <v>1</v>
      </c>
      <c r="O111" s="167">
        <f t="shared" ca="1" si="18"/>
        <v>1</v>
      </c>
      <c r="P111" s="168">
        <f t="shared" si="19"/>
        <v>1</v>
      </c>
      <c r="Q111" s="169" t="b">
        <f t="shared" si="27"/>
        <v>0</v>
      </c>
      <c r="R111" s="170" t="b">
        <f t="shared" ca="1" si="20"/>
        <v>1</v>
      </c>
      <c r="S111" s="166"/>
      <c r="T111" s="166"/>
      <c r="U111" s="171">
        <f t="shared" ca="1" si="21"/>
        <v>0.29166666666666669</v>
      </c>
      <c r="V111" s="172"/>
      <c r="W111" s="173">
        <f t="shared" si="22"/>
        <v>0</v>
      </c>
      <c r="X111" s="174"/>
      <c r="Y111" s="174"/>
      <c r="Z111" s="174"/>
      <c r="AA111" s="117"/>
    </row>
    <row r="112" spans="1:27" ht="13.5" thickBot="1">
      <c r="A112" s="417"/>
      <c r="B112" s="411"/>
      <c r="C112" s="261">
        <f t="shared" si="28"/>
        <v>39736</v>
      </c>
      <c r="D112" s="144"/>
      <c r="E112" s="145"/>
      <c r="F112" s="146"/>
      <c r="G112" s="164">
        <f t="shared" si="24"/>
        <v>0</v>
      </c>
      <c r="H112" s="147"/>
      <c r="I112" s="165"/>
      <c r="J112" s="149" t="str">
        <f t="shared" ca="1" si="16"/>
        <v/>
      </c>
      <c r="K112" s="150" t="b">
        <f t="shared" ca="1" si="26"/>
        <v>0</v>
      </c>
      <c r="L112" s="364">
        <f t="shared" si="25"/>
        <v>10</v>
      </c>
      <c r="M112" s="267">
        <v>39736</v>
      </c>
      <c r="N112" s="166">
        <f t="shared" si="17"/>
        <v>2</v>
      </c>
      <c r="O112" s="167">
        <f t="shared" ca="1" si="18"/>
        <v>1</v>
      </c>
      <c r="P112" s="168">
        <f t="shared" si="19"/>
        <v>1</v>
      </c>
      <c r="Q112" s="169" t="b">
        <f t="shared" si="27"/>
        <v>0</v>
      </c>
      <c r="R112" s="170" t="b">
        <f t="shared" ca="1" si="20"/>
        <v>1</v>
      </c>
      <c r="S112" s="166"/>
      <c r="T112" s="166"/>
      <c r="U112" s="171">
        <f t="shared" ca="1" si="21"/>
        <v>0.29166666666666669</v>
      </c>
      <c r="V112" s="172"/>
      <c r="W112" s="173">
        <f t="shared" si="22"/>
        <v>0</v>
      </c>
      <c r="X112" s="174"/>
      <c r="Y112" s="174"/>
      <c r="Z112" s="174"/>
      <c r="AA112" s="117"/>
    </row>
    <row r="113" spans="1:27" ht="13.5" thickBot="1">
      <c r="A113" s="417"/>
      <c r="B113" s="411"/>
      <c r="C113" s="261">
        <f t="shared" si="28"/>
        <v>39737</v>
      </c>
      <c r="D113" s="144"/>
      <c r="E113" s="145"/>
      <c r="F113" s="146"/>
      <c r="G113" s="164">
        <f t="shared" si="24"/>
        <v>0</v>
      </c>
      <c r="H113" s="147"/>
      <c r="I113" s="165"/>
      <c r="J113" s="149" t="str">
        <f t="shared" ca="1" si="16"/>
        <v/>
      </c>
      <c r="K113" s="150" t="b">
        <f t="shared" ca="1" si="26"/>
        <v>0</v>
      </c>
      <c r="L113" s="364">
        <f t="shared" si="25"/>
        <v>10</v>
      </c>
      <c r="M113" s="267">
        <v>39737</v>
      </c>
      <c r="N113" s="166">
        <f t="shared" si="17"/>
        <v>3</v>
      </c>
      <c r="O113" s="167">
        <f t="shared" ca="1" si="18"/>
        <v>1</v>
      </c>
      <c r="P113" s="168">
        <f t="shared" si="19"/>
        <v>1</v>
      </c>
      <c r="Q113" s="169" t="b">
        <f t="shared" si="27"/>
        <v>0</v>
      </c>
      <c r="R113" s="170" t="b">
        <f t="shared" ca="1" si="20"/>
        <v>1</v>
      </c>
      <c r="S113" s="166"/>
      <c r="T113" s="166"/>
      <c r="U113" s="171">
        <f t="shared" ca="1" si="21"/>
        <v>0.29166666666666669</v>
      </c>
      <c r="V113" s="172"/>
      <c r="W113" s="173">
        <f t="shared" si="22"/>
        <v>0</v>
      </c>
      <c r="X113" s="174"/>
      <c r="Y113" s="174"/>
      <c r="Z113" s="174"/>
      <c r="AA113" s="117"/>
    </row>
    <row r="114" spans="1:27" ht="13.5" thickBot="1">
      <c r="A114" s="417"/>
      <c r="B114" s="411"/>
      <c r="C114" s="261">
        <f t="shared" si="28"/>
        <v>39738</v>
      </c>
      <c r="D114" s="144"/>
      <c r="E114" s="145"/>
      <c r="F114" s="146"/>
      <c r="G114" s="164">
        <f t="shared" si="24"/>
        <v>0</v>
      </c>
      <c r="H114" s="147"/>
      <c r="I114" s="165"/>
      <c r="J114" s="149" t="str">
        <f t="shared" ca="1" si="16"/>
        <v/>
      </c>
      <c r="K114" s="150" t="b">
        <f t="shared" ca="1" si="26"/>
        <v>0</v>
      </c>
      <c r="L114" s="364">
        <f t="shared" si="25"/>
        <v>10</v>
      </c>
      <c r="M114" s="267">
        <v>39738</v>
      </c>
      <c r="N114" s="166">
        <f t="shared" si="17"/>
        <v>4</v>
      </c>
      <c r="O114" s="167">
        <f t="shared" ca="1" si="18"/>
        <v>1</v>
      </c>
      <c r="P114" s="168">
        <f t="shared" si="19"/>
        <v>1</v>
      </c>
      <c r="Q114" s="169" t="b">
        <f t="shared" si="27"/>
        <v>0</v>
      </c>
      <c r="R114" s="170" t="b">
        <f t="shared" ca="1" si="20"/>
        <v>1</v>
      </c>
      <c r="S114" s="166"/>
      <c r="T114" s="166"/>
      <c r="U114" s="171">
        <f t="shared" ca="1" si="21"/>
        <v>0.29166666666666669</v>
      </c>
      <c r="V114" s="172"/>
      <c r="W114" s="173">
        <f t="shared" si="22"/>
        <v>0</v>
      </c>
      <c r="X114" s="174"/>
      <c r="Y114" s="174"/>
      <c r="Z114" s="174"/>
      <c r="AA114" s="117"/>
    </row>
    <row r="115" spans="1:27" ht="13.5" thickBot="1">
      <c r="A115" s="417"/>
      <c r="B115" s="411"/>
      <c r="C115" s="262">
        <f t="shared" si="28"/>
        <v>39739</v>
      </c>
      <c r="D115" s="175"/>
      <c r="E115" s="176"/>
      <c r="F115" s="177"/>
      <c r="G115" s="178">
        <f t="shared" si="24"/>
        <v>0</v>
      </c>
      <c r="H115" s="279"/>
      <c r="I115" s="179"/>
      <c r="J115" s="180" t="str">
        <f t="shared" ca="1" si="16"/>
        <v/>
      </c>
      <c r="K115" s="181" t="b">
        <f t="shared" ca="1" si="26"/>
        <v>0</v>
      </c>
      <c r="L115" s="365">
        <f t="shared" si="25"/>
        <v>10</v>
      </c>
      <c r="M115" s="271">
        <v>39739</v>
      </c>
      <c r="N115" s="182">
        <f t="shared" si="17"/>
        <v>5</v>
      </c>
      <c r="O115" s="183">
        <f t="shared" ca="1" si="18"/>
        <v>1</v>
      </c>
      <c r="P115" s="184">
        <f t="shared" si="19"/>
        <v>1</v>
      </c>
      <c r="Q115" s="185" t="b">
        <f t="shared" si="27"/>
        <v>0</v>
      </c>
      <c r="R115" s="186" t="b">
        <f t="shared" ca="1" si="20"/>
        <v>1</v>
      </c>
      <c r="S115" s="182"/>
      <c r="T115" s="182"/>
      <c r="U115" s="187"/>
      <c r="V115" s="172"/>
      <c r="W115" s="188">
        <f t="shared" si="22"/>
        <v>0</v>
      </c>
      <c r="X115" s="174"/>
      <c r="Y115" s="174"/>
      <c r="Z115" s="174"/>
      <c r="AA115" s="117"/>
    </row>
    <row r="116" spans="1:27" ht="13.5" thickBot="1">
      <c r="A116" s="418"/>
      <c r="B116" s="412"/>
      <c r="C116" s="263">
        <f t="shared" si="28"/>
        <v>39740</v>
      </c>
      <c r="D116" s="189"/>
      <c r="E116" s="190"/>
      <c r="F116" s="191"/>
      <c r="G116" s="192">
        <f t="shared" si="24"/>
        <v>0</v>
      </c>
      <c r="H116" s="280"/>
      <c r="I116" s="193"/>
      <c r="J116" s="194" t="str">
        <f t="shared" ca="1" si="16"/>
        <v/>
      </c>
      <c r="K116" s="195" t="b">
        <f t="shared" ca="1" si="26"/>
        <v>0</v>
      </c>
      <c r="L116" s="366">
        <f t="shared" si="25"/>
        <v>10</v>
      </c>
      <c r="M116" s="272">
        <v>39740</v>
      </c>
      <c r="N116" s="196">
        <f t="shared" si="17"/>
        <v>6</v>
      </c>
      <c r="O116" s="197">
        <f t="shared" ca="1" si="18"/>
        <v>0</v>
      </c>
      <c r="P116" s="198">
        <f t="shared" si="19"/>
        <v>0</v>
      </c>
      <c r="Q116" s="199" t="b">
        <f t="shared" si="27"/>
        <v>0</v>
      </c>
      <c r="R116" s="200" t="b">
        <f t="shared" ca="1" si="20"/>
        <v>1</v>
      </c>
      <c r="S116" s="196" t="b">
        <f>AND(R116,R110)</f>
        <v>1</v>
      </c>
      <c r="T116" s="196" t="b">
        <f>OR(R116,R110)</f>
        <v>1</v>
      </c>
      <c r="U116" s="201"/>
      <c r="V116" s="202">
        <f ca="1">IF(Sem_entame,SUM(U110:U116),"")</f>
        <v>1.4583333333333335</v>
      </c>
      <c r="W116" s="203">
        <f t="shared" si="22"/>
        <v>0</v>
      </c>
      <c r="X116" s="204">
        <f ca="1">SUM(W110:W116)</f>
        <v>0</v>
      </c>
      <c r="Y116" s="204">
        <f ca="1">IF(Sem_entame,X116-V116,"")</f>
        <v>-1.4583333333333335</v>
      </c>
      <c r="Z116" s="204">
        <f ca="1">IF(Sem_entame,Y116+IF(ISNUMBER(Z109),Z109,0),"")</f>
        <v>-19.687500000000004</v>
      </c>
      <c r="AA116" s="117"/>
    </row>
    <row r="117" spans="1:27" ht="12.75" customHeight="1" thickBot="1">
      <c r="A117" s="416">
        <f>A110+1</f>
        <v>17</v>
      </c>
      <c r="B117" s="411" t="str">
        <f>IF(L117&lt;&gt;L123,TEXT(C123,"mmm"&amp;"-"),"")&amp;TEXT(C117,"mmm")</f>
        <v>oct</v>
      </c>
      <c r="C117" s="260">
        <f t="shared" si="28"/>
        <v>39741</v>
      </c>
      <c r="D117" s="144"/>
      <c r="E117" s="145"/>
      <c r="F117" s="146"/>
      <c r="G117" s="147">
        <f t="shared" si="24"/>
        <v>0</v>
      </c>
      <c r="H117" s="147"/>
      <c r="I117" s="148"/>
      <c r="J117" s="207" t="str">
        <f t="shared" ca="1" si="16"/>
        <v/>
      </c>
      <c r="K117" s="150" t="b">
        <f t="shared" ca="1" si="26"/>
        <v>0</v>
      </c>
      <c r="L117" s="362">
        <f t="shared" si="25"/>
        <v>10</v>
      </c>
      <c r="M117" s="266">
        <v>39741</v>
      </c>
      <c r="N117" s="151">
        <f t="shared" si="17"/>
        <v>7</v>
      </c>
      <c r="O117" s="152">
        <f t="shared" ca="1" si="18"/>
        <v>0</v>
      </c>
      <c r="P117" s="153">
        <f t="shared" si="19"/>
        <v>0</v>
      </c>
      <c r="Q117" s="154" t="b">
        <f t="shared" si="27"/>
        <v>0</v>
      </c>
      <c r="R117" s="155" t="b">
        <f t="shared" ca="1" si="20"/>
        <v>1</v>
      </c>
      <c r="S117" s="156"/>
      <c r="T117" s="156"/>
      <c r="U117" s="157">
        <f t="shared" ca="1" si="21"/>
        <v>0.29166666666666669</v>
      </c>
      <c r="V117" s="158"/>
      <c r="W117" s="159">
        <f t="shared" si="22"/>
        <v>0</v>
      </c>
      <c r="X117" s="160"/>
      <c r="Y117" s="160"/>
      <c r="Z117" s="160"/>
      <c r="AA117" s="117"/>
    </row>
    <row r="118" spans="1:27" ht="13.5" thickBot="1">
      <c r="A118" s="417"/>
      <c r="B118" s="411"/>
      <c r="C118" s="261">
        <f t="shared" si="28"/>
        <v>39742</v>
      </c>
      <c r="D118" s="144"/>
      <c r="E118" s="145"/>
      <c r="F118" s="146"/>
      <c r="G118" s="164">
        <f t="shared" si="24"/>
        <v>0</v>
      </c>
      <c r="H118" s="147"/>
      <c r="I118" s="165"/>
      <c r="J118" s="149" t="str">
        <f t="shared" ca="1" si="16"/>
        <v/>
      </c>
      <c r="K118" s="150" t="b">
        <f t="shared" ca="1" si="26"/>
        <v>0</v>
      </c>
      <c r="L118" s="364">
        <f t="shared" si="25"/>
        <v>10</v>
      </c>
      <c r="M118" s="267">
        <v>39742</v>
      </c>
      <c r="N118" s="166">
        <f t="shared" si="17"/>
        <v>1</v>
      </c>
      <c r="O118" s="167">
        <f t="shared" ca="1" si="18"/>
        <v>1</v>
      </c>
      <c r="P118" s="168">
        <f t="shared" si="19"/>
        <v>1</v>
      </c>
      <c r="Q118" s="169" t="b">
        <f t="shared" si="27"/>
        <v>0</v>
      </c>
      <c r="R118" s="170" t="b">
        <f t="shared" ca="1" si="20"/>
        <v>1</v>
      </c>
      <c r="S118" s="166"/>
      <c r="T118" s="166"/>
      <c r="U118" s="171">
        <f t="shared" ca="1" si="21"/>
        <v>0.29166666666666669</v>
      </c>
      <c r="V118" s="172"/>
      <c r="W118" s="173">
        <f t="shared" si="22"/>
        <v>0</v>
      </c>
      <c r="X118" s="174"/>
      <c r="Y118" s="174"/>
      <c r="Z118" s="174"/>
      <c r="AA118" s="117"/>
    </row>
    <row r="119" spans="1:27" ht="13.5" thickBot="1">
      <c r="A119" s="417"/>
      <c r="B119" s="411"/>
      <c r="C119" s="261">
        <f t="shared" si="28"/>
        <v>39743</v>
      </c>
      <c r="D119" s="144"/>
      <c r="E119" s="145"/>
      <c r="F119" s="146"/>
      <c r="G119" s="164">
        <f t="shared" si="24"/>
        <v>0</v>
      </c>
      <c r="H119" s="147"/>
      <c r="I119" s="165"/>
      <c r="J119" s="149" t="str">
        <f t="shared" ca="1" si="16"/>
        <v/>
      </c>
      <c r="K119" s="150" t="b">
        <f t="shared" ca="1" si="26"/>
        <v>0</v>
      </c>
      <c r="L119" s="364">
        <f t="shared" si="25"/>
        <v>10</v>
      </c>
      <c r="M119" s="267">
        <v>39743</v>
      </c>
      <c r="N119" s="166">
        <f t="shared" si="17"/>
        <v>2</v>
      </c>
      <c r="O119" s="167">
        <f t="shared" ca="1" si="18"/>
        <v>1</v>
      </c>
      <c r="P119" s="168">
        <f t="shared" si="19"/>
        <v>1</v>
      </c>
      <c r="Q119" s="169" t="b">
        <f t="shared" si="27"/>
        <v>0</v>
      </c>
      <c r="R119" s="170" t="b">
        <f t="shared" ca="1" si="20"/>
        <v>1</v>
      </c>
      <c r="S119" s="166"/>
      <c r="T119" s="166"/>
      <c r="U119" s="171">
        <f t="shared" ca="1" si="21"/>
        <v>0.29166666666666669</v>
      </c>
      <c r="V119" s="172"/>
      <c r="W119" s="173">
        <f t="shared" si="22"/>
        <v>0</v>
      </c>
      <c r="X119" s="174"/>
      <c r="Y119" s="174"/>
      <c r="Z119" s="174"/>
      <c r="AA119" s="117"/>
    </row>
    <row r="120" spans="1:27" ht="13.5" thickBot="1">
      <c r="A120" s="417"/>
      <c r="B120" s="411"/>
      <c r="C120" s="261">
        <f t="shared" si="28"/>
        <v>39744</v>
      </c>
      <c r="D120" s="144"/>
      <c r="E120" s="145"/>
      <c r="F120" s="146"/>
      <c r="G120" s="164">
        <f t="shared" si="24"/>
        <v>0</v>
      </c>
      <c r="H120" s="147"/>
      <c r="I120" s="165"/>
      <c r="J120" s="149" t="str">
        <f t="shared" ca="1" si="16"/>
        <v/>
      </c>
      <c r="K120" s="150" t="b">
        <f t="shared" ca="1" si="26"/>
        <v>0</v>
      </c>
      <c r="L120" s="364">
        <f t="shared" si="25"/>
        <v>10</v>
      </c>
      <c r="M120" s="267">
        <v>39744</v>
      </c>
      <c r="N120" s="166">
        <f t="shared" si="17"/>
        <v>3</v>
      </c>
      <c r="O120" s="167">
        <f t="shared" ca="1" si="18"/>
        <v>1</v>
      </c>
      <c r="P120" s="168">
        <f t="shared" si="19"/>
        <v>1</v>
      </c>
      <c r="Q120" s="169" t="b">
        <f t="shared" si="27"/>
        <v>0</v>
      </c>
      <c r="R120" s="170" t="b">
        <f t="shared" ca="1" si="20"/>
        <v>1</v>
      </c>
      <c r="S120" s="166"/>
      <c r="T120" s="166"/>
      <c r="U120" s="171">
        <f t="shared" ca="1" si="21"/>
        <v>0.29166666666666669</v>
      </c>
      <c r="V120" s="172"/>
      <c r="W120" s="173">
        <f t="shared" si="22"/>
        <v>0</v>
      </c>
      <c r="X120" s="174"/>
      <c r="Y120" s="174"/>
      <c r="Z120" s="174"/>
      <c r="AA120" s="117"/>
    </row>
    <row r="121" spans="1:27" ht="13.5" thickBot="1">
      <c r="A121" s="417"/>
      <c r="B121" s="411"/>
      <c r="C121" s="261">
        <f t="shared" si="28"/>
        <v>39745</v>
      </c>
      <c r="D121" s="144"/>
      <c r="E121" s="145"/>
      <c r="F121" s="146"/>
      <c r="G121" s="164">
        <f t="shared" si="24"/>
        <v>0</v>
      </c>
      <c r="H121" s="147"/>
      <c r="I121" s="165"/>
      <c r="J121" s="149" t="str">
        <f t="shared" ca="1" si="16"/>
        <v/>
      </c>
      <c r="K121" s="150" t="b">
        <f t="shared" ca="1" si="26"/>
        <v>0</v>
      </c>
      <c r="L121" s="364">
        <f t="shared" si="25"/>
        <v>10</v>
      </c>
      <c r="M121" s="267">
        <v>39745</v>
      </c>
      <c r="N121" s="166">
        <f t="shared" si="17"/>
        <v>4</v>
      </c>
      <c r="O121" s="167">
        <f t="shared" ca="1" si="18"/>
        <v>1</v>
      </c>
      <c r="P121" s="168">
        <f t="shared" si="19"/>
        <v>1</v>
      </c>
      <c r="Q121" s="169" t="b">
        <f t="shared" si="27"/>
        <v>0</v>
      </c>
      <c r="R121" s="170" t="b">
        <f t="shared" ca="1" si="20"/>
        <v>1</v>
      </c>
      <c r="S121" s="166"/>
      <c r="T121" s="166"/>
      <c r="U121" s="171">
        <f t="shared" ca="1" si="21"/>
        <v>0.29166666666666669</v>
      </c>
      <c r="V121" s="172"/>
      <c r="W121" s="173">
        <f t="shared" si="22"/>
        <v>0</v>
      </c>
      <c r="X121" s="174"/>
      <c r="Y121" s="174"/>
      <c r="Z121" s="174"/>
      <c r="AA121" s="117"/>
    </row>
    <row r="122" spans="1:27" ht="13.5" thickBot="1">
      <c r="A122" s="417"/>
      <c r="B122" s="411"/>
      <c r="C122" s="262">
        <f t="shared" si="28"/>
        <v>39746</v>
      </c>
      <c r="D122" s="175"/>
      <c r="E122" s="176"/>
      <c r="F122" s="177"/>
      <c r="G122" s="178">
        <f t="shared" si="24"/>
        <v>0</v>
      </c>
      <c r="H122" s="279"/>
      <c r="I122" s="179"/>
      <c r="J122" s="180" t="str">
        <f t="shared" ca="1" si="16"/>
        <v/>
      </c>
      <c r="K122" s="181" t="b">
        <f t="shared" ca="1" si="26"/>
        <v>0</v>
      </c>
      <c r="L122" s="365">
        <f t="shared" si="25"/>
        <v>10</v>
      </c>
      <c r="M122" s="271">
        <v>39746</v>
      </c>
      <c r="N122" s="182">
        <f t="shared" si="17"/>
        <v>5</v>
      </c>
      <c r="O122" s="183">
        <f t="shared" ca="1" si="18"/>
        <v>1</v>
      </c>
      <c r="P122" s="184">
        <f t="shared" si="19"/>
        <v>1</v>
      </c>
      <c r="Q122" s="185" t="b">
        <f t="shared" si="27"/>
        <v>0</v>
      </c>
      <c r="R122" s="186" t="b">
        <f t="shared" ca="1" si="20"/>
        <v>1</v>
      </c>
      <c r="S122" s="182"/>
      <c r="T122" s="182"/>
      <c r="U122" s="187"/>
      <c r="V122" s="172"/>
      <c r="W122" s="188">
        <f t="shared" si="22"/>
        <v>0</v>
      </c>
      <c r="X122" s="174"/>
      <c r="Y122" s="174"/>
      <c r="Z122" s="174"/>
      <c r="AA122" s="117"/>
    </row>
    <row r="123" spans="1:27" ht="13.5" thickBot="1">
      <c r="A123" s="418"/>
      <c r="B123" s="412"/>
      <c r="C123" s="263">
        <f t="shared" si="28"/>
        <v>39747</v>
      </c>
      <c r="D123" s="189"/>
      <c r="E123" s="190"/>
      <c r="F123" s="191"/>
      <c r="G123" s="192">
        <f t="shared" si="24"/>
        <v>0</v>
      </c>
      <c r="H123" s="280"/>
      <c r="I123" s="193"/>
      <c r="J123" s="194" t="str">
        <f t="shared" ca="1" si="16"/>
        <v/>
      </c>
      <c r="K123" s="195" t="b">
        <f t="shared" ca="1" si="26"/>
        <v>0</v>
      </c>
      <c r="L123" s="366">
        <f t="shared" si="25"/>
        <v>10</v>
      </c>
      <c r="M123" s="272">
        <v>39747</v>
      </c>
      <c r="N123" s="196">
        <f t="shared" si="17"/>
        <v>6</v>
      </c>
      <c r="O123" s="197">
        <f t="shared" ca="1" si="18"/>
        <v>0</v>
      </c>
      <c r="P123" s="198">
        <f t="shared" si="19"/>
        <v>0</v>
      </c>
      <c r="Q123" s="199" t="b">
        <f t="shared" si="27"/>
        <v>0</v>
      </c>
      <c r="R123" s="200" t="b">
        <f t="shared" ca="1" si="20"/>
        <v>1</v>
      </c>
      <c r="S123" s="196" t="b">
        <f>AND(R123,R117)</f>
        <v>1</v>
      </c>
      <c r="T123" s="196" t="b">
        <f>OR(R123,R117)</f>
        <v>1</v>
      </c>
      <c r="U123" s="201"/>
      <c r="V123" s="202">
        <f ca="1">IF(Sem_entame,SUM(U117:U123),"")</f>
        <v>1.4583333333333335</v>
      </c>
      <c r="W123" s="203">
        <f t="shared" si="22"/>
        <v>0</v>
      </c>
      <c r="X123" s="204">
        <f ca="1">SUM(W117:W123)</f>
        <v>0</v>
      </c>
      <c r="Y123" s="204">
        <f ca="1">IF(Sem_entame,X123-V123,"")</f>
        <v>-1.4583333333333335</v>
      </c>
      <c r="Z123" s="204">
        <f ca="1">IF(Sem_entame,Y123+IF(ISNUMBER(Z116),Z116,0),"")</f>
        <v>-21.145833333333336</v>
      </c>
      <c r="AA123" s="117"/>
    </row>
    <row r="124" spans="1:27" ht="12.75" customHeight="1" thickBot="1">
      <c r="A124" s="416">
        <f>A117+1</f>
        <v>18</v>
      </c>
      <c r="B124" s="411" t="str">
        <f>IF(L124&lt;&gt;L130,TEXT(C130,"mmm"&amp;"-"),"")&amp;TEXT(C124,"mmm")</f>
        <v>nov-oct</v>
      </c>
      <c r="C124" s="260">
        <f t="shared" si="28"/>
        <v>39748</v>
      </c>
      <c r="D124" s="144"/>
      <c r="E124" s="145"/>
      <c r="F124" s="146"/>
      <c r="G124" s="147">
        <f t="shared" si="24"/>
        <v>0</v>
      </c>
      <c r="H124" s="147"/>
      <c r="I124" s="148"/>
      <c r="J124" s="207" t="str">
        <f t="shared" ca="1" si="16"/>
        <v/>
      </c>
      <c r="K124" s="150" t="b">
        <f t="shared" ca="1" si="26"/>
        <v>0</v>
      </c>
      <c r="L124" s="362">
        <f t="shared" si="25"/>
        <v>10</v>
      </c>
      <c r="M124" s="266">
        <v>39748</v>
      </c>
      <c r="N124" s="151">
        <f t="shared" si="17"/>
        <v>7</v>
      </c>
      <c r="O124" s="152">
        <f t="shared" ca="1" si="18"/>
        <v>0</v>
      </c>
      <c r="P124" s="153">
        <f t="shared" si="19"/>
        <v>0</v>
      </c>
      <c r="Q124" s="154" t="b">
        <f t="shared" si="27"/>
        <v>0</v>
      </c>
      <c r="R124" s="155" t="b">
        <f t="shared" ca="1" si="20"/>
        <v>1</v>
      </c>
      <c r="S124" s="156"/>
      <c r="T124" s="156"/>
      <c r="U124" s="157">
        <f t="shared" ca="1" si="21"/>
        <v>0.29166666666666669</v>
      </c>
      <c r="V124" s="158"/>
      <c r="W124" s="159">
        <f t="shared" si="22"/>
        <v>0</v>
      </c>
      <c r="X124" s="160"/>
      <c r="Y124" s="160"/>
      <c r="Z124" s="160"/>
      <c r="AA124" s="117"/>
    </row>
    <row r="125" spans="1:27" ht="13.5" thickBot="1">
      <c r="A125" s="417"/>
      <c r="B125" s="411"/>
      <c r="C125" s="261">
        <f t="shared" si="28"/>
        <v>39749</v>
      </c>
      <c r="D125" s="144"/>
      <c r="E125" s="145"/>
      <c r="F125" s="146"/>
      <c r="G125" s="164">
        <f t="shared" si="24"/>
        <v>0</v>
      </c>
      <c r="H125" s="147"/>
      <c r="I125" s="165"/>
      <c r="J125" s="149" t="str">
        <f t="shared" ca="1" si="16"/>
        <v/>
      </c>
      <c r="K125" s="150" t="b">
        <f t="shared" ca="1" si="26"/>
        <v>0</v>
      </c>
      <c r="L125" s="364">
        <f t="shared" si="25"/>
        <v>10</v>
      </c>
      <c r="M125" s="267">
        <v>39749</v>
      </c>
      <c r="N125" s="166">
        <f t="shared" si="17"/>
        <v>1</v>
      </c>
      <c r="O125" s="167">
        <f t="shared" ca="1" si="18"/>
        <v>1</v>
      </c>
      <c r="P125" s="168">
        <f t="shared" si="19"/>
        <v>1</v>
      </c>
      <c r="Q125" s="169" t="b">
        <f t="shared" si="27"/>
        <v>0</v>
      </c>
      <c r="R125" s="170" t="b">
        <f t="shared" ca="1" si="20"/>
        <v>1</v>
      </c>
      <c r="S125" s="166"/>
      <c r="T125" s="166"/>
      <c r="U125" s="171">
        <f t="shared" ca="1" si="21"/>
        <v>0.29166666666666669</v>
      </c>
      <c r="V125" s="172"/>
      <c r="W125" s="173">
        <f t="shared" si="22"/>
        <v>0</v>
      </c>
      <c r="X125" s="174"/>
      <c r="Y125" s="174"/>
      <c r="Z125" s="174"/>
      <c r="AA125" s="117"/>
    </row>
    <row r="126" spans="1:27" ht="13.5" thickBot="1">
      <c r="A126" s="417"/>
      <c r="B126" s="411"/>
      <c r="C126" s="261">
        <f t="shared" si="28"/>
        <v>39750</v>
      </c>
      <c r="D126" s="144"/>
      <c r="E126" s="145"/>
      <c r="F126" s="146"/>
      <c r="G126" s="164">
        <f t="shared" si="24"/>
        <v>0</v>
      </c>
      <c r="H126" s="147"/>
      <c r="I126" s="165"/>
      <c r="J126" s="149" t="str">
        <f t="shared" ca="1" si="16"/>
        <v/>
      </c>
      <c r="K126" s="150" t="b">
        <f t="shared" ca="1" si="26"/>
        <v>0</v>
      </c>
      <c r="L126" s="364">
        <f t="shared" si="25"/>
        <v>10</v>
      </c>
      <c r="M126" s="267">
        <v>39750</v>
      </c>
      <c r="N126" s="166">
        <f t="shared" si="17"/>
        <v>2</v>
      </c>
      <c r="O126" s="167">
        <f t="shared" ca="1" si="18"/>
        <v>1</v>
      </c>
      <c r="P126" s="168">
        <f t="shared" si="19"/>
        <v>1</v>
      </c>
      <c r="Q126" s="169" t="b">
        <f t="shared" si="27"/>
        <v>0</v>
      </c>
      <c r="R126" s="170" t="b">
        <f t="shared" ca="1" si="20"/>
        <v>1</v>
      </c>
      <c r="S126" s="166"/>
      <c r="T126" s="166"/>
      <c r="U126" s="171">
        <f t="shared" ca="1" si="21"/>
        <v>0.29166666666666669</v>
      </c>
      <c r="V126" s="172"/>
      <c r="W126" s="173">
        <f t="shared" si="22"/>
        <v>0</v>
      </c>
      <c r="X126" s="174"/>
      <c r="Y126" s="174"/>
      <c r="Z126" s="174"/>
      <c r="AA126" s="117"/>
    </row>
    <row r="127" spans="1:27" ht="13.5" thickBot="1">
      <c r="A127" s="417"/>
      <c r="B127" s="411"/>
      <c r="C127" s="261">
        <f t="shared" si="28"/>
        <v>39751</v>
      </c>
      <c r="D127" s="144"/>
      <c r="E127" s="145"/>
      <c r="F127" s="146"/>
      <c r="G127" s="164">
        <f t="shared" si="24"/>
        <v>0</v>
      </c>
      <c r="H127" s="147"/>
      <c r="I127" s="165"/>
      <c r="J127" s="149" t="str">
        <f t="shared" ca="1" si="16"/>
        <v/>
      </c>
      <c r="K127" s="150" t="b">
        <f t="shared" ca="1" si="26"/>
        <v>0</v>
      </c>
      <c r="L127" s="364">
        <f t="shared" si="25"/>
        <v>10</v>
      </c>
      <c r="M127" s="267">
        <v>39751</v>
      </c>
      <c r="N127" s="166">
        <f t="shared" si="17"/>
        <v>3</v>
      </c>
      <c r="O127" s="167">
        <f t="shared" ca="1" si="18"/>
        <v>1</v>
      </c>
      <c r="P127" s="168">
        <f t="shared" si="19"/>
        <v>1</v>
      </c>
      <c r="Q127" s="169" t="b">
        <f t="shared" si="27"/>
        <v>0</v>
      </c>
      <c r="R127" s="170" t="b">
        <f t="shared" ca="1" si="20"/>
        <v>1</v>
      </c>
      <c r="S127" s="166"/>
      <c r="T127" s="166"/>
      <c r="U127" s="171">
        <f t="shared" ca="1" si="21"/>
        <v>0.29166666666666669</v>
      </c>
      <c r="V127" s="172"/>
      <c r="W127" s="173">
        <f t="shared" si="22"/>
        <v>0</v>
      </c>
      <c r="X127" s="174"/>
      <c r="Y127" s="174"/>
      <c r="Z127" s="174"/>
      <c r="AA127" s="117"/>
    </row>
    <row r="128" spans="1:27" ht="13.5" thickBot="1">
      <c r="A128" s="417"/>
      <c r="B128" s="411"/>
      <c r="C128" s="261">
        <f t="shared" si="28"/>
        <v>39752</v>
      </c>
      <c r="D128" s="144"/>
      <c r="E128" s="145"/>
      <c r="F128" s="146"/>
      <c r="G128" s="164">
        <f t="shared" si="24"/>
        <v>0</v>
      </c>
      <c r="H128" s="147"/>
      <c r="I128" s="165"/>
      <c r="J128" s="149" t="str">
        <f t="shared" ca="1" si="16"/>
        <v/>
      </c>
      <c r="K128" s="150" t="b">
        <f t="shared" ca="1" si="26"/>
        <v>0</v>
      </c>
      <c r="L128" s="364">
        <f t="shared" si="25"/>
        <v>11</v>
      </c>
      <c r="M128" s="267">
        <v>39752</v>
      </c>
      <c r="N128" s="166">
        <f t="shared" si="17"/>
        <v>4</v>
      </c>
      <c r="O128" s="167">
        <f t="shared" ca="1" si="18"/>
        <v>0</v>
      </c>
      <c r="P128" s="168">
        <f t="shared" si="19"/>
        <v>1</v>
      </c>
      <c r="Q128" s="169" t="b">
        <f t="shared" si="27"/>
        <v>1</v>
      </c>
      <c r="R128" s="170" t="b">
        <f t="shared" ca="1" si="20"/>
        <v>1</v>
      </c>
      <c r="S128" s="166"/>
      <c r="T128" s="166"/>
      <c r="U128" s="171">
        <f t="shared" ca="1" si="21"/>
        <v>0.29166666666666669</v>
      </c>
      <c r="V128" s="172"/>
      <c r="W128" s="173">
        <f t="shared" si="22"/>
        <v>0</v>
      </c>
      <c r="X128" s="174"/>
      <c r="Y128" s="174"/>
      <c r="Z128" s="174"/>
      <c r="AA128" s="117"/>
    </row>
    <row r="129" spans="1:27" ht="13.5" thickBot="1">
      <c r="A129" s="417"/>
      <c r="B129" s="411"/>
      <c r="C129" s="262">
        <f t="shared" si="28"/>
        <v>39753</v>
      </c>
      <c r="D129" s="175"/>
      <c r="E129" s="176"/>
      <c r="F129" s="177"/>
      <c r="G129" s="178">
        <f t="shared" si="24"/>
        <v>0</v>
      </c>
      <c r="H129" s="279"/>
      <c r="I129" s="179"/>
      <c r="J129" s="180" t="str">
        <f t="shared" ca="1" si="16"/>
        <v/>
      </c>
      <c r="K129" s="181" t="b">
        <f t="shared" ca="1" si="26"/>
        <v>0</v>
      </c>
      <c r="L129" s="365">
        <f t="shared" si="25"/>
        <v>11</v>
      </c>
      <c r="M129" s="271">
        <v>39753</v>
      </c>
      <c r="N129" s="182">
        <f t="shared" si="17"/>
        <v>5</v>
      </c>
      <c r="O129" s="183">
        <f t="shared" ca="1" si="18"/>
        <v>1</v>
      </c>
      <c r="P129" s="184">
        <f t="shared" si="19"/>
        <v>1</v>
      </c>
      <c r="Q129" s="185" t="b">
        <f t="shared" si="27"/>
        <v>0</v>
      </c>
      <c r="R129" s="186" t="b">
        <f t="shared" ca="1" si="20"/>
        <v>1</v>
      </c>
      <c r="S129" s="182"/>
      <c r="T129" s="182"/>
      <c r="U129" s="187"/>
      <c r="V129" s="172"/>
      <c r="W129" s="188">
        <f t="shared" si="22"/>
        <v>0</v>
      </c>
      <c r="X129" s="174"/>
      <c r="Y129" s="174"/>
      <c r="Z129" s="174"/>
      <c r="AA129" s="117"/>
    </row>
    <row r="130" spans="1:27" ht="13.5" thickBot="1">
      <c r="A130" s="418"/>
      <c r="B130" s="412"/>
      <c r="C130" s="263">
        <f t="shared" si="28"/>
        <v>39754</v>
      </c>
      <c r="D130" s="189"/>
      <c r="E130" s="190"/>
      <c r="F130" s="191"/>
      <c r="G130" s="192">
        <f t="shared" si="24"/>
        <v>0</v>
      </c>
      <c r="H130" s="280"/>
      <c r="I130" s="193"/>
      <c r="J130" s="194" t="str">
        <f t="shared" ca="1" si="16"/>
        <v/>
      </c>
      <c r="K130" s="195" t="b">
        <f t="shared" ca="1" si="26"/>
        <v>0</v>
      </c>
      <c r="L130" s="366">
        <f t="shared" si="25"/>
        <v>11</v>
      </c>
      <c r="M130" s="272">
        <v>39754</v>
      </c>
      <c r="N130" s="196">
        <f t="shared" si="17"/>
        <v>6</v>
      </c>
      <c r="O130" s="197">
        <f t="shared" ca="1" si="18"/>
        <v>0</v>
      </c>
      <c r="P130" s="198">
        <f t="shared" si="19"/>
        <v>0</v>
      </c>
      <c r="Q130" s="199" t="b">
        <f t="shared" si="27"/>
        <v>0</v>
      </c>
      <c r="R130" s="200" t="b">
        <f t="shared" ca="1" si="20"/>
        <v>1</v>
      </c>
      <c r="S130" s="196" t="b">
        <f>AND(R130,R124)</f>
        <v>1</v>
      </c>
      <c r="T130" s="196" t="b">
        <f>OR(R130,R124)</f>
        <v>1</v>
      </c>
      <c r="U130" s="201"/>
      <c r="V130" s="202">
        <f ca="1">IF(Sem_entame,SUM(U124:U130),"")</f>
        <v>1.4583333333333335</v>
      </c>
      <c r="W130" s="203">
        <f t="shared" si="22"/>
        <v>0</v>
      </c>
      <c r="X130" s="204">
        <f ca="1">SUM(W124:W130)</f>
        <v>0</v>
      </c>
      <c r="Y130" s="204">
        <f ca="1">IF(Sem_entame,X130-V130,"")</f>
        <v>-1.4583333333333335</v>
      </c>
      <c r="Z130" s="204">
        <f ca="1">IF(Sem_entame,Y130+IF(ISNUMBER(Z123),Z123,0),"")</f>
        <v>-22.604166666666668</v>
      </c>
      <c r="AA130" s="117"/>
    </row>
    <row r="131" spans="1:27" ht="12.75" customHeight="1" thickBot="1">
      <c r="A131" s="416">
        <f>A124+1</f>
        <v>19</v>
      </c>
      <c r="B131" s="411" t="str">
        <f>IF(L131&lt;&gt;L137,TEXT(C137,"mmm"&amp;"-"),"")&amp;TEXT(C131,"mmm")</f>
        <v>nov</v>
      </c>
      <c r="C131" s="260">
        <f t="shared" si="28"/>
        <v>39755</v>
      </c>
      <c r="D131" s="144"/>
      <c r="E131" s="145"/>
      <c r="F131" s="146"/>
      <c r="G131" s="147">
        <f t="shared" si="24"/>
        <v>0</v>
      </c>
      <c r="H131" s="147"/>
      <c r="I131" s="148"/>
      <c r="J131" s="207" t="str">
        <f t="shared" ca="1" si="16"/>
        <v/>
      </c>
      <c r="K131" s="150" t="b">
        <f t="shared" ca="1" si="26"/>
        <v>0</v>
      </c>
      <c r="L131" s="362">
        <f t="shared" si="25"/>
        <v>11</v>
      </c>
      <c r="M131" s="266">
        <v>39755</v>
      </c>
      <c r="N131" s="151">
        <f t="shared" si="17"/>
        <v>7</v>
      </c>
      <c r="O131" s="152">
        <f t="shared" ca="1" si="18"/>
        <v>0</v>
      </c>
      <c r="P131" s="153">
        <f t="shared" si="19"/>
        <v>0</v>
      </c>
      <c r="Q131" s="154" t="b">
        <f t="shared" si="27"/>
        <v>0</v>
      </c>
      <c r="R131" s="155" t="b">
        <f t="shared" ca="1" si="20"/>
        <v>1</v>
      </c>
      <c r="S131" s="156"/>
      <c r="T131" s="156"/>
      <c r="U131" s="157">
        <f t="shared" ca="1" si="21"/>
        <v>0.29166666666666669</v>
      </c>
      <c r="V131" s="158"/>
      <c r="W131" s="159">
        <f t="shared" si="22"/>
        <v>0</v>
      </c>
      <c r="X131" s="160"/>
      <c r="Y131" s="160"/>
      <c r="Z131" s="160"/>
      <c r="AA131" s="117"/>
    </row>
    <row r="132" spans="1:27" ht="13.5" thickBot="1">
      <c r="A132" s="417"/>
      <c r="B132" s="411"/>
      <c r="C132" s="261">
        <f t="shared" si="28"/>
        <v>39756</v>
      </c>
      <c r="D132" s="144"/>
      <c r="E132" s="145"/>
      <c r="F132" s="146"/>
      <c r="G132" s="164">
        <f t="shared" si="24"/>
        <v>0</v>
      </c>
      <c r="H132" s="147"/>
      <c r="I132" s="165"/>
      <c r="J132" s="149" t="str">
        <f t="shared" ca="1" si="16"/>
        <v/>
      </c>
      <c r="K132" s="150" t="b">
        <f t="shared" ca="1" si="26"/>
        <v>0</v>
      </c>
      <c r="L132" s="364">
        <f t="shared" si="25"/>
        <v>11</v>
      </c>
      <c r="M132" s="267">
        <v>39756</v>
      </c>
      <c r="N132" s="166">
        <f t="shared" si="17"/>
        <v>1</v>
      </c>
      <c r="O132" s="167">
        <f t="shared" ca="1" si="18"/>
        <v>1</v>
      </c>
      <c r="P132" s="168">
        <f t="shared" si="19"/>
        <v>1</v>
      </c>
      <c r="Q132" s="169" t="b">
        <f t="shared" si="27"/>
        <v>0</v>
      </c>
      <c r="R132" s="170" t="b">
        <f t="shared" ca="1" si="20"/>
        <v>1</v>
      </c>
      <c r="S132" s="166"/>
      <c r="T132" s="166"/>
      <c r="U132" s="171">
        <f t="shared" ca="1" si="21"/>
        <v>0.29166666666666669</v>
      </c>
      <c r="V132" s="172"/>
      <c r="W132" s="173">
        <f t="shared" si="22"/>
        <v>0</v>
      </c>
      <c r="X132" s="174"/>
      <c r="Y132" s="174"/>
      <c r="Z132" s="174"/>
      <c r="AA132" s="117"/>
    </row>
    <row r="133" spans="1:27" ht="13.5" thickBot="1">
      <c r="A133" s="417"/>
      <c r="B133" s="411"/>
      <c r="C133" s="261">
        <f t="shared" si="28"/>
        <v>39757</v>
      </c>
      <c r="D133" s="144"/>
      <c r="E133" s="145"/>
      <c r="F133" s="146"/>
      <c r="G133" s="164">
        <f t="shared" si="24"/>
        <v>0</v>
      </c>
      <c r="H133" s="147"/>
      <c r="I133" s="165"/>
      <c r="J133" s="149" t="str">
        <f t="shared" ref="J133:J196" ca="1" si="29">IF(I133&lt;&gt;"",MATCH(I133,L_Motif_Abscence,0),"")</f>
        <v/>
      </c>
      <c r="K133" s="150" t="b">
        <f t="shared" ca="1" si="26"/>
        <v>0</v>
      </c>
      <c r="L133" s="364">
        <f t="shared" si="25"/>
        <v>11</v>
      </c>
      <c r="M133" s="267">
        <v>39757</v>
      </c>
      <c r="N133" s="166">
        <f t="shared" ref="N133:N196" si="30">WEEKDAY(C133,2)</f>
        <v>2</v>
      </c>
      <c r="O133" s="167">
        <f t="shared" ref="O133:O196" ca="1" si="31">NETWORKDAYS(C133,C133,Fériés)</f>
        <v>1</v>
      </c>
      <c r="P133" s="168">
        <f t="shared" ref="P133:P196" si="32">NETWORKDAYS(C133,C133)</f>
        <v>1</v>
      </c>
      <c r="Q133" s="169" t="b">
        <f t="shared" si="27"/>
        <v>0</v>
      </c>
      <c r="R133" s="170" t="b">
        <f t="shared" ref="R133:R196" ca="1" si="33">AND(C133&gt;=Jour_Debut,C133&lt;=Jour_Fin)</f>
        <v>1</v>
      </c>
      <c r="S133" s="166"/>
      <c r="T133" s="166"/>
      <c r="U133" s="171">
        <f t="shared" ref="U133:U196" ca="1" si="34">IF(bornes,"7:00"*1,0)</f>
        <v>0.29166666666666669</v>
      </c>
      <c r="V133" s="172"/>
      <c r="W133" s="173">
        <f t="shared" ref="W133:W196" si="35">G133+K133</f>
        <v>0</v>
      </c>
      <c r="X133" s="174"/>
      <c r="Y133" s="174"/>
      <c r="Z133" s="174"/>
      <c r="AA133" s="117"/>
    </row>
    <row r="134" spans="1:27" ht="13.5" thickBot="1">
      <c r="A134" s="417"/>
      <c r="B134" s="411"/>
      <c r="C134" s="261">
        <f t="shared" si="28"/>
        <v>39758</v>
      </c>
      <c r="D134" s="144"/>
      <c r="E134" s="145"/>
      <c r="F134" s="146"/>
      <c r="G134" s="164">
        <f t="shared" ref="G134:G197" si="36">E134-D134-F134</f>
        <v>0</v>
      </c>
      <c r="H134" s="147"/>
      <c r="I134" s="165"/>
      <c r="J134" s="149" t="str">
        <f t="shared" ca="1" si="29"/>
        <v/>
      </c>
      <c r="K134" s="150" t="b">
        <f t="shared" ca="1" si="26"/>
        <v>0</v>
      </c>
      <c r="L134" s="364">
        <f t="shared" ref="L134:L197" si="37">MONTH(C134)</f>
        <v>11</v>
      </c>
      <c r="M134" s="267">
        <v>39758</v>
      </c>
      <c r="N134" s="166">
        <f t="shared" si="30"/>
        <v>3</v>
      </c>
      <c r="O134" s="167">
        <f t="shared" ca="1" si="31"/>
        <v>1</v>
      </c>
      <c r="P134" s="168">
        <f t="shared" si="32"/>
        <v>1</v>
      </c>
      <c r="Q134" s="169" t="b">
        <f t="shared" si="27"/>
        <v>0</v>
      </c>
      <c r="R134" s="170" t="b">
        <f t="shared" ca="1" si="33"/>
        <v>1</v>
      </c>
      <c r="S134" s="166"/>
      <c r="T134" s="166"/>
      <c r="U134" s="171">
        <f t="shared" ca="1" si="34"/>
        <v>0.29166666666666669</v>
      </c>
      <c r="V134" s="172"/>
      <c r="W134" s="173">
        <f t="shared" si="35"/>
        <v>0</v>
      </c>
      <c r="X134" s="174"/>
      <c r="Y134" s="174"/>
      <c r="Z134" s="174"/>
      <c r="AA134" s="117"/>
    </row>
    <row r="135" spans="1:27" ht="13.5" thickBot="1">
      <c r="A135" s="417"/>
      <c r="B135" s="411"/>
      <c r="C135" s="261">
        <f t="shared" si="28"/>
        <v>39759</v>
      </c>
      <c r="D135" s="144"/>
      <c r="E135" s="145"/>
      <c r="F135" s="146"/>
      <c r="G135" s="164">
        <f t="shared" si="36"/>
        <v>0</v>
      </c>
      <c r="H135" s="147"/>
      <c r="I135" s="165"/>
      <c r="J135" s="149" t="str">
        <f t="shared" ca="1" si="29"/>
        <v/>
      </c>
      <c r="K135" s="150" t="b">
        <f t="shared" ca="1" si="26"/>
        <v>0</v>
      </c>
      <c r="L135" s="364">
        <f t="shared" si="37"/>
        <v>11</v>
      </c>
      <c r="M135" s="267">
        <v>39759</v>
      </c>
      <c r="N135" s="166">
        <f t="shared" si="30"/>
        <v>4</v>
      </c>
      <c r="O135" s="167">
        <f t="shared" ca="1" si="31"/>
        <v>1</v>
      </c>
      <c r="P135" s="168">
        <f t="shared" si="32"/>
        <v>1</v>
      </c>
      <c r="Q135" s="169" t="b">
        <f t="shared" si="27"/>
        <v>0</v>
      </c>
      <c r="R135" s="170" t="b">
        <f t="shared" ca="1" si="33"/>
        <v>1</v>
      </c>
      <c r="S135" s="166"/>
      <c r="T135" s="166"/>
      <c r="U135" s="171">
        <f t="shared" ca="1" si="34"/>
        <v>0.29166666666666669</v>
      </c>
      <c r="V135" s="172"/>
      <c r="W135" s="173">
        <f t="shared" si="35"/>
        <v>0</v>
      </c>
      <c r="X135" s="174"/>
      <c r="Y135" s="174"/>
      <c r="Z135" s="174"/>
      <c r="AA135" s="117"/>
    </row>
    <row r="136" spans="1:27" ht="13.5" thickBot="1">
      <c r="A136" s="417"/>
      <c r="B136" s="411"/>
      <c r="C136" s="262">
        <f t="shared" si="28"/>
        <v>39760</v>
      </c>
      <c r="D136" s="175"/>
      <c r="E136" s="176"/>
      <c r="F136" s="177"/>
      <c r="G136" s="178">
        <f t="shared" si="36"/>
        <v>0</v>
      </c>
      <c r="H136" s="279"/>
      <c r="I136" s="179"/>
      <c r="J136" s="180" t="str">
        <f t="shared" ca="1" si="29"/>
        <v/>
      </c>
      <c r="K136" s="181" t="b">
        <f t="shared" ca="1" si="26"/>
        <v>0</v>
      </c>
      <c r="L136" s="365">
        <f t="shared" si="37"/>
        <v>11</v>
      </c>
      <c r="M136" s="271">
        <v>39760</v>
      </c>
      <c r="N136" s="182">
        <f t="shared" si="30"/>
        <v>5</v>
      </c>
      <c r="O136" s="183">
        <f t="shared" ca="1" si="31"/>
        <v>1</v>
      </c>
      <c r="P136" s="184">
        <f t="shared" si="32"/>
        <v>1</v>
      </c>
      <c r="Q136" s="185" t="b">
        <f t="shared" si="27"/>
        <v>0</v>
      </c>
      <c r="R136" s="186" t="b">
        <f t="shared" ca="1" si="33"/>
        <v>1</v>
      </c>
      <c r="S136" s="182"/>
      <c r="T136" s="182"/>
      <c r="U136" s="187"/>
      <c r="V136" s="172"/>
      <c r="W136" s="188">
        <f t="shared" si="35"/>
        <v>0</v>
      </c>
      <c r="X136" s="174"/>
      <c r="Y136" s="174"/>
      <c r="Z136" s="174"/>
      <c r="AA136" s="117"/>
    </row>
    <row r="137" spans="1:27" ht="13.5" thickBot="1">
      <c r="A137" s="418"/>
      <c r="B137" s="412"/>
      <c r="C137" s="263">
        <f t="shared" si="28"/>
        <v>39761</v>
      </c>
      <c r="D137" s="189"/>
      <c r="E137" s="190"/>
      <c r="F137" s="191"/>
      <c r="G137" s="192">
        <f t="shared" si="36"/>
        <v>0</v>
      </c>
      <c r="H137" s="280"/>
      <c r="I137" s="193"/>
      <c r="J137" s="194" t="str">
        <f t="shared" ca="1" si="29"/>
        <v/>
      </c>
      <c r="K137" s="195" t="b">
        <f t="shared" ca="1" si="26"/>
        <v>0</v>
      </c>
      <c r="L137" s="366">
        <f t="shared" si="37"/>
        <v>11</v>
      </c>
      <c r="M137" s="272">
        <v>39761</v>
      </c>
      <c r="N137" s="196">
        <f t="shared" si="30"/>
        <v>6</v>
      </c>
      <c r="O137" s="197">
        <f t="shared" ca="1" si="31"/>
        <v>0</v>
      </c>
      <c r="P137" s="198">
        <f t="shared" si="32"/>
        <v>0</v>
      </c>
      <c r="Q137" s="199" t="b">
        <f t="shared" si="27"/>
        <v>0</v>
      </c>
      <c r="R137" s="200" t="b">
        <f t="shared" ca="1" si="33"/>
        <v>1</v>
      </c>
      <c r="S137" s="196" t="b">
        <f>AND(R137,R131)</f>
        <v>1</v>
      </c>
      <c r="T137" s="196" t="b">
        <f>OR(R137,R131)</f>
        <v>1</v>
      </c>
      <c r="U137" s="201"/>
      <c r="V137" s="202">
        <f ca="1">IF(Sem_entame,SUM(U131:U137),"")</f>
        <v>1.4583333333333335</v>
      </c>
      <c r="W137" s="203">
        <f t="shared" si="35"/>
        <v>0</v>
      </c>
      <c r="X137" s="204">
        <f ca="1">SUM(W131:W137)</f>
        <v>0</v>
      </c>
      <c r="Y137" s="204">
        <f ca="1">IF(Sem_entame,X137-V137,"")</f>
        <v>-1.4583333333333335</v>
      </c>
      <c r="Z137" s="204">
        <f ca="1">IF(Sem_entame,Y137+IF(ISNUMBER(Z130),Z130,0),"")</f>
        <v>-24.0625</v>
      </c>
      <c r="AA137" s="117"/>
    </row>
    <row r="138" spans="1:27" ht="12.75" customHeight="1" thickBot="1">
      <c r="A138" s="416">
        <f>A131+1</f>
        <v>20</v>
      </c>
      <c r="B138" s="411" t="str">
        <f>IF(L138&lt;&gt;L144,TEXT(C144,"mmm"&amp;"-"),"")&amp;TEXT(C138,"mmm")</f>
        <v>nov</v>
      </c>
      <c r="C138" s="260">
        <f t="shared" si="28"/>
        <v>39762</v>
      </c>
      <c r="D138" s="144"/>
      <c r="E138" s="145"/>
      <c r="F138" s="146"/>
      <c r="G138" s="147">
        <f t="shared" si="36"/>
        <v>0</v>
      </c>
      <c r="H138" s="147"/>
      <c r="I138" s="148"/>
      <c r="J138" s="207" t="str">
        <f t="shared" ca="1" si="29"/>
        <v/>
      </c>
      <c r="K138" s="150" t="b">
        <f t="shared" ca="1" si="26"/>
        <v>0</v>
      </c>
      <c r="L138" s="362">
        <f t="shared" si="37"/>
        <v>11</v>
      </c>
      <c r="M138" s="266">
        <v>39762</v>
      </c>
      <c r="N138" s="151">
        <f t="shared" si="30"/>
        <v>7</v>
      </c>
      <c r="O138" s="152">
        <f t="shared" ca="1" si="31"/>
        <v>0</v>
      </c>
      <c r="P138" s="153">
        <f t="shared" si="32"/>
        <v>0</v>
      </c>
      <c r="Q138" s="154" t="b">
        <f t="shared" si="27"/>
        <v>0</v>
      </c>
      <c r="R138" s="155" t="b">
        <f t="shared" ca="1" si="33"/>
        <v>1</v>
      </c>
      <c r="S138" s="156"/>
      <c r="T138" s="156"/>
      <c r="U138" s="157">
        <f t="shared" ca="1" si="34"/>
        <v>0.29166666666666669</v>
      </c>
      <c r="V138" s="158"/>
      <c r="W138" s="159">
        <f t="shared" si="35"/>
        <v>0</v>
      </c>
      <c r="X138" s="160"/>
      <c r="Y138" s="160"/>
      <c r="Z138" s="160"/>
      <c r="AA138" s="117"/>
    </row>
    <row r="139" spans="1:27" ht="13.5" thickBot="1">
      <c r="A139" s="417"/>
      <c r="B139" s="411"/>
      <c r="C139" s="261">
        <f t="shared" si="28"/>
        <v>39763</v>
      </c>
      <c r="D139" s="144"/>
      <c r="E139" s="145"/>
      <c r="F139" s="146"/>
      <c r="G139" s="164">
        <f t="shared" si="36"/>
        <v>0</v>
      </c>
      <c r="H139" s="147"/>
      <c r="I139" s="165"/>
      <c r="J139" s="149" t="str">
        <f t="shared" ca="1" si="29"/>
        <v/>
      </c>
      <c r="K139" s="150" t="b">
        <f t="shared" ca="1" si="26"/>
        <v>0</v>
      </c>
      <c r="L139" s="364">
        <f t="shared" si="37"/>
        <v>11</v>
      </c>
      <c r="M139" s="267">
        <v>39763</v>
      </c>
      <c r="N139" s="166">
        <f t="shared" si="30"/>
        <v>1</v>
      </c>
      <c r="O139" s="167">
        <f t="shared" ca="1" si="31"/>
        <v>1</v>
      </c>
      <c r="P139" s="168">
        <f t="shared" si="32"/>
        <v>1</v>
      </c>
      <c r="Q139" s="169" t="b">
        <f t="shared" si="27"/>
        <v>0</v>
      </c>
      <c r="R139" s="170" t="b">
        <f t="shared" ca="1" si="33"/>
        <v>1</v>
      </c>
      <c r="S139" s="166"/>
      <c r="T139" s="166"/>
      <c r="U139" s="171">
        <f t="shared" ca="1" si="34"/>
        <v>0.29166666666666669</v>
      </c>
      <c r="V139" s="172"/>
      <c r="W139" s="173">
        <f t="shared" si="35"/>
        <v>0</v>
      </c>
      <c r="X139" s="174"/>
      <c r="Y139" s="174"/>
      <c r="Z139" s="174"/>
      <c r="AA139" s="117"/>
    </row>
    <row r="140" spans="1:27" ht="13.5" thickBot="1">
      <c r="A140" s="417"/>
      <c r="B140" s="411"/>
      <c r="C140" s="261">
        <f t="shared" si="28"/>
        <v>39764</v>
      </c>
      <c r="D140" s="144"/>
      <c r="E140" s="145"/>
      <c r="F140" s="146"/>
      <c r="G140" s="164">
        <f t="shared" si="36"/>
        <v>0</v>
      </c>
      <c r="H140" s="147"/>
      <c r="I140" s="165"/>
      <c r="J140" s="149" t="str">
        <f t="shared" ca="1" si="29"/>
        <v/>
      </c>
      <c r="K140" s="150" t="b">
        <f t="shared" ref="K140:K203" ca="1" si="38">IF(J140&lt;&gt;"",INDEX(H_abscence,J140))</f>
        <v>0</v>
      </c>
      <c r="L140" s="364">
        <f t="shared" si="37"/>
        <v>11</v>
      </c>
      <c r="M140" s="267">
        <v>39764</v>
      </c>
      <c r="N140" s="166">
        <f t="shared" si="30"/>
        <v>2</v>
      </c>
      <c r="O140" s="167">
        <f t="shared" ca="1" si="31"/>
        <v>1</v>
      </c>
      <c r="P140" s="168">
        <f t="shared" si="32"/>
        <v>1</v>
      </c>
      <c r="Q140" s="169" t="b">
        <f t="shared" ref="Q140:Q203" si="39">(O140+P140)=1</f>
        <v>0</v>
      </c>
      <c r="R140" s="170" t="b">
        <f t="shared" ca="1" si="33"/>
        <v>1</v>
      </c>
      <c r="S140" s="166"/>
      <c r="T140" s="166"/>
      <c r="U140" s="171">
        <f t="shared" ca="1" si="34"/>
        <v>0.29166666666666669</v>
      </c>
      <c r="V140" s="172"/>
      <c r="W140" s="173">
        <f t="shared" si="35"/>
        <v>0</v>
      </c>
      <c r="X140" s="174"/>
      <c r="Y140" s="174"/>
      <c r="Z140" s="174"/>
      <c r="AA140" s="117"/>
    </row>
    <row r="141" spans="1:27" ht="13.5" thickBot="1">
      <c r="A141" s="417"/>
      <c r="B141" s="411"/>
      <c r="C141" s="261">
        <f t="shared" si="28"/>
        <v>39765</v>
      </c>
      <c r="D141" s="144"/>
      <c r="E141" s="145"/>
      <c r="F141" s="146"/>
      <c r="G141" s="164">
        <f t="shared" si="36"/>
        <v>0</v>
      </c>
      <c r="H141" s="147"/>
      <c r="I141" s="165"/>
      <c r="J141" s="149" t="str">
        <f t="shared" ca="1" si="29"/>
        <v/>
      </c>
      <c r="K141" s="150" t="b">
        <f t="shared" ca="1" si="38"/>
        <v>0</v>
      </c>
      <c r="L141" s="364">
        <f t="shared" si="37"/>
        <v>11</v>
      </c>
      <c r="M141" s="267">
        <v>39765</v>
      </c>
      <c r="N141" s="166">
        <f t="shared" si="30"/>
        <v>3</v>
      </c>
      <c r="O141" s="167">
        <f t="shared" ca="1" si="31"/>
        <v>1</v>
      </c>
      <c r="P141" s="168">
        <f t="shared" si="32"/>
        <v>1</v>
      </c>
      <c r="Q141" s="169" t="b">
        <f t="shared" si="39"/>
        <v>0</v>
      </c>
      <c r="R141" s="170" t="b">
        <f t="shared" ca="1" si="33"/>
        <v>1</v>
      </c>
      <c r="S141" s="166"/>
      <c r="T141" s="166"/>
      <c r="U141" s="171">
        <f t="shared" ca="1" si="34"/>
        <v>0.29166666666666669</v>
      </c>
      <c r="V141" s="172"/>
      <c r="W141" s="173">
        <f t="shared" si="35"/>
        <v>0</v>
      </c>
      <c r="X141" s="174"/>
      <c r="Y141" s="174"/>
      <c r="Z141" s="174"/>
      <c r="AA141" s="117"/>
    </row>
    <row r="142" spans="1:27" ht="13.5" thickBot="1">
      <c r="A142" s="417"/>
      <c r="B142" s="411"/>
      <c r="C142" s="261">
        <f t="shared" si="28"/>
        <v>39766</v>
      </c>
      <c r="D142" s="144"/>
      <c r="E142" s="145"/>
      <c r="F142" s="146"/>
      <c r="G142" s="164">
        <f t="shared" si="36"/>
        <v>0</v>
      </c>
      <c r="H142" s="147"/>
      <c r="I142" s="165"/>
      <c r="J142" s="149" t="str">
        <f t="shared" ca="1" si="29"/>
        <v/>
      </c>
      <c r="K142" s="150" t="b">
        <f t="shared" ca="1" si="38"/>
        <v>0</v>
      </c>
      <c r="L142" s="364">
        <f t="shared" si="37"/>
        <v>11</v>
      </c>
      <c r="M142" s="267">
        <v>39766</v>
      </c>
      <c r="N142" s="166">
        <f t="shared" si="30"/>
        <v>4</v>
      </c>
      <c r="O142" s="167">
        <f t="shared" ca="1" si="31"/>
        <v>1</v>
      </c>
      <c r="P142" s="168">
        <f t="shared" si="32"/>
        <v>1</v>
      </c>
      <c r="Q142" s="169" t="b">
        <f t="shared" si="39"/>
        <v>0</v>
      </c>
      <c r="R142" s="170" t="b">
        <f t="shared" ca="1" si="33"/>
        <v>1</v>
      </c>
      <c r="S142" s="166"/>
      <c r="T142" s="166"/>
      <c r="U142" s="171">
        <f t="shared" ca="1" si="34"/>
        <v>0.29166666666666669</v>
      </c>
      <c r="V142" s="172"/>
      <c r="W142" s="173">
        <f t="shared" si="35"/>
        <v>0</v>
      </c>
      <c r="X142" s="174"/>
      <c r="Y142" s="174"/>
      <c r="Z142" s="174"/>
      <c r="AA142" s="117"/>
    </row>
    <row r="143" spans="1:27" ht="13.5" thickBot="1">
      <c r="A143" s="417"/>
      <c r="B143" s="411"/>
      <c r="C143" s="262">
        <f t="shared" si="28"/>
        <v>39767</v>
      </c>
      <c r="D143" s="175"/>
      <c r="E143" s="176"/>
      <c r="F143" s="177"/>
      <c r="G143" s="178">
        <f t="shared" si="36"/>
        <v>0</v>
      </c>
      <c r="H143" s="279"/>
      <c r="I143" s="179"/>
      <c r="J143" s="180" t="str">
        <f t="shared" ca="1" si="29"/>
        <v/>
      </c>
      <c r="K143" s="181" t="b">
        <f t="shared" ca="1" si="38"/>
        <v>0</v>
      </c>
      <c r="L143" s="365">
        <f t="shared" si="37"/>
        <v>11</v>
      </c>
      <c r="M143" s="271">
        <v>39767</v>
      </c>
      <c r="N143" s="182">
        <f t="shared" si="30"/>
        <v>5</v>
      </c>
      <c r="O143" s="183">
        <f t="shared" ca="1" si="31"/>
        <v>1</v>
      </c>
      <c r="P143" s="184">
        <f t="shared" si="32"/>
        <v>1</v>
      </c>
      <c r="Q143" s="185" t="b">
        <f t="shared" si="39"/>
        <v>0</v>
      </c>
      <c r="R143" s="186" t="b">
        <f t="shared" ca="1" si="33"/>
        <v>1</v>
      </c>
      <c r="S143" s="182"/>
      <c r="T143" s="182"/>
      <c r="U143" s="187"/>
      <c r="V143" s="172"/>
      <c r="W143" s="188">
        <f t="shared" si="35"/>
        <v>0</v>
      </c>
      <c r="X143" s="174"/>
      <c r="Y143" s="174"/>
      <c r="Z143" s="174"/>
      <c r="AA143" s="117"/>
    </row>
    <row r="144" spans="1:27" ht="13.5" thickBot="1">
      <c r="A144" s="418"/>
      <c r="B144" s="412"/>
      <c r="C144" s="263">
        <f t="shared" si="28"/>
        <v>39768</v>
      </c>
      <c r="D144" s="189"/>
      <c r="E144" s="190"/>
      <c r="F144" s="191"/>
      <c r="G144" s="192">
        <f t="shared" si="36"/>
        <v>0</v>
      </c>
      <c r="H144" s="280"/>
      <c r="I144" s="193"/>
      <c r="J144" s="194" t="str">
        <f t="shared" ca="1" si="29"/>
        <v/>
      </c>
      <c r="K144" s="195" t="b">
        <f t="shared" ca="1" si="38"/>
        <v>0</v>
      </c>
      <c r="L144" s="366">
        <f t="shared" si="37"/>
        <v>11</v>
      </c>
      <c r="M144" s="272">
        <v>39768</v>
      </c>
      <c r="N144" s="196">
        <f t="shared" si="30"/>
        <v>6</v>
      </c>
      <c r="O144" s="197">
        <f t="shared" ca="1" si="31"/>
        <v>0</v>
      </c>
      <c r="P144" s="198">
        <f t="shared" si="32"/>
        <v>0</v>
      </c>
      <c r="Q144" s="199" t="b">
        <f t="shared" si="39"/>
        <v>0</v>
      </c>
      <c r="R144" s="200" t="b">
        <f t="shared" ca="1" si="33"/>
        <v>1</v>
      </c>
      <c r="S144" s="196" t="b">
        <f>AND(R144,R138)</f>
        <v>1</v>
      </c>
      <c r="T144" s="196" t="b">
        <f>OR(R144,R138)</f>
        <v>1</v>
      </c>
      <c r="U144" s="201"/>
      <c r="V144" s="202">
        <f ca="1">IF(Sem_entame,SUM(U138:U144),"")</f>
        <v>1.4583333333333335</v>
      </c>
      <c r="W144" s="203">
        <f t="shared" si="35"/>
        <v>0</v>
      </c>
      <c r="X144" s="204">
        <f ca="1">SUM(W138:W144)</f>
        <v>0</v>
      </c>
      <c r="Y144" s="204">
        <f ca="1">IF(Sem_entame,X144-V144,"")</f>
        <v>-1.4583333333333335</v>
      </c>
      <c r="Z144" s="204">
        <f ca="1">IF(Sem_entame,Y144+IF(ISNUMBER(Z137),Z137,0),"")</f>
        <v>-25.520833333333332</v>
      </c>
      <c r="AA144" s="117"/>
    </row>
    <row r="145" spans="1:27" ht="12.75" customHeight="1" thickBot="1">
      <c r="A145" s="416">
        <f>A138+1</f>
        <v>21</v>
      </c>
      <c r="B145" s="411" t="str">
        <f>IF(L145&lt;&gt;L151,TEXT(C151,"mmm"&amp;"-"),"")&amp;TEXT(C145,"mmm")</f>
        <v>nov</v>
      </c>
      <c r="C145" s="260">
        <f t="shared" si="28"/>
        <v>39769</v>
      </c>
      <c r="D145" s="144"/>
      <c r="E145" s="145"/>
      <c r="F145" s="146"/>
      <c r="G145" s="147">
        <f t="shared" si="36"/>
        <v>0</v>
      </c>
      <c r="H145" s="147"/>
      <c r="I145" s="148"/>
      <c r="J145" s="207" t="str">
        <f t="shared" ca="1" si="29"/>
        <v/>
      </c>
      <c r="K145" s="150" t="b">
        <f t="shared" ca="1" si="38"/>
        <v>0</v>
      </c>
      <c r="L145" s="362">
        <f t="shared" si="37"/>
        <v>11</v>
      </c>
      <c r="M145" s="266">
        <v>39769</v>
      </c>
      <c r="N145" s="151">
        <f t="shared" si="30"/>
        <v>7</v>
      </c>
      <c r="O145" s="152">
        <f t="shared" ca="1" si="31"/>
        <v>0</v>
      </c>
      <c r="P145" s="153">
        <f t="shared" si="32"/>
        <v>0</v>
      </c>
      <c r="Q145" s="154" t="b">
        <f t="shared" si="39"/>
        <v>0</v>
      </c>
      <c r="R145" s="155" t="b">
        <f t="shared" ca="1" si="33"/>
        <v>1</v>
      </c>
      <c r="S145" s="156"/>
      <c r="T145" s="156"/>
      <c r="U145" s="157">
        <f t="shared" ca="1" si="34"/>
        <v>0.29166666666666669</v>
      </c>
      <c r="V145" s="158"/>
      <c r="W145" s="159">
        <f t="shared" si="35"/>
        <v>0</v>
      </c>
      <c r="X145" s="160"/>
      <c r="Y145" s="160"/>
      <c r="Z145" s="160"/>
      <c r="AA145" s="117"/>
    </row>
    <row r="146" spans="1:27" ht="13.5" thickBot="1">
      <c r="A146" s="417"/>
      <c r="B146" s="411"/>
      <c r="C146" s="261">
        <f t="shared" si="28"/>
        <v>39770</v>
      </c>
      <c r="D146" s="144"/>
      <c r="E146" s="145"/>
      <c r="F146" s="146"/>
      <c r="G146" s="164">
        <f t="shared" si="36"/>
        <v>0</v>
      </c>
      <c r="H146" s="147"/>
      <c r="I146" s="165"/>
      <c r="J146" s="149" t="str">
        <f t="shared" ca="1" si="29"/>
        <v/>
      </c>
      <c r="K146" s="150" t="b">
        <f t="shared" ca="1" si="38"/>
        <v>0</v>
      </c>
      <c r="L146" s="364">
        <f t="shared" si="37"/>
        <v>11</v>
      </c>
      <c r="M146" s="267">
        <v>39770</v>
      </c>
      <c r="N146" s="166">
        <f t="shared" si="30"/>
        <v>1</v>
      </c>
      <c r="O146" s="167">
        <f t="shared" ca="1" si="31"/>
        <v>1</v>
      </c>
      <c r="P146" s="168">
        <f t="shared" si="32"/>
        <v>1</v>
      </c>
      <c r="Q146" s="169" t="b">
        <f t="shared" si="39"/>
        <v>0</v>
      </c>
      <c r="R146" s="170" t="b">
        <f t="shared" ca="1" si="33"/>
        <v>1</v>
      </c>
      <c r="S146" s="166"/>
      <c r="T146" s="166"/>
      <c r="U146" s="171">
        <f t="shared" ca="1" si="34"/>
        <v>0.29166666666666669</v>
      </c>
      <c r="V146" s="172"/>
      <c r="W146" s="173">
        <f t="shared" si="35"/>
        <v>0</v>
      </c>
      <c r="X146" s="174"/>
      <c r="Y146" s="174"/>
      <c r="Z146" s="174"/>
      <c r="AA146" s="117"/>
    </row>
    <row r="147" spans="1:27" ht="13.5" thickBot="1">
      <c r="A147" s="417"/>
      <c r="B147" s="411"/>
      <c r="C147" s="261">
        <f t="shared" si="28"/>
        <v>39771</v>
      </c>
      <c r="D147" s="144"/>
      <c r="E147" s="145"/>
      <c r="F147" s="146"/>
      <c r="G147" s="164">
        <f t="shared" si="36"/>
        <v>0</v>
      </c>
      <c r="H147" s="147"/>
      <c r="I147" s="165"/>
      <c r="J147" s="149" t="str">
        <f t="shared" ca="1" si="29"/>
        <v/>
      </c>
      <c r="K147" s="150" t="b">
        <f t="shared" ca="1" si="38"/>
        <v>0</v>
      </c>
      <c r="L147" s="364">
        <f t="shared" si="37"/>
        <v>11</v>
      </c>
      <c r="M147" s="267">
        <v>39771</v>
      </c>
      <c r="N147" s="166">
        <f t="shared" si="30"/>
        <v>2</v>
      </c>
      <c r="O147" s="167">
        <f t="shared" ca="1" si="31"/>
        <v>1</v>
      </c>
      <c r="P147" s="168">
        <f t="shared" si="32"/>
        <v>1</v>
      </c>
      <c r="Q147" s="169" t="b">
        <f t="shared" si="39"/>
        <v>0</v>
      </c>
      <c r="R147" s="170" t="b">
        <f t="shared" ca="1" si="33"/>
        <v>1</v>
      </c>
      <c r="S147" s="166"/>
      <c r="T147" s="166"/>
      <c r="U147" s="171">
        <f t="shared" ca="1" si="34"/>
        <v>0.29166666666666669</v>
      </c>
      <c r="V147" s="172"/>
      <c r="W147" s="173">
        <f t="shared" si="35"/>
        <v>0</v>
      </c>
      <c r="X147" s="174"/>
      <c r="Y147" s="174"/>
      <c r="Z147" s="174"/>
      <c r="AA147" s="117"/>
    </row>
    <row r="148" spans="1:27" ht="13.5" thickBot="1">
      <c r="A148" s="417"/>
      <c r="B148" s="411"/>
      <c r="C148" s="261">
        <f t="shared" si="28"/>
        <v>39772</v>
      </c>
      <c r="D148" s="144"/>
      <c r="E148" s="145"/>
      <c r="F148" s="146"/>
      <c r="G148" s="164">
        <f t="shared" si="36"/>
        <v>0</v>
      </c>
      <c r="H148" s="147"/>
      <c r="I148" s="165"/>
      <c r="J148" s="149" t="str">
        <f t="shared" ca="1" si="29"/>
        <v/>
      </c>
      <c r="K148" s="150" t="b">
        <f t="shared" ca="1" si="38"/>
        <v>0</v>
      </c>
      <c r="L148" s="364">
        <f t="shared" si="37"/>
        <v>11</v>
      </c>
      <c r="M148" s="267">
        <v>39772</v>
      </c>
      <c r="N148" s="166">
        <f t="shared" si="30"/>
        <v>3</v>
      </c>
      <c r="O148" s="167">
        <f t="shared" ca="1" si="31"/>
        <v>1</v>
      </c>
      <c r="P148" s="168">
        <f t="shared" si="32"/>
        <v>1</v>
      </c>
      <c r="Q148" s="169" t="b">
        <f t="shared" si="39"/>
        <v>0</v>
      </c>
      <c r="R148" s="170" t="b">
        <f t="shared" ca="1" si="33"/>
        <v>1</v>
      </c>
      <c r="S148" s="166"/>
      <c r="T148" s="166"/>
      <c r="U148" s="171">
        <f t="shared" ca="1" si="34"/>
        <v>0.29166666666666669</v>
      </c>
      <c r="V148" s="172"/>
      <c r="W148" s="173">
        <f t="shared" si="35"/>
        <v>0</v>
      </c>
      <c r="X148" s="174"/>
      <c r="Y148" s="174"/>
      <c r="Z148" s="174"/>
      <c r="AA148" s="117"/>
    </row>
    <row r="149" spans="1:27" ht="13.5" thickBot="1">
      <c r="A149" s="417"/>
      <c r="B149" s="411"/>
      <c r="C149" s="261">
        <f t="shared" si="28"/>
        <v>39773</v>
      </c>
      <c r="D149" s="144"/>
      <c r="E149" s="145"/>
      <c r="F149" s="146"/>
      <c r="G149" s="164">
        <f t="shared" si="36"/>
        <v>0</v>
      </c>
      <c r="H149" s="147"/>
      <c r="I149" s="165"/>
      <c r="J149" s="149" t="str">
        <f t="shared" ca="1" si="29"/>
        <v/>
      </c>
      <c r="K149" s="150" t="b">
        <f t="shared" ca="1" si="38"/>
        <v>0</v>
      </c>
      <c r="L149" s="364">
        <f t="shared" si="37"/>
        <v>11</v>
      </c>
      <c r="M149" s="267">
        <v>39773</v>
      </c>
      <c r="N149" s="166">
        <f t="shared" si="30"/>
        <v>4</v>
      </c>
      <c r="O149" s="167">
        <f t="shared" ca="1" si="31"/>
        <v>1</v>
      </c>
      <c r="P149" s="168">
        <f t="shared" si="32"/>
        <v>1</v>
      </c>
      <c r="Q149" s="169" t="b">
        <f t="shared" si="39"/>
        <v>0</v>
      </c>
      <c r="R149" s="170" t="b">
        <f t="shared" ca="1" si="33"/>
        <v>1</v>
      </c>
      <c r="S149" s="166"/>
      <c r="T149" s="166"/>
      <c r="U149" s="171">
        <f t="shared" ca="1" si="34"/>
        <v>0.29166666666666669</v>
      </c>
      <c r="V149" s="172"/>
      <c r="W149" s="173">
        <f t="shared" si="35"/>
        <v>0</v>
      </c>
      <c r="X149" s="174"/>
      <c r="Y149" s="174"/>
      <c r="Z149" s="174"/>
      <c r="AA149" s="117"/>
    </row>
    <row r="150" spans="1:27" ht="13.5" thickBot="1">
      <c r="A150" s="417"/>
      <c r="B150" s="411"/>
      <c r="C150" s="262">
        <f t="shared" si="28"/>
        <v>39774</v>
      </c>
      <c r="D150" s="175"/>
      <c r="E150" s="176"/>
      <c r="F150" s="177"/>
      <c r="G150" s="178">
        <f t="shared" si="36"/>
        <v>0</v>
      </c>
      <c r="H150" s="279"/>
      <c r="I150" s="179"/>
      <c r="J150" s="180" t="str">
        <f t="shared" ca="1" si="29"/>
        <v/>
      </c>
      <c r="K150" s="181" t="b">
        <f t="shared" ca="1" si="38"/>
        <v>0</v>
      </c>
      <c r="L150" s="365">
        <f t="shared" si="37"/>
        <v>11</v>
      </c>
      <c r="M150" s="271">
        <v>39774</v>
      </c>
      <c r="N150" s="182">
        <f t="shared" si="30"/>
        <v>5</v>
      </c>
      <c r="O150" s="183">
        <f t="shared" ca="1" si="31"/>
        <v>1</v>
      </c>
      <c r="P150" s="184">
        <f t="shared" si="32"/>
        <v>1</v>
      </c>
      <c r="Q150" s="185" t="b">
        <f t="shared" si="39"/>
        <v>0</v>
      </c>
      <c r="R150" s="186" t="b">
        <f t="shared" ca="1" si="33"/>
        <v>1</v>
      </c>
      <c r="S150" s="182"/>
      <c r="T150" s="182"/>
      <c r="U150" s="187"/>
      <c r="V150" s="172"/>
      <c r="W150" s="188">
        <f t="shared" si="35"/>
        <v>0</v>
      </c>
      <c r="X150" s="174"/>
      <c r="Y150" s="174"/>
      <c r="Z150" s="174"/>
      <c r="AA150" s="117"/>
    </row>
    <row r="151" spans="1:27" ht="13.5" thickBot="1">
      <c r="A151" s="418"/>
      <c r="B151" s="412"/>
      <c r="C151" s="263">
        <f t="shared" si="28"/>
        <v>39775</v>
      </c>
      <c r="D151" s="189"/>
      <c r="E151" s="190"/>
      <c r="F151" s="191"/>
      <c r="G151" s="192">
        <f t="shared" si="36"/>
        <v>0</v>
      </c>
      <c r="H151" s="280"/>
      <c r="I151" s="193"/>
      <c r="J151" s="194" t="str">
        <f t="shared" ca="1" si="29"/>
        <v/>
      </c>
      <c r="K151" s="195" t="b">
        <f t="shared" ca="1" si="38"/>
        <v>0</v>
      </c>
      <c r="L151" s="366">
        <f t="shared" si="37"/>
        <v>11</v>
      </c>
      <c r="M151" s="272">
        <v>39775</v>
      </c>
      <c r="N151" s="196">
        <f t="shared" si="30"/>
        <v>6</v>
      </c>
      <c r="O151" s="197">
        <f t="shared" ca="1" si="31"/>
        <v>0</v>
      </c>
      <c r="P151" s="198">
        <f t="shared" si="32"/>
        <v>0</v>
      </c>
      <c r="Q151" s="199" t="b">
        <f t="shared" si="39"/>
        <v>0</v>
      </c>
      <c r="R151" s="200" t="b">
        <f t="shared" ca="1" si="33"/>
        <v>1</v>
      </c>
      <c r="S151" s="196" t="b">
        <f>AND(R151,R145)</f>
        <v>1</v>
      </c>
      <c r="T151" s="196" t="b">
        <f>OR(R151,R145)</f>
        <v>1</v>
      </c>
      <c r="U151" s="201"/>
      <c r="V151" s="202">
        <f ca="1">IF(Sem_entame,SUM(U145:U151),"")</f>
        <v>1.4583333333333335</v>
      </c>
      <c r="W151" s="203">
        <f t="shared" si="35"/>
        <v>0</v>
      </c>
      <c r="X151" s="204">
        <f ca="1">SUM(W145:W151)</f>
        <v>0</v>
      </c>
      <c r="Y151" s="204">
        <f ca="1">IF(Sem_entame,X151-V151,"")</f>
        <v>-1.4583333333333335</v>
      </c>
      <c r="Z151" s="204">
        <f ca="1">IF(Sem_entame,Y151+IF(ISNUMBER(Z144),Z144,0),"")</f>
        <v>-26.979166666666664</v>
      </c>
      <c r="AA151" s="117"/>
    </row>
    <row r="152" spans="1:27" ht="12.75" customHeight="1" thickBot="1">
      <c r="A152" s="416">
        <f>A145+1</f>
        <v>22</v>
      </c>
      <c r="B152" s="411" t="str">
        <f>IF(L152&lt;&gt;L158,TEXT(C158,"mmm"&amp;"-"),"")&amp;TEXT(C152,"mmm")</f>
        <v>déc-nov</v>
      </c>
      <c r="C152" s="260">
        <f>C151+1</f>
        <v>39776</v>
      </c>
      <c r="D152" s="144"/>
      <c r="E152" s="145"/>
      <c r="F152" s="146"/>
      <c r="G152" s="147">
        <f t="shared" si="36"/>
        <v>0</v>
      </c>
      <c r="H152" s="147"/>
      <c r="I152" s="148"/>
      <c r="J152" s="207" t="str">
        <f t="shared" ca="1" si="29"/>
        <v/>
      </c>
      <c r="K152" s="150" t="b">
        <f t="shared" ca="1" si="38"/>
        <v>0</v>
      </c>
      <c r="L152" s="362">
        <f t="shared" si="37"/>
        <v>11</v>
      </c>
      <c r="M152" s="266">
        <v>39776</v>
      </c>
      <c r="N152" s="151">
        <f t="shared" si="30"/>
        <v>7</v>
      </c>
      <c r="O152" s="152">
        <f t="shared" ca="1" si="31"/>
        <v>0</v>
      </c>
      <c r="P152" s="153">
        <f t="shared" si="32"/>
        <v>0</v>
      </c>
      <c r="Q152" s="154" t="b">
        <f t="shared" si="39"/>
        <v>0</v>
      </c>
      <c r="R152" s="155" t="b">
        <f t="shared" ca="1" si="33"/>
        <v>1</v>
      </c>
      <c r="S152" s="156"/>
      <c r="T152" s="156"/>
      <c r="U152" s="157">
        <f t="shared" ca="1" si="34"/>
        <v>0.29166666666666669</v>
      </c>
      <c r="V152" s="158"/>
      <c r="W152" s="159">
        <f t="shared" si="35"/>
        <v>0</v>
      </c>
      <c r="X152" s="160"/>
      <c r="Y152" s="160"/>
      <c r="Z152" s="160"/>
      <c r="AA152" s="117"/>
    </row>
    <row r="153" spans="1:27" ht="13.5" thickBot="1">
      <c r="A153" s="417"/>
      <c r="B153" s="411"/>
      <c r="C153" s="261">
        <f>C152+1</f>
        <v>39777</v>
      </c>
      <c r="D153" s="144"/>
      <c r="E153" s="145"/>
      <c r="F153" s="146"/>
      <c r="G153" s="164">
        <f t="shared" si="36"/>
        <v>0</v>
      </c>
      <c r="H153" s="147"/>
      <c r="I153" s="165"/>
      <c r="J153" s="149" t="str">
        <f t="shared" ca="1" si="29"/>
        <v/>
      </c>
      <c r="K153" s="150" t="b">
        <f t="shared" ca="1" si="38"/>
        <v>0</v>
      </c>
      <c r="L153" s="364">
        <f t="shared" si="37"/>
        <v>11</v>
      </c>
      <c r="M153" s="267">
        <v>39777</v>
      </c>
      <c r="N153" s="166">
        <f t="shared" si="30"/>
        <v>1</v>
      </c>
      <c r="O153" s="167">
        <f t="shared" ca="1" si="31"/>
        <v>1</v>
      </c>
      <c r="P153" s="168">
        <f t="shared" si="32"/>
        <v>1</v>
      </c>
      <c r="Q153" s="169" t="b">
        <f t="shared" si="39"/>
        <v>0</v>
      </c>
      <c r="R153" s="170" t="b">
        <f t="shared" ca="1" si="33"/>
        <v>1</v>
      </c>
      <c r="S153" s="166"/>
      <c r="T153" s="166"/>
      <c r="U153" s="171">
        <f t="shared" ca="1" si="34"/>
        <v>0.29166666666666669</v>
      </c>
      <c r="V153" s="172"/>
      <c r="W153" s="173">
        <f t="shared" si="35"/>
        <v>0</v>
      </c>
      <c r="X153" s="174"/>
      <c r="Y153" s="174"/>
      <c r="Z153" s="174"/>
      <c r="AA153" s="117"/>
    </row>
    <row r="154" spans="1:27" ht="13.5" thickBot="1">
      <c r="A154" s="417"/>
      <c r="B154" s="411"/>
      <c r="C154" s="261">
        <f t="shared" ref="C154:C186" si="40">C153+1</f>
        <v>39778</v>
      </c>
      <c r="D154" s="144"/>
      <c r="E154" s="145"/>
      <c r="F154" s="146"/>
      <c r="G154" s="164">
        <f t="shared" si="36"/>
        <v>0</v>
      </c>
      <c r="H154" s="147"/>
      <c r="I154" s="165"/>
      <c r="J154" s="149" t="str">
        <f t="shared" ca="1" si="29"/>
        <v/>
      </c>
      <c r="K154" s="150" t="b">
        <f t="shared" ca="1" si="38"/>
        <v>0</v>
      </c>
      <c r="L154" s="364">
        <f t="shared" si="37"/>
        <v>11</v>
      </c>
      <c r="M154" s="267">
        <v>39778</v>
      </c>
      <c r="N154" s="166">
        <f t="shared" si="30"/>
        <v>2</v>
      </c>
      <c r="O154" s="167">
        <f t="shared" ca="1" si="31"/>
        <v>1</v>
      </c>
      <c r="P154" s="168">
        <f t="shared" si="32"/>
        <v>1</v>
      </c>
      <c r="Q154" s="169" t="b">
        <f t="shared" si="39"/>
        <v>0</v>
      </c>
      <c r="R154" s="170" t="b">
        <f t="shared" ca="1" si="33"/>
        <v>1</v>
      </c>
      <c r="S154" s="166"/>
      <c r="T154" s="166"/>
      <c r="U154" s="171">
        <f t="shared" ca="1" si="34"/>
        <v>0.29166666666666669</v>
      </c>
      <c r="V154" s="172"/>
      <c r="W154" s="173">
        <f t="shared" si="35"/>
        <v>0</v>
      </c>
      <c r="X154" s="174"/>
      <c r="Y154" s="174"/>
      <c r="Z154" s="174"/>
      <c r="AA154" s="117"/>
    </row>
    <row r="155" spans="1:27" ht="13.5" thickBot="1">
      <c r="A155" s="417"/>
      <c r="B155" s="411"/>
      <c r="C155" s="261">
        <f t="shared" si="40"/>
        <v>39779</v>
      </c>
      <c r="D155" s="144"/>
      <c r="E155" s="145"/>
      <c r="F155" s="146"/>
      <c r="G155" s="164">
        <f t="shared" si="36"/>
        <v>0</v>
      </c>
      <c r="H155" s="147"/>
      <c r="I155" s="165"/>
      <c r="J155" s="149" t="str">
        <f t="shared" ca="1" si="29"/>
        <v/>
      </c>
      <c r="K155" s="150" t="b">
        <f t="shared" ca="1" si="38"/>
        <v>0</v>
      </c>
      <c r="L155" s="364">
        <f t="shared" si="37"/>
        <v>11</v>
      </c>
      <c r="M155" s="267">
        <v>39779</v>
      </c>
      <c r="N155" s="166">
        <f t="shared" si="30"/>
        <v>3</v>
      </c>
      <c r="O155" s="167">
        <f t="shared" ca="1" si="31"/>
        <v>1</v>
      </c>
      <c r="P155" s="168">
        <f t="shared" si="32"/>
        <v>1</v>
      </c>
      <c r="Q155" s="169" t="b">
        <f t="shared" si="39"/>
        <v>0</v>
      </c>
      <c r="R155" s="170" t="b">
        <f t="shared" ca="1" si="33"/>
        <v>1</v>
      </c>
      <c r="S155" s="166"/>
      <c r="T155" s="166"/>
      <c r="U155" s="171">
        <f t="shared" ca="1" si="34"/>
        <v>0.29166666666666669</v>
      </c>
      <c r="V155" s="172"/>
      <c r="W155" s="173">
        <f t="shared" si="35"/>
        <v>0</v>
      </c>
      <c r="X155" s="174"/>
      <c r="Y155" s="174"/>
      <c r="Z155" s="174"/>
      <c r="AA155" s="117"/>
    </row>
    <row r="156" spans="1:27" ht="13.5" thickBot="1">
      <c r="A156" s="417"/>
      <c r="B156" s="411"/>
      <c r="C156" s="261">
        <f t="shared" si="40"/>
        <v>39780</v>
      </c>
      <c r="D156" s="144"/>
      <c r="E156" s="145"/>
      <c r="F156" s="146"/>
      <c r="G156" s="164">
        <f t="shared" si="36"/>
        <v>0</v>
      </c>
      <c r="H156" s="147"/>
      <c r="I156" s="165"/>
      <c r="J156" s="149" t="str">
        <f t="shared" ca="1" si="29"/>
        <v/>
      </c>
      <c r="K156" s="150" t="b">
        <f t="shared" ca="1" si="38"/>
        <v>0</v>
      </c>
      <c r="L156" s="364">
        <f t="shared" si="37"/>
        <v>11</v>
      </c>
      <c r="M156" s="267">
        <v>39780</v>
      </c>
      <c r="N156" s="166">
        <f t="shared" si="30"/>
        <v>4</v>
      </c>
      <c r="O156" s="167">
        <f t="shared" ca="1" si="31"/>
        <v>1</v>
      </c>
      <c r="P156" s="168">
        <f t="shared" si="32"/>
        <v>1</v>
      </c>
      <c r="Q156" s="169" t="b">
        <f t="shared" si="39"/>
        <v>0</v>
      </c>
      <c r="R156" s="170" t="b">
        <f t="shared" ca="1" si="33"/>
        <v>1</v>
      </c>
      <c r="S156" s="166"/>
      <c r="T156" s="166"/>
      <c r="U156" s="171">
        <f t="shared" ca="1" si="34"/>
        <v>0.29166666666666669</v>
      </c>
      <c r="V156" s="172"/>
      <c r="W156" s="173">
        <f t="shared" si="35"/>
        <v>0</v>
      </c>
      <c r="X156" s="174"/>
      <c r="Y156" s="174"/>
      <c r="Z156" s="174"/>
      <c r="AA156" s="117"/>
    </row>
    <row r="157" spans="1:27" ht="13.5" thickBot="1">
      <c r="A157" s="417"/>
      <c r="B157" s="411"/>
      <c r="C157" s="262">
        <f t="shared" si="40"/>
        <v>39781</v>
      </c>
      <c r="D157" s="175"/>
      <c r="E157" s="176"/>
      <c r="F157" s="177"/>
      <c r="G157" s="178">
        <f t="shared" si="36"/>
        <v>0</v>
      </c>
      <c r="H157" s="279"/>
      <c r="I157" s="179"/>
      <c r="J157" s="180" t="str">
        <f t="shared" ca="1" si="29"/>
        <v/>
      </c>
      <c r="K157" s="181" t="b">
        <f t="shared" ca="1" si="38"/>
        <v>0</v>
      </c>
      <c r="L157" s="365">
        <f t="shared" si="37"/>
        <v>11</v>
      </c>
      <c r="M157" s="271">
        <v>39781</v>
      </c>
      <c r="N157" s="182">
        <f t="shared" si="30"/>
        <v>5</v>
      </c>
      <c r="O157" s="183">
        <f t="shared" ca="1" si="31"/>
        <v>1</v>
      </c>
      <c r="P157" s="184">
        <f t="shared" si="32"/>
        <v>1</v>
      </c>
      <c r="Q157" s="185" t="b">
        <f t="shared" si="39"/>
        <v>0</v>
      </c>
      <c r="R157" s="186" t="b">
        <f t="shared" ca="1" si="33"/>
        <v>1</v>
      </c>
      <c r="S157" s="182"/>
      <c r="T157" s="182"/>
      <c r="U157" s="187"/>
      <c r="V157" s="172"/>
      <c r="W157" s="188">
        <f t="shared" si="35"/>
        <v>0</v>
      </c>
      <c r="X157" s="174"/>
      <c r="Y157" s="174"/>
      <c r="Z157" s="174"/>
      <c r="AA157" s="117"/>
    </row>
    <row r="158" spans="1:27" ht="13.5" thickBot="1">
      <c r="A158" s="418"/>
      <c r="B158" s="412"/>
      <c r="C158" s="263">
        <f t="shared" si="40"/>
        <v>39782</v>
      </c>
      <c r="D158" s="189"/>
      <c r="E158" s="190"/>
      <c r="F158" s="191"/>
      <c r="G158" s="192">
        <f t="shared" si="36"/>
        <v>0</v>
      </c>
      <c r="H158" s="280"/>
      <c r="I158" s="193"/>
      <c r="J158" s="194" t="str">
        <f t="shared" ca="1" si="29"/>
        <v/>
      </c>
      <c r="K158" s="195" t="b">
        <f t="shared" ca="1" si="38"/>
        <v>0</v>
      </c>
      <c r="L158" s="366">
        <f t="shared" si="37"/>
        <v>12</v>
      </c>
      <c r="M158" s="272">
        <v>39782</v>
      </c>
      <c r="N158" s="196">
        <f t="shared" si="30"/>
        <v>6</v>
      </c>
      <c r="O158" s="197">
        <f t="shared" ca="1" si="31"/>
        <v>0</v>
      </c>
      <c r="P158" s="198">
        <f t="shared" si="32"/>
        <v>0</v>
      </c>
      <c r="Q158" s="199" t="b">
        <f t="shared" si="39"/>
        <v>0</v>
      </c>
      <c r="R158" s="200" t="b">
        <f t="shared" ca="1" si="33"/>
        <v>1</v>
      </c>
      <c r="S158" s="196" t="b">
        <f>AND(R158,R152)</f>
        <v>1</v>
      </c>
      <c r="T158" s="196" t="b">
        <f>OR(R158,R152)</f>
        <v>1</v>
      </c>
      <c r="U158" s="201"/>
      <c r="V158" s="202">
        <f ca="1">IF(Sem_entame,SUM(U152:U158),"")</f>
        <v>1.4583333333333335</v>
      </c>
      <c r="W158" s="203">
        <f t="shared" si="35"/>
        <v>0</v>
      </c>
      <c r="X158" s="204">
        <f ca="1">SUM(W152:W158)</f>
        <v>0</v>
      </c>
      <c r="Y158" s="204">
        <f ca="1">IF(Sem_entame,X158-V158,"")</f>
        <v>-1.4583333333333335</v>
      </c>
      <c r="Z158" s="204">
        <f ca="1">IF(Sem_entame,Y158+IF(ISNUMBER(Z151),Z151,0),"")</f>
        <v>-28.437499999999996</v>
      </c>
      <c r="AA158" s="117"/>
    </row>
    <row r="159" spans="1:27" ht="12.75" customHeight="1" thickBot="1">
      <c r="A159" s="416">
        <f>A152+1</f>
        <v>23</v>
      </c>
      <c r="B159" s="411" t="str">
        <f>IF(L159&lt;&gt;L165,TEXT(C165,"mmm"&amp;"-"),"")&amp;TEXT(C159,"mmm")</f>
        <v>déc</v>
      </c>
      <c r="C159" s="260">
        <f t="shared" si="40"/>
        <v>39783</v>
      </c>
      <c r="D159" s="144"/>
      <c r="E159" s="145"/>
      <c r="F159" s="146"/>
      <c r="G159" s="147">
        <f t="shared" si="36"/>
        <v>0</v>
      </c>
      <c r="H159" s="147"/>
      <c r="I159" s="148"/>
      <c r="J159" s="207" t="str">
        <f t="shared" ca="1" si="29"/>
        <v/>
      </c>
      <c r="K159" s="150" t="b">
        <f t="shared" ca="1" si="38"/>
        <v>0</v>
      </c>
      <c r="L159" s="362">
        <f t="shared" si="37"/>
        <v>12</v>
      </c>
      <c r="M159" s="266">
        <v>39783</v>
      </c>
      <c r="N159" s="151">
        <f t="shared" si="30"/>
        <v>7</v>
      </c>
      <c r="O159" s="152">
        <f t="shared" ca="1" si="31"/>
        <v>0</v>
      </c>
      <c r="P159" s="153">
        <f t="shared" si="32"/>
        <v>0</v>
      </c>
      <c r="Q159" s="154" t="b">
        <f t="shared" si="39"/>
        <v>0</v>
      </c>
      <c r="R159" s="155" t="b">
        <f t="shared" ca="1" si="33"/>
        <v>1</v>
      </c>
      <c r="S159" s="156"/>
      <c r="T159" s="156"/>
      <c r="U159" s="157">
        <f t="shared" ca="1" si="34"/>
        <v>0.29166666666666669</v>
      </c>
      <c r="V159" s="158"/>
      <c r="W159" s="159">
        <f t="shared" si="35"/>
        <v>0</v>
      </c>
      <c r="X159" s="160"/>
      <c r="Y159" s="160"/>
      <c r="Z159" s="160"/>
      <c r="AA159" s="117"/>
    </row>
    <row r="160" spans="1:27" ht="13.5" thickBot="1">
      <c r="A160" s="417"/>
      <c r="B160" s="411"/>
      <c r="C160" s="261">
        <f t="shared" si="40"/>
        <v>39784</v>
      </c>
      <c r="D160" s="144"/>
      <c r="E160" s="145"/>
      <c r="F160" s="146"/>
      <c r="G160" s="164">
        <f t="shared" si="36"/>
        <v>0</v>
      </c>
      <c r="H160" s="147"/>
      <c r="I160" s="165"/>
      <c r="J160" s="149" t="str">
        <f t="shared" ca="1" si="29"/>
        <v/>
      </c>
      <c r="K160" s="150" t="b">
        <f t="shared" ca="1" si="38"/>
        <v>0</v>
      </c>
      <c r="L160" s="364">
        <f t="shared" si="37"/>
        <v>12</v>
      </c>
      <c r="M160" s="267">
        <v>39784</v>
      </c>
      <c r="N160" s="166">
        <f t="shared" si="30"/>
        <v>1</v>
      </c>
      <c r="O160" s="167">
        <f t="shared" ca="1" si="31"/>
        <v>1</v>
      </c>
      <c r="P160" s="168">
        <f t="shared" si="32"/>
        <v>1</v>
      </c>
      <c r="Q160" s="169" t="b">
        <f t="shared" si="39"/>
        <v>0</v>
      </c>
      <c r="R160" s="170" t="b">
        <f t="shared" ca="1" si="33"/>
        <v>1</v>
      </c>
      <c r="S160" s="166"/>
      <c r="T160" s="166"/>
      <c r="U160" s="171">
        <f t="shared" ca="1" si="34"/>
        <v>0.29166666666666669</v>
      </c>
      <c r="V160" s="172"/>
      <c r="W160" s="173">
        <f t="shared" si="35"/>
        <v>0</v>
      </c>
      <c r="X160" s="174"/>
      <c r="Y160" s="174"/>
      <c r="Z160" s="174"/>
      <c r="AA160" s="117"/>
    </row>
    <row r="161" spans="1:27" ht="13.5" thickBot="1">
      <c r="A161" s="417"/>
      <c r="B161" s="411"/>
      <c r="C161" s="261">
        <f t="shared" si="40"/>
        <v>39785</v>
      </c>
      <c r="D161" s="144"/>
      <c r="E161" s="145"/>
      <c r="F161" s="146"/>
      <c r="G161" s="164">
        <f t="shared" si="36"/>
        <v>0</v>
      </c>
      <c r="H161" s="147"/>
      <c r="I161" s="165"/>
      <c r="J161" s="149" t="str">
        <f t="shared" ca="1" si="29"/>
        <v/>
      </c>
      <c r="K161" s="150" t="b">
        <f t="shared" ca="1" si="38"/>
        <v>0</v>
      </c>
      <c r="L161" s="364">
        <f t="shared" si="37"/>
        <v>12</v>
      </c>
      <c r="M161" s="267">
        <v>39785</v>
      </c>
      <c r="N161" s="166">
        <f t="shared" si="30"/>
        <v>2</v>
      </c>
      <c r="O161" s="167">
        <f t="shared" ca="1" si="31"/>
        <v>1</v>
      </c>
      <c r="P161" s="168">
        <f t="shared" si="32"/>
        <v>1</v>
      </c>
      <c r="Q161" s="169" t="b">
        <f t="shared" si="39"/>
        <v>0</v>
      </c>
      <c r="R161" s="170" t="b">
        <f t="shared" ca="1" si="33"/>
        <v>1</v>
      </c>
      <c r="S161" s="166"/>
      <c r="T161" s="166"/>
      <c r="U161" s="171">
        <f t="shared" ca="1" si="34"/>
        <v>0.29166666666666669</v>
      </c>
      <c r="V161" s="172"/>
      <c r="W161" s="173">
        <f t="shared" si="35"/>
        <v>0</v>
      </c>
      <c r="X161" s="174"/>
      <c r="Y161" s="174"/>
      <c r="Z161" s="174"/>
      <c r="AA161" s="117"/>
    </row>
    <row r="162" spans="1:27" ht="13.5" thickBot="1">
      <c r="A162" s="417"/>
      <c r="B162" s="411"/>
      <c r="C162" s="261">
        <f t="shared" si="40"/>
        <v>39786</v>
      </c>
      <c r="D162" s="144"/>
      <c r="E162" s="145"/>
      <c r="F162" s="146"/>
      <c r="G162" s="164">
        <f t="shared" si="36"/>
        <v>0</v>
      </c>
      <c r="H162" s="147"/>
      <c r="I162" s="165"/>
      <c r="J162" s="149" t="str">
        <f t="shared" ca="1" si="29"/>
        <v/>
      </c>
      <c r="K162" s="150" t="b">
        <f t="shared" ca="1" si="38"/>
        <v>0</v>
      </c>
      <c r="L162" s="364">
        <f t="shared" si="37"/>
        <v>12</v>
      </c>
      <c r="M162" s="267">
        <v>39786</v>
      </c>
      <c r="N162" s="166">
        <f t="shared" si="30"/>
        <v>3</v>
      </c>
      <c r="O162" s="167">
        <f t="shared" ca="1" si="31"/>
        <v>1</v>
      </c>
      <c r="P162" s="168">
        <f t="shared" si="32"/>
        <v>1</v>
      </c>
      <c r="Q162" s="169" t="b">
        <f t="shared" si="39"/>
        <v>0</v>
      </c>
      <c r="R162" s="170" t="b">
        <f t="shared" ca="1" si="33"/>
        <v>1</v>
      </c>
      <c r="S162" s="166"/>
      <c r="T162" s="166"/>
      <c r="U162" s="171">
        <f t="shared" ca="1" si="34"/>
        <v>0.29166666666666669</v>
      </c>
      <c r="V162" s="172"/>
      <c r="W162" s="173">
        <f t="shared" si="35"/>
        <v>0</v>
      </c>
      <c r="X162" s="174"/>
      <c r="Y162" s="174"/>
      <c r="Z162" s="174"/>
      <c r="AA162" s="117"/>
    </row>
    <row r="163" spans="1:27" ht="13.5" thickBot="1">
      <c r="A163" s="417"/>
      <c r="B163" s="411"/>
      <c r="C163" s="261">
        <f t="shared" si="40"/>
        <v>39787</v>
      </c>
      <c r="D163" s="144"/>
      <c r="E163" s="145"/>
      <c r="F163" s="146"/>
      <c r="G163" s="164">
        <f t="shared" si="36"/>
        <v>0</v>
      </c>
      <c r="H163" s="147"/>
      <c r="I163" s="165"/>
      <c r="J163" s="149" t="str">
        <f t="shared" ca="1" si="29"/>
        <v/>
      </c>
      <c r="K163" s="150" t="b">
        <f t="shared" ca="1" si="38"/>
        <v>0</v>
      </c>
      <c r="L163" s="364">
        <f t="shared" si="37"/>
        <v>12</v>
      </c>
      <c r="M163" s="267">
        <v>39787</v>
      </c>
      <c r="N163" s="166">
        <f t="shared" si="30"/>
        <v>4</v>
      </c>
      <c r="O163" s="167">
        <f t="shared" ca="1" si="31"/>
        <v>1</v>
      </c>
      <c r="P163" s="168">
        <f t="shared" si="32"/>
        <v>1</v>
      </c>
      <c r="Q163" s="169" t="b">
        <f t="shared" si="39"/>
        <v>0</v>
      </c>
      <c r="R163" s="170" t="b">
        <f t="shared" ca="1" si="33"/>
        <v>1</v>
      </c>
      <c r="S163" s="166"/>
      <c r="T163" s="166"/>
      <c r="U163" s="171">
        <f t="shared" ca="1" si="34"/>
        <v>0.29166666666666669</v>
      </c>
      <c r="V163" s="172"/>
      <c r="W163" s="173">
        <f t="shared" si="35"/>
        <v>0</v>
      </c>
      <c r="X163" s="174"/>
      <c r="Y163" s="174"/>
      <c r="Z163" s="174"/>
      <c r="AA163" s="117"/>
    </row>
    <row r="164" spans="1:27" ht="13.5" thickBot="1">
      <c r="A164" s="417"/>
      <c r="B164" s="411"/>
      <c r="C164" s="262">
        <f t="shared" si="40"/>
        <v>39788</v>
      </c>
      <c r="D164" s="175"/>
      <c r="E164" s="176"/>
      <c r="F164" s="177"/>
      <c r="G164" s="178">
        <f t="shared" si="36"/>
        <v>0</v>
      </c>
      <c r="H164" s="279"/>
      <c r="I164" s="179"/>
      <c r="J164" s="180" t="str">
        <f t="shared" ca="1" si="29"/>
        <v/>
      </c>
      <c r="K164" s="181" t="b">
        <f t="shared" ca="1" si="38"/>
        <v>0</v>
      </c>
      <c r="L164" s="365">
        <f t="shared" si="37"/>
        <v>12</v>
      </c>
      <c r="M164" s="271">
        <v>39788</v>
      </c>
      <c r="N164" s="182">
        <f t="shared" si="30"/>
        <v>5</v>
      </c>
      <c r="O164" s="183">
        <f t="shared" ca="1" si="31"/>
        <v>1</v>
      </c>
      <c r="P164" s="184">
        <f t="shared" si="32"/>
        <v>1</v>
      </c>
      <c r="Q164" s="185" t="b">
        <f t="shared" si="39"/>
        <v>0</v>
      </c>
      <c r="R164" s="186" t="b">
        <f t="shared" ca="1" si="33"/>
        <v>1</v>
      </c>
      <c r="S164" s="182"/>
      <c r="T164" s="182"/>
      <c r="U164" s="187"/>
      <c r="V164" s="172"/>
      <c r="W164" s="188">
        <f t="shared" si="35"/>
        <v>0</v>
      </c>
      <c r="X164" s="174"/>
      <c r="Y164" s="174"/>
      <c r="Z164" s="174"/>
      <c r="AA164" s="117"/>
    </row>
    <row r="165" spans="1:27" ht="13.5" thickBot="1">
      <c r="A165" s="418"/>
      <c r="B165" s="412"/>
      <c r="C165" s="263">
        <f t="shared" si="40"/>
        <v>39789</v>
      </c>
      <c r="D165" s="189"/>
      <c r="E165" s="190"/>
      <c r="F165" s="191"/>
      <c r="G165" s="192">
        <f t="shared" si="36"/>
        <v>0</v>
      </c>
      <c r="H165" s="280"/>
      <c r="I165" s="193"/>
      <c r="J165" s="194" t="str">
        <f t="shared" ca="1" si="29"/>
        <v/>
      </c>
      <c r="K165" s="195" t="b">
        <f t="shared" ca="1" si="38"/>
        <v>0</v>
      </c>
      <c r="L165" s="366">
        <f t="shared" si="37"/>
        <v>12</v>
      </c>
      <c r="M165" s="272">
        <v>39789</v>
      </c>
      <c r="N165" s="196">
        <f t="shared" si="30"/>
        <v>6</v>
      </c>
      <c r="O165" s="197">
        <f t="shared" ca="1" si="31"/>
        <v>0</v>
      </c>
      <c r="P165" s="198">
        <f t="shared" si="32"/>
        <v>0</v>
      </c>
      <c r="Q165" s="199" t="b">
        <f t="shared" si="39"/>
        <v>0</v>
      </c>
      <c r="R165" s="200" t="b">
        <f t="shared" ca="1" si="33"/>
        <v>1</v>
      </c>
      <c r="S165" s="196" t="b">
        <f>AND(R165,R159)</f>
        <v>1</v>
      </c>
      <c r="T165" s="196" t="b">
        <f>OR(R165,R159)</f>
        <v>1</v>
      </c>
      <c r="U165" s="201"/>
      <c r="V165" s="202">
        <f ca="1">IF(Sem_entame,SUM(U159:U165),"")</f>
        <v>1.4583333333333335</v>
      </c>
      <c r="W165" s="203">
        <f t="shared" si="35"/>
        <v>0</v>
      </c>
      <c r="X165" s="204">
        <f ca="1">SUM(W159:W165)</f>
        <v>0</v>
      </c>
      <c r="Y165" s="204">
        <f ca="1">IF(Sem_entame,X165-V165,"")</f>
        <v>-1.4583333333333335</v>
      </c>
      <c r="Z165" s="204">
        <f ca="1">IF(Sem_entame,Y165+IF(ISNUMBER(Z158),Z158,0),"")</f>
        <v>-29.895833333333329</v>
      </c>
      <c r="AA165" s="117"/>
    </row>
    <row r="166" spans="1:27" ht="12.75" customHeight="1" thickBot="1">
      <c r="A166" s="416">
        <f>A159+1</f>
        <v>24</v>
      </c>
      <c r="B166" s="411" t="str">
        <f>IF(L166&lt;&gt;L172,TEXT(C172,"mmm"&amp;"-"),"")&amp;TEXT(C166,"mmm")</f>
        <v>déc</v>
      </c>
      <c r="C166" s="260">
        <f t="shared" si="40"/>
        <v>39790</v>
      </c>
      <c r="D166" s="144"/>
      <c r="E166" s="145"/>
      <c r="F166" s="146"/>
      <c r="G166" s="147">
        <f t="shared" si="36"/>
        <v>0</v>
      </c>
      <c r="H166" s="147"/>
      <c r="I166" s="148"/>
      <c r="J166" s="207" t="str">
        <f t="shared" ca="1" si="29"/>
        <v/>
      </c>
      <c r="K166" s="150" t="b">
        <f t="shared" ca="1" si="38"/>
        <v>0</v>
      </c>
      <c r="L166" s="362">
        <f t="shared" si="37"/>
        <v>12</v>
      </c>
      <c r="M166" s="266">
        <v>39790</v>
      </c>
      <c r="N166" s="151">
        <f t="shared" si="30"/>
        <v>7</v>
      </c>
      <c r="O166" s="152">
        <f t="shared" ca="1" si="31"/>
        <v>0</v>
      </c>
      <c r="P166" s="153">
        <f t="shared" si="32"/>
        <v>0</v>
      </c>
      <c r="Q166" s="154" t="b">
        <f t="shared" si="39"/>
        <v>0</v>
      </c>
      <c r="R166" s="155" t="b">
        <f t="shared" ca="1" si="33"/>
        <v>1</v>
      </c>
      <c r="S166" s="156"/>
      <c r="T166" s="156"/>
      <c r="U166" s="157">
        <f t="shared" ca="1" si="34"/>
        <v>0.29166666666666669</v>
      </c>
      <c r="V166" s="158"/>
      <c r="W166" s="159">
        <f t="shared" si="35"/>
        <v>0</v>
      </c>
      <c r="X166" s="160"/>
      <c r="Y166" s="160"/>
      <c r="Z166" s="160"/>
      <c r="AA166" s="117"/>
    </row>
    <row r="167" spans="1:27" ht="13.5" thickBot="1">
      <c r="A167" s="417"/>
      <c r="B167" s="411"/>
      <c r="C167" s="261">
        <f t="shared" si="40"/>
        <v>39791</v>
      </c>
      <c r="D167" s="144"/>
      <c r="E167" s="145"/>
      <c r="F167" s="146"/>
      <c r="G167" s="164">
        <f t="shared" si="36"/>
        <v>0</v>
      </c>
      <c r="H167" s="147"/>
      <c r="I167" s="165"/>
      <c r="J167" s="149" t="str">
        <f t="shared" ca="1" si="29"/>
        <v/>
      </c>
      <c r="K167" s="150" t="b">
        <f t="shared" ca="1" si="38"/>
        <v>0</v>
      </c>
      <c r="L167" s="364">
        <f t="shared" si="37"/>
        <v>12</v>
      </c>
      <c r="M167" s="267">
        <v>39791</v>
      </c>
      <c r="N167" s="166">
        <f t="shared" si="30"/>
        <v>1</v>
      </c>
      <c r="O167" s="167">
        <f t="shared" ca="1" si="31"/>
        <v>1</v>
      </c>
      <c r="P167" s="168">
        <f t="shared" si="32"/>
        <v>1</v>
      </c>
      <c r="Q167" s="169" t="b">
        <f t="shared" si="39"/>
        <v>0</v>
      </c>
      <c r="R167" s="170" t="b">
        <f t="shared" ca="1" si="33"/>
        <v>1</v>
      </c>
      <c r="S167" s="166"/>
      <c r="T167" s="166"/>
      <c r="U167" s="171">
        <f t="shared" ca="1" si="34"/>
        <v>0.29166666666666669</v>
      </c>
      <c r="V167" s="172"/>
      <c r="W167" s="173">
        <f t="shared" si="35"/>
        <v>0</v>
      </c>
      <c r="X167" s="174"/>
      <c r="Y167" s="174"/>
      <c r="Z167" s="174"/>
      <c r="AA167" s="117"/>
    </row>
    <row r="168" spans="1:27" ht="13.5" thickBot="1">
      <c r="A168" s="417"/>
      <c r="B168" s="411"/>
      <c r="C168" s="261">
        <f t="shared" si="40"/>
        <v>39792</v>
      </c>
      <c r="D168" s="144"/>
      <c r="E168" s="145"/>
      <c r="F168" s="146"/>
      <c r="G168" s="164">
        <f t="shared" si="36"/>
        <v>0</v>
      </c>
      <c r="H168" s="147"/>
      <c r="I168" s="165"/>
      <c r="J168" s="149" t="str">
        <f t="shared" ca="1" si="29"/>
        <v/>
      </c>
      <c r="K168" s="150" t="b">
        <f t="shared" ca="1" si="38"/>
        <v>0</v>
      </c>
      <c r="L168" s="364">
        <f t="shared" si="37"/>
        <v>12</v>
      </c>
      <c r="M168" s="267">
        <v>39792</v>
      </c>
      <c r="N168" s="166">
        <f t="shared" si="30"/>
        <v>2</v>
      </c>
      <c r="O168" s="167">
        <f t="shared" ca="1" si="31"/>
        <v>1</v>
      </c>
      <c r="P168" s="168">
        <f t="shared" si="32"/>
        <v>1</v>
      </c>
      <c r="Q168" s="169" t="b">
        <f t="shared" si="39"/>
        <v>0</v>
      </c>
      <c r="R168" s="170" t="b">
        <f t="shared" ca="1" si="33"/>
        <v>1</v>
      </c>
      <c r="S168" s="166"/>
      <c r="T168" s="166"/>
      <c r="U168" s="171">
        <f t="shared" ca="1" si="34"/>
        <v>0.29166666666666669</v>
      </c>
      <c r="V168" s="172"/>
      <c r="W168" s="173">
        <f t="shared" si="35"/>
        <v>0</v>
      </c>
      <c r="X168" s="174"/>
      <c r="Y168" s="174"/>
      <c r="Z168" s="174"/>
      <c r="AA168" s="117"/>
    </row>
    <row r="169" spans="1:27" ht="13.5" thickBot="1">
      <c r="A169" s="417"/>
      <c r="B169" s="411"/>
      <c r="C169" s="261">
        <f t="shared" si="40"/>
        <v>39793</v>
      </c>
      <c r="D169" s="144"/>
      <c r="E169" s="145"/>
      <c r="F169" s="146"/>
      <c r="G169" s="164">
        <f t="shared" si="36"/>
        <v>0</v>
      </c>
      <c r="H169" s="147"/>
      <c r="I169" s="165"/>
      <c r="J169" s="149" t="str">
        <f t="shared" ca="1" si="29"/>
        <v/>
      </c>
      <c r="K169" s="150" t="b">
        <f t="shared" ca="1" si="38"/>
        <v>0</v>
      </c>
      <c r="L169" s="364">
        <f t="shared" si="37"/>
        <v>12</v>
      </c>
      <c r="M169" s="267">
        <v>39793</v>
      </c>
      <c r="N169" s="166">
        <f t="shared" si="30"/>
        <v>3</v>
      </c>
      <c r="O169" s="167">
        <f t="shared" ca="1" si="31"/>
        <v>1</v>
      </c>
      <c r="P169" s="168">
        <f t="shared" si="32"/>
        <v>1</v>
      </c>
      <c r="Q169" s="169" t="b">
        <f t="shared" si="39"/>
        <v>0</v>
      </c>
      <c r="R169" s="170" t="b">
        <f t="shared" ca="1" si="33"/>
        <v>1</v>
      </c>
      <c r="S169" s="166"/>
      <c r="T169" s="166"/>
      <c r="U169" s="171">
        <f t="shared" ca="1" si="34"/>
        <v>0.29166666666666669</v>
      </c>
      <c r="V169" s="172"/>
      <c r="W169" s="173">
        <f t="shared" si="35"/>
        <v>0</v>
      </c>
      <c r="X169" s="174"/>
      <c r="Y169" s="174"/>
      <c r="Z169" s="174"/>
      <c r="AA169" s="117"/>
    </row>
    <row r="170" spans="1:27" ht="13.5" thickBot="1">
      <c r="A170" s="417"/>
      <c r="B170" s="411"/>
      <c r="C170" s="261">
        <f t="shared" si="40"/>
        <v>39794</v>
      </c>
      <c r="D170" s="144"/>
      <c r="E170" s="145"/>
      <c r="F170" s="146"/>
      <c r="G170" s="164">
        <f t="shared" si="36"/>
        <v>0</v>
      </c>
      <c r="H170" s="147"/>
      <c r="I170" s="165"/>
      <c r="J170" s="149" t="str">
        <f t="shared" ca="1" si="29"/>
        <v/>
      </c>
      <c r="K170" s="150" t="b">
        <f t="shared" ca="1" si="38"/>
        <v>0</v>
      </c>
      <c r="L170" s="364">
        <f t="shared" si="37"/>
        <v>12</v>
      </c>
      <c r="M170" s="267">
        <v>39794</v>
      </c>
      <c r="N170" s="166">
        <f t="shared" si="30"/>
        <v>4</v>
      </c>
      <c r="O170" s="167">
        <f t="shared" ca="1" si="31"/>
        <v>1</v>
      </c>
      <c r="P170" s="168">
        <f t="shared" si="32"/>
        <v>1</v>
      </c>
      <c r="Q170" s="169" t="b">
        <f t="shared" si="39"/>
        <v>0</v>
      </c>
      <c r="R170" s="170" t="b">
        <f t="shared" ca="1" si="33"/>
        <v>1</v>
      </c>
      <c r="S170" s="166"/>
      <c r="T170" s="166"/>
      <c r="U170" s="171">
        <f t="shared" ca="1" si="34"/>
        <v>0.29166666666666669</v>
      </c>
      <c r="V170" s="172"/>
      <c r="W170" s="173">
        <f t="shared" si="35"/>
        <v>0</v>
      </c>
      <c r="X170" s="174"/>
      <c r="Y170" s="174"/>
      <c r="Z170" s="174"/>
      <c r="AA170" s="117"/>
    </row>
    <row r="171" spans="1:27" ht="13.5" thickBot="1">
      <c r="A171" s="417"/>
      <c r="B171" s="411"/>
      <c r="C171" s="262">
        <f t="shared" si="40"/>
        <v>39795</v>
      </c>
      <c r="D171" s="175"/>
      <c r="E171" s="176"/>
      <c r="F171" s="177"/>
      <c r="G171" s="178">
        <f t="shared" si="36"/>
        <v>0</v>
      </c>
      <c r="H171" s="279"/>
      <c r="I171" s="179"/>
      <c r="J171" s="180" t="str">
        <f t="shared" ca="1" si="29"/>
        <v/>
      </c>
      <c r="K171" s="181" t="b">
        <f t="shared" ca="1" si="38"/>
        <v>0</v>
      </c>
      <c r="L171" s="365">
        <f t="shared" si="37"/>
        <v>12</v>
      </c>
      <c r="M171" s="271">
        <v>39795</v>
      </c>
      <c r="N171" s="182">
        <f t="shared" si="30"/>
        <v>5</v>
      </c>
      <c r="O171" s="183">
        <f t="shared" ca="1" si="31"/>
        <v>1</v>
      </c>
      <c r="P171" s="184">
        <f t="shared" si="32"/>
        <v>1</v>
      </c>
      <c r="Q171" s="185" t="b">
        <f t="shared" si="39"/>
        <v>0</v>
      </c>
      <c r="R171" s="186" t="b">
        <f t="shared" ca="1" si="33"/>
        <v>1</v>
      </c>
      <c r="S171" s="182"/>
      <c r="T171" s="182"/>
      <c r="U171" s="187"/>
      <c r="V171" s="172"/>
      <c r="W171" s="188">
        <f t="shared" si="35"/>
        <v>0</v>
      </c>
      <c r="X171" s="174"/>
      <c r="Y171" s="174"/>
      <c r="Z171" s="174"/>
      <c r="AA171" s="117"/>
    </row>
    <row r="172" spans="1:27" ht="13.5" thickBot="1">
      <c r="A172" s="418"/>
      <c r="B172" s="412"/>
      <c r="C172" s="263">
        <f t="shared" si="40"/>
        <v>39796</v>
      </c>
      <c r="D172" s="189"/>
      <c r="E172" s="190"/>
      <c r="F172" s="191"/>
      <c r="G172" s="192">
        <f t="shared" si="36"/>
        <v>0</v>
      </c>
      <c r="H172" s="280"/>
      <c r="I172" s="193"/>
      <c r="J172" s="194" t="str">
        <f t="shared" ca="1" si="29"/>
        <v/>
      </c>
      <c r="K172" s="195" t="b">
        <f t="shared" ca="1" si="38"/>
        <v>0</v>
      </c>
      <c r="L172" s="366">
        <f t="shared" si="37"/>
        <v>12</v>
      </c>
      <c r="M172" s="272">
        <v>39796</v>
      </c>
      <c r="N172" s="196">
        <f t="shared" si="30"/>
        <v>6</v>
      </c>
      <c r="O172" s="197">
        <f t="shared" ca="1" si="31"/>
        <v>0</v>
      </c>
      <c r="P172" s="198">
        <f t="shared" si="32"/>
        <v>0</v>
      </c>
      <c r="Q172" s="199" t="b">
        <f t="shared" si="39"/>
        <v>0</v>
      </c>
      <c r="R172" s="200" t="b">
        <f t="shared" ca="1" si="33"/>
        <v>1</v>
      </c>
      <c r="S172" s="196" t="b">
        <f>AND(R172,R166)</f>
        <v>1</v>
      </c>
      <c r="T172" s="196" t="b">
        <f>OR(R172,R166)</f>
        <v>1</v>
      </c>
      <c r="U172" s="201"/>
      <c r="V172" s="202">
        <f ca="1">IF(Sem_entame,SUM(U166:U172),"")</f>
        <v>1.4583333333333335</v>
      </c>
      <c r="W172" s="203">
        <f t="shared" si="35"/>
        <v>0</v>
      </c>
      <c r="X172" s="204">
        <f ca="1">SUM(W166:W172)</f>
        <v>0</v>
      </c>
      <c r="Y172" s="204">
        <f ca="1">IF(Sem_entame,X172-V172,"")</f>
        <v>-1.4583333333333335</v>
      </c>
      <c r="Z172" s="204">
        <f ca="1">IF(Sem_entame,Y172+IF(ISNUMBER(Z165),Z165,0),"")</f>
        <v>-31.354166666666661</v>
      </c>
      <c r="AA172" s="117"/>
    </row>
    <row r="173" spans="1:27" ht="12.75" customHeight="1" thickBot="1">
      <c r="A173" s="416">
        <f>A166+1</f>
        <v>25</v>
      </c>
      <c r="B173" s="411" t="str">
        <f>IF(L173&lt;&gt;L179,TEXT(C179,"mmm"&amp;"-"),"")&amp;TEXT(C173,"mmm")</f>
        <v>déc</v>
      </c>
      <c r="C173" s="260">
        <f t="shared" si="40"/>
        <v>39797</v>
      </c>
      <c r="D173" s="144"/>
      <c r="E173" s="145"/>
      <c r="F173" s="146"/>
      <c r="G173" s="147">
        <f t="shared" si="36"/>
        <v>0</v>
      </c>
      <c r="H173" s="147"/>
      <c r="I173" s="148"/>
      <c r="J173" s="207" t="str">
        <f t="shared" ca="1" si="29"/>
        <v/>
      </c>
      <c r="K173" s="150" t="b">
        <f t="shared" ca="1" si="38"/>
        <v>0</v>
      </c>
      <c r="L173" s="362">
        <f t="shared" si="37"/>
        <v>12</v>
      </c>
      <c r="M173" s="266">
        <v>39797</v>
      </c>
      <c r="N173" s="151">
        <f t="shared" si="30"/>
        <v>7</v>
      </c>
      <c r="O173" s="152">
        <f t="shared" ca="1" si="31"/>
        <v>0</v>
      </c>
      <c r="P173" s="153">
        <f t="shared" si="32"/>
        <v>0</v>
      </c>
      <c r="Q173" s="154" t="b">
        <f t="shared" si="39"/>
        <v>0</v>
      </c>
      <c r="R173" s="155" t="b">
        <f t="shared" ca="1" si="33"/>
        <v>1</v>
      </c>
      <c r="S173" s="156"/>
      <c r="T173" s="156"/>
      <c r="U173" s="157">
        <f t="shared" ca="1" si="34"/>
        <v>0.29166666666666669</v>
      </c>
      <c r="V173" s="158"/>
      <c r="W173" s="159">
        <f t="shared" si="35"/>
        <v>0</v>
      </c>
      <c r="X173" s="160"/>
      <c r="Y173" s="160"/>
      <c r="Z173" s="160"/>
      <c r="AA173" s="117"/>
    </row>
    <row r="174" spans="1:27" ht="13.5" thickBot="1">
      <c r="A174" s="417"/>
      <c r="B174" s="411"/>
      <c r="C174" s="261">
        <f t="shared" si="40"/>
        <v>39798</v>
      </c>
      <c r="D174" s="144"/>
      <c r="E174" s="145"/>
      <c r="F174" s="146"/>
      <c r="G174" s="164">
        <f t="shared" si="36"/>
        <v>0</v>
      </c>
      <c r="H174" s="147"/>
      <c r="I174" s="165"/>
      <c r="J174" s="149" t="str">
        <f t="shared" ca="1" si="29"/>
        <v/>
      </c>
      <c r="K174" s="150" t="b">
        <f t="shared" ca="1" si="38"/>
        <v>0</v>
      </c>
      <c r="L174" s="364">
        <f t="shared" si="37"/>
        <v>12</v>
      </c>
      <c r="M174" s="267">
        <v>39798</v>
      </c>
      <c r="N174" s="166">
        <f t="shared" si="30"/>
        <v>1</v>
      </c>
      <c r="O174" s="167">
        <f t="shared" ca="1" si="31"/>
        <v>1</v>
      </c>
      <c r="P174" s="168">
        <f t="shared" si="32"/>
        <v>1</v>
      </c>
      <c r="Q174" s="169" t="b">
        <f t="shared" si="39"/>
        <v>0</v>
      </c>
      <c r="R174" s="170" t="b">
        <f t="shared" ca="1" si="33"/>
        <v>1</v>
      </c>
      <c r="S174" s="166"/>
      <c r="T174" s="166"/>
      <c r="U174" s="171">
        <f t="shared" ca="1" si="34"/>
        <v>0.29166666666666669</v>
      </c>
      <c r="V174" s="172"/>
      <c r="W174" s="173">
        <f t="shared" si="35"/>
        <v>0</v>
      </c>
      <c r="X174" s="174"/>
      <c r="Y174" s="174"/>
      <c r="Z174" s="174"/>
      <c r="AA174" s="117"/>
    </row>
    <row r="175" spans="1:27" ht="13.5" thickBot="1">
      <c r="A175" s="417"/>
      <c r="B175" s="411"/>
      <c r="C175" s="261">
        <f t="shared" si="40"/>
        <v>39799</v>
      </c>
      <c r="D175" s="144"/>
      <c r="E175" s="145"/>
      <c r="F175" s="146"/>
      <c r="G175" s="164">
        <f t="shared" si="36"/>
        <v>0</v>
      </c>
      <c r="H175" s="147"/>
      <c r="I175" s="165"/>
      <c r="J175" s="149" t="str">
        <f t="shared" ca="1" si="29"/>
        <v/>
      </c>
      <c r="K175" s="150" t="b">
        <f t="shared" ca="1" si="38"/>
        <v>0</v>
      </c>
      <c r="L175" s="364">
        <f t="shared" si="37"/>
        <v>12</v>
      </c>
      <c r="M175" s="267">
        <v>39799</v>
      </c>
      <c r="N175" s="166">
        <f t="shared" si="30"/>
        <v>2</v>
      </c>
      <c r="O175" s="167">
        <f t="shared" ca="1" si="31"/>
        <v>1</v>
      </c>
      <c r="P175" s="168">
        <f t="shared" si="32"/>
        <v>1</v>
      </c>
      <c r="Q175" s="169" t="b">
        <f t="shared" si="39"/>
        <v>0</v>
      </c>
      <c r="R175" s="170" t="b">
        <f t="shared" ca="1" si="33"/>
        <v>1</v>
      </c>
      <c r="S175" s="166"/>
      <c r="T175" s="166"/>
      <c r="U175" s="171">
        <f t="shared" ca="1" si="34"/>
        <v>0.29166666666666669</v>
      </c>
      <c r="V175" s="172"/>
      <c r="W175" s="173">
        <f t="shared" si="35"/>
        <v>0</v>
      </c>
      <c r="X175" s="174"/>
      <c r="Y175" s="174"/>
      <c r="Z175" s="174"/>
      <c r="AA175" s="117"/>
    </row>
    <row r="176" spans="1:27" ht="13.5" thickBot="1">
      <c r="A176" s="417"/>
      <c r="B176" s="411"/>
      <c r="C176" s="261">
        <f t="shared" si="40"/>
        <v>39800</v>
      </c>
      <c r="D176" s="144"/>
      <c r="E176" s="145"/>
      <c r="F176" s="146"/>
      <c r="G176" s="164">
        <f t="shared" si="36"/>
        <v>0</v>
      </c>
      <c r="H176" s="147"/>
      <c r="I176" s="165"/>
      <c r="J176" s="149" t="str">
        <f t="shared" ca="1" si="29"/>
        <v/>
      </c>
      <c r="K176" s="150" t="b">
        <f t="shared" ca="1" si="38"/>
        <v>0</v>
      </c>
      <c r="L176" s="364">
        <f t="shared" si="37"/>
        <v>12</v>
      </c>
      <c r="M176" s="267">
        <v>39800</v>
      </c>
      <c r="N176" s="166">
        <f t="shared" si="30"/>
        <v>3</v>
      </c>
      <c r="O176" s="167">
        <f t="shared" ca="1" si="31"/>
        <v>1</v>
      </c>
      <c r="P176" s="168">
        <f t="shared" si="32"/>
        <v>1</v>
      </c>
      <c r="Q176" s="169" t="b">
        <f t="shared" si="39"/>
        <v>0</v>
      </c>
      <c r="R176" s="170" t="b">
        <f t="shared" ca="1" si="33"/>
        <v>1</v>
      </c>
      <c r="S176" s="166"/>
      <c r="T176" s="166"/>
      <c r="U176" s="171">
        <f t="shared" ca="1" si="34"/>
        <v>0.29166666666666669</v>
      </c>
      <c r="V176" s="172"/>
      <c r="W176" s="173">
        <f t="shared" si="35"/>
        <v>0</v>
      </c>
      <c r="X176" s="174"/>
      <c r="Y176" s="174"/>
      <c r="Z176" s="174"/>
      <c r="AA176" s="117"/>
    </row>
    <row r="177" spans="1:27" ht="13.5" thickBot="1">
      <c r="A177" s="417"/>
      <c r="B177" s="411"/>
      <c r="C177" s="261">
        <f t="shared" si="40"/>
        <v>39801</v>
      </c>
      <c r="D177" s="144"/>
      <c r="E177" s="145"/>
      <c r="F177" s="146"/>
      <c r="G177" s="164">
        <f t="shared" si="36"/>
        <v>0</v>
      </c>
      <c r="H177" s="147"/>
      <c r="I177" s="165"/>
      <c r="J177" s="149" t="str">
        <f t="shared" ca="1" si="29"/>
        <v/>
      </c>
      <c r="K177" s="150" t="b">
        <f t="shared" ca="1" si="38"/>
        <v>0</v>
      </c>
      <c r="L177" s="364">
        <f t="shared" si="37"/>
        <v>12</v>
      </c>
      <c r="M177" s="267">
        <v>39801</v>
      </c>
      <c r="N177" s="166">
        <f t="shared" si="30"/>
        <v>4</v>
      </c>
      <c r="O177" s="167">
        <f t="shared" ca="1" si="31"/>
        <v>1</v>
      </c>
      <c r="P177" s="168">
        <f t="shared" si="32"/>
        <v>1</v>
      </c>
      <c r="Q177" s="169" t="b">
        <f t="shared" si="39"/>
        <v>0</v>
      </c>
      <c r="R177" s="170" t="b">
        <f t="shared" ca="1" si="33"/>
        <v>1</v>
      </c>
      <c r="S177" s="166"/>
      <c r="T177" s="166"/>
      <c r="U177" s="171">
        <f t="shared" ca="1" si="34"/>
        <v>0.29166666666666669</v>
      </c>
      <c r="V177" s="172"/>
      <c r="W177" s="173">
        <f t="shared" si="35"/>
        <v>0</v>
      </c>
      <c r="X177" s="174"/>
      <c r="Y177" s="174"/>
      <c r="Z177" s="174"/>
      <c r="AA177" s="117"/>
    </row>
    <row r="178" spans="1:27" ht="13.5" thickBot="1">
      <c r="A178" s="417"/>
      <c r="B178" s="411"/>
      <c r="C178" s="262">
        <f t="shared" si="40"/>
        <v>39802</v>
      </c>
      <c r="D178" s="175"/>
      <c r="E178" s="176"/>
      <c r="F178" s="177"/>
      <c r="G178" s="178">
        <f t="shared" si="36"/>
        <v>0</v>
      </c>
      <c r="H178" s="279"/>
      <c r="I178" s="179"/>
      <c r="J178" s="180" t="str">
        <f t="shared" ca="1" si="29"/>
        <v/>
      </c>
      <c r="K178" s="181" t="b">
        <f t="shared" ca="1" si="38"/>
        <v>0</v>
      </c>
      <c r="L178" s="365">
        <f t="shared" si="37"/>
        <v>12</v>
      </c>
      <c r="M178" s="271">
        <v>39802</v>
      </c>
      <c r="N178" s="182">
        <f t="shared" si="30"/>
        <v>5</v>
      </c>
      <c r="O178" s="183">
        <f t="shared" ca="1" si="31"/>
        <v>1</v>
      </c>
      <c r="P178" s="184">
        <f t="shared" si="32"/>
        <v>1</v>
      </c>
      <c r="Q178" s="185" t="b">
        <f t="shared" si="39"/>
        <v>0</v>
      </c>
      <c r="R178" s="186" t="b">
        <f t="shared" ca="1" si="33"/>
        <v>1</v>
      </c>
      <c r="S178" s="182"/>
      <c r="T178" s="182"/>
      <c r="U178" s="187"/>
      <c r="V178" s="172"/>
      <c r="W178" s="188">
        <f t="shared" si="35"/>
        <v>0</v>
      </c>
      <c r="X178" s="174"/>
      <c r="Y178" s="174"/>
      <c r="Z178" s="174"/>
      <c r="AA178" s="117"/>
    </row>
    <row r="179" spans="1:27" ht="13.5" thickBot="1">
      <c r="A179" s="418"/>
      <c r="B179" s="412"/>
      <c r="C179" s="263">
        <f t="shared" si="40"/>
        <v>39803</v>
      </c>
      <c r="D179" s="189"/>
      <c r="E179" s="190"/>
      <c r="F179" s="191"/>
      <c r="G179" s="192">
        <f t="shared" si="36"/>
        <v>0</v>
      </c>
      <c r="H179" s="280"/>
      <c r="I179" s="193"/>
      <c r="J179" s="194" t="str">
        <f t="shared" ca="1" si="29"/>
        <v/>
      </c>
      <c r="K179" s="195" t="b">
        <f t="shared" ca="1" si="38"/>
        <v>0</v>
      </c>
      <c r="L179" s="366">
        <f t="shared" si="37"/>
        <v>12</v>
      </c>
      <c r="M179" s="272">
        <v>39803</v>
      </c>
      <c r="N179" s="196">
        <f t="shared" si="30"/>
        <v>6</v>
      </c>
      <c r="O179" s="197">
        <f t="shared" ca="1" si="31"/>
        <v>0</v>
      </c>
      <c r="P179" s="198">
        <f t="shared" si="32"/>
        <v>0</v>
      </c>
      <c r="Q179" s="199" t="b">
        <f t="shared" si="39"/>
        <v>0</v>
      </c>
      <c r="R179" s="200" t="b">
        <f t="shared" ca="1" si="33"/>
        <v>1</v>
      </c>
      <c r="S179" s="196" t="b">
        <f>AND(R179,R173)</f>
        <v>1</v>
      </c>
      <c r="T179" s="196" t="b">
        <f>OR(R179,R173)</f>
        <v>1</v>
      </c>
      <c r="U179" s="201"/>
      <c r="V179" s="202">
        <f ca="1">IF(Sem_entame,SUM(U173:U179),"")</f>
        <v>1.4583333333333335</v>
      </c>
      <c r="W179" s="203">
        <f t="shared" si="35"/>
        <v>0</v>
      </c>
      <c r="X179" s="204">
        <f ca="1">SUM(W173:W179)</f>
        <v>0</v>
      </c>
      <c r="Y179" s="204">
        <f ca="1">IF(Sem_entame,X179-V179,"")</f>
        <v>-1.4583333333333335</v>
      </c>
      <c r="Z179" s="204">
        <f ca="1">IF(Sem_entame,Y179+IF(ISNUMBER(Z172),Z172,0),"")</f>
        <v>-32.812499999999993</v>
      </c>
      <c r="AA179" s="117"/>
    </row>
    <row r="180" spans="1:27" ht="12.75" customHeight="1" thickBot="1">
      <c r="A180" s="416">
        <f>A173+1</f>
        <v>26</v>
      </c>
      <c r="B180" s="411" t="str">
        <f>IF(L180&lt;&gt;L186,TEXT(C186,"mmm"&amp;"-"),"")&amp;TEXT(C180,"mmm")</f>
        <v>déc</v>
      </c>
      <c r="C180" s="260">
        <f t="shared" si="40"/>
        <v>39804</v>
      </c>
      <c r="D180" s="144"/>
      <c r="E180" s="145"/>
      <c r="F180" s="146"/>
      <c r="G180" s="147">
        <f t="shared" si="36"/>
        <v>0</v>
      </c>
      <c r="H180" s="147"/>
      <c r="I180" s="148"/>
      <c r="J180" s="207" t="str">
        <f t="shared" ca="1" si="29"/>
        <v/>
      </c>
      <c r="K180" s="150" t="b">
        <f t="shared" ca="1" si="38"/>
        <v>0</v>
      </c>
      <c r="L180" s="362">
        <f t="shared" si="37"/>
        <v>12</v>
      </c>
      <c r="M180" s="266">
        <v>39804</v>
      </c>
      <c r="N180" s="151">
        <f t="shared" si="30"/>
        <v>7</v>
      </c>
      <c r="O180" s="152">
        <f t="shared" ca="1" si="31"/>
        <v>0</v>
      </c>
      <c r="P180" s="153">
        <f t="shared" si="32"/>
        <v>0</v>
      </c>
      <c r="Q180" s="154" t="b">
        <f t="shared" si="39"/>
        <v>0</v>
      </c>
      <c r="R180" s="155" t="b">
        <f t="shared" ca="1" si="33"/>
        <v>1</v>
      </c>
      <c r="S180" s="156"/>
      <c r="T180" s="156"/>
      <c r="U180" s="157">
        <f t="shared" ca="1" si="34"/>
        <v>0.29166666666666669</v>
      </c>
      <c r="V180" s="158"/>
      <c r="W180" s="159">
        <f t="shared" si="35"/>
        <v>0</v>
      </c>
      <c r="X180" s="160"/>
      <c r="Y180" s="160"/>
      <c r="Z180" s="160"/>
      <c r="AA180" s="117"/>
    </row>
    <row r="181" spans="1:27" ht="13.5" thickBot="1">
      <c r="A181" s="417"/>
      <c r="B181" s="411"/>
      <c r="C181" s="261">
        <f t="shared" si="40"/>
        <v>39805</v>
      </c>
      <c r="D181" s="144"/>
      <c r="E181" s="145"/>
      <c r="F181" s="146"/>
      <c r="G181" s="164">
        <f t="shared" si="36"/>
        <v>0</v>
      </c>
      <c r="H181" s="147"/>
      <c r="I181" s="165"/>
      <c r="J181" s="149" t="str">
        <f t="shared" ca="1" si="29"/>
        <v/>
      </c>
      <c r="K181" s="150" t="b">
        <f t="shared" ca="1" si="38"/>
        <v>0</v>
      </c>
      <c r="L181" s="364">
        <f t="shared" si="37"/>
        <v>12</v>
      </c>
      <c r="M181" s="267">
        <v>39805</v>
      </c>
      <c r="N181" s="166">
        <f t="shared" si="30"/>
        <v>1</v>
      </c>
      <c r="O181" s="167">
        <f t="shared" ca="1" si="31"/>
        <v>1</v>
      </c>
      <c r="P181" s="168">
        <f t="shared" si="32"/>
        <v>1</v>
      </c>
      <c r="Q181" s="169" t="b">
        <f t="shared" si="39"/>
        <v>0</v>
      </c>
      <c r="R181" s="170" t="b">
        <f t="shared" ca="1" si="33"/>
        <v>1</v>
      </c>
      <c r="S181" s="166"/>
      <c r="T181" s="166"/>
      <c r="U181" s="171">
        <f t="shared" ca="1" si="34"/>
        <v>0.29166666666666669</v>
      </c>
      <c r="V181" s="172"/>
      <c r="W181" s="173">
        <f t="shared" si="35"/>
        <v>0</v>
      </c>
      <c r="X181" s="174"/>
      <c r="Y181" s="174"/>
      <c r="Z181" s="174"/>
      <c r="AA181" s="117"/>
    </row>
    <row r="182" spans="1:27" ht="13.5" thickBot="1">
      <c r="A182" s="417"/>
      <c r="B182" s="411"/>
      <c r="C182" s="261">
        <f t="shared" si="40"/>
        <v>39806</v>
      </c>
      <c r="D182" s="144"/>
      <c r="E182" s="145"/>
      <c r="F182" s="146"/>
      <c r="G182" s="164">
        <f t="shared" si="36"/>
        <v>0</v>
      </c>
      <c r="H182" s="147"/>
      <c r="I182" s="165"/>
      <c r="J182" s="149" t="str">
        <f t="shared" ca="1" si="29"/>
        <v/>
      </c>
      <c r="K182" s="150" t="b">
        <f t="shared" ca="1" si="38"/>
        <v>0</v>
      </c>
      <c r="L182" s="364">
        <f t="shared" si="37"/>
        <v>12</v>
      </c>
      <c r="M182" s="267">
        <v>39806</v>
      </c>
      <c r="N182" s="166">
        <f t="shared" si="30"/>
        <v>2</v>
      </c>
      <c r="O182" s="167">
        <f t="shared" ca="1" si="31"/>
        <v>0</v>
      </c>
      <c r="P182" s="168">
        <f t="shared" si="32"/>
        <v>1</v>
      </c>
      <c r="Q182" s="169" t="b">
        <f t="shared" si="39"/>
        <v>1</v>
      </c>
      <c r="R182" s="170" t="b">
        <f t="shared" ca="1" si="33"/>
        <v>1</v>
      </c>
      <c r="S182" s="166"/>
      <c r="T182" s="166"/>
      <c r="U182" s="171">
        <f t="shared" ca="1" si="34"/>
        <v>0.29166666666666669</v>
      </c>
      <c r="V182" s="172"/>
      <c r="W182" s="173">
        <f t="shared" si="35"/>
        <v>0</v>
      </c>
      <c r="X182" s="174"/>
      <c r="Y182" s="174"/>
      <c r="Z182" s="174"/>
      <c r="AA182" s="117"/>
    </row>
    <row r="183" spans="1:27" ht="13.5" thickBot="1">
      <c r="A183" s="417"/>
      <c r="B183" s="411"/>
      <c r="C183" s="261">
        <f t="shared" si="40"/>
        <v>39807</v>
      </c>
      <c r="D183" s="144"/>
      <c r="E183" s="145"/>
      <c r="F183" s="146"/>
      <c r="G183" s="164">
        <f t="shared" si="36"/>
        <v>0</v>
      </c>
      <c r="H183" s="147"/>
      <c r="I183" s="165"/>
      <c r="J183" s="149" t="str">
        <f t="shared" ca="1" si="29"/>
        <v/>
      </c>
      <c r="K183" s="150" t="b">
        <f t="shared" ca="1" si="38"/>
        <v>0</v>
      </c>
      <c r="L183" s="364">
        <f t="shared" si="37"/>
        <v>12</v>
      </c>
      <c r="M183" s="267">
        <v>39807</v>
      </c>
      <c r="N183" s="166">
        <f t="shared" si="30"/>
        <v>3</v>
      </c>
      <c r="O183" s="167">
        <f t="shared" ca="1" si="31"/>
        <v>1</v>
      </c>
      <c r="P183" s="168">
        <f t="shared" si="32"/>
        <v>1</v>
      </c>
      <c r="Q183" s="169" t="b">
        <f t="shared" si="39"/>
        <v>0</v>
      </c>
      <c r="R183" s="170" t="b">
        <f t="shared" ca="1" si="33"/>
        <v>1</v>
      </c>
      <c r="S183" s="166"/>
      <c r="T183" s="166"/>
      <c r="U183" s="171">
        <f t="shared" ca="1" si="34"/>
        <v>0.29166666666666669</v>
      </c>
      <c r="V183" s="172"/>
      <c r="W183" s="173">
        <f t="shared" si="35"/>
        <v>0</v>
      </c>
      <c r="X183" s="174"/>
      <c r="Y183" s="174"/>
      <c r="Z183" s="174"/>
      <c r="AA183" s="117"/>
    </row>
    <row r="184" spans="1:27" ht="13.5" thickBot="1">
      <c r="A184" s="417"/>
      <c r="B184" s="411"/>
      <c r="C184" s="261">
        <f t="shared" si="40"/>
        <v>39808</v>
      </c>
      <c r="D184" s="144"/>
      <c r="E184" s="145"/>
      <c r="F184" s="146"/>
      <c r="G184" s="164">
        <f t="shared" si="36"/>
        <v>0</v>
      </c>
      <c r="H184" s="147"/>
      <c r="I184" s="165"/>
      <c r="J184" s="149" t="str">
        <f t="shared" ca="1" si="29"/>
        <v/>
      </c>
      <c r="K184" s="150" t="b">
        <f t="shared" ca="1" si="38"/>
        <v>0</v>
      </c>
      <c r="L184" s="364">
        <f t="shared" si="37"/>
        <v>12</v>
      </c>
      <c r="M184" s="267">
        <v>39808</v>
      </c>
      <c r="N184" s="166">
        <f t="shared" si="30"/>
        <v>4</v>
      </c>
      <c r="O184" s="167">
        <f t="shared" ca="1" si="31"/>
        <v>1</v>
      </c>
      <c r="P184" s="168">
        <f t="shared" si="32"/>
        <v>1</v>
      </c>
      <c r="Q184" s="169" t="b">
        <f t="shared" si="39"/>
        <v>0</v>
      </c>
      <c r="R184" s="170" t="b">
        <f t="shared" ca="1" si="33"/>
        <v>1</v>
      </c>
      <c r="S184" s="166"/>
      <c r="T184" s="166"/>
      <c r="U184" s="171">
        <f t="shared" ca="1" si="34"/>
        <v>0.29166666666666669</v>
      </c>
      <c r="V184" s="172"/>
      <c r="W184" s="173">
        <f t="shared" si="35"/>
        <v>0</v>
      </c>
      <c r="X184" s="174"/>
      <c r="Y184" s="174"/>
      <c r="Z184" s="174"/>
      <c r="AA184" s="117"/>
    </row>
    <row r="185" spans="1:27" ht="13.5" thickBot="1">
      <c r="A185" s="417"/>
      <c r="B185" s="411"/>
      <c r="C185" s="262">
        <f t="shared" si="40"/>
        <v>39809</v>
      </c>
      <c r="D185" s="175"/>
      <c r="E185" s="176"/>
      <c r="F185" s="177"/>
      <c r="G185" s="178">
        <f t="shared" si="36"/>
        <v>0</v>
      </c>
      <c r="H185" s="279"/>
      <c r="I185" s="179"/>
      <c r="J185" s="180" t="str">
        <f t="shared" ca="1" si="29"/>
        <v/>
      </c>
      <c r="K185" s="181" t="b">
        <f t="shared" ca="1" si="38"/>
        <v>0</v>
      </c>
      <c r="L185" s="365">
        <f t="shared" si="37"/>
        <v>12</v>
      </c>
      <c r="M185" s="271">
        <v>39809</v>
      </c>
      <c r="N185" s="182">
        <f t="shared" si="30"/>
        <v>5</v>
      </c>
      <c r="O185" s="183">
        <f t="shared" ca="1" si="31"/>
        <v>1</v>
      </c>
      <c r="P185" s="184">
        <f t="shared" si="32"/>
        <v>1</v>
      </c>
      <c r="Q185" s="185" t="b">
        <f t="shared" si="39"/>
        <v>0</v>
      </c>
      <c r="R185" s="186" t="b">
        <f t="shared" ca="1" si="33"/>
        <v>1</v>
      </c>
      <c r="S185" s="182"/>
      <c r="T185" s="182"/>
      <c r="U185" s="187"/>
      <c r="V185" s="172"/>
      <c r="W185" s="188">
        <f t="shared" si="35"/>
        <v>0</v>
      </c>
      <c r="X185" s="174"/>
      <c r="Y185" s="174"/>
      <c r="Z185" s="174"/>
      <c r="AA185" s="117"/>
    </row>
    <row r="186" spans="1:27" ht="13.5" thickBot="1">
      <c r="A186" s="418"/>
      <c r="B186" s="412"/>
      <c r="C186" s="263">
        <f t="shared" si="40"/>
        <v>39810</v>
      </c>
      <c r="D186" s="189"/>
      <c r="E186" s="190"/>
      <c r="F186" s="191"/>
      <c r="G186" s="192">
        <f t="shared" si="36"/>
        <v>0</v>
      </c>
      <c r="H186" s="280"/>
      <c r="I186" s="193"/>
      <c r="J186" s="194" t="str">
        <f t="shared" ca="1" si="29"/>
        <v/>
      </c>
      <c r="K186" s="195" t="b">
        <f t="shared" ca="1" si="38"/>
        <v>0</v>
      </c>
      <c r="L186" s="366">
        <f t="shared" si="37"/>
        <v>12</v>
      </c>
      <c r="M186" s="272">
        <v>39810</v>
      </c>
      <c r="N186" s="196">
        <f t="shared" si="30"/>
        <v>6</v>
      </c>
      <c r="O186" s="197">
        <f t="shared" ca="1" si="31"/>
        <v>0</v>
      </c>
      <c r="P186" s="198">
        <f t="shared" si="32"/>
        <v>0</v>
      </c>
      <c r="Q186" s="199" t="b">
        <f t="shared" si="39"/>
        <v>0</v>
      </c>
      <c r="R186" s="200" t="b">
        <f t="shared" ca="1" si="33"/>
        <v>1</v>
      </c>
      <c r="S186" s="196" t="b">
        <f>AND(R186,R180)</f>
        <v>1</v>
      </c>
      <c r="T186" s="196" t="b">
        <f>OR(R186,R180)</f>
        <v>1</v>
      </c>
      <c r="U186" s="201"/>
      <c r="V186" s="202">
        <f ca="1">IF(Sem_entame,SUM(U180:U186),"")</f>
        <v>1.4583333333333335</v>
      </c>
      <c r="W186" s="203">
        <f t="shared" si="35"/>
        <v>0</v>
      </c>
      <c r="X186" s="204">
        <f ca="1">SUM(W180:W186)</f>
        <v>0</v>
      </c>
      <c r="Y186" s="204">
        <f ca="1">IF(Sem_entame,X186-V186,"")</f>
        <v>-1.4583333333333335</v>
      </c>
      <c r="Z186" s="204">
        <f ca="1">IF(Sem_entame,Y186+IF(ISNUMBER(Z179),Z179,0),"")</f>
        <v>-34.270833333333329</v>
      </c>
      <c r="AA186" s="117"/>
    </row>
    <row r="187" spans="1:27" ht="12.75" customHeight="1" thickBot="1">
      <c r="A187" s="416">
        <f>A180+1</f>
        <v>27</v>
      </c>
      <c r="B187" s="411" t="str">
        <f>IF(L187&lt;&gt;L193,TEXT(C193,"mmm"&amp;"-"),"")&amp;TEXT(C187,"mmm")</f>
        <v>janv-déc</v>
      </c>
      <c r="C187" s="260">
        <f>C186+1</f>
        <v>39811</v>
      </c>
      <c r="D187" s="144"/>
      <c r="E187" s="145"/>
      <c r="F187" s="146"/>
      <c r="G187" s="147">
        <f t="shared" si="36"/>
        <v>0</v>
      </c>
      <c r="H187" s="147"/>
      <c r="I187" s="148"/>
      <c r="J187" s="207" t="str">
        <f t="shared" ca="1" si="29"/>
        <v/>
      </c>
      <c r="K187" s="150" t="b">
        <f t="shared" ca="1" si="38"/>
        <v>0</v>
      </c>
      <c r="L187" s="362">
        <f t="shared" si="37"/>
        <v>12</v>
      </c>
      <c r="M187" s="266">
        <v>39811</v>
      </c>
      <c r="N187" s="151">
        <f t="shared" si="30"/>
        <v>7</v>
      </c>
      <c r="O187" s="152">
        <f t="shared" ca="1" si="31"/>
        <v>0</v>
      </c>
      <c r="P187" s="153">
        <f t="shared" si="32"/>
        <v>0</v>
      </c>
      <c r="Q187" s="154" t="b">
        <f t="shared" si="39"/>
        <v>0</v>
      </c>
      <c r="R187" s="155" t="b">
        <f t="shared" ca="1" si="33"/>
        <v>1</v>
      </c>
      <c r="S187" s="156"/>
      <c r="T187" s="156"/>
      <c r="U187" s="157">
        <f t="shared" ca="1" si="34"/>
        <v>0.29166666666666669</v>
      </c>
      <c r="V187" s="158"/>
      <c r="W187" s="159">
        <f t="shared" si="35"/>
        <v>0</v>
      </c>
      <c r="X187" s="160"/>
      <c r="Y187" s="160"/>
      <c r="Z187" s="160"/>
      <c r="AA187" s="117"/>
    </row>
    <row r="188" spans="1:27" ht="13.5" thickBot="1">
      <c r="A188" s="417"/>
      <c r="B188" s="411"/>
      <c r="C188" s="261">
        <f>C187+1</f>
        <v>39812</v>
      </c>
      <c r="D188" s="161"/>
      <c r="E188" s="162"/>
      <c r="F188" s="163"/>
      <c r="G188" s="164">
        <f t="shared" si="36"/>
        <v>0</v>
      </c>
      <c r="H188" s="147"/>
      <c r="I188" s="165"/>
      <c r="J188" s="149" t="str">
        <f t="shared" ca="1" si="29"/>
        <v/>
      </c>
      <c r="K188" s="150" t="b">
        <f t="shared" ca="1" si="38"/>
        <v>0</v>
      </c>
      <c r="L188" s="364">
        <f t="shared" si="37"/>
        <v>12</v>
      </c>
      <c r="M188" s="267">
        <v>39812</v>
      </c>
      <c r="N188" s="166">
        <f t="shared" si="30"/>
        <v>1</v>
      </c>
      <c r="O188" s="167">
        <f t="shared" ca="1" si="31"/>
        <v>1</v>
      </c>
      <c r="P188" s="168">
        <f t="shared" si="32"/>
        <v>1</v>
      </c>
      <c r="Q188" s="169" t="b">
        <f t="shared" si="39"/>
        <v>0</v>
      </c>
      <c r="R188" s="170" t="b">
        <f t="shared" ca="1" si="33"/>
        <v>1</v>
      </c>
      <c r="S188" s="166"/>
      <c r="T188" s="166"/>
      <c r="U188" s="171">
        <f t="shared" ca="1" si="34"/>
        <v>0.29166666666666669</v>
      </c>
      <c r="V188" s="172"/>
      <c r="W188" s="173">
        <f t="shared" si="35"/>
        <v>0</v>
      </c>
      <c r="X188" s="174"/>
      <c r="Y188" s="174"/>
      <c r="Z188" s="174"/>
      <c r="AA188" s="117"/>
    </row>
    <row r="189" spans="1:27" ht="13.5" thickBot="1">
      <c r="A189" s="417"/>
      <c r="B189" s="411"/>
      <c r="C189" s="261">
        <f t="shared" ref="C189:C214" si="41">C188+1</f>
        <v>39813</v>
      </c>
      <c r="D189" s="161"/>
      <c r="E189" s="162"/>
      <c r="F189" s="163"/>
      <c r="G189" s="164">
        <f t="shared" si="36"/>
        <v>0</v>
      </c>
      <c r="H189" s="147"/>
      <c r="I189" s="165"/>
      <c r="J189" s="149" t="str">
        <f t="shared" ca="1" si="29"/>
        <v/>
      </c>
      <c r="K189" s="150" t="b">
        <f t="shared" ca="1" si="38"/>
        <v>0</v>
      </c>
      <c r="L189" s="364">
        <f t="shared" si="37"/>
        <v>1</v>
      </c>
      <c r="M189" s="267">
        <v>39813</v>
      </c>
      <c r="N189" s="166">
        <f t="shared" si="30"/>
        <v>2</v>
      </c>
      <c r="O189" s="167">
        <f t="shared" ca="1" si="31"/>
        <v>0</v>
      </c>
      <c r="P189" s="168">
        <f t="shared" si="32"/>
        <v>1</v>
      </c>
      <c r="Q189" s="169" t="b">
        <f t="shared" si="39"/>
        <v>1</v>
      </c>
      <c r="R189" s="170" t="b">
        <f t="shared" ca="1" si="33"/>
        <v>1</v>
      </c>
      <c r="S189" s="166"/>
      <c r="T189" s="166"/>
      <c r="U189" s="171">
        <f t="shared" ca="1" si="34"/>
        <v>0.29166666666666669</v>
      </c>
      <c r="V189" s="172"/>
      <c r="W189" s="173">
        <f t="shared" si="35"/>
        <v>0</v>
      </c>
      <c r="X189" s="174"/>
      <c r="Y189" s="174"/>
      <c r="Z189" s="174"/>
      <c r="AA189" s="117"/>
    </row>
    <row r="190" spans="1:27" ht="13.5" thickBot="1">
      <c r="A190" s="417"/>
      <c r="B190" s="411"/>
      <c r="C190" s="261">
        <f t="shared" si="41"/>
        <v>39814</v>
      </c>
      <c r="D190" s="161"/>
      <c r="E190" s="162"/>
      <c r="F190" s="163"/>
      <c r="G190" s="164">
        <f t="shared" si="36"/>
        <v>0</v>
      </c>
      <c r="H190" s="147"/>
      <c r="I190" s="165"/>
      <c r="J190" s="149" t="str">
        <f t="shared" ca="1" si="29"/>
        <v/>
      </c>
      <c r="K190" s="150" t="b">
        <f t="shared" ca="1" si="38"/>
        <v>0</v>
      </c>
      <c r="L190" s="364">
        <f t="shared" si="37"/>
        <v>1</v>
      </c>
      <c r="M190" s="267">
        <v>39814</v>
      </c>
      <c r="N190" s="166">
        <f t="shared" si="30"/>
        <v>3</v>
      </c>
      <c r="O190" s="167">
        <f t="shared" ca="1" si="31"/>
        <v>1</v>
      </c>
      <c r="P190" s="168">
        <f t="shared" si="32"/>
        <v>1</v>
      </c>
      <c r="Q190" s="169" t="b">
        <f t="shared" si="39"/>
        <v>0</v>
      </c>
      <c r="R190" s="170" t="b">
        <f t="shared" ca="1" si="33"/>
        <v>1</v>
      </c>
      <c r="S190" s="166"/>
      <c r="T190" s="166"/>
      <c r="U190" s="171">
        <f t="shared" ca="1" si="34"/>
        <v>0.29166666666666669</v>
      </c>
      <c r="V190" s="172"/>
      <c r="W190" s="173">
        <f t="shared" si="35"/>
        <v>0</v>
      </c>
      <c r="X190" s="174"/>
      <c r="Y190" s="174"/>
      <c r="Z190" s="174"/>
      <c r="AA190" s="117"/>
    </row>
    <row r="191" spans="1:27" ht="13.5" thickBot="1">
      <c r="A191" s="417"/>
      <c r="B191" s="411"/>
      <c r="C191" s="261">
        <f t="shared" si="41"/>
        <v>39815</v>
      </c>
      <c r="D191" s="161"/>
      <c r="E191" s="162"/>
      <c r="F191" s="163"/>
      <c r="G191" s="164">
        <f t="shared" si="36"/>
        <v>0</v>
      </c>
      <c r="H191" s="147"/>
      <c r="I191" s="165"/>
      <c r="J191" s="149" t="str">
        <f t="shared" ca="1" si="29"/>
        <v/>
      </c>
      <c r="K191" s="150" t="b">
        <f t="shared" ca="1" si="38"/>
        <v>0</v>
      </c>
      <c r="L191" s="364">
        <f t="shared" si="37"/>
        <v>1</v>
      </c>
      <c r="M191" s="267">
        <v>39815</v>
      </c>
      <c r="N191" s="166">
        <f t="shared" si="30"/>
        <v>4</v>
      </c>
      <c r="O191" s="167">
        <f t="shared" ca="1" si="31"/>
        <v>1</v>
      </c>
      <c r="P191" s="168">
        <f t="shared" si="32"/>
        <v>1</v>
      </c>
      <c r="Q191" s="169" t="b">
        <f t="shared" si="39"/>
        <v>0</v>
      </c>
      <c r="R191" s="170" t="b">
        <f t="shared" ca="1" si="33"/>
        <v>1</v>
      </c>
      <c r="S191" s="166"/>
      <c r="T191" s="166"/>
      <c r="U191" s="171">
        <f t="shared" ca="1" si="34"/>
        <v>0.29166666666666669</v>
      </c>
      <c r="V191" s="172"/>
      <c r="W191" s="173">
        <f t="shared" si="35"/>
        <v>0</v>
      </c>
      <c r="X191" s="174"/>
      <c r="Y191" s="174"/>
      <c r="Z191" s="174"/>
      <c r="AA191" s="117"/>
    </row>
    <row r="192" spans="1:27" ht="13.5" thickBot="1">
      <c r="A192" s="417"/>
      <c r="B192" s="411"/>
      <c r="C192" s="262">
        <f t="shared" si="41"/>
        <v>39816</v>
      </c>
      <c r="D192" s="175"/>
      <c r="E192" s="176"/>
      <c r="F192" s="177"/>
      <c r="G192" s="178">
        <f t="shared" si="36"/>
        <v>0</v>
      </c>
      <c r="H192" s="279"/>
      <c r="I192" s="179"/>
      <c r="J192" s="180" t="str">
        <f t="shared" ca="1" si="29"/>
        <v/>
      </c>
      <c r="K192" s="181" t="b">
        <f t="shared" ca="1" si="38"/>
        <v>0</v>
      </c>
      <c r="L192" s="365">
        <f t="shared" si="37"/>
        <v>1</v>
      </c>
      <c r="M192" s="271">
        <v>39816</v>
      </c>
      <c r="N192" s="182">
        <f t="shared" si="30"/>
        <v>5</v>
      </c>
      <c r="O192" s="183">
        <f t="shared" ca="1" si="31"/>
        <v>1</v>
      </c>
      <c r="P192" s="184">
        <f t="shared" si="32"/>
        <v>1</v>
      </c>
      <c r="Q192" s="185" t="b">
        <f t="shared" si="39"/>
        <v>0</v>
      </c>
      <c r="R192" s="186" t="b">
        <f t="shared" ca="1" si="33"/>
        <v>1</v>
      </c>
      <c r="S192" s="182"/>
      <c r="T192" s="182"/>
      <c r="U192" s="187"/>
      <c r="V192" s="172"/>
      <c r="W192" s="188">
        <f t="shared" si="35"/>
        <v>0</v>
      </c>
      <c r="X192" s="174"/>
      <c r="Y192" s="174"/>
      <c r="Z192" s="174"/>
      <c r="AA192" s="117"/>
    </row>
    <row r="193" spans="1:27" ht="13.5" thickBot="1">
      <c r="A193" s="418"/>
      <c r="B193" s="412"/>
      <c r="C193" s="263">
        <f t="shared" si="41"/>
        <v>39817</v>
      </c>
      <c r="D193" s="189"/>
      <c r="E193" s="190"/>
      <c r="F193" s="191"/>
      <c r="G193" s="192">
        <f t="shared" si="36"/>
        <v>0</v>
      </c>
      <c r="H193" s="280"/>
      <c r="I193" s="193"/>
      <c r="J193" s="194" t="str">
        <f t="shared" ca="1" si="29"/>
        <v/>
      </c>
      <c r="K193" s="195" t="b">
        <f t="shared" ca="1" si="38"/>
        <v>0</v>
      </c>
      <c r="L193" s="366">
        <f t="shared" si="37"/>
        <v>1</v>
      </c>
      <c r="M193" s="272">
        <v>39817</v>
      </c>
      <c r="N193" s="196">
        <f t="shared" si="30"/>
        <v>6</v>
      </c>
      <c r="O193" s="197">
        <f t="shared" ca="1" si="31"/>
        <v>0</v>
      </c>
      <c r="P193" s="198">
        <f t="shared" si="32"/>
        <v>0</v>
      </c>
      <c r="Q193" s="199" t="b">
        <f t="shared" si="39"/>
        <v>0</v>
      </c>
      <c r="R193" s="200" t="b">
        <f t="shared" ca="1" si="33"/>
        <v>1</v>
      </c>
      <c r="S193" s="196" t="b">
        <f>AND(R193,R187)</f>
        <v>1</v>
      </c>
      <c r="T193" s="196" t="b">
        <f>OR(R193,R187)</f>
        <v>1</v>
      </c>
      <c r="U193" s="201"/>
      <c r="V193" s="202">
        <f ca="1">IF(Sem_entame,SUM(U187:U193),"")</f>
        <v>1.4583333333333335</v>
      </c>
      <c r="W193" s="203">
        <f t="shared" si="35"/>
        <v>0</v>
      </c>
      <c r="X193" s="204">
        <f ca="1">SUM(W187:W193)</f>
        <v>0</v>
      </c>
      <c r="Y193" s="204">
        <f ca="1">IF(Sem_entame,X193-V193,"")</f>
        <v>-1.4583333333333335</v>
      </c>
      <c r="Z193" s="204">
        <f ca="1">IF(Sem_entame,Y193+IF(ISNUMBER(Z186),Z186,0),"")</f>
        <v>-35.729166666666664</v>
      </c>
      <c r="AA193" s="117"/>
    </row>
    <row r="194" spans="1:27" ht="12.75" customHeight="1" thickBot="1">
      <c r="A194" s="416">
        <f>A187+1</f>
        <v>28</v>
      </c>
      <c r="B194" s="411" t="str">
        <f>IF(L194&lt;&gt;L200,TEXT(C200,"mmm"&amp;"-"),"")&amp;TEXT(C194,"mmm")</f>
        <v>janv</v>
      </c>
      <c r="C194" s="260">
        <f t="shared" si="41"/>
        <v>39818</v>
      </c>
      <c r="D194" s="144"/>
      <c r="E194" s="145"/>
      <c r="F194" s="146"/>
      <c r="G194" s="147">
        <f t="shared" si="36"/>
        <v>0</v>
      </c>
      <c r="H194" s="147"/>
      <c r="I194" s="148"/>
      <c r="J194" s="207" t="str">
        <f t="shared" ca="1" si="29"/>
        <v/>
      </c>
      <c r="K194" s="150" t="b">
        <f t="shared" ca="1" si="38"/>
        <v>0</v>
      </c>
      <c r="L194" s="362">
        <f t="shared" si="37"/>
        <v>1</v>
      </c>
      <c r="M194" s="266">
        <v>39818</v>
      </c>
      <c r="N194" s="151">
        <f t="shared" si="30"/>
        <v>7</v>
      </c>
      <c r="O194" s="152">
        <f t="shared" ca="1" si="31"/>
        <v>0</v>
      </c>
      <c r="P194" s="153">
        <f t="shared" si="32"/>
        <v>0</v>
      </c>
      <c r="Q194" s="154" t="b">
        <f t="shared" si="39"/>
        <v>0</v>
      </c>
      <c r="R194" s="155" t="b">
        <f t="shared" ca="1" si="33"/>
        <v>1</v>
      </c>
      <c r="S194" s="156"/>
      <c r="T194" s="156"/>
      <c r="U194" s="157">
        <f t="shared" ca="1" si="34"/>
        <v>0.29166666666666669</v>
      </c>
      <c r="V194" s="158"/>
      <c r="W194" s="159">
        <f t="shared" si="35"/>
        <v>0</v>
      </c>
      <c r="X194" s="160"/>
      <c r="Y194" s="160"/>
      <c r="Z194" s="160"/>
      <c r="AA194" s="117"/>
    </row>
    <row r="195" spans="1:27" ht="13.5" thickBot="1">
      <c r="A195" s="417"/>
      <c r="B195" s="411"/>
      <c r="C195" s="261">
        <f t="shared" si="41"/>
        <v>39819</v>
      </c>
      <c r="D195" s="161"/>
      <c r="E195" s="162"/>
      <c r="F195" s="163"/>
      <c r="G195" s="164">
        <f t="shared" si="36"/>
        <v>0</v>
      </c>
      <c r="H195" s="147"/>
      <c r="I195" s="165"/>
      <c r="J195" s="149" t="str">
        <f t="shared" ca="1" si="29"/>
        <v/>
      </c>
      <c r="K195" s="150" t="b">
        <f t="shared" ca="1" si="38"/>
        <v>0</v>
      </c>
      <c r="L195" s="364">
        <f t="shared" si="37"/>
        <v>1</v>
      </c>
      <c r="M195" s="267">
        <v>39819</v>
      </c>
      <c r="N195" s="166">
        <f t="shared" si="30"/>
        <v>1</v>
      </c>
      <c r="O195" s="167">
        <f t="shared" ca="1" si="31"/>
        <v>1</v>
      </c>
      <c r="P195" s="168">
        <f t="shared" si="32"/>
        <v>1</v>
      </c>
      <c r="Q195" s="169" t="b">
        <f t="shared" si="39"/>
        <v>0</v>
      </c>
      <c r="R195" s="170" t="b">
        <f t="shared" ca="1" si="33"/>
        <v>1</v>
      </c>
      <c r="S195" s="166"/>
      <c r="T195" s="166"/>
      <c r="U195" s="171">
        <f t="shared" ca="1" si="34"/>
        <v>0.29166666666666669</v>
      </c>
      <c r="V195" s="172"/>
      <c r="W195" s="173">
        <f t="shared" si="35"/>
        <v>0</v>
      </c>
      <c r="X195" s="174"/>
      <c r="Y195" s="174"/>
      <c r="Z195" s="174"/>
      <c r="AA195" s="117"/>
    </row>
    <row r="196" spans="1:27" ht="13.5" thickBot="1">
      <c r="A196" s="417"/>
      <c r="B196" s="411"/>
      <c r="C196" s="261">
        <f t="shared" si="41"/>
        <v>39820</v>
      </c>
      <c r="D196" s="161"/>
      <c r="E196" s="162"/>
      <c r="F196" s="163"/>
      <c r="G196" s="164">
        <f t="shared" si="36"/>
        <v>0</v>
      </c>
      <c r="H196" s="147"/>
      <c r="I196" s="165"/>
      <c r="J196" s="149" t="str">
        <f t="shared" ca="1" si="29"/>
        <v/>
      </c>
      <c r="K196" s="150" t="b">
        <f t="shared" ca="1" si="38"/>
        <v>0</v>
      </c>
      <c r="L196" s="364">
        <f t="shared" si="37"/>
        <v>1</v>
      </c>
      <c r="M196" s="267">
        <v>39820</v>
      </c>
      <c r="N196" s="166">
        <f t="shared" si="30"/>
        <v>2</v>
      </c>
      <c r="O196" s="167">
        <f t="shared" ca="1" si="31"/>
        <v>1</v>
      </c>
      <c r="P196" s="168">
        <f t="shared" si="32"/>
        <v>1</v>
      </c>
      <c r="Q196" s="169" t="b">
        <f t="shared" si="39"/>
        <v>0</v>
      </c>
      <c r="R196" s="170" t="b">
        <f t="shared" ca="1" si="33"/>
        <v>1</v>
      </c>
      <c r="S196" s="166"/>
      <c r="T196" s="166"/>
      <c r="U196" s="171">
        <f t="shared" ca="1" si="34"/>
        <v>0.29166666666666669</v>
      </c>
      <c r="V196" s="172"/>
      <c r="W196" s="173">
        <f t="shared" si="35"/>
        <v>0</v>
      </c>
      <c r="X196" s="174"/>
      <c r="Y196" s="174"/>
      <c r="Z196" s="174"/>
      <c r="AA196" s="117"/>
    </row>
    <row r="197" spans="1:27" ht="13.5" thickBot="1">
      <c r="A197" s="417"/>
      <c r="B197" s="411"/>
      <c r="C197" s="261">
        <f t="shared" si="41"/>
        <v>39821</v>
      </c>
      <c r="D197" s="161"/>
      <c r="E197" s="162"/>
      <c r="F197" s="163"/>
      <c r="G197" s="164">
        <f t="shared" si="36"/>
        <v>0</v>
      </c>
      <c r="H197" s="147"/>
      <c r="I197" s="165"/>
      <c r="J197" s="149" t="str">
        <f t="shared" ref="J197:J260" ca="1" si="42">IF(I197&lt;&gt;"",MATCH(I197,L_Motif_Abscence,0),"")</f>
        <v/>
      </c>
      <c r="K197" s="150" t="b">
        <f t="shared" ca="1" si="38"/>
        <v>0</v>
      </c>
      <c r="L197" s="364">
        <f t="shared" si="37"/>
        <v>1</v>
      </c>
      <c r="M197" s="267">
        <v>39821</v>
      </c>
      <c r="N197" s="166">
        <f t="shared" ref="N197:N260" si="43">WEEKDAY(C197,2)</f>
        <v>3</v>
      </c>
      <c r="O197" s="167">
        <f t="shared" ref="O197:O260" ca="1" si="44">NETWORKDAYS(C197,C197,Fériés)</f>
        <v>1</v>
      </c>
      <c r="P197" s="168">
        <f t="shared" ref="P197:P260" si="45">NETWORKDAYS(C197,C197)</f>
        <v>1</v>
      </c>
      <c r="Q197" s="169" t="b">
        <f t="shared" si="39"/>
        <v>0</v>
      </c>
      <c r="R197" s="170" t="b">
        <f t="shared" ref="R197:R260" ca="1" si="46">AND(C197&gt;=Jour_Debut,C197&lt;=Jour_Fin)</f>
        <v>1</v>
      </c>
      <c r="S197" s="166"/>
      <c r="T197" s="166"/>
      <c r="U197" s="171">
        <f t="shared" ref="U197:U260" ca="1" si="47">IF(bornes,"7:00"*1,0)</f>
        <v>0.29166666666666669</v>
      </c>
      <c r="V197" s="172"/>
      <c r="W197" s="173">
        <f t="shared" ref="W197:W260" si="48">G197+K197</f>
        <v>0</v>
      </c>
      <c r="X197" s="174"/>
      <c r="Y197" s="174"/>
      <c r="Z197" s="174"/>
      <c r="AA197" s="117"/>
    </row>
    <row r="198" spans="1:27" ht="13.5" thickBot="1">
      <c r="A198" s="417"/>
      <c r="B198" s="411"/>
      <c r="C198" s="261">
        <f t="shared" si="41"/>
        <v>39822</v>
      </c>
      <c r="D198" s="161"/>
      <c r="E198" s="162"/>
      <c r="F198" s="163"/>
      <c r="G198" s="164">
        <f t="shared" ref="G198:G261" si="49">E198-D198-F198</f>
        <v>0</v>
      </c>
      <c r="H198" s="147"/>
      <c r="I198" s="165"/>
      <c r="J198" s="149" t="str">
        <f t="shared" ca="1" si="42"/>
        <v/>
      </c>
      <c r="K198" s="150" t="b">
        <f t="shared" ca="1" si="38"/>
        <v>0</v>
      </c>
      <c r="L198" s="364">
        <f t="shared" ref="L198:L261" si="50">MONTH(C198)</f>
        <v>1</v>
      </c>
      <c r="M198" s="267">
        <v>39822</v>
      </c>
      <c r="N198" s="166">
        <f t="shared" si="43"/>
        <v>4</v>
      </c>
      <c r="O198" s="167">
        <f t="shared" ca="1" si="44"/>
        <v>1</v>
      </c>
      <c r="P198" s="168">
        <f t="shared" si="45"/>
        <v>1</v>
      </c>
      <c r="Q198" s="169" t="b">
        <f t="shared" si="39"/>
        <v>0</v>
      </c>
      <c r="R198" s="170" t="b">
        <f t="shared" ca="1" si="46"/>
        <v>1</v>
      </c>
      <c r="S198" s="166"/>
      <c r="T198" s="166"/>
      <c r="U198" s="171">
        <f t="shared" ca="1" si="47"/>
        <v>0.29166666666666669</v>
      </c>
      <c r="V198" s="172"/>
      <c r="W198" s="173">
        <f t="shared" si="48"/>
        <v>0</v>
      </c>
      <c r="X198" s="174"/>
      <c r="Y198" s="174"/>
      <c r="Z198" s="174"/>
      <c r="AA198" s="117"/>
    </row>
    <row r="199" spans="1:27" ht="13.5" thickBot="1">
      <c r="A199" s="417"/>
      <c r="B199" s="411"/>
      <c r="C199" s="262">
        <f t="shared" si="41"/>
        <v>39823</v>
      </c>
      <c r="D199" s="175"/>
      <c r="E199" s="176"/>
      <c r="F199" s="177"/>
      <c r="G199" s="178">
        <f t="shared" si="49"/>
        <v>0</v>
      </c>
      <c r="H199" s="279"/>
      <c r="I199" s="179"/>
      <c r="J199" s="180" t="str">
        <f t="shared" ca="1" si="42"/>
        <v/>
      </c>
      <c r="K199" s="181" t="b">
        <f t="shared" ca="1" si="38"/>
        <v>0</v>
      </c>
      <c r="L199" s="365">
        <f t="shared" si="50"/>
        <v>1</v>
      </c>
      <c r="M199" s="271">
        <v>39823</v>
      </c>
      <c r="N199" s="182">
        <f t="shared" si="43"/>
        <v>5</v>
      </c>
      <c r="O199" s="183">
        <f t="shared" ca="1" si="44"/>
        <v>1</v>
      </c>
      <c r="P199" s="184">
        <f t="shared" si="45"/>
        <v>1</v>
      </c>
      <c r="Q199" s="185" t="b">
        <f t="shared" si="39"/>
        <v>0</v>
      </c>
      <c r="R199" s="186" t="b">
        <f t="shared" ca="1" si="46"/>
        <v>1</v>
      </c>
      <c r="S199" s="182"/>
      <c r="T199" s="182"/>
      <c r="U199" s="187"/>
      <c r="V199" s="172"/>
      <c r="W199" s="188">
        <f t="shared" si="48"/>
        <v>0</v>
      </c>
      <c r="X199" s="174"/>
      <c r="Y199" s="174"/>
      <c r="Z199" s="174"/>
      <c r="AA199" s="117"/>
    </row>
    <row r="200" spans="1:27" ht="13.5" thickBot="1">
      <c r="A200" s="418"/>
      <c r="B200" s="412"/>
      <c r="C200" s="263">
        <f t="shared" si="41"/>
        <v>39824</v>
      </c>
      <c r="D200" s="189"/>
      <c r="E200" s="190"/>
      <c r="F200" s="191"/>
      <c r="G200" s="192">
        <f t="shared" si="49"/>
        <v>0</v>
      </c>
      <c r="H200" s="280"/>
      <c r="I200" s="193"/>
      <c r="J200" s="194" t="str">
        <f t="shared" ca="1" si="42"/>
        <v/>
      </c>
      <c r="K200" s="195" t="b">
        <f t="shared" ca="1" si="38"/>
        <v>0</v>
      </c>
      <c r="L200" s="366">
        <f t="shared" si="50"/>
        <v>1</v>
      </c>
      <c r="M200" s="272">
        <v>39824</v>
      </c>
      <c r="N200" s="196">
        <f t="shared" si="43"/>
        <v>6</v>
      </c>
      <c r="O200" s="197">
        <f t="shared" ca="1" si="44"/>
        <v>0</v>
      </c>
      <c r="P200" s="198">
        <f t="shared" si="45"/>
        <v>0</v>
      </c>
      <c r="Q200" s="199" t="b">
        <f t="shared" si="39"/>
        <v>0</v>
      </c>
      <c r="R200" s="200" t="b">
        <f t="shared" ca="1" si="46"/>
        <v>1</v>
      </c>
      <c r="S200" s="196" t="b">
        <f>AND(R200,R194)</f>
        <v>1</v>
      </c>
      <c r="T200" s="196" t="b">
        <f>OR(R200,R194)</f>
        <v>1</v>
      </c>
      <c r="U200" s="201"/>
      <c r="V200" s="202">
        <f ca="1">IF(Sem_entame,SUM(U194:U200),"")</f>
        <v>1.4583333333333335</v>
      </c>
      <c r="W200" s="203">
        <f t="shared" si="48"/>
        <v>0</v>
      </c>
      <c r="X200" s="204">
        <f ca="1">SUM(W194:W200)</f>
        <v>0</v>
      </c>
      <c r="Y200" s="204">
        <f ca="1">IF(Sem_entame,X200-V200,"")</f>
        <v>-1.4583333333333335</v>
      </c>
      <c r="Z200" s="204">
        <f ca="1">IF(Sem_entame,Y200+IF(ISNUMBER(Z193),Z193,0),"")</f>
        <v>-37.1875</v>
      </c>
      <c r="AA200" s="117"/>
    </row>
    <row r="201" spans="1:27" ht="12.75" customHeight="1" thickBot="1">
      <c r="A201" s="416">
        <f>A194+1</f>
        <v>29</v>
      </c>
      <c r="B201" s="411" t="str">
        <f>IF(L201&lt;&gt;L207,TEXT(C207,"mmm"&amp;"-"),"")&amp;TEXT(C201,"mmm")</f>
        <v>janv</v>
      </c>
      <c r="C201" s="260">
        <f t="shared" si="41"/>
        <v>39825</v>
      </c>
      <c r="D201" s="144"/>
      <c r="E201" s="145"/>
      <c r="F201" s="146"/>
      <c r="G201" s="147">
        <f t="shared" si="49"/>
        <v>0</v>
      </c>
      <c r="H201" s="147"/>
      <c r="I201" s="148"/>
      <c r="J201" s="207" t="str">
        <f t="shared" ca="1" si="42"/>
        <v/>
      </c>
      <c r="K201" s="150" t="b">
        <f t="shared" ca="1" si="38"/>
        <v>0</v>
      </c>
      <c r="L201" s="362">
        <f t="shared" si="50"/>
        <v>1</v>
      </c>
      <c r="M201" s="266">
        <v>39825</v>
      </c>
      <c r="N201" s="151">
        <f t="shared" si="43"/>
        <v>7</v>
      </c>
      <c r="O201" s="152">
        <f t="shared" ca="1" si="44"/>
        <v>0</v>
      </c>
      <c r="P201" s="153">
        <f t="shared" si="45"/>
        <v>0</v>
      </c>
      <c r="Q201" s="154" t="b">
        <f t="shared" si="39"/>
        <v>0</v>
      </c>
      <c r="R201" s="155" t="b">
        <f t="shared" ca="1" si="46"/>
        <v>1</v>
      </c>
      <c r="S201" s="156"/>
      <c r="T201" s="156"/>
      <c r="U201" s="157">
        <f t="shared" ca="1" si="47"/>
        <v>0.29166666666666669</v>
      </c>
      <c r="V201" s="158"/>
      <c r="W201" s="159">
        <f t="shared" si="48"/>
        <v>0</v>
      </c>
      <c r="X201" s="160"/>
      <c r="Y201" s="160"/>
      <c r="Z201" s="160"/>
      <c r="AA201" s="117"/>
    </row>
    <row r="202" spans="1:27" ht="13.5" thickBot="1">
      <c r="A202" s="417"/>
      <c r="B202" s="411"/>
      <c r="C202" s="261">
        <f t="shared" si="41"/>
        <v>39826</v>
      </c>
      <c r="D202" s="161"/>
      <c r="E202" s="162"/>
      <c r="F202" s="163"/>
      <c r="G202" s="164">
        <f t="shared" si="49"/>
        <v>0</v>
      </c>
      <c r="H202" s="147"/>
      <c r="I202" s="165"/>
      <c r="J202" s="149" t="str">
        <f t="shared" ca="1" si="42"/>
        <v/>
      </c>
      <c r="K202" s="150" t="b">
        <f t="shared" ca="1" si="38"/>
        <v>0</v>
      </c>
      <c r="L202" s="364">
        <f t="shared" si="50"/>
        <v>1</v>
      </c>
      <c r="M202" s="267">
        <v>39826</v>
      </c>
      <c r="N202" s="166">
        <f t="shared" si="43"/>
        <v>1</v>
      </c>
      <c r="O202" s="167">
        <f t="shared" ca="1" si="44"/>
        <v>1</v>
      </c>
      <c r="P202" s="168">
        <f t="shared" si="45"/>
        <v>1</v>
      </c>
      <c r="Q202" s="169" t="b">
        <f t="shared" si="39"/>
        <v>0</v>
      </c>
      <c r="R202" s="170" t="b">
        <f t="shared" ca="1" si="46"/>
        <v>1</v>
      </c>
      <c r="S202" s="166"/>
      <c r="T202" s="166"/>
      <c r="U202" s="171">
        <f t="shared" ca="1" si="47"/>
        <v>0.29166666666666669</v>
      </c>
      <c r="V202" s="172"/>
      <c r="W202" s="173">
        <f t="shared" si="48"/>
        <v>0</v>
      </c>
      <c r="X202" s="174"/>
      <c r="Y202" s="174"/>
      <c r="Z202" s="174"/>
      <c r="AA202" s="117"/>
    </row>
    <row r="203" spans="1:27" ht="13.5" thickBot="1">
      <c r="A203" s="417"/>
      <c r="B203" s="411"/>
      <c r="C203" s="261">
        <f t="shared" si="41"/>
        <v>39827</v>
      </c>
      <c r="D203" s="161"/>
      <c r="E203" s="162"/>
      <c r="F203" s="163"/>
      <c r="G203" s="164">
        <f t="shared" si="49"/>
        <v>0</v>
      </c>
      <c r="H203" s="147"/>
      <c r="I203" s="165"/>
      <c r="J203" s="149" t="str">
        <f t="shared" ca="1" si="42"/>
        <v/>
      </c>
      <c r="K203" s="150" t="b">
        <f t="shared" ca="1" si="38"/>
        <v>0</v>
      </c>
      <c r="L203" s="364">
        <f t="shared" si="50"/>
        <v>1</v>
      </c>
      <c r="M203" s="267">
        <v>39827</v>
      </c>
      <c r="N203" s="166">
        <f t="shared" si="43"/>
        <v>2</v>
      </c>
      <c r="O203" s="167">
        <f t="shared" ca="1" si="44"/>
        <v>1</v>
      </c>
      <c r="P203" s="168">
        <f t="shared" si="45"/>
        <v>1</v>
      </c>
      <c r="Q203" s="169" t="b">
        <f t="shared" si="39"/>
        <v>0</v>
      </c>
      <c r="R203" s="170" t="b">
        <f t="shared" ca="1" si="46"/>
        <v>1</v>
      </c>
      <c r="S203" s="166"/>
      <c r="T203" s="166"/>
      <c r="U203" s="171">
        <f t="shared" ca="1" si="47"/>
        <v>0.29166666666666669</v>
      </c>
      <c r="V203" s="172"/>
      <c r="W203" s="173">
        <f t="shared" si="48"/>
        <v>0</v>
      </c>
      <c r="X203" s="174"/>
      <c r="Y203" s="174"/>
      <c r="Z203" s="174"/>
      <c r="AA203" s="117"/>
    </row>
    <row r="204" spans="1:27" ht="13.5" thickBot="1">
      <c r="A204" s="417"/>
      <c r="B204" s="411"/>
      <c r="C204" s="261">
        <f t="shared" si="41"/>
        <v>39828</v>
      </c>
      <c r="D204" s="161"/>
      <c r="E204" s="162"/>
      <c r="F204" s="163"/>
      <c r="G204" s="164">
        <f t="shared" si="49"/>
        <v>0</v>
      </c>
      <c r="H204" s="147"/>
      <c r="I204" s="165"/>
      <c r="J204" s="149" t="str">
        <f t="shared" ca="1" si="42"/>
        <v/>
      </c>
      <c r="K204" s="150" t="b">
        <f t="shared" ref="K204:K267" ca="1" si="51">IF(J204&lt;&gt;"",INDEX(H_abscence,J204))</f>
        <v>0</v>
      </c>
      <c r="L204" s="364">
        <f t="shared" si="50"/>
        <v>1</v>
      </c>
      <c r="M204" s="267">
        <v>39828</v>
      </c>
      <c r="N204" s="166">
        <f t="shared" si="43"/>
        <v>3</v>
      </c>
      <c r="O204" s="167">
        <f t="shared" ca="1" si="44"/>
        <v>1</v>
      </c>
      <c r="P204" s="168">
        <f t="shared" si="45"/>
        <v>1</v>
      </c>
      <c r="Q204" s="169" t="b">
        <f t="shared" ref="Q204:Q267" si="52">(O204+P204)=1</f>
        <v>0</v>
      </c>
      <c r="R204" s="170" t="b">
        <f t="shared" ca="1" si="46"/>
        <v>1</v>
      </c>
      <c r="S204" s="166"/>
      <c r="T204" s="166"/>
      <c r="U204" s="171">
        <f t="shared" ca="1" si="47"/>
        <v>0.29166666666666669</v>
      </c>
      <c r="V204" s="172"/>
      <c r="W204" s="173">
        <f t="shared" si="48"/>
        <v>0</v>
      </c>
      <c r="X204" s="174"/>
      <c r="Y204" s="174"/>
      <c r="Z204" s="174"/>
      <c r="AA204" s="117"/>
    </row>
    <row r="205" spans="1:27" ht="13.5" thickBot="1">
      <c r="A205" s="417"/>
      <c r="B205" s="411"/>
      <c r="C205" s="261">
        <f t="shared" si="41"/>
        <v>39829</v>
      </c>
      <c r="D205" s="161"/>
      <c r="E205" s="162"/>
      <c r="F205" s="163"/>
      <c r="G205" s="164">
        <f t="shared" si="49"/>
        <v>0</v>
      </c>
      <c r="H205" s="147"/>
      <c r="I205" s="165"/>
      <c r="J205" s="149" t="str">
        <f t="shared" ca="1" si="42"/>
        <v/>
      </c>
      <c r="K205" s="150" t="b">
        <f t="shared" ca="1" si="51"/>
        <v>0</v>
      </c>
      <c r="L205" s="364">
        <f t="shared" si="50"/>
        <v>1</v>
      </c>
      <c r="M205" s="267">
        <v>39829</v>
      </c>
      <c r="N205" s="166">
        <f t="shared" si="43"/>
        <v>4</v>
      </c>
      <c r="O205" s="167">
        <f t="shared" ca="1" si="44"/>
        <v>1</v>
      </c>
      <c r="P205" s="168">
        <f t="shared" si="45"/>
        <v>1</v>
      </c>
      <c r="Q205" s="169" t="b">
        <f t="shared" si="52"/>
        <v>0</v>
      </c>
      <c r="R205" s="170" t="b">
        <f t="shared" ca="1" si="46"/>
        <v>1</v>
      </c>
      <c r="S205" s="166"/>
      <c r="T205" s="166"/>
      <c r="U205" s="171">
        <f t="shared" ca="1" si="47"/>
        <v>0.29166666666666669</v>
      </c>
      <c r="V205" s="172"/>
      <c r="W205" s="173">
        <f t="shared" si="48"/>
        <v>0</v>
      </c>
      <c r="X205" s="174"/>
      <c r="Y205" s="174"/>
      <c r="Z205" s="174"/>
      <c r="AA205" s="117"/>
    </row>
    <row r="206" spans="1:27" ht="13.5" thickBot="1">
      <c r="A206" s="417"/>
      <c r="B206" s="411"/>
      <c r="C206" s="262">
        <f t="shared" si="41"/>
        <v>39830</v>
      </c>
      <c r="D206" s="175"/>
      <c r="E206" s="176"/>
      <c r="F206" s="177"/>
      <c r="G206" s="178">
        <f t="shared" si="49"/>
        <v>0</v>
      </c>
      <c r="H206" s="279"/>
      <c r="I206" s="179"/>
      <c r="J206" s="180" t="str">
        <f t="shared" ca="1" si="42"/>
        <v/>
      </c>
      <c r="K206" s="181" t="b">
        <f t="shared" ca="1" si="51"/>
        <v>0</v>
      </c>
      <c r="L206" s="365">
        <f t="shared" si="50"/>
        <v>1</v>
      </c>
      <c r="M206" s="271">
        <v>39830</v>
      </c>
      <c r="N206" s="182">
        <f t="shared" si="43"/>
        <v>5</v>
      </c>
      <c r="O206" s="183">
        <f t="shared" ca="1" si="44"/>
        <v>1</v>
      </c>
      <c r="P206" s="184">
        <f t="shared" si="45"/>
        <v>1</v>
      </c>
      <c r="Q206" s="185" t="b">
        <f t="shared" si="52"/>
        <v>0</v>
      </c>
      <c r="R206" s="186" t="b">
        <f t="shared" ca="1" si="46"/>
        <v>1</v>
      </c>
      <c r="S206" s="182"/>
      <c r="T206" s="182"/>
      <c r="U206" s="187"/>
      <c r="V206" s="172"/>
      <c r="W206" s="188">
        <f t="shared" si="48"/>
        <v>0</v>
      </c>
      <c r="X206" s="174"/>
      <c r="Y206" s="174"/>
      <c r="Z206" s="174"/>
      <c r="AA206" s="117"/>
    </row>
    <row r="207" spans="1:27" ht="13.5" thickBot="1">
      <c r="A207" s="418"/>
      <c r="B207" s="412"/>
      <c r="C207" s="263">
        <f t="shared" si="41"/>
        <v>39831</v>
      </c>
      <c r="D207" s="189"/>
      <c r="E207" s="190"/>
      <c r="F207" s="191"/>
      <c r="G207" s="192">
        <f t="shared" si="49"/>
        <v>0</v>
      </c>
      <c r="H207" s="280"/>
      <c r="I207" s="193"/>
      <c r="J207" s="194" t="str">
        <f t="shared" ca="1" si="42"/>
        <v/>
      </c>
      <c r="K207" s="195" t="b">
        <f t="shared" ca="1" si="51"/>
        <v>0</v>
      </c>
      <c r="L207" s="366">
        <f t="shared" si="50"/>
        <v>1</v>
      </c>
      <c r="M207" s="272">
        <v>39831</v>
      </c>
      <c r="N207" s="196">
        <f t="shared" si="43"/>
        <v>6</v>
      </c>
      <c r="O207" s="197">
        <f t="shared" ca="1" si="44"/>
        <v>0</v>
      </c>
      <c r="P207" s="198">
        <f t="shared" si="45"/>
        <v>0</v>
      </c>
      <c r="Q207" s="199" t="b">
        <f t="shared" si="52"/>
        <v>0</v>
      </c>
      <c r="R207" s="200" t="b">
        <f t="shared" ca="1" si="46"/>
        <v>1</v>
      </c>
      <c r="S207" s="196" t="b">
        <f>AND(R207,R201)</f>
        <v>1</v>
      </c>
      <c r="T207" s="196" t="b">
        <f>OR(R207,R201)</f>
        <v>1</v>
      </c>
      <c r="U207" s="201"/>
      <c r="V207" s="202">
        <f ca="1">IF(Sem_entame,SUM(U201:U207),"")</f>
        <v>1.4583333333333335</v>
      </c>
      <c r="W207" s="203">
        <f t="shared" si="48"/>
        <v>0</v>
      </c>
      <c r="X207" s="204">
        <f ca="1">SUM(W201:W207)</f>
        <v>0</v>
      </c>
      <c r="Y207" s="204">
        <f ca="1">IF(Sem_entame,X207-V207,"")</f>
        <v>-1.4583333333333335</v>
      </c>
      <c r="Z207" s="204">
        <f ca="1">IF(Sem_entame,Y207+IF(ISNUMBER(Z200),Z200,0),"")</f>
        <v>-38.645833333333336</v>
      </c>
      <c r="AA207" s="117"/>
    </row>
    <row r="208" spans="1:27" ht="12.75" customHeight="1" thickBot="1">
      <c r="A208" s="416">
        <f>A201+1</f>
        <v>30</v>
      </c>
      <c r="B208" s="411" t="str">
        <f>IF(L208&lt;&gt;L214,TEXT(C214,"mmm"&amp;"-"),"")&amp;TEXT(C208,"mmm")</f>
        <v>janv</v>
      </c>
      <c r="C208" s="260">
        <f t="shared" si="41"/>
        <v>39832</v>
      </c>
      <c r="D208" s="144"/>
      <c r="E208" s="145"/>
      <c r="F208" s="146"/>
      <c r="G208" s="147">
        <f t="shared" si="49"/>
        <v>0</v>
      </c>
      <c r="H208" s="147"/>
      <c r="I208" s="148"/>
      <c r="J208" s="207" t="str">
        <f t="shared" ca="1" si="42"/>
        <v/>
      </c>
      <c r="K208" s="150" t="b">
        <f t="shared" ca="1" si="51"/>
        <v>0</v>
      </c>
      <c r="L208" s="362">
        <f t="shared" si="50"/>
        <v>1</v>
      </c>
      <c r="M208" s="266">
        <v>39832</v>
      </c>
      <c r="N208" s="151">
        <f t="shared" si="43"/>
        <v>7</v>
      </c>
      <c r="O208" s="152">
        <f t="shared" ca="1" si="44"/>
        <v>0</v>
      </c>
      <c r="P208" s="153">
        <f t="shared" si="45"/>
        <v>0</v>
      </c>
      <c r="Q208" s="154" t="b">
        <f t="shared" si="52"/>
        <v>0</v>
      </c>
      <c r="R208" s="155" t="b">
        <f t="shared" ca="1" si="46"/>
        <v>1</v>
      </c>
      <c r="S208" s="156"/>
      <c r="T208" s="156"/>
      <c r="U208" s="157">
        <f t="shared" ca="1" si="47"/>
        <v>0.29166666666666669</v>
      </c>
      <c r="V208" s="158"/>
      <c r="W208" s="159">
        <f t="shared" si="48"/>
        <v>0</v>
      </c>
      <c r="X208" s="160"/>
      <c r="Y208" s="160"/>
      <c r="Z208" s="160"/>
      <c r="AA208" s="117"/>
    </row>
    <row r="209" spans="1:27" ht="13.5" thickBot="1">
      <c r="A209" s="417"/>
      <c r="B209" s="411"/>
      <c r="C209" s="261">
        <f t="shared" si="41"/>
        <v>39833</v>
      </c>
      <c r="D209" s="161"/>
      <c r="E209" s="162"/>
      <c r="F209" s="163"/>
      <c r="G209" s="164">
        <f t="shared" si="49"/>
        <v>0</v>
      </c>
      <c r="H209" s="147"/>
      <c r="I209" s="165"/>
      <c r="J209" s="149" t="str">
        <f t="shared" ca="1" si="42"/>
        <v/>
      </c>
      <c r="K209" s="150" t="b">
        <f t="shared" ca="1" si="51"/>
        <v>0</v>
      </c>
      <c r="L209" s="364">
        <f t="shared" si="50"/>
        <v>1</v>
      </c>
      <c r="M209" s="267">
        <v>39833</v>
      </c>
      <c r="N209" s="166">
        <f t="shared" si="43"/>
        <v>1</v>
      </c>
      <c r="O209" s="167">
        <f t="shared" ca="1" si="44"/>
        <v>1</v>
      </c>
      <c r="P209" s="168">
        <f t="shared" si="45"/>
        <v>1</v>
      </c>
      <c r="Q209" s="169" t="b">
        <f t="shared" si="52"/>
        <v>0</v>
      </c>
      <c r="R209" s="170" t="b">
        <f t="shared" ca="1" si="46"/>
        <v>1</v>
      </c>
      <c r="S209" s="166"/>
      <c r="T209" s="166"/>
      <c r="U209" s="171">
        <f t="shared" ca="1" si="47"/>
        <v>0.29166666666666669</v>
      </c>
      <c r="V209" s="172"/>
      <c r="W209" s="173">
        <f t="shared" si="48"/>
        <v>0</v>
      </c>
      <c r="X209" s="174"/>
      <c r="Y209" s="174"/>
      <c r="Z209" s="174"/>
      <c r="AA209" s="117"/>
    </row>
    <row r="210" spans="1:27" ht="13.5" thickBot="1">
      <c r="A210" s="417"/>
      <c r="B210" s="411"/>
      <c r="C210" s="261">
        <f t="shared" si="41"/>
        <v>39834</v>
      </c>
      <c r="D210" s="161"/>
      <c r="E210" s="162"/>
      <c r="F210" s="163"/>
      <c r="G210" s="164">
        <f t="shared" si="49"/>
        <v>0</v>
      </c>
      <c r="H210" s="147"/>
      <c r="I210" s="165"/>
      <c r="J210" s="149" t="str">
        <f t="shared" ca="1" si="42"/>
        <v/>
      </c>
      <c r="K210" s="150" t="b">
        <f t="shared" ca="1" si="51"/>
        <v>0</v>
      </c>
      <c r="L210" s="364">
        <f t="shared" si="50"/>
        <v>1</v>
      </c>
      <c r="M210" s="267">
        <v>39834</v>
      </c>
      <c r="N210" s="166">
        <f t="shared" si="43"/>
        <v>2</v>
      </c>
      <c r="O210" s="167">
        <f t="shared" ca="1" si="44"/>
        <v>1</v>
      </c>
      <c r="P210" s="168">
        <f t="shared" si="45"/>
        <v>1</v>
      </c>
      <c r="Q210" s="169" t="b">
        <f t="shared" si="52"/>
        <v>0</v>
      </c>
      <c r="R210" s="170" t="b">
        <f t="shared" ca="1" si="46"/>
        <v>1</v>
      </c>
      <c r="S210" s="166"/>
      <c r="T210" s="166"/>
      <c r="U210" s="171">
        <f t="shared" ca="1" si="47"/>
        <v>0.29166666666666669</v>
      </c>
      <c r="V210" s="172"/>
      <c r="W210" s="173">
        <f t="shared" si="48"/>
        <v>0</v>
      </c>
      <c r="X210" s="174"/>
      <c r="Y210" s="174"/>
      <c r="Z210" s="174"/>
      <c r="AA210" s="117"/>
    </row>
    <row r="211" spans="1:27" ht="13.5" thickBot="1">
      <c r="A211" s="417"/>
      <c r="B211" s="411"/>
      <c r="C211" s="261">
        <f t="shared" si="41"/>
        <v>39835</v>
      </c>
      <c r="D211" s="161"/>
      <c r="E211" s="162"/>
      <c r="F211" s="163"/>
      <c r="G211" s="164">
        <f t="shared" si="49"/>
        <v>0</v>
      </c>
      <c r="H211" s="147"/>
      <c r="I211" s="165"/>
      <c r="J211" s="149" t="str">
        <f t="shared" ca="1" si="42"/>
        <v/>
      </c>
      <c r="K211" s="150" t="b">
        <f t="shared" ca="1" si="51"/>
        <v>0</v>
      </c>
      <c r="L211" s="364">
        <f t="shared" si="50"/>
        <v>1</v>
      </c>
      <c r="M211" s="267">
        <v>39835</v>
      </c>
      <c r="N211" s="166">
        <f t="shared" si="43"/>
        <v>3</v>
      </c>
      <c r="O211" s="167">
        <f t="shared" ca="1" si="44"/>
        <v>1</v>
      </c>
      <c r="P211" s="168">
        <f t="shared" si="45"/>
        <v>1</v>
      </c>
      <c r="Q211" s="169" t="b">
        <f t="shared" si="52"/>
        <v>0</v>
      </c>
      <c r="R211" s="170" t="b">
        <f t="shared" ca="1" si="46"/>
        <v>1</v>
      </c>
      <c r="S211" s="166"/>
      <c r="T211" s="166"/>
      <c r="U211" s="171">
        <f t="shared" ca="1" si="47"/>
        <v>0.29166666666666669</v>
      </c>
      <c r="V211" s="172"/>
      <c r="W211" s="173">
        <f t="shared" si="48"/>
        <v>0</v>
      </c>
      <c r="X211" s="174"/>
      <c r="Y211" s="174"/>
      <c r="Z211" s="174"/>
      <c r="AA211" s="117"/>
    </row>
    <row r="212" spans="1:27" ht="13.5" thickBot="1">
      <c r="A212" s="417"/>
      <c r="B212" s="411"/>
      <c r="C212" s="261">
        <f t="shared" si="41"/>
        <v>39836</v>
      </c>
      <c r="D212" s="161"/>
      <c r="E212" s="162"/>
      <c r="F212" s="163"/>
      <c r="G212" s="164">
        <f t="shared" si="49"/>
        <v>0</v>
      </c>
      <c r="H212" s="147"/>
      <c r="I212" s="165"/>
      <c r="J212" s="149" t="str">
        <f t="shared" ca="1" si="42"/>
        <v/>
      </c>
      <c r="K212" s="150" t="b">
        <f t="shared" ca="1" si="51"/>
        <v>0</v>
      </c>
      <c r="L212" s="364">
        <f t="shared" si="50"/>
        <v>1</v>
      </c>
      <c r="M212" s="267">
        <v>39836</v>
      </c>
      <c r="N212" s="166">
        <f t="shared" si="43"/>
        <v>4</v>
      </c>
      <c r="O212" s="167">
        <f t="shared" ca="1" si="44"/>
        <v>1</v>
      </c>
      <c r="P212" s="168">
        <f t="shared" si="45"/>
        <v>1</v>
      </c>
      <c r="Q212" s="169" t="b">
        <f t="shared" si="52"/>
        <v>0</v>
      </c>
      <c r="R212" s="170" t="b">
        <f t="shared" ca="1" si="46"/>
        <v>1</v>
      </c>
      <c r="S212" s="166"/>
      <c r="T212" s="166"/>
      <c r="U212" s="171">
        <f t="shared" ca="1" si="47"/>
        <v>0.29166666666666669</v>
      </c>
      <c r="V212" s="172"/>
      <c r="W212" s="173">
        <f t="shared" si="48"/>
        <v>0</v>
      </c>
      <c r="X212" s="174"/>
      <c r="Y212" s="174"/>
      <c r="Z212" s="174"/>
      <c r="AA212" s="117"/>
    </row>
    <row r="213" spans="1:27" ht="13.5" thickBot="1">
      <c r="A213" s="417"/>
      <c r="B213" s="411"/>
      <c r="C213" s="262">
        <f t="shared" si="41"/>
        <v>39837</v>
      </c>
      <c r="D213" s="175"/>
      <c r="E213" s="176"/>
      <c r="F213" s="177"/>
      <c r="G213" s="178">
        <f t="shared" si="49"/>
        <v>0</v>
      </c>
      <c r="H213" s="279"/>
      <c r="I213" s="179"/>
      <c r="J213" s="180" t="str">
        <f t="shared" ca="1" si="42"/>
        <v/>
      </c>
      <c r="K213" s="181" t="b">
        <f t="shared" ca="1" si="51"/>
        <v>0</v>
      </c>
      <c r="L213" s="365">
        <f t="shared" si="50"/>
        <v>1</v>
      </c>
      <c r="M213" s="271">
        <v>39837</v>
      </c>
      <c r="N213" s="182">
        <f t="shared" si="43"/>
        <v>5</v>
      </c>
      <c r="O213" s="183">
        <f t="shared" ca="1" si="44"/>
        <v>1</v>
      </c>
      <c r="P213" s="184">
        <f t="shared" si="45"/>
        <v>1</v>
      </c>
      <c r="Q213" s="185" t="b">
        <f t="shared" si="52"/>
        <v>0</v>
      </c>
      <c r="R213" s="186" t="b">
        <f t="shared" ca="1" si="46"/>
        <v>1</v>
      </c>
      <c r="S213" s="182"/>
      <c r="T213" s="182"/>
      <c r="U213" s="187"/>
      <c r="V213" s="172"/>
      <c r="W213" s="188">
        <f t="shared" si="48"/>
        <v>0</v>
      </c>
      <c r="X213" s="174"/>
      <c r="Y213" s="174"/>
      <c r="Z213" s="174"/>
      <c r="AA213" s="117"/>
    </row>
    <row r="214" spans="1:27" ht="13.5" thickBot="1">
      <c r="A214" s="418"/>
      <c r="B214" s="412"/>
      <c r="C214" s="263">
        <f t="shared" si="41"/>
        <v>39838</v>
      </c>
      <c r="D214" s="189"/>
      <c r="E214" s="190"/>
      <c r="F214" s="191"/>
      <c r="G214" s="192">
        <f t="shared" si="49"/>
        <v>0</v>
      </c>
      <c r="H214" s="280"/>
      <c r="I214" s="193"/>
      <c r="J214" s="194" t="str">
        <f t="shared" ca="1" si="42"/>
        <v/>
      </c>
      <c r="K214" s="195" t="b">
        <f t="shared" ca="1" si="51"/>
        <v>0</v>
      </c>
      <c r="L214" s="366">
        <f t="shared" si="50"/>
        <v>1</v>
      </c>
      <c r="M214" s="272">
        <v>39838</v>
      </c>
      <c r="N214" s="196">
        <f t="shared" si="43"/>
        <v>6</v>
      </c>
      <c r="O214" s="197">
        <f t="shared" ca="1" si="44"/>
        <v>0</v>
      </c>
      <c r="P214" s="198">
        <f t="shared" si="45"/>
        <v>0</v>
      </c>
      <c r="Q214" s="199" t="b">
        <f t="shared" si="52"/>
        <v>0</v>
      </c>
      <c r="R214" s="200" t="b">
        <f t="shared" ca="1" si="46"/>
        <v>1</v>
      </c>
      <c r="S214" s="196" t="b">
        <f>AND(R214,R208)</f>
        <v>1</v>
      </c>
      <c r="T214" s="196" t="b">
        <f>OR(R214,R208)</f>
        <v>1</v>
      </c>
      <c r="U214" s="201"/>
      <c r="V214" s="202">
        <f ca="1">IF(Sem_entame,SUM(U208:U214),"")</f>
        <v>1.4583333333333335</v>
      </c>
      <c r="W214" s="203">
        <f t="shared" si="48"/>
        <v>0</v>
      </c>
      <c r="X214" s="204">
        <f ca="1">SUM(W208:W214)</f>
        <v>0</v>
      </c>
      <c r="Y214" s="204">
        <f ca="1">IF(Sem_entame,X214-V214,"")</f>
        <v>-1.4583333333333335</v>
      </c>
      <c r="Z214" s="204">
        <f ca="1">IF(Sem_entame,Y214+IF(ISNUMBER(Z207),Z207,0),"")</f>
        <v>-40.104166666666671</v>
      </c>
      <c r="AA214" s="117"/>
    </row>
    <row r="215" spans="1:27" ht="12.75" customHeight="1" thickBot="1">
      <c r="A215" s="416">
        <f>A208+1</f>
        <v>31</v>
      </c>
      <c r="B215" s="411" t="str">
        <f>IF(L215&lt;&gt;L221,TEXT(C221,"mmm"&amp;"-"),"")&amp;TEXT(C215,"mmm")</f>
        <v>févr-janv</v>
      </c>
      <c r="C215" s="260">
        <f>C214+1</f>
        <v>39839</v>
      </c>
      <c r="D215" s="144"/>
      <c r="E215" s="145"/>
      <c r="F215" s="146"/>
      <c r="G215" s="147">
        <f t="shared" si="49"/>
        <v>0</v>
      </c>
      <c r="H215" s="147"/>
      <c r="I215" s="148"/>
      <c r="J215" s="207" t="str">
        <f t="shared" ca="1" si="42"/>
        <v/>
      </c>
      <c r="K215" s="150" t="b">
        <f t="shared" ca="1" si="51"/>
        <v>0</v>
      </c>
      <c r="L215" s="362">
        <f t="shared" si="50"/>
        <v>1</v>
      </c>
      <c r="M215" s="266">
        <v>39839</v>
      </c>
      <c r="N215" s="151">
        <f t="shared" si="43"/>
        <v>7</v>
      </c>
      <c r="O215" s="152">
        <f t="shared" ca="1" si="44"/>
        <v>0</v>
      </c>
      <c r="P215" s="153">
        <f t="shared" si="45"/>
        <v>0</v>
      </c>
      <c r="Q215" s="154" t="b">
        <f t="shared" si="52"/>
        <v>0</v>
      </c>
      <c r="R215" s="155" t="b">
        <f t="shared" ca="1" si="46"/>
        <v>1</v>
      </c>
      <c r="S215" s="156"/>
      <c r="T215" s="156"/>
      <c r="U215" s="157">
        <f t="shared" ca="1" si="47"/>
        <v>0.29166666666666669</v>
      </c>
      <c r="V215" s="158"/>
      <c r="W215" s="159">
        <f t="shared" si="48"/>
        <v>0</v>
      </c>
      <c r="X215" s="160"/>
      <c r="Y215" s="160"/>
      <c r="Z215" s="160"/>
      <c r="AA215" s="117"/>
    </row>
    <row r="216" spans="1:27" ht="13.5" thickBot="1">
      <c r="A216" s="417"/>
      <c r="B216" s="411"/>
      <c r="C216" s="261">
        <f>C215+1</f>
        <v>39840</v>
      </c>
      <c r="D216" s="161"/>
      <c r="E216" s="162"/>
      <c r="F216" s="163"/>
      <c r="G216" s="164">
        <f t="shared" si="49"/>
        <v>0</v>
      </c>
      <c r="H216" s="147"/>
      <c r="I216" s="165"/>
      <c r="J216" s="149" t="str">
        <f t="shared" ca="1" si="42"/>
        <v/>
      </c>
      <c r="K216" s="150" t="b">
        <f t="shared" ca="1" si="51"/>
        <v>0</v>
      </c>
      <c r="L216" s="364">
        <f t="shared" si="50"/>
        <v>1</v>
      </c>
      <c r="M216" s="267">
        <v>39840</v>
      </c>
      <c r="N216" s="166">
        <f t="shared" si="43"/>
        <v>1</v>
      </c>
      <c r="O216" s="167">
        <f t="shared" ca="1" si="44"/>
        <v>1</v>
      </c>
      <c r="P216" s="168">
        <f t="shared" si="45"/>
        <v>1</v>
      </c>
      <c r="Q216" s="169" t="b">
        <f t="shared" si="52"/>
        <v>0</v>
      </c>
      <c r="R216" s="170" t="b">
        <f t="shared" ca="1" si="46"/>
        <v>1</v>
      </c>
      <c r="S216" s="166"/>
      <c r="T216" s="166"/>
      <c r="U216" s="171">
        <f t="shared" ca="1" si="47"/>
        <v>0.29166666666666669</v>
      </c>
      <c r="V216" s="172"/>
      <c r="W216" s="173">
        <f t="shared" si="48"/>
        <v>0</v>
      </c>
      <c r="X216" s="174"/>
      <c r="Y216" s="174"/>
      <c r="Z216" s="174"/>
      <c r="AA216" s="117"/>
    </row>
    <row r="217" spans="1:27" ht="13.5" thickBot="1">
      <c r="A217" s="417"/>
      <c r="B217" s="411"/>
      <c r="C217" s="261">
        <f t="shared" ref="C217:C270" si="53">C216+1</f>
        <v>39841</v>
      </c>
      <c r="D217" s="161"/>
      <c r="E217" s="162"/>
      <c r="F217" s="163"/>
      <c r="G217" s="164">
        <f t="shared" si="49"/>
        <v>0</v>
      </c>
      <c r="H217" s="147"/>
      <c r="I217" s="165"/>
      <c r="J217" s="149" t="str">
        <f t="shared" ca="1" si="42"/>
        <v/>
      </c>
      <c r="K217" s="150" t="b">
        <f t="shared" ca="1" si="51"/>
        <v>0</v>
      </c>
      <c r="L217" s="364">
        <f t="shared" si="50"/>
        <v>1</v>
      </c>
      <c r="M217" s="267">
        <v>39841</v>
      </c>
      <c r="N217" s="166">
        <f t="shared" si="43"/>
        <v>2</v>
      </c>
      <c r="O217" s="167">
        <f t="shared" ca="1" si="44"/>
        <v>1</v>
      </c>
      <c r="P217" s="168">
        <f t="shared" si="45"/>
        <v>1</v>
      </c>
      <c r="Q217" s="169" t="b">
        <f t="shared" si="52"/>
        <v>0</v>
      </c>
      <c r="R217" s="170" t="b">
        <f t="shared" ca="1" si="46"/>
        <v>1</v>
      </c>
      <c r="S217" s="166"/>
      <c r="T217" s="166"/>
      <c r="U217" s="171">
        <f t="shared" ca="1" si="47"/>
        <v>0.29166666666666669</v>
      </c>
      <c r="V217" s="172"/>
      <c r="W217" s="173">
        <f t="shared" si="48"/>
        <v>0</v>
      </c>
      <c r="X217" s="174"/>
      <c r="Y217" s="174"/>
      <c r="Z217" s="174"/>
      <c r="AA217" s="117"/>
    </row>
    <row r="218" spans="1:27" ht="13.5" thickBot="1">
      <c r="A218" s="417"/>
      <c r="B218" s="411"/>
      <c r="C218" s="261">
        <f t="shared" si="53"/>
        <v>39842</v>
      </c>
      <c r="D218" s="161"/>
      <c r="E218" s="162"/>
      <c r="F218" s="163"/>
      <c r="G218" s="164">
        <f t="shared" si="49"/>
        <v>0</v>
      </c>
      <c r="H218" s="147"/>
      <c r="I218" s="165"/>
      <c r="J218" s="149" t="str">
        <f t="shared" ca="1" si="42"/>
        <v/>
      </c>
      <c r="K218" s="150" t="b">
        <f t="shared" ca="1" si="51"/>
        <v>0</v>
      </c>
      <c r="L218" s="364">
        <f t="shared" si="50"/>
        <v>1</v>
      </c>
      <c r="M218" s="267">
        <v>39842</v>
      </c>
      <c r="N218" s="166">
        <f t="shared" si="43"/>
        <v>3</v>
      </c>
      <c r="O218" s="167">
        <f t="shared" ca="1" si="44"/>
        <v>1</v>
      </c>
      <c r="P218" s="168">
        <f t="shared" si="45"/>
        <v>1</v>
      </c>
      <c r="Q218" s="169" t="b">
        <f t="shared" si="52"/>
        <v>0</v>
      </c>
      <c r="R218" s="170" t="b">
        <f t="shared" ca="1" si="46"/>
        <v>1</v>
      </c>
      <c r="S218" s="166"/>
      <c r="T218" s="166"/>
      <c r="U218" s="171">
        <f t="shared" ca="1" si="47"/>
        <v>0.29166666666666669</v>
      </c>
      <c r="V218" s="172"/>
      <c r="W218" s="173">
        <f t="shared" si="48"/>
        <v>0</v>
      </c>
      <c r="X218" s="174"/>
      <c r="Y218" s="174"/>
      <c r="Z218" s="174"/>
      <c r="AA218" s="117"/>
    </row>
    <row r="219" spans="1:27" ht="13.5" thickBot="1">
      <c r="A219" s="417"/>
      <c r="B219" s="411"/>
      <c r="C219" s="261">
        <f t="shared" si="53"/>
        <v>39843</v>
      </c>
      <c r="D219" s="161"/>
      <c r="E219" s="162"/>
      <c r="F219" s="163"/>
      <c r="G219" s="164">
        <f t="shared" si="49"/>
        <v>0</v>
      </c>
      <c r="H219" s="147"/>
      <c r="I219" s="165"/>
      <c r="J219" s="149" t="str">
        <f t="shared" ca="1" si="42"/>
        <v/>
      </c>
      <c r="K219" s="150" t="b">
        <f t="shared" ca="1" si="51"/>
        <v>0</v>
      </c>
      <c r="L219" s="364">
        <f t="shared" si="50"/>
        <v>1</v>
      </c>
      <c r="M219" s="267">
        <v>39843</v>
      </c>
      <c r="N219" s="166">
        <f t="shared" si="43"/>
        <v>4</v>
      </c>
      <c r="O219" s="167">
        <f t="shared" ca="1" si="44"/>
        <v>1</v>
      </c>
      <c r="P219" s="168">
        <f t="shared" si="45"/>
        <v>1</v>
      </c>
      <c r="Q219" s="169" t="b">
        <f t="shared" si="52"/>
        <v>0</v>
      </c>
      <c r="R219" s="170" t="b">
        <f t="shared" ca="1" si="46"/>
        <v>1</v>
      </c>
      <c r="S219" s="166"/>
      <c r="T219" s="166"/>
      <c r="U219" s="171">
        <f t="shared" ca="1" si="47"/>
        <v>0.29166666666666669</v>
      </c>
      <c r="V219" s="172"/>
      <c r="W219" s="173">
        <f t="shared" si="48"/>
        <v>0</v>
      </c>
      <c r="X219" s="174"/>
      <c r="Y219" s="174"/>
      <c r="Z219" s="174"/>
      <c r="AA219" s="117"/>
    </row>
    <row r="220" spans="1:27" ht="13.5" thickBot="1">
      <c r="A220" s="417"/>
      <c r="B220" s="411"/>
      <c r="C220" s="262">
        <f t="shared" si="53"/>
        <v>39844</v>
      </c>
      <c r="D220" s="175"/>
      <c r="E220" s="176"/>
      <c r="F220" s="177"/>
      <c r="G220" s="178">
        <f t="shared" si="49"/>
        <v>0</v>
      </c>
      <c r="H220" s="279"/>
      <c r="I220" s="179"/>
      <c r="J220" s="180" t="str">
        <f t="shared" ca="1" si="42"/>
        <v/>
      </c>
      <c r="K220" s="181" t="b">
        <f t="shared" ca="1" si="51"/>
        <v>0</v>
      </c>
      <c r="L220" s="365">
        <f t="shared" si="50"/>
        <v>2</v>
      </c>
      <c r="M220" s="271">
        <v>39844</v>
      </c>
      <c r="N220" s="182">
        <f t="shared" si="43"/>
        <v>5</v>
      </c>
      <c r="O220" s="183">
        <f t="shared" ca="1" si="44"/>
        <v>1</v>
      </c>
      <c r="P220" s="184">
        <f t="shared" si="45"/>
        <v>1</v>
      </c>
      <c r="Q220" s="185" t="b">
        <f t="shared" si="52"/>
        <v>0</v>
      </c>
      <c r="R220" s="186" t="b">
        <f t="shared" ca="1" si="46"/>
        <v>1</v>
      </c>
      <c r="S220" s="182"/>
      <c r="T220" s="182"/>
      <c r="U220" s="187"/>
      <c r="V220" s="172"/>
      <c r="W220" s="188">
        <f t="shared" si="48"/>
        <v>0</v>
      </c>
      <c r="X220" s="174"/>
      <c r="Y220" s="174"/>
      <c r="Z220" s="174"/>
      <c r="AA220" s="117"/>
    </row>
    <row r="221" spans="1:27" ht="13.5" thickBot="1">
      <c r="A221" s="418"/>
      <c r="B221" s="412"/>
      <c r="C221" s="263">
        <f t="shared" si="53"/>
        <v>39845</v>
      </c>
      <c r="D221" s="189"/>
      <c r="E221" s="190"/>
      <c r="F221" s="191"/>
      <c r="G221" s="192">
        <f t="shared" si="49"/>
        <v>0</v>
      </c>
      <c r="H221" s="280"/>
      <c r="I221" s="193"/>
      <c r="J221" s="194" t="str">
        <f t="shared" ca="1" si="42"/>
        <v/>
      </c>
      <c r="K221" s="195" t="b">
        <f t="shared" ca="1" si="51"/>
        <v>0</v>
      </c>
      <c r="L221" s="366">
        <f t="shared" si="50"/>
        <v>2</v>
      </c>
      <c r="M221" s="272">
        <v>39845</v>
      </c>
      <c r="N221" s="196">
        <f t="shared" si="43"/>
        <v>6</v>
      </c>
      <c r="O221" s="197">
        <f t="shared" ca="1" si="44"/>
        <v>0</v>
      </c>
      <c r="P221" s="198">
        <f t="shared" si="45"/>
        <v>0</v>
      </c>
      <c r="Q221" s="199" t="b">
        <f t="shared" si="52"/>
        <v>0</v>
      </c>
      <c r="R221" s="200" t="b">
        <f t="shared" ca="1" si="46"/>
        <v>1</v>
      </c>
      <c r="S221" s="196" t="b">
        <f>AND(R221,R215)</f>
        <v>1</v>
      </c>
      <c r="T221" s="196" t="b">
        <f>OR(R221,R215)</f>
        <v>1</v>
      </c>
      <c r="U221" s="201"/>
      <c r="V221" s="202">
        <f ca="1">IF(Sem_entame,SUM(U215:U221),"")</f>
        <v>1.4583333333333335</v>
      </c>
      <c r="W221" s="203">
        <f t="shared" si="48"/>
        <v>0</v>
      </c>
      <c r="X221" s="204">
        <f ca="1">SUM(W215:W221)</f>
        <v>0</v>
      </c>
      <c r="Y221" s="204">
        <f ca="1">IF(Sem_entame,X221-V221,"")</f>
        <v>-1.4583333333333335</v>
      </c>
      <c r="Z221" s="204">
        <f ca="1">IF(Sem_entame,Y221+IF(ISNUMBER(Z214),Z214,0),"")</f>
        <v>-41.562500000000007</v>
      </c>
      <c r="AA221" s="117"/>
    </row>
    <row r="222" spans="1:27" ht="12.75" customHeight="1" thickBot="1">
      <c r="A222" s="416">
        <f>A215+1</f>
        <v>32</v>
      </c>
      <c r="B222" s="411" t="str">
        <f>IF(L222&lt;&gt;L228,TEXT(C228,"mmm"&amp;"-"),"")&amp;TEXT(C222,"mmm")</f>
        <v>févr</v>
      </c>
      <c r="C222" s="260">
        <f t="shared" si="53"/>
        <v>39846</v>
      </c>
      <c r="D222" s="144"/>
      <c r="E222" s="145"/>
      <c r="F222" s="146"/>
      <c r="G222" s="147">
        <f t="shared" si="49"/>
        <v>0</v>
      </c>
      <c r="H222" s="147"/>
      <c r="I222" s="148"/>
      <c r="J222" s="207" t="str">
        <f t="shared" ca="1" si="42"/>
        <v/>
      </c>
      <c r="K222" s="150" t="b">
        <f t="shared" ca="1" si="51"/>
        <v>0</v>
      </c>
      <c r="L222" s="362">
        <f t="shared" si="50"/>
        <v>2</v>
      </c>
      <c r="M222" s="266">
        <v>39846</v>
      </c>
      <c r="N222" s="151">
        <f t="shared" si="43"/>
        <v>7</v>
      </c>
      <c r="O222" s="152">
        <f t="shared" ca="1" si="44"/>
        <v>0</v>
      </c>
      <c r="P222" s="153">
        <f t="shared" si="45"/>
        <v>0</v>
      </c>
      <c r="Q222" s="154" t="b">
        <f t="shared" si="52"/>
        <v>0</v>
      </c>
      <c r="R222" s="155" t="b">
        <f t="shared" ca="1" si="46"/>
        <v>1</v>
      </c>
      <c r="S222" s="156"/>
      <c r="T222" s="156"/>
      <c r="U222" s="157">
        <f t="shared" ca="1" si="47"/>
        <v>0.29166666666666669</v>
      </c>
      <c r="V222" s="158"/>
      <c r="W222" s="159">
        <f t="shared" si="48"/>
        <v>0</v>
      </c>
      <c r="X222" s="160"/>
      <c r="Y222" s="160"/>
      <c r="Z222" s="160"/>
      <c r="AA222" s="117"/>
    </row>
    <row r="223" spans="1:27" ht="13.5" thickBot="1">
      <c r="A223" s="417"/>
      <c r="B223" s="411"/>
      <c r="C223" s="261">
        <f t="shared" si="53"/>
        <v>39847</v>
      </c>
      <c r="D223" s="161"/>
      <c r="E223" s="162"/>
      <c r="F223" s="163"/>
      <c r="G223" s="164">
        <f t="shared" si="49"/>
        <v>0</v>
      </c>
      <c r="H223" s="147"/>
      <c r="I223" s="165"/>
      <c r="J223" s="149" t="str">
        <f t="shared" ca="1" si="42"/>
        <v/>
      </c>
      <c r="K223" s="150" t="b">
        <f t="shared" ca="1" si="51"/>
        <v>0</v>
      </c>
      <c r="L223" s="364">
        <f t="shared" si="50"/>
        <v>2</v>
      </c>
      <c r="M223" s="267">
        <v>39847</v>
      </c>
      <c r="N223" s="166">
        <f t="shared" si="43"/>
        <v>1</v>
      </c>
      <c r="O223" s="167">
        <f t="shared" ca="1" si="44"/>
        <v>1</v>
      </c>
      <c r="P223" s="168">
        <f t="shared" si="45"/>
        <v>1</v>
      </c>
      <c r="Q223" s="169" t="b">
        <f t="shared" si="52"/>
        <v>0</v>
      </c>
      <c r="R223" s="170" t="b">
        <f t="shared" ca="1" si="46"/>
        <v>1</v>
      </c>
      <c r="S223" s="166"/>
      <c r="T223" s="166"/>
      <c r="U223" s="171">
        <f t="shared" ca="1" si="47"/>
        <v>0.29166666666666669</v>
      </c>
      <c r="V223" s="172"/>
      <c r="W223" s="173">
        <f t="shared" si="48"/>
        <v>0</v>
      </c>
      <c r="X223" s="174"/>
      <c r="Y223" s="174"/>
      <c r="Z223" s="174"/>
      <c r="AA223" s="117"/>
    </row>
    <row r="224" spans="1:27" ht="13.5" thickBot="1">
      <c r="A224" s="417"/>
      <c r="B224" s="411"/>
      <c r="C224" s="261">
        <f t="shared" si="53"/>
        <v>39848</v>
      </c>
      <c r="D224" s="161"/>
      <c r="E224" s="162"/>
      <c r="F224" s="163"/>
      <c r="G224" s="164">
        <f t="shared" si="49"/>
        <v>0</v>
      </c>
      <c r="H224" s="147"/>
      <c r="I224" s="165"/>
      <c r="J224" s="149" t="str">
        <f t="shared" ca="1" si="42"/>
        <v/>
      </c>
      <c r="K224" s="150" t="b">
        <f t="shared" ca="1" si="51"/>
        <v>0</v>
      </c>
      <c r="L224" s="364">
        <f t="shared" si="50"/>
        <v>2</v>
      </c>
      <c r="M224" s="267">
        <v>39848</v>
      </c>
      <c r="N224" s="166">
        <f t="shared" si="43"/>
        <v>2</v>
      </c>
      <c r="O224" s="167">
        <f t="shared" ca="1" si="44"/>
        <v>1</v>
      </c>
      <c r="P224" s="168">
        <f t="shared" si="45"/>
        <v>1</v>
      </c>
      <c r="Q224" s="169" t="b">
        <f t="shared" si="52"/>
        <v>0</v>
      </c>
      <c r="R224" s="170" t="b">
        <f t="shared" ca="1" si="46"/>
        <v>1</v>
      </c>
      <c r="S224" s="166"/>
      <c r="T224" s="166"/>
      <c r="U224" s="171">
        <f t="shared" ca="1" si="47"/>
        <v>0.29166666666666669</v>
      </c>
      <c r="V224" s="172"/>
      <c r="W224" s="173">
        <f t="shared" si="48"/>
        <v>0</v>
      </c>
      <c r="X224" s="174"/>
      <c r="Y224" s="174"/>
      <c r="Z224" s="174"/>
      <c r="AA224" s="117"/>
    </row>
    <row r="225" spans="1:27" ht="13.5" thickBot="1">
      <c r="A225" s="417"/>
      <c r="B225" s="411"/>
      <c r="C225" s="261">
        <f t="shared" si="53"/>
        <v>39849</v>
      </c>
      <c r="D225" s="161"/>
      <c r="E225" s="162"/>
      <c r="F225" s="163"/>
      <c r="G225" s="164">
        <f t="shared" si="49"/>
        <v>0</v>
      </c>
      <c r="H225" s="147"/>
      <c r="I225" s="165"/>
      <c r="J225" s="149" t="str">
        <f t="shared" ca="1" si="42"/>
        <v/>
      </c>
      <c r="K225" s="150" t="b">
        <f t="shared" ca="1" si="51"/>
        <v>0</v>
      </c>
      <c r="L225" s="364">
        <f t="shared" si="50"/>
        <v>2</v>
      </c>
      <c r="M225" s="267">
        <v>39849</v>
      </c>
      <c r="N225" s="166">
        <f t="shared" si="43"/>
        <v>3</v>
      </c>
      <c r="O225" s="167">
        <f t="shared" ca="1" si="44"/>
        <v>1</v>
      </c>
      <c r="P225" s="168">
        <f t="shared" si="45"/>
        <v>1</v>
      </c>
      <c r="Q225" s="169" t="b">
        <f t="shared" si="52"/>
        <v>0</v>
      </c>
      <c r="R225" s="170" t="b">
        <f t="shared" ca="1" si="46"/>
        <v>1</v>
      </c>
      <c r="S225" s="166"/>
      <c r="T225" s="166"/>
      <c r="U225" s="171">
        <f t="shared" ca="1" si="47"/>
        <v>0.29166666666666669</v>
      </c>
      <c r="V225" s="172"/>
      <c r="W225" s="173">
        <f t="shared" si="48"/>
        <v>0</v>
      </c>
      <c r="X225" s="174"/>
      <c r="Y225" s="174"/>
      <c r="Z225" s="174"/>
      <c r="AA225" s="117"/>
    </row>
    <row r="226" spans="1:27" ht="13.5" thickBot="1">
      <c r="A226" s="417"/>
      <c r="B226" s="411"/>
      <c r="C226" s="261">
        <f t="shared" si="53"/>
        <v>39850</v>
      </c>
      <c r="D226" s="161"/>
      <c r="E226" s="162"/>
      <c r="F226" s="163"/>
      <c r="G226" s="164">
        <f t="shared" si="49"/>
        <v>0</v>
      </c>
      <c r="H226" s="147"/>
      <c r="I226" s="165"/>
      <c r="J226" s="149" t="str">
        <f t="shared" ca="1" si="42"/>
        <v/>
      </c>
      <c r="K226" s="150" t="b">
        <f t="shared" ca="1" si="51"/>
        <v>0</v>
      </c>
      <c r="L226" s="364">
        <f t="shared" si="50"/>
        <v>2</v>
      </c>
      <c r="M226" s="267">
        <v>39850</v>
      </c>
      <c r="N226" s="166">
        <f t="shared" si="43"/>
        <v>4</v>
      </c>
      <c r="O226" s="167">
        <f t="shared" ca="1" si="44"/>
        <v>1</v>
      </c>
      <c r="P226" s="168">
        <f t="shared" si="45"/>
        <v>1</v>
      </c>
      <c r="Q226" s="169" t="b">
        <f t="shared" si="52"/>
        <v>0</v>
      </c>
      <c r="R226" s="170" t="b">
        <f t="shared" ca="1" si="46"/>
        <v>1</v>
      </c>
      <c r="S226" s="166"/>
      <c r="T226" s="166"/>
      <c r="U226" s="171">
        <f t="shared" ca="1" si="47"/>
        <v>0.29166666666666669</v>
      </c>
      <c r="V226" s="172"/>
      <c r="W226" s="173">
        <f t="shared" si="48"/>
        <v>0</v>
      </c>
      <c r="X226" s="174"/>
      <c r="Y226" s="174"/>
      <c r="Z226" s="174"/>
      <c r="AA226" s="117"/>
    </row>
    <row r="227" spans="1:27" ht="13.5" thickBot="1">
      <c r="A227" s="417"/>
      <c r="B227" s="411"/>
      <c r="C227" s="262">
        <f t="shared" si="53"/>
        <v>39851</v>
      </c>
      <c r="D227" s="175"/>
      <c r="E227" s="176"/>
      <c r="F227" s="177"/>
      <c r="G227" s="178">
        <f t="shared" si="49"/>
        <v>0</v>
      </c>
      <c r="H227" s="279"/>
      <c r="I227" s="179"/>
      <c r="J227" s="180" t="str">
        <f t="shared" ca="1" si="42"/>
        <v/>
      </c>
      <c r="K227" s="181" t="b">
        <f t="shared" ca="1" si="51"/>
        <v>0</v>
      </c>
      <c r="L227" s="365">
        <f t="shared" si="50"/>
        <v>2</v>
      </c>
      <c r="M227" s="271">
        <v>39851</v>
      </c>
      <c r="N227" s="182">
        <f t="shared" si="43"/>
        <v>5</v>
      </c>
      <c r="O227" s="183">
        <f t="shared" ca="1" si="44"/>
        <v>1</v>
      </c>
      <c r="P227" s="184">
        <f t="shared" si="45"/>
        <v>1</v>
      </c>
      <c r="Q227" s="185" t="b">
        <f t="shared" si="52"/>
        <v>0</v>
      </c>
      <c r="R227" s="186" t="b">
        <f t="shared" ca="1" si="46"/>
        <v>1</v>
      </c>
      <c r="S227" s="182"/>
      <c r="T227" s="182"/>
      <c r="U227" s="187"/>
      <c r="V227" s="172"/>
      <c r="W227" s="188">
        <f t="shared" si="48"/>
        <v>0</v>
      </c>
      <c r="X227" s="174"/>
      <c r="Y227" s="174"/>
      <c r="Z227" s="174"/>
      <c r="AA227" s="117"/>
    </row>
    <row r="228" spans="1:27" ht="13.5" thickBot="1">
      <c r="A228" s="418"/>
      <c r="B228" s="412"/>
      <c r="C228" s="263">
        <f t="shared" si="53"/>
        <v>39852</v>
      </c>
      <c r="D228" s="189"/>
      <c r="E228" s="190"/>
      <c r="F228" s="191"/>
      <c r="G228" s="192">
        <f t="shared" si="49"/>
        <v>0</v>
      </c>
      <c r="H228" s="280"/>
      <c r="I228" s="193"/>
      <c r="J228" s="194" t="str">
        <f t="shared" ca="1" si="42"/>
        <v/>
      </c>
      <c r="K228" s="195" t="b">
        <f t="shared" ca="1" si="51"/>
        <v>0</v>
      </c>
      <c r="L228" s="366">
        <f t="shared" si="50"/>
        <v>2</v>
      </c>
      <c r="M228" s="272">
        <v>39852</v>
      </c>
      <c r="N228" s="196">
        <f t="shared" si="43"/>
        <v>6</v>
      </c>
      <c r="O228" s="197">
        <f t="shared" ca="1" si="44"/>
        <v>0</v>
      </c>
      <c r="P228" s="198">
        <f t="shared" si="45"/>
        <v>0</v>
      </c>
      <c r="Q228" s="199" t="b">
        <f t="shared" si="52"/>
        <v>0</v>
      </c>
      <c r="R228" s="200" t="b">
        <f t="shared" ca="1" si="46"/>
        <v>1</v>
      </c>
      <c r="S228" s="196" t="b">
        <f>AND(R228,R222)</f>
        <v>1</v>
      </c>
      <c r="T228" s="196" t="b">
        <f>OR(R228,R222)</f>
        <v>1</v>
      </c>
      <c r="U228" s="201"/>
      <c r="V228" s="202">
        <f ca="1">IF(Sem_entame,SUM(U222:U228),"")</f>
        <v>1.4583333333333335</v>
      </c>
      <c r="W228" s="203">
        <f t="shared" si="48"/>
        <v>0</v>
      </c>
      <c r="X228" s="204">
        <f ca="1">SUM(W222:W228)</f>
        <v>0</v>
      </c>
      <c r="Y228" s="204">
        <f ca="1">IF(Sem_entame,X228-V228,"")</f>
        <v>-1.4583333333333335</v>
      </c>
      <c r="Z228" s="204">
        <f ca="1">IF(Sem_entame,Y228+IF(ISNUMBER(Z221),Z221,0),"")</f>
        <v>-43.020833333333343</v>
      </c>
      <c r="AA228" s="117"/>
    </row>
    <row r="229" spans="1:27" ht="12.75" customHeight="1" thickBot="1">
      <c r="A229" s="416">
        <f>A222+1</f>
        <v>33</v>
      </c>
      <c r="B229" s="411" t="str">
        <f>IF(L229&lt;&gt;L235,TEXT(C235,"mmm"&amp;"-"),"")&amp;TEXT(C229,"mmm")</f>
        <v>févr</v>
      </c>
      <c r="C229" s="260">
        <f t="shared" si="53"/>
        <v>39853</v>
      </c>
      <c r="D229" s="144"/>
      <c r="E229" s="145"/>
      <c r="F229" s="146"/>
      <c r="G229" s="147">
        <f t="shared" si="49"/>
        <v>0</v>
      </c>
      <c r="H229" s="147"/>
      <c r="I229" s="148"/>
      <c r="J229" s="207" t="str">
        <f t="shared" ca="1" si="42"/>
        <v/>
      </c>
      <c r="K229" s="150" t="b">
        <f t="shared" ca="1" si="51"/>
        <v>0</v>
      </c>
      <c r="L229" s="362">
        <f t="shared" si="50"/>
        <v>2</v>
      </c>
      <c r="M229" s="266">
        <v>39853</v>
      </c>
      <c r="N229" s="151">
        <f t="shared" si="43"/>
        <v>7</v>
      </c>
      <c r="O229" s="152">
        <f t="shared" ca="1" si="44"/>
        <v>0</v>
      </c>
      <c r="P229" s="153">
        <f t="shared" si="45"/>
        <v>0</v>
      </c>
      <c r="Q229" s="154" t="b">
        <f t="shared" si="52"/>
        <v>0</v>
      </c>
      <c r="R229" s="155" t="b">
        <f t="shared" ca="1" si="46"/>
        <v>1</v>
      </c>
      <c r="S229" s="156"/>
      <c r="T229" s="156"/>
      <c r="U229" s="157">
        <f t="shared" ca="1" si="47"/>
        <v>0.29166666666666669</v>
      </c>
      <c r="V229" s="158"/>
      <c r="W229" s="159">
        <f t="shared" si="48"/>
        <v>0</v>
      </c>
      <c r="X229" s="160"/>
      <c r="Y229" s="160"/>
      <c r="Z229" s="160"/>
      <c r="AA229" s="117"/>
    </row>
    <row r="230" spans="1:27" ht="13.5" thickBot="1">
      <c r="A230" s="417"/>
      <c r="B230" s="411"/>
      <c r="C230" s="261">
        <f t="shared" si="53"/>
        <v>39854</v>
      </c>
      <c r="D230" s="161"/>
      <c r="E230" s="162"/>
      <c r="F230" s="163"/>
      <c r="G230" s="164">
        <f t="shared" si="49"/>
        <v>0</v>
      </c>
      <c r="H230" s="147"/>
      <c r="I230" s="165"/>
      <c r="J230" s="149" t="str">
        <f t="shared" ca="1" si="42"/>
        <v/>
      </c>
      <c r="K230" s="150" t="b">
        <f t="shared" ca="1" si="51"/>
        <v>0</v>
      </c>
      <c r="L230" s="364">
        <f t="shared" si="50"/>
        <v>2</v>
      </c>
      <c r="M230" s="267">
        <v>39854</v>
      </c>
      <c r="N230" s="166">
        <f t="shared" si="43"/>
        <v>1</v>
      </c>
      <c r="O230" s="167">
        <f t="shared" ca="1" si="44"/>
        <v>1</v>
      </c>
      <c r="P230" s="168">
        <f t="shared" si="45"/>
        <v>1</v>
      </c>
      <c r="Q230" s="169" t="b">
        <f t="shared" si="52"/>
        <v>0</v>
      </c>
      <c r="R230" s="170" t="b">
        <f t="shared" ca="1" si="46"/>
        <v>1</v>
      </c>
      <c r="S230" s="166"/>
      <c r="T230" s="166"/>
      <c r="U230" s="171">
        <f t="shared" ca="1" si="47"/>
        <v>0.29166666666666669</v>
      </c>
      <c r="V230" s="172"/>
      <c r="W230" s="173">
        <f t="shared" si="48"/>
        <v>0</v>
      </c>
      <c r="X230" s="174"/>
      <c r="Y230" s="174"/>
      <c r="Z230" s="174"/>
      <c r="AA230" s="117"/>
    </row>
    <row r="231" spans="1:27" ht="13.5" thickBot="1">
      <c r="A231" s="417"/>
      <c r="B231" s="411"/>
      <c r="C231" s="261">
        <f t="shared" si="53"/>
        <v>39855</v>
      </c>
      <c r="D231" s="161"/>
      <c r="E231" s="162"/>
      <c r="F231" s="163"/>
      <c r="G231" s="164">
        <f t="shared" si="49"/>
        <v>0</v>
      </c>
      <c r="H231" s="147"/>
      <c r="I231" s="165"/>
      <c r="J231" s="149" t="str">
        <f t="shared" ca="1" si="42"/>
        <v/>
      </c>
      <c r="K231" s="150" t="b">
        <f t="shared" ca="1" si="51"/>
        <v>0</v>
      </c>
      <c r="L231" s="364">
        <f t="shared" si="50"/>
        <v>2</v>
      </c>
      <c r="M231" s="267">
        <v>39855</v>
      </c>
      <c r="N231" s="166">
        <f t="shared" si="43"/>
        <v>2</v>
      </c>
      <c r="O231" s="167">
        <f t="shared" ca="1" si="44"/>
        <v>1</v>
      </c>
      <c r="P231" s="168">
        <f t="shared" si="45"/>
        <v>1</v>
      </c>
      <c r="Q231" s="169" t="b">
        <f t="shared" si="52"/>
        <v>0</v>
      </c>
      <c r="R231" s="170" t="b">
        <f t="shared" ca="1" si="46"/>
        <v>1</v>
      </c>
      <c r="S231" s="166"/>
      <c r="T231" s="166"/>
      <c r="U231" s="171">
        <f t="shared" ca="1" si="47"/>
        <v>0.29166666666666669</v>
      </c>
      <c r="V231" s="172"/>
      <c r="W231" s="173">
        <f t="shared" si="48"/>
        <v>0</v>
      </c>
      <c r="X231" s="174"/>
      <c r="Y231" s="174"/>
      <c r="Z231" s="174"/>
      <c r="AA231" s="117"/>
    </row>
    <row r="232" spans="1:27" ht="13.5" thickBot="1">
      <c r="A232" s="417"/>
      <c r="B232" s="411"/>
      <c r="C232" s="261">
        <f t="shared" si="53"/>
        <v>39856</v>
      </c>
      <c r="D232" s="161"/>
      <c r="E232" s="162"/>
      <c r="F232" s="163"/>
      <c r="G232" s="164">
        <f t="shared" si="49"/>
        <v>0</v>
      </c>
      <c r="H232" s="147"/>
      <c r="I232" s="165"/>
      <c r="J232" s="149" t="str">
        <f t="shared" ca="1" si="42"/>
        <v/>
      </c>
      <c r="K232" s="150" t="b">
        <f t="shared" ca="1" si="51"/>
        <v>0</v>
      </c>
      <c r="L232" s="364">
        <f t="shared" si="50"/>
        <v>2</v>
      </c>
      <c r="M232" s="267">
        <v>39856</v>
      </c>
      <c r="N232" s="166">
        <f t="shared" si="43"/>
        <v>3</v>
      </c>
      <c r="O232" s="167">
        <f t="shared" ca="1" si="44"/>
        <v>1</v>
      </c>
      <c r="P232" s="168">
        <f t="shared" si="45"/>
        <v>1</v>
      </c>
      <c r="Q232" s="169" t="b">
        <f t="shared" si="52"/>
        <v>0</v>
      </c>
      <c r="R232" s="170" t="b">
        <f t="shared" ca="1" si="46"/>
        <v>1</v>
      </c>
      <c r="S232" s="166"/>
      <c r="T232" s="166"/>
      <c r="U232" s="171">
        <f t="shared" ca="1" si="47"/>
        <v>0.29166666666666669</v>
      </c>
      <c r="V232" s="172"/>
      <c r="W232" s="173">
        <f t="shared" si="48"/>
        <v>0</v>
      </c>
      <c r="X232" s="174"/>
      <c r="Y232" s="174"/>
      <c r="Z232" s="174"/>
      <c r="AA232" s="117"/>
    </row>
    <row r="233" spans="1:27" ht="13.5" thickBot="1">
      <c r="A233" s="417"/>
      <c r="B233" s="411"/>
      <c r="C233" s="261">
        <f t="shared" si="53"/>
        <v>39857</v>
      </c>
      <c r="D233" s="161"/>
      <c r="E233" s="162"/>
      <c r="F233" s="163"/>
      <c r="G233" s="164">
        <f t="shared" si="49"/>
        <v>0</v>
      </c>
      <c r="H233" s="147"/>
      <c r="I233" s="165"/>
      <c r="J233" s="149" t="str">
        <f t="shared" ca="1" si="42"/>
        <v/>
      </c>
      <c r="K233" s="150" t="b">
        <f t="shared" ca="1" si="51"/>
        <v>0</v>
      </c>
      <c r="L233" s="364">
        <f t="shared" si="50"/>
        <v>2</v>
      </c>
      <c r="M233" s="267">
        <v>39857</v>
      </c>
      <c r="N233" s="166">
        <f t="shared" si="43"/>
        <v>4</v>
      </c>
      <c r="O233" s="167">
        <f t="shared" ca="1" si="44"/>
        <v>1</v>
      </c>
      <c r="P233" s="168">
        <f t="shared" si="45"/>
        <v>1</v>
      </c>
      <c r="Q233" s="169" t="b">
        <f t="shared" si="52"/>
        <v>0</v>
      </c>
      <c r="R233" s="170" t="b">
        <f t="shared" ca="1" si="46"/>
        <v>1</v>
      </c>
      <c r="S233" s="166"/>
      <c r="T233" s="166"/>
      <c r="U233" s="171">
        <f t="shared" ca="1" si="47"/>
        <v>0.29166666666666669</v>
      </c>
      <c r="V233" s="172"/>
      <c r="W233" s="173">
        <f t="shared" si="48"/>
        <v>0</v>
      </c>
      <c r="X233" s="174"/>
      <c r="Y233" s="174"/>
      <c r="Z233" s="174"/>
      <c r="AA233" s="117"/>
    </row>
    <row r="234" spans="1:27" ht="13.5" thickBot="1">
      <c r="A234" s="417"/>
      <c r="B234" s="411"/>
      <c r="C234" s="262">
        <f t="shared" si="53"/>
        <v>39858</v>
      </c>
      <c r="D234" s="175"/>
      <c r="E234" s="176"/>
      <c r="F234" s="177"/>
      <c r="G234" s="178">
        <f t="shared" si="49"/>
        <v>0</v>
      </c>
      <c r="H234" s="279"/>
      <c r="I234" s="179"/>
      <c r="J234" s="180" t="str">
        <f t="shared" ca="1" si="42"/>
        <v/>
      </c>
      <c r="K234" s="181" t="b">
        <f t="shared" ca="1" si="51"/>
        <v>0</v>
      </c>
      <c r="L234" s="365">
        <f t="shared" si="50"/>
        <v>2</v>
      </c>
      <c r="M234" s="271">
        <v>39858</v>
      </c>
      <c r="N234" s="182">
        <f t="shared" si="43"/>
        <v>5</v>
      </c>
      <c r="O234" s="183">
        <f t="shared" ca="1" si="44"/>
        <v>1</v>
      </c>
      <c r="P234" s="184">
        <f t="shared" si="45"/>
        <v>1</v>
      </c>
      <c r="Q234" s="185" t="b">
        <f t="shared" si="52"/>
        <v>0</v>
      </c>
      <c r="R234" s="186" t="b">
        <f t="shared" ca="1" si="46"/>
        <v>1</v>
      </c>
      <c r="S234" s="182"/>
      <c r="T234" s="182"/>
      <c r="U234" s="187"/>
      <c r="V234" s="172"/>
      <c r="W234" s="188">
        <f t="shared" si="48"/>
        <v>0</v>
      </c>
      <c r="X234" s="174"/>
      <c r="Y234" s="174"/>
      <c r="Z234" s="174"/>
      <c r="AA234" s="117"/>
    </row>
    <row r="235" spans="1:27" ht="13.5" thickBot="1">
      <c r="A235" s="418"/>
      <c r="B235" s="412"/>
      <c r="C235" s="263">
        <f t="shared" si="53"/>
        <v>39859</v>
      </c>
      <c r="D235" s="189"/>
      <c r="E235" s="190"/>
      <c r="F235" s="191"/>
      <c r="G235" s="192">
        <f t="shared" si="49"/>
        <v>0</v>
      </c>
      <c r="H235" s="280"/>
      <c r="I235" s="193"/>
      <c r="J235" s="194" t="str">
        <f t="shared" ca="1" si="42"/>
        <v/>
      </c>
      <c r="K235" s="195" t="b">
        <f t="shared" ca="1" si="51"/>
        <v>0</v>
      </c>
      <c r="L235" s="366">
        <f t="shared" si="50"/>
        <v>2</v>
      </c>
      <c r="M235" s="272">
        <v>39859</v>
      </c>
      <c r="N235" s="196">
        <f t="shared" si="43"/>
        <v>6</v>
      </c>
      <c r="O235" s="197">
        <f t="shared" ca="1" si="44"/>
        <v>0</v>
      </c>
      <c r="P235" s="198">
        <f t="shared" si="45"/>
        <v>0</v>
      </c>
      <c r="Q235" s="199" t="b">
        <f t="shared" si="52"/>
        <v>0</v>
      </c>
      <c r="R235" s="200" t="b">
        <f t="shared" ca="1" si="46"/>
        <v>1</v>
      </c>
      <c r="S235" s="196" t="b">
        <f>AND(R235,R229)</f>
        <v>1</v>
      </c>
      <c r="T235" s="196" t="b">
        <f>OR(R235,R229)</f>
        <v>1</v>
      </c>
      <c r="U235" s="201"/>
      <c r="V235" s="202">
        <f ca="1">IF(Sem_entame,SUM(U229:U235),"")</f>
        <v>1.4583333333333335</v>
      </c>
      <c r="W235" s="203">
        <f t="shared" si="48"/>
        <v>0</v>
      </c>
      <c r="X235" s="204">
        <f ca="1">SUM(W229:W235)</f>
        <v>0</v>
      </c>
      <c r="Y235" s="204">
        <f ca="1">IF(Sem_entame,X235-V235,"")</f>
        <v>-1.4583333333333335</v>
      </c>
      <c r="Z235" s="204">
        <f ca="1">IF(Sem_entame,Y235+IF(ISNUMBER(Z228),Z228,0),"")</f>
        <v>-44.479166666666679</v>
      </c>
      <c r="AA235" s="117"/>
    </row>
    <row r="236" spans="1:27" ht="12.75" customHeight="1" thickBot="1">
      <c r="A236" s="416">
        <f>A229+1</f>
        <v>34</v>
      </c>
      <c r="B236" s="411" t="str">
        <f>IF(L236&lt;&gt;L242,TEXT(C242,"mmm"&amp;"-"),"")&amp;TEXT(C236,"mmm")</f>
        <v>févr</v>
      </c>
      <c r="C236" s="260">
        <f t="shared" si="53"/>
        <v>39860</v>
      </c>
      <c r="D236" s="144"/>
      <c r="E236" s="145"/>
      <c r="F236" s="146"/>
      <c r="G236" s="147">
        <f t="shared" si="49"/>
        <v>0</v>
      </c>
      <c r="H236" s="147"/>
      <c r="I236" s="148"/>
      <c r="J236" s="207" t="str">
        <f t="shared" ca="1" si="42"/>
        <v/>
      </c>
      <c r="K236" s="150" t="b">
        <f t="shared" ca="1" si="51"/>
        <v>0</v>
      </c>
      <c r="L236" s="362">
        <f t="shared" si="50"/>
        <v>2</v>
      </c>
      <c r="M236" s="266">
        <v>39860</v>
      </c>
      <c r="N236" s="151">
        <f t="shared" si="43"/>
        <v>7</v>
      </c>
      <c r="O236" s="152">
        <f t="shared" ca="1" si="44"/>
        <v>0</v>
      </c>
      <c r="P236" s="153">
        <f t="shared" si="45"/>
        <v>0</v>
      </c>
      <c r="Q236" s="154" t="b">
        <f t="shared" si="52"/>
        <v>0</v>
      </c>
      <c r="R236" s="155" t="b">
        <f t="shared" ca="1" si="46"/>
        <v>1</v>
      </c>
      <c r="S236" s="156"/>
      <c r="T236" s="156"/>
      <c r="U236" s="157">
        <f t="shared" ca="1" si="47"/>
        <v>0.29166666666666669</v>
      </c>
      <c r="V236" s="158"/>
      <c r="W236" s="159">
        <f t="shared" si="48"/>
        <v>0</v>
      </c>
      <c r="X236" s="160"/>
      <c r="Y236" s="160"/>
      <c r="Z236" s="160"/>
      <c r="AA236" s="117"/>
    </row>
    <row r="237" spans="1:27" ht="13.5" thickBot="1">
      <c r="A237" s="417"/>
      <c r="B237" s="411"/>
      <c r="C237" s="261">
        <f t="shared" si="53"/>
        <v>39861</v>
      </c>
      <c r="D237" s="161"/>
      <c r="E237" s="162"/>
      <c r="F237" s="163"/>
      <c r="G237" s="164">
        <f t="shared" si="49"/>
        <v>0</v>
      </c>
      <c r="H237" s="147"/>
      <c r="I237" s="165"/>
      <c r="J237" s="149" t="str">
        <f t="shared" ca="1" si="42"/>
        <v/>
      </c>
      <c r="K237" s="150" t="b">
        <f t="shared" ca="1" si="51"/>
        <v>0</v>
      </c>
      <c r="L237" s="364">
        <f t="shared" si="50"/>
        <v>2</v>
      </c>
      <c r="M237" s="267">
        <v>39861</v>
      </c>
      <c r="N237" s="166">
        <f t="shared" si="43"/>
        <v>1</v>
      </c>
      <c r="O237" s="167">
        <f t="shared" ca="1" si="44"/>
        <v>1</v>
      </c>
      <c r="P237" s="168">
        <f t="shared" si="45"/>
        <v>1</v>
      </c>
      <c r="Q237" s="169" t="b">
        <f t="shared" si="52"/>
        <v>0</v>
      </c>
      <c r="R237" s="170" t="b">
        <f t="shared" ca="1" si="46"/>
        <v>1</v>
      </c>
      <c r="S237" s="166"/>
      <c r="T237" s="166"/>
      <c r="U237" s="171">
        <f t="shared" ca="1" si="47"/>
        <v>0.29166666666666669</v>
      </c>
      <c r="V237" s="172"/>
      <c r="W237" s="173">
        <f t="shared" si="48"/>
        <v>0</v>
      </c>
      <c r="X237" s="174"/>
      <c r="Y237" s="174"/>
      <c r="Z237" s="174"/>
      <c r="AA237" s="117"/>
    </row>
    <row r="238" spans="1:27" ht="13.5" thickBot="1">
      <c r="A238" s="417"/>
      <c r="B238" s="411"/>
      <c r="C238" s="261">
        <f t="shared" si="53"/>
        <v>39862</v>
      </c>
      <c r="D238" s="161"/>
      <c r="E238" s="162"/>
      <c r="F238" s="163"/>
      <c r="G238" s="164">
        <f t="shared" si="49"/>
        <v>0</v>
      </c>
      <c r="H238" s="147"/>
      <c r="I238" s="165"/>
      <c r="J238" s="149" t="str">
        <f t="shared" ca="1" si="42"/>
        <v/>
      </c>
      <c r="K238" s="150" t="b">
        <f t="shared" ca="1" si="51"/>
        <v>0</v>
      </c>
      <c r="L238" s="364">
        <f t="shared" si="50"/>
        <v>2</v>
      </c>
      <c r="M238" s="267">
        <v>39862</v>
      </c>
      <c r="N238" s="166">
        <f t="shared" si="43"/>
        <v>2</v>
      </c>
      <c r="O238" s="167">
        <f t="shared" ca="1" si="44"/>
        <v>1</v>
      </c>
      <c r="P238" s="168">
        <f t="shared" si="45"/>
        <v>1</v>
      </c>
      <c r="Q238" s="169" t="b">
        <f t="shared" si="52"/>
        <v>0</v>
      </c>
      <c r="R238" s="170" t="b">
        <f t="shared" ca="1" si="46"/>
        <v>1</v>
      </c>
      <c r="S238" s="166"/>
      <c r="T238" s="166"/>
      <c r="U238" s="171">
        <f t="shared" ca="1" si="47"/>
        <v>0.29166666666666669</v>
      </c>
      <c r="V238" s="172"/>
      <c r="W238" s="173">
        <f t="shared" si="48"/>
        <v>0</v>
      </c>
      <c r="X238" s="174"/>
      <c r="Y238" s="174"/>
      <c r="Z238" s="174"/>
      <c r="AA238" s="117"/>
    </row>
    <row r="239" spans="1:27" ht="13.5" thickBot="1">
      <c r="A239" s="417"/>
      <c r="B239" s="411"/>
      <c r="C239" s="261">
        <f t="shared" si="53"/>
        <v>39863</v>
      </c>
      <c r="D239" s="161"/>
      <c r="E239" s="162"/>
      <c r="F239" s="163"/>
      <c r="G239" s="164">
        <f t="shared" si="49"/>
        <v>0</v>
      </c>
      <c r="H239" s="147"/>
      <c r="I239" s="165"/>
      <c r="J239" s="149" t="str">
        <f t="shared" ca="1" si="42"/>
        <v/>
      </c>
      <c r="K239" s="150" t="b">
        <f t="shared" ca="1" si="51"/>
        <v>0</v>
      </c>
      <c r="L239" s="364">
        <f t="shared" si="50"/>
        <v>2</v>
      </c>
      <c r="M239" s="267">
        <v>39863</v>
      </c>
      <c r="N239" s="166">
        <f t="shared" si="43"/>
        <v>3</v>
      </c>
      <c r="O239" s="167">
        <f t="shared" ca="1" si="44"/>
        <v>1</v>
      </c>
      <c r="P239" s="168">
        <f t="shared" si="45"/>
        <v>1</v>
      </c>
      <c r="Q239" s="169" t="b">
        <f t="shared" si="52"/>
        <v>0</v>
      </c>
      <c r="R239" s="170" t="b">
        <f t="shared" ca="1" si="46"/>
        <v>1</v>
      </c>
      <c r="S239" s="166"/>
      <c r="T239" s="166"/>
      <c r="U239" s="171">
        <f t="shared" ca="1" si="47"/>
        <v>0.29166666666666669</v>
      </c>
      <c r="V239" s="172"/>
      <c r="W239" s="173">
        <f t="shared" si="48"/>
        <v>0</v>
      </c>
      <c r="X239" s="174"/>
      <c r="Y239" s="174"/>
      <c r="Z239" s="174"/>
      <c r="AA239" s="117"/>
    </row>
    <row r="240" spans="1:27" ht="13.5" thickBot="1">
      <c r="A240" s="417"/>
      <c r="B240" s="411"/>
      <c r="C240" s="261">
        <f t="shared" si="53"/>
        <v>39864</v>
      </c>
      <c r="D240" s="161"/>
      <c r="E240" s="162"/>
      <c r="F240" s="163"/>
      <c r="G240" s="164">
        <f t="shared" si="49"/>
        <v>0</v>
      </c>
      <c r="H240" s="147"/>
      <c r="I240" s="165"/>
      <c r="J240" s="149" t="str">
        <f t="shared" ca="1" si="42"/>
        <v/>
      </c>
      <c r="K240" s="150" t="b">
        <f t="shared" ca="1" si="51"/>
        <v>0</v>
      </c>
      <c r="L240" s="364">
        <f t="shared" si="50"/>
        <v>2</v>
      </c>
      <c r="M240" s="267">
        <v>39864</v>
      </c>
      <c r="N240" s="166">
        <f t="shared" si="43"/>
        <v>4</v>
      </c>
      <c r="O240" s="167">
        <f t="shared" ca="1" si="44"/>
        <v>1</v>
      </c>
      <c r="P240" s="168">
        <f t="shared" si="45"/>
        <v>1</v>
      </c>
      <c r="Q240" s="169" t="b">
        <f t="shared" si="52"/>
        <v>0</v>
      </c>
      <c r="R240" s="170" t="b">
        <f t="shared" ca="1" si="46"/>
        <v>1</v>
      </c>
      <c r="S240" s="166"/>
      <c r="T240" s="166"/>
      <c r="U240" s="171">
        <f t="shared" ca="1" si="47"/>
        <v>0.29166666666666669</v>
      </c>
      <c r="V240" s="172"/>
      <c r="W240" s="173">
        <f t="shared" si="48"/>
        <v>0</v>
      </c>
      <c r="X240" s="174"/>
      <c r="Y240" s="174"/>
      <c r="Z240" s="174"/>
      <c r="AA240" s="117"/>
    </row>
    <row r="241" spans="1:27" ht="13.5" thickBot="1">
      <c r="A241" s="417"/>
      <c r="B241" s="411"/>
      <c r="C241" s="262">
        <f t="shared" si="53"/>
        <v>39865</v>
      </c>
      <c r="D241" s="175"/>
      <c r="E241" s="176"/>
      <c r="F241" s="177"/>
      <c r="G241" s="178">
        <f t="shared" si="49"/>
        <v>0</v>
      </c>
      <c r="H241" s="279"/>
      <c r="I241" s="179"/>
      <c r="J241" s="180" t="str">
        <f t="shared" ca="1" si="42"/>
        <v/>
      </c>
      <c r="K241" s="181" t="b">
        <f t="shared" ca="1" si="51"/>
        <v>0</v>
      </c>
      <c r="L241" s="365">
        <f t="shared" si="50"/>
        <v>2</v>
      </c>
      <c r="M241" s="271">
        <v>39865</v>
      </c>
      <c r="N241" s="182">
        <f t="shared" si="43"/>
        <v>5</v>
      </c>
      <c r="O241" s="183">
        <f t="shared" ca="1" si="44"/>
        <v>1</v>
      </c>
      <c r="P241" s="184">
        <f t="shared" si="45"/>
        <v>1</v>
      </c>
      <c r="Q241" s="185" t="b">
        <f t="shared" si="52"/>
        <v>0</v>
      </c>
      <c r="R241" s="186" t="b">
        <f t="shared" ca="1" si="46"/>
        <v>1</v>
      </c>
      <c r="S241" s="182"/>
      <c r="T241" s="182"/>
      <c r="U241" s="187"/>
      <c r="V241" s="172"/>
      <c r="W241" s="188">
        <f t="shared" si="48"/>
        <v>0</v>
      </c>
      <c r="X241" s="174"/>
      <c r="Y241" s="174"/>
      <c r="Z241" s="174"/>
      <c r="AA241" s="117"/>
    </row>
    <row r="242" spans="1:27" ht="13.5" thickBot="1">
      <c r="A242" s="418"/>
      <c r="B242" s="412"/>
      <c r="C242" s="263">
        <f t="shared" si="53"/>
        <v>39866</v>
      </c>
      <c r="D242" s="189"/>
      <c r="E242" s="190"/>
      <c r="F242" s="191"/>
      <c r="G242" s="192">
        <f t="shared" si="49"/>
        <v>0</v>
      </c>
      <c r="H242" s="280"/>
      <c r="I242" s="193"/>
      <c r="J242" s="194" t="str">
        <f t="shared" ca="1" si="42"/>
        <v/>
      </c>
      <c r="K242" s="195" t="b">
        <f t="shared" ca="1" si="51"/>
        <v>0</v>
      </c>
      <c r="L242" s="366">
        <f t="shared" si="50"/>
        <v>2</v>
      </c>
      <c r="M242" s="272">
        <v>39866</v>
      </c>
      <c r="N242" s="196">
        <f t="shared" si="43"/>
        <v>6</v>
      </c>
      <c r="O242" s="197">
        <f t="shared" ca="1" si="44"/>
        <v>0</v>
      </c>
      <c r="P242" s="198">
        <f t="shared" si="45"/>
        <v>0</v>
      </c>
      <c r="Q242" s="199" t="b">
        <f t="shared" si="52"/>
        <v>0</v>
      </c>
      <c r="R242" s="200" t="b">
        <f t="shared" ca="1" si="46"/>
        <v>1</v>
      </c>
      <c r="S242" s="196" t="b">
        <f>AND(R242,R236)</f>
        <v>1</v>
      </c>
      <c r="T242" s="196" t="b">
        <f>OR(R242,R236)</f>
        <v>1</v>
      </c>
      <c r="U242" s="201"/>
      <c r="V242" s="202">
        <f ca="1">IF(Sem_entame,SUM(U236:U242),"")</f>
        <v>1.4583333333333335</v>
      </c>
      <c r="W242" s="203">
        <f t="shared" si="48"/>
        <v>0</v>
      </c>
      <c r="X242" s="204">
        <f ca="1">SUM(W236:W242)</f>
        <v>0</v>
      </c>
      <c r="Y242" s="204">
        <f ca="1">IF(Sem_entame,X242-V242,"")</f>
        <v>-1.4583333333333335</v>
      </c>
      <c r="Z242" s="204">
        <f ca="1">IF(Sem_entame,Y242+IF(ISNUMBER(Z235),Z235,0),"")</f>
        <v>-45.937500000000014</v>
      </c>
      <c r="AA242" s="117"/>
    </row>
    <row r="243" spans="1:27" ht="12.75" customHeight="1" thickBot="1">
      <c r="A243" s="416">
        <f>A236+1</f>
        <v>35</v>
      </c>
      <c r="B243" s="411" t="str">
        <f>IF(L243&lt;&gt;L249,TEXT(C249,"mmm"&amp;"-"),"")&amp;TEXT(C243,"mmm")</f>
        <v>mars-févr</v>
      </c>
      <c r="C243" s="260">
        <f t="shared" si="53"/>
        <v>39867</v>
      </c>
      <c r="D243" s="144"/>
      <c r="E243" s="145"/>
      <c r="F243" s="146"/>
      <c r="G243" s="147">
        <f t="shared" si="49"/>
        <v>0</v>
      </c>
      <c r="H243" s="147"/>
      <c r="I243" s="148"/>
      <c r="J243" s="207" t="str">
        <f t="shared" ca="1" si="42"/>
        <v/>
      </c>
      <c r="K243" s="150" t="b">
        <f t="shared" ca="1" si="51"/>
        <v>0</v>
      </c>
      <c r="L243" s="362">
        <f t="shared" si="50"/>
        <v>2</v>
      </c>
      <c r="M243" s="266">
        <v>39867</v>
      </c>
      <c r="N243" s="151">
        <f t="shared" si="43"/>
        <v>7</v>
      </c>
      <c r="O243" s="152">
        <f t="shared" ca="1" si="44"/>
        <v>0</v>
      </c>
      <c r="P243" s="153">
        <f t="shared" si="45"/>
        <v>0</v>
      </c>
      <c r="Q243" s="154" t="b">
        <f t="shared" si="52"/>
        <v>0</v>
      </c>
      <c r="R243" s="155" t="b">
        <f t="shared" ca="1" si="46"/>
        <v>1</v>
      </c>
      <c r="S243" s="156"/>
      <c r="T243" s="156"/>
      <c r="U243" s="157">
        <f t="shared" ca="1" si="47"/>
        <v>0.29166666666666669</v>
      </c>
      <c r="V243" s="158"/>
      <c r="W243" s="159">
        <f t="shared" si="48"/>
        <v>0</v>
      </c>
      <c r="X243" s="160"/>
      <c r="Y243" s="160"/>
      <c r="Z243" s="160"/>
      <c r="AA243" s="117"/>
    </row>
    <row r="244" spans="1:27" ht="13.5" thickBot="1">
      <c r="A244" s="417"/>
      <c r="B244" s="411"/>
      <c r="C244" s="261">
        <f t="shared" si="53"/>
        <v>39868</v>
      </c>
      <c r="D244" s="161"/>
      <c r="E244" s="162"/>
      <c r="F244" s="163"/>
      <c r="G244" s="164">
        <f t="shared" si="49"/>
        <v>0</v>
      </c>
      <c r="H244" s="147"/>
      <c r="I244" s="165"/>
      <c r="J244" s="149" t="str">
        <f t="shared" ca="1" si="42"/>
        <v/>
      </c>
      <c r="K244" s="150" t="b">
        <f t="shared" ca="1" si="51"/>
        <v>0</v>
      </c>
      <c r="L244" s="364">
        <f t="shared" si="50"/>
        <v>2</v>
      </c>
      <c r="M244" s="267">
        <v>39868</v>
      </c>
      <c r="N244" s="166">
        <f t="shared" si="43"/>
        <v>1</v>
      </c>
      <c r="O244" s="167">
        <f t="shared" ca="1" si="44"/>
        <v>1</v>
      </c>
      <c r="P244" s="168">
        <f t="shared" si="45"/>
        <v>1</v>
      </c>
      <c r="Q244" s="169" t="b">
        <f t="shared" si="52"/>
        <v>0</v>
      </c>
      <c r="R244" s="170" t="b">
        <f t="shared" ca="1" si="46"/>
        <v>1</v>
      </c>
      <c r="S244" s="166"/>
      <c r="T244" s="166"/>
      <c r="U244" s="171">
        <f t="shared" ca="1" si="47"/>
        <v>0.29166666666666669</v>
      </c>
      <c r="V244" s="172"/>
      <c r="W244" s="173">
        <f t="shared" si="48"/>
        <v>0</v>
      </c>
      <c r="X244" s="174"/>
      <c r="Y244" s="174"/>
      <c r="Z244" s="174"/>
      <c r="AA244" s="117"/>
    </row>
    <row r="245" spans="1:27" ht="13.5" thickBot="1">
      <c r="A245" s="417"/>
      <c r="B245" s="411"/>
      <c r="C245" s="261">
        <f t="shared" si="53"/>
        <v>39869</v>
      </c>
      <c r="D245" s="161"/>
      <c r="E245" s="162"/>
      <c r="F245" s="163"/>
      <c r="G245" s="164">
        <f t="shared" si="49"/>
        <v>0</v>
      </c>
      <c r="H245" s="147"/>
      <c r="I245" s="165"/>
      <c r="J245" s="149" t="str">
        <f t="shared" ca="1" si="42"/>
        <v/>
      </c>
      <c r="K245" s="150" t="b">
        <f t="shared" ca="1" si="51"/>
        <v>0</v>
      </c>
      <c r="L245" s="364">
        <f t="shared" si="50"/>
        <v>2</v>
      </c>
      <c r="M245" s="267">
        <v>39869</v>
      </c>
      <c r="N245" s="166">
        <f t="shared" si="43"/>
        <v>2</v>
      </c>
      <c r="O245" s="167">
        <f t="shared" ca="1" si="44"/>
        <v>1</v>
      </c>
      <c r="P245" s="168">
        <f t="shared" si="45"/>
        <v>1</v>
      </c>
      <c r="Q245" s="169" t="b">
        <f t="shared" si="52"/>
        <v>0</v>
      </c>
      <c r="R245" s="170" t="b">
        <f t="shared" ca="1" si="46"/>
        <v>1</v>
      </c>
      <c r="S245" s="166"/>
      <c r="T245" s="166"/>
      <c r="U245" s="171">
        <f t="shared" ca="1" si="47"/>
        <v>0.29166666666666669</v>
      </c>
      <c r="V245" s="172"/>
      <c r="W245" s="173">
        <f t="shared" si="48"/>
        <v>0</v>
      </c>
      <c r="X245" s="174"/>
      <c r="Y245" s="174"/>
      <c r="Z245" s="174"/>
      <c r="AA245" s="117"/>
    </row>
    <row r="246" spans="1:27" ht="13.5" thickBot="1">
      <c r="A246" s="417"/>
      <c r="B246" s="411"/>
      <c r="C246" s="261">
        <f t="shared" si="53"/>
        <v>39870</v>
      </c>
      <c r="D246" s="161"/>
      <c r="E246" s="162"/>
      <c r="F246" s="163"/>
      <c r="G246" s="164">
        <f t="shared" si="49"/>
        <v>0</v>
      </c>
      <c r="H246" s="147"/>
      <c r="I246" s="165"/>
      <c r="J246" s="149" t="str">
        <f t="shared" ca="1" si="42"/>
        <v/>
      </c>
      <c r="K246" s="150" t="b">
        <f t="shared" ca="1" si="51"/>
        <v>0</v>
      </c>
      <c r="L246" s="364">
        <f t="shared" si="50"/>
        <v>2</v>
      </c>
      <c r="M246" s="267">
        <v>39870</v>
      </c>
      <c r="N246" s="166">
        <f t="shared" si="43"/>
        <v>3</v>
      </c>
      <c r="O246" s="167">
        <f t="shared" ca="1" si="44"/>
        <v>1</v>
      </c>
      <c r="P246" s="168">
        <f t="shared" si="45"/>
        <v>1</v>
      </c>
      <c r="Q246" s="169" t="b">
        <f t="shared" si="52"/>
        <v>0</v>
      </c>
      <c r="R246" s="170" t="b">
        <f t="shared" ca="1" si="46"/>
        <v>1</v>
      </c>
      <c r="S246" s="166"/>
      <c r="T246" s="166"/>
      <c r="U246" s="171">
        <f t="shared" ca="1" si="47"/>
        <v>0.29166666666666669</v>
      </c>
      <c r="V246" s="172"/>
      <c r="W246" s="173">
        <f t="shared" si="48"/>
        <v>0</v>
      </c>
      <c r="X246" s="174"/>
      <c r="Y246" s="174"/>
      <c r="Z246" s="174"/>
      <c r="AA246" s="117"/>
    </row>
    <row r="247" spans="1:27" ht="13.5" thickBot="1">
      <c r="A247" s="417"/>
      <c r="B247" s="411"/>
      <c r="C247" s="261">
        <f t="shared" si="53"/>
        <v>39871</v>
      </c>
      <c r="D247" s="161"/>
      <c r="E247" s="162"/>
      <c r="F247" s="163"/>
      <c r="G247" s="164">
        <f t="shared" si="49"/>
        <v>0</v>
      </c>
      <c r="H247" s="147"/>
      <c r="I247" s="165"/>
      <c r="J247" s="149" t="str">
        <f t="shared" ca="1" si="42"/>
        <v/>
      </c>
      <c r="K247" s="150" t="b">
        <f t="shared" ca="1" si="51"/>
        <v>0</v>
      </c>
      <c r="L247" s="364">
        <f t="shared" si="50"/>
        <v>2</v>
      </c>
      <c r="M247" s="267">
        <v>39871</v>
      </c>
      <c r="N247" s="166">
        <f t="shared" si="43"/>
        <v>4</v>
      </c>
      <c r="O247" s="167">
        <f t="shared" ca="1" si="44"/>
        <v>1</v>
      </c>
      <c r="P247" s="168">
        <f t="shared" si="45"/>
        <v>1</v>
      </c>
      <c r="Q247" s="169" t="b">
        <f t="shared" si="52"/>
        <v>0</v>
      </c>
      <c r="R247" s="170" t="b">
        <f t="shared" ca="1" si="46"/>
        <v>1</v>
      </c>
      <c r="S247" s="166"/>
      <c r="T247" s="166"/>
      <c r="U247" s="171">
        <f t="shared" ca="1" si="47"/>
        <v>0.29166666666666669</v>
      </c>
      <c r="V247" s="172"/>
      <c r="W247" s="173">
        <f t="shared" si="48"/>
        <v>0</v>
      </c>
      <c r="X247" s="174"/>
      <c r="Y247" s="174"/>
      <c r="Z247" s="174"/>
      <c r="AA247" s="117"/>
    </row>
    <row r="248" spans="1:27" ht="13.5" thickBot="1">
      <c r="A248" s="417"/>
      <c r="B248" s="411"/>
      <c r="C248" s="262">
        <f t="shared" si="53"/>
        <v>39872</v>
      </c>
      <c r="D248" s="175"/>
      <c r="E248" s="176"/>
      <c r="F248" s="177"/>
      <c r="G248" s="178">
        <f t="shared" si="49"/>
        <v>0</v>
      </c>
      <c r="H248" s="279"/>
      <c r="I248" s="179"/>
      <c r="J248" s="180" t="str">
        <f t="shared" ca="1" si="42"/>
        <v/>
      </c>
      <c r="K248" s="181" t="b">
        <f t="shared" ca="1" si="51"/>
        <v>0</v>
      </c>
      <c r="L248" s="365">
        <f t="shared" si="50"/>
        <v>3</v>
      </c>
      <c r="M248" s="271">
        <v>39872</v>
      </c>
      <c r="N248" s="182">
        <f t="shared" si="43"/>
        <v>5</v>
      </c>
      <c r="O248" s="183">
        <f t="shared" ca="1" si="44"/>
        <v>1</v>
      </c>
      <c r="P248" s="184">
        <f t="shared" si="45"/>
        <v>1</v>
      </c>
      <c r="Q248" s="185" t="b">
        <f t="shared" si="52"/>
        <v>0</v>
      </c>
      <c r="R248" s="186" t="b">
        <f t="shared" ca="1" si="46"/>
        <v>1</v>
      </c>
      <c r="S248" s="182"/>
      <c r="T248" s="182"/>
      <c r="U248" s="187"/>
      <c r="V248" s="172"/>
      <c r="W248" s="188">
        <f t="shared" si="48"/>
        <v>0</v>
      </c>
      <c r="X248" s="174"/>
      <c r="Y248" s="174"/>
      <c r="Z248" s="174"/>
      <c r="AA248" s="117"/>
    </row>
    <row r="249" spans="1:27" ht="13.5" thickBot="1">
      <c r="A249" s="418"/>
      <c r="B249" s="412"/>
      <c r="C249" s="263">
        <f t="shared" si="53"/>
        <v>39873</v>
      </c>
      <c r="D249" s="189"/>
      <c r="E249" s="190"/>
      <c r="F249" s="191"/>
      <c r="G249" s="192">
        <f t="shared" si="49"/>
        <v>0</v>
      </c>
      <c r="H249" s="280"/>
      <c r="I249" s="193"/>
      <c r="J249" s="194" t="str">
        <f t="shared" ca="1" si="42"/>
        <v/>
      </c>
      <c r="K249" s="195" t="b">
        <f t="shared" ca="1" si="51"/>
        <v>0</v>
      </c>
      <c r="L249" s="366">
        <f t="shared" si="50"/>
        <v>3</v>
      </c>
      <c r="M249" s="272">
        <v>39873</v>
      </c>
      <c r="N249" s="196">
        <f t="shared" si="43"/>
        <v>6</v>
      </c>
      <c r="O249" s="197">
        <f t="shared" ca="1" si="44"/>
        <v>0</v>
      </c>
      <c r="P249" s="198">
        <f t="shared" si="45"/>
        <v>0</v>
      </c>
      <c r="Q249" s="199" t="b">
        <f t="shared" si="52"/>
        <v>0</v>
      </c>
      <c r="R249" s="200" t="b">
        <f t="shared" ca="1" si="46"/>
        <v>1</v>
      </c>
      <c r="S249" s="196" t="b">
        <f>AND(R249,R243)</f>
        <v>1</v>
      </c>
      <c r="T249" s="196" t="b">
        <f>OR(R249,R243)</f>
        <v>1</v>
      </c>
      <c r="U249" s="201"/>
      <c r="V249" s="202">
        <f ca="1">IF(Sem_entame,SUM(U243:U249),"")</f>
        <v>1.4583333333333335</v>
      </c>
      <c r="W249" s="203">
        <f t="shared" si="48"/>
        <v>0</v>
      </c>
      <c r="X249" s="204">
        <f ca="1">SUM(W243:W249)</f>
        <v>0</v>
      </c>
      <c r="Y249" s="204">
        <f ca="1">IF(Sem_entame,X249-V249,"")</f>
        <v>-1.4583333333333335</v>
      </c>
      <c r="Z249" s="204">
        <f ca="1">IF(Sem_entame,Y249+IF(ISNUMBER(Z242),Z242,0),"")</f>
        <v>-47.39583333333335</v>
      </c>
      <c r="AA249" s="117"/>
    </row>
    <row r="250" spans="1:27" ht="12.75" customHeight="1" thickBot="1">
      <c r="A250" s="416">
        <f>A243+1</f>
        <v>36</v>
      </c>
      <c r="B250" s="411" t="str">
        <f>IF(L250&lt;&gt;L256,TEXT(C256,"mmm"&amp;"-"),"")&amp;TEXT(C250,"mmm")</f>
        <v>mars</v>
      </c>
      <c r="C250" s="260">
        <f t="shared" si="53"/>
        <v>39874</v>
      </c>
      <c r="D250" s="144"/>
      <c r="E250" s="145"/>
      <c r="F250" s="146"/>
      <c r="G250" s="147">
        <f t="shared" si="49"/>
        <v>0</v>
      </c>
      <c r="H250" s="147"/>
      <c r="I250" s="148"/>
      <c r="J250" s="207" t="str">
        <f t="shared" ca="1" si="42"/>
        <v/>
      </c>
      <c r="K250" s="150" t="b">
        <f t="shared" ca="1" si="51"/>
        <v>0</v>
      </c>
      <c r="L250" s="362">
        <f t="shared" si="50"/>
        <v>3</v>
      </c>
      <c r="M250" s="266">
        <v>39874</v>
      </c>
      <c r="N250" s="151">
        <f t="shared" si="43"/>
        <v>7</v>
      </c>
      <c r="O250" s="152">
        <f t="shared" ca="1" si="44"/>
        <v>0</v>
      </c>
      <c r="P250" s="153">
        <f t="shared" si="45"/>
        <v>0</v>
      </c>
      <c r="Q250" s="154" t="b">
        <f t="shared" si="52"/>
        <v>0</v>
      </c>
      <c r="R250" s="155" t="b">
        <f t="shared" ca="1" si="46"/>
        <v>1</v>
      </c>
      <c r="S250" s="156"/>
      <c r="T250" s="156"/>
      <c r="U250" s="157">
        <f t="shared" ca="1" si="47"/>
        <v>0.29166666666666669</v>
      </c>
      <c r="V250" s="158"/>
      <c r="W250" s="159">
        <f t="shared" si="48"/>
        <v>0</v>
      </c>
      <c r="X250" s="160"/>
      <c r="Y250" s="160"/>
      <c r="Z250" s="160"/>
      <c r="AA250" s="117"/>
    </row>
    <row r="251" spans="1:27" ht="13.5" thickBot="1">
      <c r="A251" s="417"/>
      <c r="B251" s="411"/>
      <c r="C251" s="261">
        <f t="shared" si="53"/>
        <v>39875</v>
      </c>
      <c r="D251" s="161"/>
      <c r="E251" s="162"/>
      <c r="F251" s="163"/>
      <c r="G251" s="164">
        <f t="shared" si="49"/>
        <v>0</v>
      </c>
      <c r="H251" s="147"/>
      <c r="I251" s="165"/>
      <c r="J251" s="149" t="str">
        <f t="shared" ca="1" si="42"/>
        <v/>
      </c>
      <c r="K251" s="150" t="b">
        <f t="shared" ca="1" si="51"/>
        <v>0</v>
      </c>
      <c r="L251" s="364">
        <f t="shared" si="50"/>
        <v>3</v>
      </c>
      <c r="M251" s="267">
        <v>39875</v>
      </c>
      <c r="N251" s="166">
        <f t="shared" si="43"/>
        <v>1</v>
      </c>
      <c r="O251" s="167">
        <f t="shared" ca="1" si="44"/>
        <v>1</v>
      </c>
      <c r="P251" s="168">
        <f t="shared" si="45"/>
        <v>1</v>
      </c>
      <c r="Q251" s="169" t="b">
        <f t="shared" si="52"/>
        <v>0</v>
      </c>
      <c r="R251" s="170" t="b">
        <f t="shared" ca="1" si="46"/>
        <v>1</v>
      </c>
      <c r="S251" s="166"/>
      <c r="T251" s="166"/>
      <c r="U251" s="171">
        <f t="shared" ca="1" si="47"/>
        <v>0.29166666666666669</v>
      </c>
      <c r="V251" s="172"/>
      <c r="W251" s="173">
        <f t="shared" si="48"/>
        <v>0</v>
      </c>
      <c r="X251" s="174"/>
      <c r="Y251" s="174"/>
      <c r="Z251" s="174"/>
      <c r="AA251" s="117"/>
    </row>
    <row r="252" spans="1:27" ht="13.5" thickBot="1">
      <c r="A252" s="417"/>
      <c r="B252" s="411"/>
      <c r="C252" s="261">
        <f t="shared" si="53"/>
        <v>39876</v>
      </c>
      <c r="D252" s="161"/>
      <c r="E252" s="162"/>
      <c r="F252" s="163"/>
      <c r="G252" s="164">
        <f t="shared" si="49"/>
        <v>0</v>
      </c>
      <c r="H252" s="147"/>
      <c r="I252" s="165"/>
      <c r="J252" s="149" t="str">
        <f t="shared" ca="1" si="42"/>
        <v/>
      </c>
      <c r="K252" s="150" t="b">
        <f t="shared" ca="1" si="51"/>
        <v>0</v>
      </c>
      <c r="L252" s="364">
        <f t="shared" si="50"/>
        <v>3</v>
      </c>
      <c r="M252" s="267">
        <v>39876</v>
      </c>
      <c r="N252" s="166">
        <f t="shared" si="43"/>
        <v>2</v>
      </c>
      <c r="O252" s="167">
        <f t="shared" ca="1" si="44"/>
        <v>1</v>
      </c>
      <c r="P252" s="168">
        <f t="shared" si="45"/>
        <v>1</v>
      </c>
      <c r="Q252" s="169" t="b">
        <f t="shared" si="52"/>
        <v>0</v>
      </c>
      <c r="R252" s="170" t="b">
        <f t="shared" ca="1" si="46"/>
        <v>1</v>
      </c>
      <c r="S252" s="166"/>
      <c r="T252" s="166"/>
      <c r="U252" s="171">
        <f t="shared" ca="1" si="47"/>
        <v>0.29166666666666669</v>
      </c>
      <c r="V252" s="172"/>
      <c r="W252" s="173">
        <f t="shared" si="48"/>
        <v>0</v>
      </c>
      <c r="X252" s="174"/>
      <c r="Y252" s="174"/>
      <c r="Z252" s="174"/>
      <c r="AA252" s="117"/>
    </row>
    <row r="253" spans="1:27" ht="13.5" thickBot="1">
      <c r="A253" s="417"/>
      <c r="B253" s="411"/>
      <c r="C253" s="261">
        <f t="shared" si="53"/>
        <v>39877</v>
      </c>
      <c r="D253" s="161"/>
      <c r="E253" s="162"/>
      <c r="F253" s="163"/>
      <c r="G253" s="164">
        <f t="shared" si="49"/>
        <v>0</v>
      </c>
      <c r="H253" s="147"/>
      <c r="I253" s="165"/>
      <c r="J253" s="149" t="str">
        <f t="shared" ca="1" si="42"/>
        <v/>
      </c>
      <c r="K253" s="150" t="b">
        <f t="shared" ca="1" si="51"/>
        <v>0</v>
      </c>
      <c r="L253" s="364">
        <f t="shared" si="50"/>
        <v>3</v>
      </c>
      <c r="M253" s="267">
        <v>39877</v>
      </c>
      <c r="N253" s="166">
        <f t="shared" si="43"/>
        <v>3</v>
      </c>
      <c r="O253" s="167">
        <f t="shared" ca="1" si="44"/>
        <v>1</v>
      </c>
      <c r="P253" s="168">
        <f t="shared" si="45"/>
        <v>1</v>
      </c>
      <c r="Q253" s="169" t="b">
        <f t="shared" si="52"/>
        <v>0</v>
      </c>
      <c r="R253" s="170" t="b">
        <f t="shared" ca="1" si="46"/>
        <v>1</v>
      </c>
      <c r="S253" s="166"/>
      <c r="T253" s="166"/>
      <c r="U253" s="171">
        <f t="shared" ca="1" si="47"/>
        <v>0.29166666666666669</v>
      </c>
      <c r="V253" s="172"/>
      <c r="W253" s="173">
        <f t="shared" si="48"/>
        <v>0</v>
      </c>
      <c r="X253" s="174"/>
      <c r="Y253" s="174"/>
      <c r="Z253" s="174"/>
      <c r="AA253" s="117"/>
    </row>
    <row r="254" spans="1:27" ht="13.5" thickBot="1">
      <c r="A254" s="417"/>
      <c r="B254" s="411"/>
      <c r="C254" s="261">
        <f t="shared" si="53"/>
        <v>39878</v>
      </c>
      <c r="D254" s="161"/>
      <c r="E254" s="162"/>
      <c r="F254" s="163"/>
      <c r="G254" s="164">
        <f t="shared" si="49"/>
        <v>0</v>
      </c>
      <c r="H254" s="147"/>
      <c r="I254" s="165"/>
      <c r="J254" s="149" t="str">
        <f t="shared" ca="1" si="42"/>
        <v/>
      </c>
      <c r="K254" s="150" t="b">
        <f t="shared" ca="1" si="51"/>
        <v>0</v>
      </c>
      <c r="L254" s="364">
        <f t="shared" si="50"/>
        <v>3</v>
      </c>
      <c r="M254" s="267">
        <v>39878</v>
      </c>
      <c r="N254" s="166">
        <f t="shared" si="43"/>
        <v>4</v>
      </c>
      <c r="O254" s="167">
        <f t="shared" ca="1" si="44"/>
        <v>1</v>
      </c>
      <c r="P254" s="168">
        <f t="shared" si="45"/>
        <v>1</v>
      </c>
      <c r="Q254" s="169" t="b">
        <f t="shared" si="52"/>
        <v>0</v>
      </c>
      <c r="R254" s="170" t="b">
        <f t="shared" ca="1" si="46"/>
        <v>1</v>
      </c>
      <c r="S254" s="166"/>
      <c r="T254" s="166"/>
      <c r="U254" s="171">
        <f t="shared" ca="1" si="47"/>
        <v>0.29166666666666669</v>
      </c>
      <c r="V254" s="172"/>
      <c r="W254" s="173">
        <f t="shared" si="48"/>
        <v>0</v>
      </c>
      <c r="X254" s="174"/>
      <c r="Y254" s="174"/>
      <c r="Z254" s="174"/>
      <c r="AA254" s="117"/>
    </row>
    <row r="255" spans="1:27" ht="13.5" thickBot="1">
      <c r="A255" s="417"/>
      <c r="B255" s="411"/>
      <c r="C255" s="262">
        <f t="shared" si="53"/>
        <v>39879</v>
      </c>
      <c r="D255" s="175"/>
      <c r="E255" s="176"/>
      <c r="F255" s="177"/>
      <c r="G255" s="178">
        <f t="shared" si="49"/>
        <v>0</v>
      </c>
      <c r="H255" s="279"/>
      <c r="I255" s="179"/>
      <c r="J255" s="180" t="str">
        <f t="shared" ca="1" si="42"/>
        <v/>
      </c>
      <c r="K255" s="181" t="b">
        <f t="shared" ca="1" si="51"/>
        <v>0</v>
      </c>
      <c r="L255" s="365">
        <f t="shared" si="50"/>
        <v>3</v>
      </c>
      <c r="M255" s="271">
        <v>39879</v>
      </c>
      <c r="N255" s="182">
        <f t="shared" si="43"/>
        <v>5</v>
      </c>
      <c r="O255" s="183">
        <f t="shared" ca="1" si="44"/>
        <v>1</v>
      </c>
      <c r="P255" s="184">
        <f t="shared" si="45"/>
        <v>1</v>
      </c>
      <c r="Q255" s="185" t="b">
        <f t="shared" si="52"/>
        <v>0</v>
      </c>
      <c r="R255" s="186" t="b">
        <f t="shared" ca="1" si="46"/>
        <v>1</v>
      </c>
      <c r="S255" s="182"/>
      <c r="T255" s="182"/>
      <c r="U255" s="187"/>
      <c r="V255" s="172"/>
      <c r="W255" s="188">
        <f t="shared" si="48"/>
        <v>0</v>
      </c>
      <c r="X255" s="174"/>
      <c r="Y255" s="174"/>
      <c r="Z255" s="174"/>
      <c r="AA255" s="117"/>
    </row>
    <row r="256" spans="1:27" ht="13.5" thickBot="1">
      <c r="A256" s="418"/>
      <c r="B256" s="412"/>
      <c r="C256" s="263">
        <f t="shared" si="53"/>
        <v>39880</v>
      </c>
      <c r="D256" s="189"/>
      <c r="E256" s="190"/>
      <c r="F256" s="191"/>
      <c r="G256" s="192">
        <f t="shared" si="49"/>
        <v>0</v>
      </c>
      <c r="H256" s="280"/>
      <c r="I256" s="193"/>
      <c r="J256" s="194" t="str">
        <f t="shared" ca="1" si="42"/>
        <v/>
      </c>
      <c r="K256" s="195" t="b">
        <f t="shared" ca="1" si="51"/>
        <v>0</v>
      </c>
      <c r="L256" s="366">
        <f t="shared" si="50"/>
        <v>3</v>
      </c>
      <c r="M256" s="272">
        <v>39880</v>
      </c>
      <c r="N256" s="196">
        <f t="shared" si="43"/>
        <v>6</v>
      </c>
      <c r="O256" s="197">
        <f t="shared" ca="1" si="44"/>
        <v>0</v>
      </c>
      <c r="P256" s="198">
        <f t="shared" si="45"/>
        <v>0</v>
      </c>
      <c r="Q256" s="199" t="b">
        <f t="shared" si="52"/>
        <v>0</v>
      </c>
      <c r="R256" s="200" t="b">
        <f t="shared" ca="1" si="46"/>
        <v>1</v>
      </c>
      <c r="S256" s="196" t="b">
        <f>AND(R256,R250)</f>
        <v>1</v>
      </c>
      <c r="T256" s="196" t="b">
        <f>OR(R256,R250)</f>
        <v>1</v>
      </c>
      <c r="U256" s="201"/>
      <c r="V256" s="202">
        <f ca="1">IF(Sem_entame,SUM(U250:U256),"")</f>
        <v>1.4583333333333335</v>
      </c>
      <c r="W256" s="203">
        <f t="shared" si="48"/>
        <v>0</v>
      </c>
      <c r="X256" s="204">
        <f ca="1">SUM(W250:W256)</f>
        <v>0</v>
      </c>
      <c r="Y256" s="204">
        <f ca="1">IF(Sem_entame,X256-V256,"")</f>
        <v>-1.4583333333333335</v>
      </c>
      <c r="Z256" s="204">
        <f ca="1">IF(Sem_entame,Y256+IF(ISNUMBER(Z249),Z249,0),"")</f>
        <v>-48.854166666666686</v>
      </c>
      <c r="AA256" s="117"/>
    </row>
    <row r="257" spans="1:27" ht="12.75" customHeight="1" thickBot="1">
      <c r="A257" s="416">
        <f>A250+1</f>
        <v>37</v>
      </c>
      <c r="B257" s="411" t="str">
        <f>IF(L257&lt;&gt;L263,TEXT(C263,"mmm"&amp;"-"),"")&amp;TEXT(C257,"mmm")</f>
        <v>mars</v>
      </c>
      <c r="C257" s="260">
        <f t="shared" si="53"/>
        <v>39881</v>
      </c>
      <c r="D257" s="144"/>
      <c r="E257" s="145"/>
      <c r="F257" s="146"/>
      <c r="G257" s="147">
        <f t="shared" si="49"/>
        <v>0</v>
      </c>
      <c r="H257" s="147"/>
      <c r="I257" s="148"/>
      <c r="J257" s="207" t="str">
        <f t="shared" ca="1" si="42"/>
        <v/>
      </c>
      <c r="K257" s="150" t="b">
        <f t="shared" ca="1" si="51"/>
        <v>0</v>
      </c>
      <c r="L257" s="362">
        <f t="shared" si="50"/>
        <v>3</v>
      </c>
      <c r="M257" s="266">
        <v>39881</v>
      </c>
      <c r="N257" s="151">
        <f t="shared" si="43"/>
        <v>7</v>
      </c>
      <c r="O257" s="152">
        <f t="shared" ca="1" si="44"/>
        <v>0</v>
      </c>
      <c r="P257" s="153">
        <f t="shared" si="45"/>
        <v>0</v>
      </c>
      <c r="Q257" s="154" t="b">
        <f t="shared" si="52"/>
        <v>0</v>
      </c>
      <c r="R257" s="155" t="b">
        <f t="shared" ca="1" si="46"/>
        <v>1</v>
      </c>
      <c r="S257" s="156"/>
      <c r="T257" s="156"/>
      <c r="U257" s="157">
        <f t="shared" ca="1" si="47"/>
        <v>0.29166666666666669</v>
      </c>
      <c r="V257" s="158"/>
      <c r="W257" s="159">
        <f t="shared" si="48"/>
        <v>0</v>
      </c>
      <c r="X257" s="160"/>
      <c r="Y257" s="160"/>
      <c r="Z257" s="160"/>
      <c r="AA257" s="117"/>
    </row>
    <row r="258" spans="1:27" ht="13.5" thickBot="1">
      <c r="A258" s="417"/>
      <c r="B258" s="411"/>
      <c r="C258" s="261">
        <f t="shared" si="53"/>
        <v>39882</v>
      </c>
      <c r="D258" s="161"/>
      <c r="E258" s="162"/>
      <c r="F258" s="163"/>
      <c r="G258" s="164">
        <f t="shared" si="49"/>
        <v>0</v>
      </c>
      <c r="H258" s="147"/>
      <c r="I258" s="165"/>
      <c r="J258" s="149" t="str">
        <f t="shared" ca="1" si="42"/>
        <v/>
      </c>
      <c r="K258" s="150" t="b">
        <f t="shared" ca="1" si="51"/>
        <v>0</v>
      </c>
      <c r="L258" s="364">
        <f t="shared" si="50"/>
        <v>3</v>
      </c>
      <c r="M258" s="267">
        <v>39882</v>
      </c>
      <c r="N258" s="166">
        <f t="shared" si="43"/>
        <v>1</v>
      </c>
      <c r="O258" s="167">
        <f t="shared" ca="1" si="44"/>
        <v>1</v>
      </c>
      <c r="P258" s="168">
        <f t="shared" si="45"/>
        <v>1</v>
      </c>
      <c r="Q258" s="169" t="b">
        <f t="shared" si="52"/>
        <v>0</v>
      </c>
      <c r="R258" s="170" t="b">
        <f t="shared" ca="1" si="46"/>
        <v>1</v>
      </c>
      <c r="S258" s="166"/>
      <c r="T258" s="166"/>
      <c r="U258" s="171">
        <f t="shared" ca="1" si="47"/>
        <v>0.29166666666666669</v>
      </c>
      <c r="V258" s="172"/>
      <c r="W258" s="173">
        <f t="shared" si="48"/>
        <v>0</v>
      </c>
      <c r="X258" s="174"/>
      <c r="Y258" s="174"/>
      <c r="Z258" s="174"/>
      <c r="AA258" s="117"/>
    </row>
    <row r="259" spans="1:27" ht="13.5" thickBot="1">
      <c r="A259" s="417"/>
      <c r="B259" s="411"/>
      <c r="C259" s="261">
        <f t="shared" si="53"/>
        <v>39883</v>
      </c>
      <c r="D259" s="161"/>
      <c r="E259" s="162"/>
      <c r="F259" s="163"/>
      <c r="G259" s="164">
        <f t="shared" si="49"/>
        <v>0</v>
      </c>
      <c r="H259" s="147"/>
      <c r="I259" s="165"/>
      <c r="J259" s="149" t="str">
        <f t="shared" ca="1" si="42"/>
        <v/>
      </c>
      <c r="K259" s="150" t="b">
        <f t="shared" ca="1" si="51"/>
        <v>0</v>
      </c>
      <c r="L259" s="364">
        <f t="shared" si="50"/>
        <v>3</v>
      </c>
      <c r="M259" s="267">
        <v>39883</v>
      </c>
      <c r="N259" s="166">
        <f t="shared" si="43"/>
        <v>2</v>
      </c>
      <c r="O259" s="167">
        <f t="shared" ca="1" si="44"/>
        <v>1</v>
      </c>
      <c r="P259" s="168">
        <f t="shared" si="45"/>
        <v>1</v>
      </c>
      <c r="Q259" s="169" t="b">
        <f t="shared" si="52"/>
        <v>0</v>
      </c>
      <c r="R259" s="170" t="b">
        <f t="shared" ca="1" si="46"/>
        <v>1</v>
      </c>
      <c r="S259" s="166"/>
      <c r="T259" s="166"/>
      <c r="U259" s="171">
        <f t="shared" ca="1" si="47"/>
        <v>0.29166666666666669</v>
      </c>
      <c r="V259" s="172"/>
      <c r="W259" s="173">
        <f t="shared" si="48"/>
        <v>0</v>
      </c>
      <c r="X259" s="174"/>
      <c r="Y259" s="174"/>
      <c r="Z259" s="174"/>
      <c r="AA259" s="117"/>
    </row>
    <row r="260" spans="1:27" ht="13.5" thickBot="1">
      <c r="A260" s="417"/>
      <c r="B260" s="411"/>
      <c r="C260" s="261">
        <f t="shared" si="53"/>
        <v>39884</v>
      </c>
      <c r="D260" s="161"/>
      <c r="E260" s="162"/>
      <c r="F260" s="163"/>
      <c r="G260" s="164">
        <f t="shared" si="49"/>
        <v>0</v>
      </c>
      <c r="H260" s="147"/>
      <c r="I260" s="165"/>
      <c r="J260" s="149" t="str">
        <f t="shared" ca="1" si="42"/>
        <v/>
      </c>
      <c r="K260" s="150" t="b">
        <f t="shared" ca="1" si="51"/>
        <v>0</v>
      </c>
      <c r="L260" s="364">
        <f t="shared" si="50"/>
        <v>3</v>
      </c>
      <c r="M260" s="267">
        <v>39884</v>
      </c>
      <c r="N260" s="166">
        <f t="shared" si="43"/>
        <v>3</v>
      </c>
      <c r="O260" s="167">
        <f t="shared" ca="1" si="44"/>
        <v>1</v>
      </c>
      <c r="P260" s="168">
        <f t="shared" si="45"/>
        <v>1</v>
      </c>
      <c r="Q260" s="169" t="b">
        <f t="shared" si="52"/>
        <v>0</v>
      </c>
      <c r="R260" s="170" t="b">
        <f t="shared" ca="1" si="46"/>
        <v>1</v>
      </c>
      <c r="S260" s="166"/>
      <c r="T260" s="166"/>
      <c r="U260" s="171">
        <f t="shared" ca="1" si="47"/>
        <v>0.29166666666666669</v>
      </c>
      <c r="V260" s="172"/>
      <c r="W260" s="173">
        <f t="shared" si="48"/>
        <v>0</v>
      </c>
      <c r="X260" s="174"/>
      <c r="Y260" s="174"/>
      <c r="Z260" s="174"/>
      <c r="AA260" s="117"/>
    </row>
    <row r="261" spans="1:27" ht="13.5" thickBot="1">
      <c r="A261" s="417"/>
      <c r="B261" s="411"/>
      <c r="C261" s="261">
        <f t="shared" si="53"/>
        <v>39885</v>
      </c>
      <c r="D261" s="161"/>
      <c r="E261" s="162"/>
      <c r="F261" s="163"/>
      <c r="G261" s="164">
        <f t="shared" si="49"/>
        <v>0</v>
      </c>
      <c r="H261" s="147"/>
      <c r="I261" s="165"/>
      <c r="J261" s="149" t="str">
        <f t="shared" ref="J261:J324" ca="1" si="54">IF(I261&lt;&gt;"",MATCH(I261,L_Motif_Abscence,0),"")</f>
        <v/>
      </c>
      <c r="K261" s="150" t="b">
        <f t="shared" ca="1" si="51"/>
        <v>0</v>
      </c>
      <c r="L261" s="364">
        <f t="shared" si="50"/>
        <v>3</v>
      </c>
      <c r="M261" s="267">
        <v>39885</v>
      </c>
      <c r="N261" s="166">
        <f t="shared" ref="N261:N324" si="55">WEEKDAY(C261,2)</f>
        <v>4</v>
      </c>
      <c r="O261" s="167">
        <f t="shared" ref="O261:O324" ca="1" si="56">NETWORKDAYS(C261,C261,Fériés)</f>
        <v>1</v>
      </c>
      <c r="P261" s="168">
        <f t="shared" ref="P261:P324" si="57">NETWORKDAYS(C261,C261)</f>
        <v>1</v>
      </c>
      <c r="Q261" s="169" t="b">
        <f t="shared" si="52"/>
        <v>0</v>
      </c>
      <c r="R261" s="170" t="b">
        <f t="shared" ref="R261:R324" ca="1" si="58">AND(C261&gt;=Jour_Debut,C261&lt;=Jour_Fin)</f>
        <v>1</v>
      </c>
      <c r="S261" s="166"/>
      <c r="T261" s="166"/>
      <c r="U261" s="171">
        <f t="shared" ref="U261:U324" ca="1" si="59">IF(bornes,"7:00"*1,0)</f>
        <v>0.29166666666666669</v>
      </c>
      <c r="V261" s="172"/>
      <c r="W261" s="173">
        <f t="shared" ref="W261:W324" si="60">G261+K261</f>
        <v>0</v>
      </c>
      <c r="X261" s="174"/>
      <c r="Y261" s="174"/>
      <c r="Z261" s="174"/>
      <c r="AA261" s="117"/>
    </row>
    <row r="262" spans="1:27" ht="13.5" thickBot="1">
      <c r="A262" s="417"/>
      <c r="B262" s="411"/>
      <c r="C262" s="262">
        <f t="shared" si="53"/>
        <v>39886</v>
      </c>
      <c r="D262" s="175"/>
      <c r="E262" s="176"/>
      <c r="F262" s="177"/>
      <c r="G262" s="178">
        <f t="shared" ref="G262:G325" si="61">E262-D262-F262</f>
        <v>0</v>
      </c>
      <c r="H262" s="279"/>
      <c r="I262" s="179"/>
      <c r="J262" s="180" t="str">
        <f t="shared" ca="1" si="54"/>
        <v/>
      </c>
      <c r="K262" s="181" t="b">
        <f t="shared" ca="1" si="51"/>
        <v>0</v>
      </c>
      <c r="L262" s="365">
        <f t="shared" ref="L262:L325" si="62">MONTH(C262)</f>
        <v>3</v>
      </c>
      <c r="M262" s="271">
        <v>39886</v>
      </c>
      <c r="N262" s="182">
        <f t="shared" si="55"/>
        <v>5</v>
      </c>
      <c r="O262" s="183">
        <f t="shared" ca="1" si="56"/>
        <v>1</v>
      </c>
      <c r="P262" s="184">
        <f t="shared" si="57"/>
        <v>1</v>
      </c>
      <c r="Q262" s="185" t="b">
        <f t="shared" si="52"/>
        <v>0</v>
      </c>
      <c r="R262" s="186" t="b">
        <f t="shared" ca="1" si="58"/>
        <v>1</v>
      </c>
      <c r="S262" s="182"/>
      <c r="T262" s="182"/>
      <c r="U262" s="187"/>
      <c r="V262" s="172"/>
      <c r="W262" s="188">
        <f t="shared" si="60"/>
        <v>0</v>
      </c>
      <c r="X262" s="174"/>
      <c r="Y262" s="174"/>
      <c r="Z262" s="174"/>
      <c r="AA262" s="117"/>
    </row>
    <row r="263" spans="1:27" ht="13.5" thickBot="1">
      <c r="A263" s="418"/>
      <c r="B263" s="412"/>
      <c r="C263" s="263">
        <f t="shared" si="53"/>
        <v>39887</v>
      </c>
      <c r="D263" s="189"/>
      <c r="E263" s="190"/>
      <c r="F263" s="191"/>
      <c r="G263" s="192">
        <f t="shared" si="61"/>
        <v>0</v>
      </c>
      <c r="H263" s="280"/>
      <c r="I263" s="193"/>
      <c r="J263" s="194" t="str">
        <f t="shared" ca="1" si="54"/>
        <v/>
      </c>
      <c r="K263" s="195" t="b">
        <f t="shared" ca="1" si="51"/>
        <v>0</v>
      </c>
      <c r="L263" s="366">
        <f t="shared" si="62"/>
        <v>3</v>
      </c>
      <c r="M263" s="272">
        <v>39887</v>
      </c>
      <c r="N263" s="196">
        <f t="shared" si="55"/>
        <v>6</v>
      </c>
      <c r="O263" s="197">
        <f t="shared" ca="1" si="56"/>
        <v>0</v>
      </c>
      <c r="P263" s="198">
        <f t="shared" si="57"/>
        <v>0</v>
      </c>
      <c r="Q263" s="199" t="b">
        <f t="shared" si="52"/>
        <v>0</v>
      </c>
      <c r="R263" s="200" t="b">
        <f t="shared" ca="1" si="58"/>
        <v>1</v>
      </c>
      <c r="S263" s="196" t="b">
        <f>AND(R263,R257)</f>
        <v>1</v>
      </c>
      <c r="T263" s="196" t="b">
        <f>OR(R263,R257)</f>
        <v>1</v>
      </c>
      <c r="U263" s="201"/>
      <c r="V263" s="202">
        <f ca="1">IF(Sem_entame,SUM(U257:U263),"")</f>
        <v>1.4583333333333335</v>
      </c>
      <c r="W263" s="203">
        <f t="shared" si="60"/>
        <v>0</v>
      </c>
      <c r="X263" s="204">
        <f ca="1">SUM(W257:W263)</f>
        <v>0</v>
      </c>
      <c r="Y263" s="204">
        <f ca="1">IF(Sem_entame,X263-V263,"")</f>
        <v>-1.4583333333333335</v>
      </c>
      <c r="Z263" s="204">
        <f ca="1">IF(Sem_entame,Y263+IF(ISNUMBER(Z256),Z256,0),"")</f>
        <v>-50.312500000000021</v>
      </c>
      <c r="AA263" s="117"/>
    </row>
    <row r="264" spans="1:27" ht="12.75" customHeight="1" thickBot="1">
      <c r="A264" s="416">
        <f>A257+1</f>
        <v>38</v>
      </c>
      <c r="B264" s="411" t="str">
        <f>IF(L264&lt;&gt;L270,TEXT(C270,"mmm"&amp;"-"),"")&amp;TEXT(C264,"mmm")</f>
        <v>mars</v>
      </c>
      <c r="C264" s="260">
        <f t="shared" si="53"/>
        <v>39888</v>
      </c>
      <c r="D264" s="144"/>
      <c r="E264" s="145"/>
      <c r="F264" s="146"/>
      <c r="G264" s="147">
        <f t="shared" si="61"/>
        <v>0</v>
      </c>
      <c r="H264" s="147"/>
      <c r="I264" s="148"/>
      <c r="J264" s="207" t="str">
        <f t="shared" ca="1" si="54"/>
        <v/>
      </c>
      <c r="K264" s="150" t="b">
        <f t="shared" ca="1" si="51"/>
        <v>0</v>
      </c>
      <c r="L264" s="362">
        <f t="shared" si="62"/>
        <v>3</v>
      </c>
      <c r="M264" s="266">
        <v>39888</v>
      </c>
      <c r="N264" s="151">
        <f t="shared" si="55"/>
        <v>7</v>
      </c>
      <c r="O264" s="152">
        <f t="shared" ca="1" si="56"/>
        <v>0</v>
      </c>
      <c r="P264" s="153">
        <f t="shared" si="57"/>
        <v>0</v>
      </c>
      <c r="Q264" s="154" t="b">
        <f t="shared" si="52"/>
        <v>0</v>
      </c>
      <c r="R264" s="155" t="b">
        <f t="shared" ca="1" si="58"/>
        <v>1</v>
      </c>
      <c r="S264" s="156"/>
      <c r="T264" s="156"/>
      <c r="U264" s="157">
        <f t="shared" ca="1" si="59"/>
        <v>0.29166666666666669</v>
      </c>
      <c r="V264" s="158"/>
      <c r="W264" s="159">
        <f t="shared" si="60"/>
        <v>0</v>
      </c>
      <c r="X264" s="160"/>
      <c r="Y264" s="160"/>
      <c r="Z264" s="160"/>
      <c r="AA264" s="117"/>
    </row>
    <row r="265" spans="1:27" ht="13.5" thickBot="1">
      <c r="A265" s="417"/>
      <c r="B265" s="411"/>
      <c r="C265" s="261">
        <f t="shared" si="53"/>
        <v>39889</v>
      </c>
      <c r="D265" s="161"/>
      <c r="E265" s="162"/>
      <c r="F265" s="163"/>
      <c r="G265" s="164">
        <f t="shared" si="61"/>
        <v>0</v>
      </c>
      <c r="H265" s="147"/>
      <c r="I265" s="165"/>
      <c r="J265" s="149" t="str">
        <f t="shared" ca="1" si="54"/>
        <v/>
      </c>
      <c r="K265" s="150" t="b">
        <f t="shared" ca="1" si="51"/>
        <v>0</v>
      </c>
      <c r="L265" s="364">
        <f t="shared" si="62"/>
        <v>3</v>
      </c>
      <c r="M265" s="267">
        <v>39889</v>
      </c>
      <c r="N265" s="166">
        <f t="shared" si="55"/>
        <v>1</v>
      </c>
      <c r="O265" s="167">
        <f t="shared" ca="1" si="56"/>
        <v>1</v>
      </c>
      <c r="P265" s="168">
        <f t="shared" si="57"/>
        <v>1</v>
      </c>
      <c r="Q265" s="169" t="b">
        <f t="shared" si="52"/>
        <v>0</v>
      </c>
      <c r="R265" s="170" t="b">
        <f t="shared" ca="1" si="58"/>
        <v>1</v>
      </c>
      <c r="S265" s="166"/>
      <c r="T265" s="166"/>
      <c r="U265" s="171">
        <f t="shared" ca="1" si="59"/>
        <v>0.29166666666666669</v>
      </c>
      <c r="V265" s="172"/>
      <c r="W265" s="173">
        <f t="shared" si="60"/>
        <v>0</v>
      </c>
      <c r="X265" s="174"/>
      <c r="Y265" s="174"/>
      <c r="Z265" s="174"/>
      <c r="AA265" s="117"/>
    </row>
    <row r="266" spans="1:27" ht="13.5" thickBot="1">
      <c r="A266" s="417"/>
      <c r="B266" s="411"/>
      <c r="C266" s="261">
        <f t="shared" si="53"/>
        <v>39890</v>
      </c>
      <c r="D266" s="161"/>
      <c r="E266" s="162"/>
      <c r="F266" s="163"/>
      <c r="G266" s="164">
        <f t="shared" si="61"/>
        <v>0</v>
      </c>
      <c r="H266" s="147"/>
      <c r="I266" s="165"/>
      <c r="J266" s="149" t="str">
        <f t="shared" ca="1" si="54"/>
        <v/>
      </c>
      <c r="K266" s="150" t="b">
        <f t="shared" ca="1" si="51"/>
        <v>0</v>
      </c>
      <c r="L266" s="364">
        <f t="shared" si="62"/>
        <v>3</v>
      </c>
      <c r="M266" s="267">
        <v>39890</v>
      </c>
      <c r="N266" s="166">
        <f t="shared" si="55"/>
        <v>2</v>
      </c>
      <c r="O266" s="167">
        <f t="shared" ca="1" si="56"/>
        <v>1</v>
      </c>
      <c r="P266" s="168">
        <f t="shared" si="57"/>
        <v>1</v>
      </c>
      <c r="Q266" s="169" t="b">
        <f t="shared" si="52"/>
        <v>0</v>
      </c>
      <c r="R266" s="170" t="b">
        <f t="shared" ca="1" si="58"/>
        <v>1</v>
      </c>
      <c r="S266" s="166"/>
      <c r="T266" s="166"/>
      <c r="U266" s="171">
        <f t="shared" ca="1" si="59"/>
        <v>0.29166666666666669</v>
      </c>
      <c r="V266" s="172"/>
      <c r="W266" s="173">
        <f t="shared" si="60"/>
        <v>0</v>
      </c>
      <c r="X266" s="174"/>
      <c r="Y266" s="174"/>
      <c r="Z266" s="174"/>
      <c r="AA266" s="117"/>
    </row>
    <row r="267" spans="1:27" ht="13.5" thickBot="1">
      <c r="A267" s="417"/>
      <c r="B267" s="411"/>
      <c r="C267" s="261">
        <f t="shared" si="53"/>
        <v>39891</v>
      </c>
      <c r="D267" s="161"/>
      <c r="E267" s="162"/>
      <c r="F267" s="163"/>
      <c r="G267" s="164">
        <f t="shared" si="61"/>
        <v>0</v>
      </c>
      <c r="H267" s="147"/>
      <c r="I267" s="165"/>
      <c r="J267" s="149" t="str">
        <f t="shared" ca="1" si="54"/>
        <v/>
      </c>
      <c r="K267" s="150" t="b">
        <f t="shared" ca="1" si="51"/>
        <v>0</v>
      </c>
      <c r="L267" s="364">
        <f t="shared" si="62"/>
        <v>3</v>
      </c>
      <c r="M267" s="267">
        <v>39891</v>
      </c>
      <c r="N267" s="166">
        <f t="shared" si="55"/>
        <v>3</v>
      </c>
      <c r="O267" s="167">
        <f t="shared" ca="1" si="56"/>
        <v>1</v>
      </c>
      <c r="P267" s="168">
        <f t="shared" si="57"/>
        <v>1</v>
      </c>
      <c r="Q267" s="169" t="b">
        <f t="shared" si="52"/>
        <v>0</v>
      </c>
      <c r="R267" s="170" t="b">
        <f t="shared" ca="1" si="58"/>
        <v>1</v>
      </c>
      <c r="S267" s="166"/>
      <c r="T267" s="166"/>
      <c r="U267" s="171">
        <f t="shared" ca="1" si="59"/>
        <v>0.29166666666666669</v>
      </c>
      <c r="V267" s="172"/>
      <c r="W267" s="173">
        <f t="shared" si="60"/>
        <v>0</v>
      </c>
      <c r="X267" s="174"/>
      <c r="Y267" s="174"/>
      <c r="Z267" s="174"/>
      <c r="AA267" s="117"/>
    </row>
    <row r="268" spans="1:27" ht="13.5" thickBot="1">
      <c r="A268" s="417"/>
      <c r="B268" s="411"/>
      <c r="C268" s="261">
        <f t="shared" si="53"/>
        <v>39892</v>
      </c>
      <c r="D268" s="161"/>
      <c r="E268" s="162"/>
      <c r="F268" s="163"/>
      <c r="G268" s="164">
        <f t="shared" si="61"/>
        <v>0</v>
      </c>
      <c r="H268" s="147"/>
      <c r="I268" s="165"/>
      <c r="J268" s="149" t="str">
        <f t="shared" ca="1" si="54"/>
        <v/>
      </c>
      <c r="K268" s="150" t="b">
        <f t="shared" ref="K268:K331" ca="1" si="63">IF(J268&lt;&gt;"",INDEX(H_abscence,J268))</f>
        <v>0</v>
      </c>
      <c r="L268" s="364">
        <f t="shared" si="62"/>
        <v>3</v>
      </c>
      <c r="M268" s="267">
        <v>39892</v>
      </c>
      <c r="N268" s="166">
        <f t="shared" si="55"/>
        <v>4</v>
      </c>
      <c r="O268" s="167">
        <f t="shared" ca="1" si="56"/>
        <v>1</v>
      </c>
      <c r="P268" s="168">
        <f t="shared" si="57"/>
        <v>1</v>
      </c>
      <c r="Q268" s="169" t="b">
        <f t="shared" ref="Q268:Q331" si="64">(O268+P268)=1</f>
        <v>0</v>
      </c>
      <c r="R268" s="170" t="b">
        <f t="shared" ca="1" si="58"/>
        <v>1</v>
      </c>
      <c r="S268" s="166"/>
      <c r="T268" s="166"/>
      <c r="U268" s="171">
        <f t="shared" ca="1" si="59"/>
        <v>0.29166666666666669</v>
      </c>
      <c r="V268" s="172"/>
      <c r="W268" s="173">
        <f t="shared" si="60"/>
        <v>0</v>
      </c>
      <c r="X268" s="174"/>
      <c r="Y268" s="174"/>
      <c r="Z268" s="174"/>
      <c r="AA268" s="117"/>
    </row>
    <row r="269" spans="1:27" ht="13.5" thickBot="1">
      <c r="A269" s="417"/>
      <c r="B269" s="411"/>
      <c r="C269" s="262">
        <f t="shared" si="53"/>
        <v>39893</v>
      </c>
      <c r="D269" s="175"/>
      <c r="E269" s="176"/>
      <c r="F269" s="177"/>
      <c r="G269" s="178">
        <f t="shared" si="61"/>
        <v>0</v>
      </c>
      <c r="H269" s="279"/>
      <c r="I269" s="179"/>
      <c r="J269" s="180" t="str">
        <f t="shared" ca="1" si="54"/>
        <v/>
      </c>
      <c r="K269" s="181" t="b">
        <f t="shared" ca="1" si="63"/>
        <v>0</v>
      </c>
      <c r="L269" s="365">
        <f t="shared" si="62"/>
        <v>3</v>
      </c>
      <c r="M269" s="271">
        <v>39893</v>
      </c>
      <c r="N269" s="182">
        <f t="shared" si="55"/>
        <v>5</v>
      </c>
      <c r="O269" s="183">
        <f t="shared" ca="1" si="56"/>
        <v>1</v>
      </c>
      <c r="P269" s="184">
        <f t="shared" si="57"/>
        <v>1</v>
      </c>
      <c r="Q269" s="185" t="b">
        <f t="shared" si="64"/>
        <v>0</v>
      </c>
      <c r="R269" s="186" t="b">
        <f t="shared" ca="1" si="58"/>
        <v>1</v>
      </c>
      <c r="S269" s="182"/>
      <c r="T269" s="182"/>
      <c r="U269" s="187"/>
      <c r="V269" s="172"/>
      <c r="W269" s="188">
        <f t="shared" si="60"/>
        <v>0</v>
      </c>
      <c r="X269" s="174"/>
      <c r="Y269" s="174"/>
      <c r="Z269" s="174"/>
      <c r="AA269" s="117"/>
    </row>
    <row r="270" spans="1:27" ht="13.5" thickBot="1">
      <c r="A270" s="418"/>
      <c r="B270" s="412"/>
      <c r="C270" s="263">
        <f t="shared" si="53"/>
        <v>39894</v>
      </c>
      <c r="D270" s="189"/>
      <c r="E270" s="190"/>
      <c r="F270" s="191"/>
      <c r="G270" s="192">
        <f t="shared" si="61"/>
        <v>0</v>
      </c>
      <c r="H270" s="280"/>
      <c r="I270" s="193"/>
      <c r="J270" s="194" t="str">
        <f t="shared" ca="1" si="54"/>
        <v/>
      </c>
      <c r="K270" s="195" t="b">
        <f t="shared" ca="1" si="63"/>
        <v>0</v>
      </c>
      <c r="L270" s="366">
        <f t="shared" si="62"/>
        <v>3</v>
      </c>
      <c r="M270" s="272">
        <v>39894</v>
      </c>
      <c r="N270" s="196">
        <f t="shared" si="55"/>
        <v>6</v>
      </c>
      <c r="O270" s="197">
        <f t="shared" ca="1" si="56"/>
        <v>0</v>
      </c>
      <c r="P270" s="198">
        <f t="shared" si="57"/>
        <v>0</v>
      </c>
      <c r="Q270" s="199" t="b">
        <f t="shared" si="64"/>
        <v>0</v>
      </c>
      <c r="R270" s="200" t="b">
        <f t="shared" ca="1" si="58"/>
        <v>1</v>
      </c>
      <c r="S270" s="196" t="b">
        <f>AND(R270,R264)</f>
        <v>1</v>
      </c>
      <c r="T270" s="196" t="b">
        <f>OR(R270,R264)</f>
        <v>1</v>
      </c>
      <c r="U270" s="201"/>
      <c r="V270" s="202">
        <f ca="1">IF(Sem_entame,SUM(U264:U270),"")</f>
        <v>1.4583333333333335</v>
      </c>
      <c r="W270" s="203">
        <f t="shared" si="60"/>
        <v>0</v>
      </c>
      <c r="X270" s="204">
        <f ca="1">SUM(W264:W270)</f>
        <v>0</v>
      </c>
      <c r="Y270" s="204">
        <f ca="1">IF(Sem_entame,X270-V270,"")</f>
        <v>-1.4583333333333335</v>
      </c>
      <c r="Z270" s="204">
        <f ca="1">IF(Sem_entame,Y270+IF(ISNUMBER(Z263),Z263,0),"")</f>
        <v>-51.770833333333357</v>
      </c>
      <c r="AA270" s="117"/>
    </row>
    <row r="271" spans="1:27" ht="12.75" customHeight="1" thickBot="1">
      <c r="A271" s="416">
        <f>A264+1</f>
        <v>39</v>
      </c>
      <c r="B271" s="411" t="str">
        <f>IF(L271&lt;&gt;L277,TEXT(C277,"mmm"&amp;"-"),"")&amp;TEXT(C271,"mmm")</f>
        <v>mars</v>
      </c>
      <c r="C271" s="260">
        <f>C270+1</f>
        <v>39895</v>
      </c>
      <c r="D271" s="144"/>
      <c r="E271" s="145"/>
      <c r="F271" s="146"/>
      <c r="G271" s="147">
        <f t="shared" si="61"/>
        <v>0</v>
      </c>
      <c r="H271" s="147"/>
      <c r="I271" s="148"/>
      <c r="J271" s="207" t="str">
        <f t="shared" ca="1" si="54"/>
        <v/>
      </c>
      <c r="K271" s="150" t="b">
        <f t="shared" ca="1" si="63"/>
        <v>0</v>
      </c>
      <c r="L271" s="362">
        <f t="shared" si="62"/>
        <v>3</v>
      </c>
      <c r="M271" s="266">
        <v>39895</v>
      </c>
      <c r="N271" s="151">
        <f t="shared" si="55"/>
        <v>7</v>
      </c>
      <c r="O271" s="152">
        <f t="shared" ca="1" si="56"/>
        <v>0</v>
      </c>
      <c r="P271" s="153">
        <f t="shared" si="57"/>
        <v>0</v>
      </c>
      <c r="Q271" s="154" t="b">
        <f t="shared" si="64"/>
        <v>0</v>
      </c>
      <c r="R271" s="155" t="b">
        <f t="shared" ca="1" si="58"/>
        <v>1</v>
      </c>
      <c r="S271" s="156"/>
      <c r="T271" s="156"/>
      <c r="U271" s="157">
        <f t="shared" ca="1" si="59"/>
        <v>0.29166666666666669</v>
      </c>
      <c r="V271" s="158"/>
      <c r="W271" s="159">
        <f t="shared" si="60"/>
        <v>0</v>
      </c>
      <c r="X271" s="160"/>
      <c r="Y271" s="160"/>
      <c r="Z271" s="160"/>
      <c r="AA271" s="117"/>
    </row>
    <row r="272" spans="1:27" ht="13.5" thickBot="1">
      <c r="A272" s="417"/>
      <c r="B272" s="411"/>
      <c r="C272" s="261">
        <f>C271+1</f>
        <v>39896</v>
      </c>
      <c r="D272" s="161"/>
      <c r="E272" s="162"/>
      <c r="F272" s="163"/>
      <c r="G272" s="164">
        <f t="shared" si="61"/>
        <v>0</v>
      </c>
      <c r="H272" s="147"/>
      <c r="I272" s="165"/>
      <c r="J272" s="149" t="str">
        <f t="shared" ca="1" si="54"/>
        <v/>
      </c>
      <c r="K272" s="150" t="b">
        <f t="shared" ca="1" si="63"/>
        <v>0</v>
      </c>
      <c r="L272" s="364">
        <f t="shared" si="62"/>
        <v>3</v>
      </c>
      <c r="M272" s="267">
        <v>39896</v>
      </c>
      <c r="N272" s="166">
        <f t="shared" si="55"/>
        <v>1</v>
      </c>
      <c r="O272" s="167">
        <f t="shared" ca="1" si="56"/>
        <v>1</v>
      </c>
      <c r="P272" s="168">
        <f t="shared" si="57"/>
        <v>1</v>
      </c>
      <c r="Q272" s="169" t="b">
        <f t="shared" si="64"/>
        <v>0</v>
      </c>
      <c r="R272" s="170" t="b">
        <f t="shared" ca="1" si="58"/>
        <v>1</v>
      </c>
      <c r="S272" s="166"/>
      <c r="T272" s="166"/>
      <c r="U272" s="171">
        <f t="shared" ca="1" si="59"/>
        <v>0.29166666666666669</v>
      </c>
      <c r="V272" s="172"/>
      <c r="W272" s="173">
        <f t="shared" si="60"/>
        <v>0</v>
      </c>
      <c r="X272" s="174"/>
      <c r="Y272" s="174"/>
      <c r="Z272" s="174"/>
      <c r="AA272" s="117"/>
    </row>
    <row r="273" spans="1:27" ht="13.5" thickBot="1">
      <c r="A273" s="417"/>
      <c r="B273" s="411"/>
      <c r="C273" s="261">
        <f t="shared" ref="C273:C305" si="65">C272+1</f>
        <v>39897</v>
      </c>
      <c r="D273" s="161"/>
      <c r="E273" s="162"/>
      <c r="F273" s="163"/>
      <c r="G273" s="164">
        <f t="shared" si="61"/>
        <v>0</v>
      </c>
      <c r="H273" s="147"/>
      <c r="I273" s="165"/>
      <c r="J273" s="149" t="str">
        <f t="shared" ca="1" si="54"/>
        <v/>
      </c>
      <c r="K273" s="150" t="b">
        <f t="shared" ca="1" si="63"/>
        <v>0</v>
      </c>
      <c r="L273" s="364">
        <f t="shared" si="62"/>
        <v>3</v>
      </c>
      <c r="M273" s="267">
        <v>39897</v>
      </c>
      <c r="N273" s="166">
        <f t="shared" si="55"/>
        <v>2</v>
      </c>
      <c r="O273" s="167">
        <f t="shared" ca="1" si="56"/>
        <v>1</v>
      </c>
      <c r="P273" s="168">
        <f t="shared" si="57"/>
        <v>1</v>
      </c>
      <c r="Q273" s="169" t="b">
        <f t="shared" si="64"/>
        <v>0</v>
      </c>
      <c r="R273" s="170" t="b">
        <f t="shared" ca="1" si="58"/>
        <v>1</v>
      </c>
      <c r="S273" s="166"/>
      <c r="T273" s="166"/>
      <c r="U273" s="171">
        <f t="shared" ca="1" si="59"/>
        <v>0.29166666666666669</v>
      </c>
      <c r="V273" s="172"/>
      <c r="W273" s="173">
        <f t="shared" si="60"/>
        <v>0</v>
      </c>
      <c r="X273" s="174"/>
      <c r="Y273" s="174"/>
      <c r="Z273" s="174"/>
      <c r="AA273" s="117"/>
    </row>
    <row r="274" spans="1:27" ht="13.5" thickBot="1">
      <c r="A274" s="417"/>
      <c r="B274" s="411"/>
      <c r="C274" s="261">
        <f t="shared" si="65"/>
        <v>39898</v>
      </c>
      <c r="D274" s="161"/>
      <c r="E274" s="162"/>
      <c r="F274" s="163"/>
      <c r="G274" s="164">
        <f t="shared" si="61"/>
        <v>0</v>
      </c>
      <c r="H274" s="147"/>
      <c r="I274" s="165"/>
      <c r="J274" s="149" t="str">
        <f t="shared" ca="1" si="54"/>
        <v/>
      </c>
      <c r="K274" s="150" t="b">
        <f t="shared" ca="1" si="63"/>
        <v>0</v>
      </c>
      <c r="L274" s="364">
        <f t="shared" si="62"/>
        <v>3</v>
      </c>
      <c r="M274" s="267">
        <v>39898</v>
      </c>
      <c r="N274" s="166">
        <f t="shared" si="55"/>
        <v>3</v>
      </c>
      <c r="O274" s="167">
        <f t="shared" ca="1" si="56"/>
        <v>1</v>
      </c>
      <c r="P274" s="168">
        <f t="shared" si="57"/>
        <v>1</v>
      </c>
      <c r="Q274" s="169" t="b">
        <f t="shared" si="64"/>
        <v>0</v>
      </c>
      <c r="R274" s="170" t="b">
        <f t="shared" ca="1" si="58"/>
        <v>1</v>
      </c>
      <c r="S274" s="166"/>
      <c r="T274" s="166"/>
      <c r="U274" s="171">
        <f t="shared" ca="1" si="59"/>
        <v>0.29166666666666669</v>
      </c>
      <c r="V274" s="172"/>
      <c r="W274" s="173">
        <f t="shared" si="60"/>
        <v>0</v>
      </c>
      <c r="X274" s="174"/>
      <c r="Y274" s="174"/>
      <c r="Z274" s="174"/>
      <c r="AA274" s="117"/>
    </row>
    <row r="275" spans="1:27" ht="13.5" thickBot="1">
      <c r="A275" s="417"/>
      <c r="B275" s="411"/>
      <c r="C275" s="261">
        <f t="shared" si="65"/>
        <v>39899</v>
      </c>
      <c r="D275" s="161"/>
      <c r="E275" s="162"/>
      <c r="F275" s="163"/>
      <c r="G275" s="164">
        <f t="shared" si="61"/>
        <v>0</v>
      </c>
      <c r="H275" s="147"/>
      <c r="I275" s="165"/>
      <c r="J275" s="149" t="str">
        <f t="shared" ca="1" si="54"/>
        <v/>
      </c>
      <c r="K275" s="150" t="b">
        <f t="shared" ca="1" si="63"/>
        <v>0</v>
      </c>
      <c r="L275" s="364">
        <f t="shared" si="62"/>
        <v>3</v>
      </c>
      <c r="M275" s="267">
        <v>39899</v>
      </c>
      <c r="N275" s="166">
        <f t="shared" si="55"/>
        <v>4</v>
      </c>
      <c r="O275" s="167">
        <f t="shared" ca="1" si="56"/>
        <v>1</v>
      </c>
      <c r="P275" s="168">
        <f t="shared" si="57"/>
        <v>1</v>
      </c>
      <c r="Q275" s="169" t="b">
        <f t="shared" si="64"/>
        <v>0</v>
      </c>
      <c r="R275" s="170" t="b">
        <f t="shared" ca="1" si="58"/>
        <v>1</v>
      </c>
      <c r="S275" s="166"/>
      <c r="T275" s="166"/>
      <c r="U275" s="171">
        <f t="shared" ca="1" si="59"/>
        <v>0.29166666666666669</v>
      </c>
      <c r="V275" s="172"/>
      <c r="W275" s="173">
        <f t="shared" si="60"/>
        <v>0</v>
      </c>
      <c r="X275" s="174"/>
      <c r="Y275" s="174"/>
      <c r="Z275" s="174"/>
      <c r="AA275" s="117"/>
    </row>
    <row r="276" spans="1:27" ht="13.5" thickBot="1">
      <c r="A276" s="417"/>
      <c r="B276" s="411"/>
      <c r="C276" s="262">
        <f t="shared" si="65"/>
        <v>39900</v>
      </c>
      <c r="D276" s="175"/>
      <c r="E276" s="176"/>
      <c r="F276" s="177"/>
      <c r="G276" s="178">
        <f t="shared" si="61"/>
        <v>0</v>
      </c>
      <c r="H276" s="279"/>
      <c r="I276" s="179"/>
      <c r="J276" s="180" t="str">
        <f t="shared" ca="1" si="54"/>
        <v/>
      </c>
      <c r="K276" s="181" t="b">
        <f t="shared" ca="1" si="63"/>
        <v>0</v>
      </c>
      <c r="L276" s="365">
        <f t="shared" si="62"/>
        <v>3</v>
      </c>
      <c r="M276" s="271">
        <v>39900</v>
      </c>
      <c r="N276" s="182">
        <f t="shared" si="55"/>
        <v>5</v>
      </c>
      <c r="O276" s="183">
        <f t="shared" ca="1" si="56"/>
        <v>1</v>
      </c>
      <c r="P276" s="184">
        <f t="shared" si="57"/>
        <v>1</v>
      </c>
      <c r="Q276" s="185" t="b">
        <f t="shared" si="64"/>
        <v>0</v>
      </c>
      <c r="R276" s="186" t="b">
        <f t="shared" ca="1" si="58"/>
        <v>1</v>
      </c>
      <c r="S276" s="182"/>
      <c r="T276" s="182"/>
      <c r="U276" s="187"/>
      <c r="V276" s="172"/>
      <c r="W276" s="188">
        <f t="shared" si="60"/>
        <v>0</v>
      </c>
      <c r="X276" s="174"/>
      <c r="Y276" s="174"/>
      <c r="Z276" s="174"/>
      <c r="AA276" s="117"/>
    </row>
    <row r="277" spans="1:27" ht="13.5" thickBot="1">
      <c r="A277" s="418"/>
      <c r="B277" s="412"/>
      <c r="C277" s="263">
        <f t="shared" si="65"/>
        <v>39901</v>
      </c>
      <c r="D277" s="189"/>
      <c r="E277" s="190"/>
      <c r="F277" s="191"/>
      <c r="G277" s="192">
        <f t="shared" si="61"/>
        <v>0</v>
      </c>
      <c r="H277" s="280"/>
      <c r="I277" s="193"/>
      <c r="J277" s="194" t="str">
        <f t="shared" ca="1" si="54"/>
        <v/>
      </c>
      <c r="K277" s="195" t="b">
        <f t="shared" ca="1" si="63"/>
        <v>0</v>
      </c>
      <c r="L277" s="366">
        <f t="shared" si="62"/>
        <v>3</v>
      </c>
      <c r="M277" s="272">
        <v>39901</v>
      </c>
      <c r="N277" s="196">
        <f t="shared" si="55"/>
        <v>6</v>
      </c>
      <c r="O277" s="197">
        <f t="shared" ca="1" si="56"/>
        <v>0</v>
      </c>
      <c r="P277" s="198">
        <f t="shared" si="57"/>
        <v>0</v>
      </c>
      <c r="Q277" s="199" t="b">
        <f t="shared" si="64"/>
        <v>0</v>
      </c>
      <c r="R277" s="200" t="b">
        <f t="shared" ca="1" si="58"/>
        <v>1</v>
      </c>
      <c r="S277" s="196" t="b">
        <f>AND(R277,R271)</f>
        <v>1</v>
      </c>
      <c r="T277" s="196" t="b">
        <f>OR(R277,R271)</f>
        <v>1</v>
      </c>
      <c r="U277" s="201"/>
      <c r="V277" s="202">
        <f ca="1">IF(Sem_entame,SUM(U271:U277),"")</f>
        <v>1.4583333333333335</v>
      </c>
      <c r="W277" s="203">
        <f t="shared" si="60"/>
        <v>0</v>
      </c>
      <c r="X277" s="204">
        <f ca="1">SUM(W271:W277)</f>
        <v>0</v>
      </c>
      <c r="Y277" s="204">
        <f ca="1">IF(Sem_entame,X277-V277,"")</f>
        <v>-1.4583333333333335</v>
      </c>
      <c r="Z277" s="204">
        <f ca="1">IF(Sem_entame,Y277+IF(ISNUMBER(Z270),Z270,0),"")</f>
        <v>-53.229166666666693</v>
      </c>
      <c r="AA277" s="117"/>
    </row>
    <row r="278" spans="1:27" ht="12.75" customHeight="1" thickBot="1">
      <c r="A278" s="416">
        <f>A271+1</f>
        <v>40</v>
      </c>
      <c r="B278" s="411" t="str">
        <f>IF(L278&lt;&gt;L284,TEXT(C284,"mmm"&amp;"-"),"")&amp;TEXT(C278,"mmm")</f>
        <v>avr-mars</v>
      </c>
      <c r="C278" s="260">
        <f t="shared" si="65"/>
        <v>39902</v>
      </c>
      <c r="D278" s="144"/>
      <c r="E278" s="145"/>
      <c r="F278" s="146"/>
      <c r="G278" s="147">
        <f t="shared" si="61"/>
        <v>0</v>
      </c>
      <c r="H278" s="147"/>
      <c r="I278" s="148"/>
      <c r="J278" s="207" t="str">
        <f t="shared" ca="1" si="54"/>
        <v/>
      </c>
      <c r="K278" s="150" t="b">
        <f t="shared" ca="1" si="63"/>
        <v>0</v>
      </c>
      <c r="L278" s="362">
        <f t="shared" si="62"/>
        <v>3</v>
      </c>
      <c r="M278" s="266">
        <v>39902</v>
      </c>
      <c r="N278" s="151">
        <f t="shared" si="55"/>
        <v>7</v>
      </c>
      <c r="O278" s="152">
        <f t="shared" ca="1" si="56"/>
        <v>0</v>
      </c>
      <c r="P278" s="153">
        <f t="shared" si="57"/>
        <v>0</v>
      </c>
      <c r="Q278" s="154" t="b">
        <f t="shared" si="64"/>
        <v>0</v>
      </c>
      <c r="R278" s="155" t="b">
        <f t="shared" ca="1" si="58"/>
        <v>1</v>
      </c>
      <c r="S278" s="156"/>
      <c r="T278" s="156"/>
      <c r="U278" s="157">
        <f t="shared" ca="1" si="59"/>
        <v>0.29166666666666669</v>
      </c>
      <c r="V278" s="158"/>
      <c r="W278" s="159">
        <f t="shared" si="60"/>
        <v>0</v>
      </c>
      <c r="X278" s="160"/>
      <c r="Y278" s="160"/>
      <c r="Z278" s="160"/>
      <c r="AA278" s="117"/>
    </row>
    <row r="279" spans="1:27" ht="13.5" thickBot="1">
      <c r="A279" s="417"/>
      <c r="B279" s="411"/>
      <c r="C279" s="261">
        <f t="shared" si="65"/>
        <v>39903</v>
      </c>
      <c r="D279" s="161"/>
      <c r="E279" s="162"/>
      <c r="F279" s="163"/>
      <c r="G279" s="164">
        <f t="shared" si="61"/>
        <v>0</v>
      </c>
      <c r="H279" s="147"/>
      <c r="I279" s="165"/>
      <c r="J279" s="149" t="str">
        <f t="shared" ca="1" si="54"/>
        <v/>
      </c>
      <c r="K279" s="150" t="b">
        <f t="shared" ca="1" si="63"/>
        <v>0</v>
      </c>
      <c r="L279" s="364">
        <f t="shared" si="62"/>
        <v>4</v>
      </c>
      <c r="M279" s="267">
        <v>39903</v>
      </c>
      <c r="N279" s="166">
        <f t="shared" si="55"/>
        <v>1</v>
      </c>
      <c r="O279" s="167">
        <f t="shared" ca="1" si="56"/>
        <v>0</v>
      </c>
      <c r="P279" s="168">
        <f t="shared" si="57"/>
        <v>1</v>
      </c>
      <c r="Q279" s="169" t="b">
        <f t="shared" si="64"/>
        <v>1</v>
      </c>
      <c r="R279" s="170" t="b">
        <f t="shared" ca="1" si="58"/>
        <v>1</v>
      </c>
      <c r="S279" s="166"/>
      <c r="T279" s="166"/>
      <c r="U279" s="171">
        <f t="shared" ca="1" si="59"/>
        <v>0.29166666666666669</v>
      </c>
      <c r="V279" s="172"/>
      <c r="W279" s="173">
        <f t="shared" si="60"/>
        <v>0</v>
      </c>
      <c r="X279" s="174"/>
      <c r="Y279" s="174"/>
      <c r="Z279" s="174"/>
      <c r="AA279" s="117"/>
    </row>
    <row r="280" spans="1:27" ht="13.5" thickBot="1">
      <c r="A280" s="417"/>
      <c r="B280" s="411"/>
      <c r="C280" s="261">
        <f t="shared" si="65"/>
        <v>39904</v>
      </c>
      <c r="D280" s="161"/>
      <c r="E280" s="162"/>
      <c r="F280" s="163"/>
      <c r="G280" s="164">
        <f t="shared" si="61"/>
        <v>0</v>
      </c>
      <c r="H280" s="147"/>
      <c r="I280" s="165"/>
      <c r="J280" s="149" t="str">
        <f t="shared" ca="1" si="54"/>
        <v/>
      </c>
      <c r="K280" s="150" t="b">
        <f t="shared" ca="1" si="63"/>
        <v>0</v>
      </c>
      <c r="L280" s="364">
        <f t="shared" si="62"/>
        <v>4</v>
      </c>
      <c r="M280" s="267">
        <v>39904</v>
      </c>
      <c r="N280" s="166">
        <f t="shared" si="55"/>
        <v>2</v>
      </c>
      <c r="O280" s="167">
        <f t="shared" ca="1" si="56"/>
        <v>1</v>
      </c>
      <c r="P280" s="168">
        <f t="shared" si="57"/>
        <v>1</v>
      </c>
      <c r="Q280" s="169" t="b">
        <f t="shared" si="64"/>
        <v>0</v>
      </c>
      <c r="R280" s="170" t="b">
        <f t="shared" ca="1" si="58"/>
        <v>1</v>
      </c>
      <c r="S280" s="166"/>
      <c r="T280" s="166"/>
      <c r="U280" s="171">
        <f t="shared" ca="1" si="59"/>
        <v>0.29166666666666669</v>
      </c>
      <c r="V280" s="172"/>
      <c r="W280" s="173">
        <f t="shared" si="60"/>
        <v>0</v>
      </c>
      <c r="X280" s="174"/>
      <c r="Y280" s="174"/>
      <c r="Z280" s="174"/>
      <c r="AA280" s="117"/>
    </row>
    <row r="281" spans="1:27" ht="13.5" thickBot="1">
      <c r="A281" s="417"/>
      <c r="B281" s="411"/>
      <c r="C281" s="261">
        <f t="shared" si="65"/>
        <v>39905</v>
      </c>
      <c r="D281" s="161"/>
      <c r="E281" s="162"/>
      <c r="F281" s="163"/>
      <c r="G281" s="164">
        <f t="shared" si="61"/>
        <v>0</v>
      </c>
      <c r="H281" s="147"/>
      <c r="I281" s="165"/>
      <c r="J281" s="149" t="str">
        <f t="shared" ca="1" si="54"/>
        <v/>
      </c>
      <c r="K281" s="150" t="b">
        <f t="shared" ca="1" si="63"/>
        <v>0</v>
      </c>
      <c r="L281" s="364">
        <f t="shared" si="62"/>
        <v>4</v>
      </c>
      <c r="M281" s="267">
        <v>39905</v>
      </c>
      <c r="N281" s="166">
        <f t="shared" si="55"/>
        <v>3</v>
      </c>
      <c r="O281" s="167">
        <f t="shared" ca="1" si="56"/>
        <v>1</v>
      </c>
      <c r="P281" s="168">
        <f t="shared" si="57"/>
        <v>1</v>
      </c>
      <c r="Q281" s="169" t="b">
        <f t="shared" si="64"/>
        <v>0</v>
      </c>
      <c r="R281" s="170" t="b">
        <f t="shared" ca="1" si="58"/>
        <v>1</v>
      </c>
      <c r="S281" s="166"/>
      <c r="T281" s="166"/>
      <c r="U281" s="171">
        <f t="shared" ca="1" si="59"/>
        <v>0.29166666666666669</v>
      </c>
      <c r="V281" s="172"/>
      <c r="W281" s="173">
        <f t="shared" si="60"/>
        <v>0</v>
      </c>
      <c r="X281" s="174"/>
      <c r="Y281" s="174"/>
      <c r="Z281" s="174"/>
      <c r="AA281" s="117"/>
    </row>
    <row r="282" spans="1:27" ht="13.5" thickBot="1">
      <c r="A282" s="417"/>
      <c r="B282" s="411"/>
      <c r="C282" s="261">
        <f t="shared" si="65"/>
        <v>39906</v>
      </c>
      <c r="D282" s="161"/>
      <c r="E282" s="162"/>
      <c r="F282" s="163"/>
      <c r="G282" s="164">
        <f t="shared" si="61"/>
        <v>0</v>
      </c>
      <c r="H282" s="147"/>
      <c r="I282" s="165"/>
      <c r="J282" s="149" t="str">
        <f t="shared" ca="1" si="54"/>
        <v/>
      </c>
      <c r="K282" s="150" t="b">
        <f t="shared" ca="1" si="63"/>
        <v>0</v>
      </c>
      <c r="L282" s="364">
        <f t="shared" si="62"/>
        <v>4</v>
      </c>
      <c r="M282" s="267">
        <v>39906</v>
      </c>
      <c r="N282" s="166">
        <f t="shared" si="55"/>
        <v>4</v>
      </c>
      <c r="O282" s="167">
        <f t="shared" ca="1" si="56"/>
        <v>1</v>
      </c>
      <c r="P282" s="168">
        <f t="shared" si="57"/>
        <v>1</v>
      </c>
      <c r="Q282" s="169" t="b">
        <f t="shared" si="64"/>
        <v>0</v>
      </c>
      <c r="R282" s="170" t="b">
        <f t="shared" ca="1" si="58"/>
        <v>1</v>
      </c>
      <c r="S282" s="166"/>
      <c r="T282" s="166"/>
      <c r="U282" s="171">
        <f t="shared" ca="1" si="59"/>
        <v>0.29166666666666669</v>
      </c>
      <c r="V282" s="172"/>
      <c r="W282" s="173">
        <f t="shared" si="60"/>
        <v>0</v>
      </c>
      <c r="X282" s="174"/>
      <c r="Y282" s="174"/>
      <c r="Z282" s="174"/>
      <c r="AA282" s="117"/>
    </row>
    <row r="283" spans="1:27" ht="13.5" thickBot="1">
      <c r="A283" s="417"/>
      <c r="B283" s="411"/>
      <c r="C283" s="262">
        <f t="shared" si="65"/>
        <v>39907</v>
      </c>
      <c r="D283" s="175"/>
      <c r="E283" s="176"/>
      <c r="F283" s="177"/>
      <c r="G283" s="178">
        <f t="shared" si="61"/>
        <v>0</v>
      </c>
      <c r="H283" s="279"/>
      <c r="I283" s="179"/>
      <c r="J283" s="180" t="str">
        <f t="shared" ca="1" si="54"/>
        <v/>
      </c>
      <c r="K283" s="181" t="b">
        <f t="shared" ca="1" si="63"/>
        <v>0</v>
      </c>
      <c r="L283" s="365">
        <f t="shared" si="62"/>
        <v>4</v>
      </c>
      <c r="M283" s="271">
        <v>39907</v>
      </c>
      <c r="N283" s="182">
        <f t="shared" si="55"/>
        <v>5</v>
      </c>
      <c r="O283" s="183">
        <f t="shared" ca="1" si="56"/>
        <v>1</v>
      </c>
      <c r="P283" s="184">
        <f t="shared" si="57"/>
        <v>1</v>
      </c>
      <c r="Q283" s="185" t="b">
        <f t="shared" si="64"/>
        <v>0</v>
      </c>
      <c r="R283" s="186" t="b">
        <f t="shared" ca="1" si="58"/>
        <v>1</v>
      </c>
      <c r="S283" s="182"/>
      <c r="T283" s="182"/>
      <c r="U283" s="187"/>
      <c r="V283" s="172"/>
      <c r="W283" s="188">
        <f t="shared" si="60"/>
        <v>0</v>
      </c>
      <c r="X283" s="174"/>
      <c r="Y283" s="174"/>
      <c r="Z283" s="174"/>
      <c r="AA283" s="117"/>
    </row>
    <row r="284" spans="1:27" ht="13.5" thickBot="1">
      <c r="A284" s="418"/>
      <c r="B284" s="412"/>
      <c r="C284" s="263">
        <f t="shared" si="65"/>
        <v>39908</v>
      </c>
      <c r="D284" s="189"/>
      <c r="E284" s="190"/>
      <c r="F284" s="191"/>
      <c r="G284" s="192">
        <f t="shared" si="61"/>
        <v>0</v>
      </c>
      <c r="H284" s="280"/>
      <c r="I284" s="193"/>
      <c r="J284" s="194" t="str">
        <f t="shared" ca="1" si="54"/>
        <v/>
      </c>
      <c r="K284" s="195" t="b">
        <f t="shared" ca="1" si="63"/>
        <v>0</v>
      </c>
      <c r="L284" s="366">
        <f t="shared" si="62"/>
        <v>4</v>
      </c>
      <c r="M284" s="272">
        <v>39908</v>
      </c>
      <c r="N284" s="196">
        <f t="shared" si="55"/>
        <v>6</v>
      </c>
      <c r="O284" s="197">
        <f t="shared" ca="1" si="56"/>
        <v>0</v>
      </c>
      <c r="P284" s="198">
        <f t="shared" si="57"/>
        <v>0</v>
      </c>
      <c r="Q284" s="199" t="b">
        <f t="shared" si="64"/>
        <v>0</v>
      </c>
      <c r="R284" s="200" t="b">
        <f t="shared" ca="1" si="58"/>
        <v>1</v>
      </c>
      <c r="S284" s="196" t="b">
        <f>AND(R284,R278)</f>
        <v>1</v>
      </c>
      <c r="T284" s="196" t="b">
        <f>OR(R284,R278)</f>
        <v>1</v>
      </c>
      <c r="U284" s="201"/>
      <c r="V284" s="202">
        <f ca="1">IF(Sem_entame,SUM(U278:U284),"")</f>
        <v>1.4583333333333335</v>
      </c>
      <c r="W284" s="203">
        <f t="shared" si="60"/>
        <v>0</v>
      </c>
      <c r="X284" s="204">
        <f ca="1">SUM(W278:W284)</f>
        <v>0</v>
      </c>
      <c r="Y284" s="204">
        <f ca="1">IF(Sem_entame,X284-V284,"")</f>
        <v>-1.4583333333333335</v>
      </c>
      <c r="Z284" s="204">
        <f ca="1">IF(Sem_entame,Y284+IF(ISNUMBER(Z277),Z277,0),"")</f>
        <v>-54.687500000000028</v>
      </c>
      <c r="AA284" s="117"/>
    </row>
    <row r="285" spans="1:27" ht="12.75" customHeight="1" thickBot="1">
      <c r="A285" s="416">
        <f>A278+1</f>
        <v>41</v>
      </c>
      <c r="B285" s="411" t="str">
        <f>IF(L285&lt;&gt;L291,TEXT(C291,"mmm"&amp;"-"),"")&amp;TEXT(C285,"mmm")</f>
        <v>avr</v>
      </c>
      <c r="C285" s="260">
        <f t="shared" si="65"/>
        <v>39909</v>
      </c>
      <c r="D285" s="144"/>
      <c r="E285" s="145"/>
      <c r="F285" s="146"/>
      <c r="G285" s="147">
        <f t="shared" si="61"/>
        <v>0</v>
      </c>
      <c r="H285" s="147"/>
      <c r="I285" s="148"/>
      <c r="J285" s="207" t="str">
        <f t="shared" ca="1" si="54"/>
        <v/>
      </c>
      <c r="K285" s="150" t="b">
        <f t="shared" ca="1" si="63"/>
        <v>0</v>
      </c>
      <c r="L285" s="362">
        <f t="shared" si="62"/>
        <v>4</v>
      </c>
      <c r="M285" s="266">
        <v>39909</v>
      </c>
      <c r="N285" s="151">
        <f t="shared" si="55"/>
        <v>7</v>
      </c>
      <c r="O285" s="152">
        <f t="shared" ca="1" si="56"/>
        <v>0</v>
      </c>
      <c r="P285" s="153">
        <f t="shared" si="57"/>
        <v>0</v>
      </c>
      <c r="Q285" s="154" t="b">
        <f t="shared" si="64"/>
        <v>0</v>
      </c>
      <c r="R285" s="155" t="b">
        <f t="shared" ca="1" si="58"/>
        <v>1</v>
      </c>
      <c r="S285" s="156"/>
      <c r="T285" s="156"/>
      <c r="U285" s="157">
        <f t="shared" ca="1" si="59"/>
        <v>0.29166666666666669</v>
      </c>
      <c r="V285" s="158"/>
      <c r="W285" s="159">
        <f t="shared" si="60"/>
        <v>0</v>
      </c>
      <c r="X285" s="160"/>
      <c r="Y285" s="160"/>
      <c r="Z285" s="160"/>
      <c r="AA285" s="117"/>
    </row>
    <row r="286" spans="1:27" ht="13.5" thickBot="1">
      <c r="A286" s="417"/>
      <c r="B286" s="411"/>
      <c r="C286" s="261">
        <f t="shared" si="65"/>
        <v>39910</v>
      </c>
      <c r="D286" s="161"/>
      <c r="E286" s="162"/>
      <c r="F286" s="163"/>
      <c r="G286" s="164">
        <f t="shared" si="61"/>
        <v>0</v>
      </c>
      <c r="H286" s="147"/>
      <c r="I286" s="165"/>
      <c r="J286" s="149" t="str">
        <f t="shared" ca="1" si="54"/>
        <v/>
      </c>
      <c r="K286" s="150" t="b">
        <f t="shared" ca="1" si="63"/>
        <v>0</v>
      </c>
      <c r="L286" s="364">
        <f t="shared" si="62"/>
        <v>4</v>
      </c>
      <c r="M286" s="267">
        <v>39910</v>
      </c>
      <c r="N286" s="166">
        <f t="shared" si="55"/>
        <v>1</v>
      </c>
      <c r="O286" s="167">
        <f t="shared" ca="1" si="56"/>
        <v>1</v>
      </c>
      <c r="P286" s="168">
        <f t="shared" si="57"/>
        <v>1</v>
      </c>
      <c r="Q286" s="169" t="b">
        <f t="shared" si="64"/>
        <v>0</v>
      </c>
      <c r="R286" s="170" t="b">
        <f t="shared" ca="1" si="58"/>
        <v>1</v>
      </c>
      <c r="S286" s="166"/>
      <c r="T286" s="166"/>
      <c r="U286" s="171">
        <f t="shared" ca="1" si="59"/>
        <v>0.29166666666666669</v>
      </c>
      <c r="V286" s="172"/>
      <c r="W286" s="173">
        <f t="shared" si="60"/>
        <v>0</v>
      </c>
      <c r="X286" s="174"/>
      <c r="Y286" s="174"/>
      <c r="Z286" s="174"/>
      <c r="AA286" s="117"/>
    </row>
    <row r="287" spans="1:27" ht="13.5" thickBot="1">
      <c r="A287" s="417"/>
      <c r="B287" s="411"/>
      <c r="C287" s="261">
        <f t="shared" si="65"/>
        <v>39911</v>
      </c>
      <c r="D287" s="161"/>
      <c r="E287" s="162"/>
      <c r="F287" s="163"/>
      <c r="G287" s="164">
        <f t="shared" si="61"/>
        <v>0</v>
      </c>
      <c r="H287" s="147"/>
      <c r="I287" s="165"/>
      <c r="J287" s="149" t="str">
        <f t="shared" ca="1" si="54"/>
        <v/>
      </c>
      <c r="K287" s="150" t="b">
        <f t="shared" ca="1" si="63"/>
        <v>0</v>
      </c>
      <c r="L287" s="364">
        <f t="shared" si="62"/>
        <v>4</v>
      </c>
      <c r="M287" s="267">
        <v>39911</v>
      </c>
      <c r="N287" s="166">
        <f t="shared" si="55"/>
        <v>2</v>
      </c>
      <c r="O287" s="167">
        <f t="shared" ca="1" si="56"/>
        <v>1</v>
      </c>
      <c r="P287" s="168">
        <f t="shared" si="57"/>
        <v>1</v>
      </c>
      <c r="Q287" s="169" t="b">
        <f t="shared" si="64"/>
        <v>0</v>
      </c>
      <c r="R287" s="170" t="b">
        <f t="shared" ca="1" si="58"/>
        <v>1</v>
      </c>
      <c r="S287" s="166"/>
      <c r="T287" s="166"/>
      <c r="U287" s="171">
        <f t="shared" ca="1" si="59"/>
        <v>0.29166666666666669</v>
      </c>
      <c r="V287" s="172"/>
      <c r="W287" s="173">
        <f t="shared" si="60"/>
        <v>0</v>
      </c>
      <c r="X287" s="174"/>
      <c r="Y287" s="174"/>
      <c r="Z287" s="174"/>
      <c r="AA287" s="117"/>
    </row>
    <row r="288" spans="1:27" ht="13.5" thickBot="1">
      <c r="A288" s="417"/>
      <c r="B288" s="411"/>
      <c r="C288" s="261">
        <f t="shared" si="65"/>
        <v>39912</v>
      </c>
      <c r="D288" s="161"/>
      <c r="E288" s="162"/>
      <c r="F288" s="163"/>
      <c r="G288" s="164">
        <f t="shared" si="61"/>
        <v>0</v>
      </c>
      <c r="H288" s="147"/>
      <c r="I288" s="165"/>
      <c r="J288" s="149" t="str">
        <f t="shared" ca="1" si="54"/>
        <v/>
      </c>
      <c r="K288" s="150" t="b">
        <f t="shared" ca="1" si="63"/>
        <v>0</v>
      </c>
      <c r="L288" s="364">
        <f t="shared" si="62"/>
        <v>4</v>
      </c>
      <c r="M288" s="267">
        <v>39912</v>
      </c>
      <c r="N288" s="166">
        <f t="shared" si="55"/>
        <v>3</v>
      </c>
      <c r="O288" s="167">
        <f t="shared" ca="1" si="56"/>
        <v>1</v>
      </c>
      <c r="P288" s="168">
        <f t="shared" si="57"/>
        <v>1</v>
      </c>
      <c r="Q288" s="169" t="b">
        <f t="shared" si="64"/>
        <v>0</v>
      </c>
      <c r="R288" s="170" t="b">
        <f t="shared" ca="1" si="58"/>
        <v>1</v>
      </c>
      <c r="S288" s="166"/>
      <c r="T288" s="166"/>
      <c r="U288" s="171">
        <f t="shared" ca="1" si="59"/>
        <v>0.29166666666666669</v>
      </c>
      <c r="V288" s="172"/>
      <c r="W288" s="173">
        <f t="shared" si="60"/>
        <v>0</v>
      </c>
      <c r="X288" s="174"/>
      <c r="Y288" s="174"/>
      <c r="Z288" s="174"/>
      <c r="AA288" s="117"/>
    </row>
    <row r="289" spans="1:27" ht="13.5" thickBot="1">
      <c r="A289" s="417"/>
      <c r="B289" s="411"/>
      <c r="C289" s="261">
        <f t="shared" si="65"/>
        <v>39913</v>
      </c>
      <c r="D289" s="161"/>
      <c r="E289" s="162"/>
      <c r="F289" s="163"/>
      <c r="G289" s="164">
        <f t="shared" si="61"/>
        <v>0</v>
      </c>
      <c r="H289" s="147"/>
      <c r="I289" s="165"/>
      <c r="J289" s="149" t="str">
        <f t="shared" ca="1" si="54"/>
        <v/>
      </c>
      <c r="K289" s="150" t="b">
        <f t="shared" ca="1" si="63"/>
        <v>0</v>
      </c>
      <c r="L289" s="364">
        <f t="shared" si="62"/>
        <v>4</v>
      </c>
      <c r="M289" s="267">
        <v>39913</v>
      </c>
      <c r="N289" s="166">
        <f t="shared" si="55"/>
        <v>4</v>
      </c>
      <c r="O289" s="167">
        <f t="shared" ca="1" si="56"/>
        <v>1</v>
      </c>
      <c r="P289" s="168">
        <f t="shared" si="57"/>
        <v>1</v>
      </c>
      <c r="Q289" s="169" t="b">
        <f t="shared" si="64"/>
        <v>0</v>
      </c>
      <c r="R289" s="170" t="b">
        <f t="shared" ca="1" si="58"/>
        <v>1</v>
      </c>
      <c r="S289" s="166"/>
      <c r="T289" s="166"/>
      <c r="U289" s="171">
        <f t="shared" ca="1" si="59"/>
        <v>0.29166666666666669</v>
      </c>
      <c r="V289" s="172"/>
      <c r="W289" s="173">
        <f t="shared" si="60"/>
        <v>0</v>
      </c>
      <c r="X289" s="174"/>
      <c r="Y289" s="174"/>
      <c r="Z289" s="174"/>
      <c r="AA289" s="117"/>
    </row>
    <row r="290" spans="1:27" ht="13.5" thickBot="1">
      <c r="A290" s="417"/>
      <c r="B290" s="411"/>
      <c r="C290" s="262">
        <f t="shared" si="65"/>
        <v>39914</v>
      </c>
      <c r="D290" s="175"/>
      <c r="E290" s="176"/>
      <c r="F290" s="177"/>
      <c r="G290" s="178">
        <f t="shared" si="61"/>
        <v>0</v>
      </c>
      <c r="H290" s="279"/>
      <c r="I290" s="179"/>
      <c r="J290" s="180" t="str">
        <f t="shared" ca="1" si="54"/>
        <v/>
      </c>
      <c r="K290" s="181" t="b">
        <f t="shared" ca="1" si="63"/>
        <v>0</v>
      </c>
      <c r="L290" s="365">
        <f t="shared" si="62"/>
        <v>4</v>
      </c>
      <c r="M290" s="271">
        <v>39914</v>
      </c>
      <c r="N290" s="182">
        <f t="shared" si="55"/>
        <v>5</v>
      </c>
      <c r="O290" s="183">
        <f t="shared" ca="1" si="56"/>
        <v>1</v>
      </c>
      <c r="P290" s="184">
        <f t="shared" si="57"/>
        <v>1</v>
      </c>
      <c r="Q290" s="185" t="b">
        <f t="shared" si="64"/>
        <v>0</v>
      </c>
      <c r="R290" s="186" t="b">
        <f t="shared" ca="1" si="58"/>
        <v>1</v>
      </c>
      <c r="S290" s="182"/>
      <c r="T290" s="182"/>
      <c r="U290" s="187"/>
      <c r="V290" s="172"/>
      <c r="W290" s="188">
        <f t="shared" si="60"/>
        <v>0</v>
      </c>
      <c r="X290" s="174"/>
      <c r="Y290" s="174"/>
      <c r="Z290" s="174"/>
      <c r="AA290" s="117"/>
    </row>
    <row r="291" spans="1:27" ht="13.5" thickBot="1">
      <c r="A291" s="418"/>
      <c r="B291" s="412"/>
      <c r="C291" s="263">
        <f t="shared" si="65"/>
        <v>39915</v>
      </c>
      <c r="D291" s="189"/>
      <c r="E291" s="190"/>
      <c r="F291" s="191"/>
      <c r="G291" s="192">
        <f t="shared" si="61"/>
        <v>0</v>
      </c>
      <c r="H291" s="280"/>
      <c r="I291" s="193"/>
      <c r="J291" s="194" t="str">
        <f t="shared" ca="1" si="54"/>
        <v/>
      </c>
      <c r="K291" s="195" t="b">
        <f t="shared" ca="1" si="63"/>
        <v>0</v>
      </c>
      <c r="L291" s="366">
        <f t="shared" si="62"/>
        <v>4</v>
      </c>
      <c r="M291" s="272">
        <v>39915</v>
      </c>
      <c r="N291" s="196">
        <f t="shared" si="55"/>
        <v>6</v>
      </c>
      <c r="O291" s="197">
        <f t="shared" ca="1" si="56"/>
        <v>0</v>
      </c>
      <c r="P291" s="198">
        <f t="shared" si="57"/>
        <v>0</v>
      </c>
      <c r="Q291" s="199" t="b">
        <f t="shared" si="64"/>
        <v>0</v>
      </c>
      <c r="R291" s="200" t="b">
        <f t="shared" ca="1" si="58"/>
        <v>1</v>
      </c>
      <c r="S291" s="196" t="b">
        <f>AND(R291,R285)</f>
        <v>1</v>
      </c>
      <c r="T291" s="196" t="b">
        <f>OR(R291,R285)</f>
        <v>1</v>
      </c>
      <c r="U291" s="201"/>
      <c r="V291" s="202">
        <f ca="1">IF(Sem_entame,SUM(U285:U291),"")</f>
        <v>1.4583333333333335</v>
      </c>
      <c r="W291" s="203">
        <f t="shared" si="60"/>
        <v>0</v>
      </c>
      <c r="X291" s="204">
        <f ca="1">SUM(W285:W291)</f>
        <v>0</v>
      </c>
      <c r="Y291" s="204">
        <f ca="1">IF(Sem_entame,X291-V291,"")</f>
        <v>-1.4583333333333335</v>
      </c>
      <c r="Z291" s="204">
        <f ca="1">IF(Sem_entame,Y291+IF(ISNUMBER(Z284),Z284,0),"")</f>
        <v>-56.145833333333364</v>
      </c>
      <c r="AA291" s="117"/>
    </row>
    <row r="292" spans="1:27" ht="12.75" customHeight="1" thickBot="1">
      <c r="A292" s="416">
        <f>A285+1</f>
        <v>42</v>
      </c>
      <c r="B292" s="411" t="str">
        <f>IF(L292&lt;&gt;L298,TEXT(C298,"mmm"&amp;"-"),"")&amp;TEXT(C292,"mmm")</f>
        <v>avr</v>
      </c>
      <c r="C292" s="260">
        <f t="shared" si="65"/>
        <v>39916</v>
      </c>
      <c r="D292" s="144"/>
      <c r="E292" s="145"/>
      <c r="F292" s="146"/>
      <c r="G292" s="147">
        <f t="shared" si="61"/>
        <v>0</v>
      </c>
      <c r="H292" s="147"/>
      <c r="I292" s="148"/>
      <c r="J292" s="207" t="str">
        <f t="shared" ca="1" si="54"/>
        <v/>
      </c>
      <c r="K292" s="150" t="b">
        <f t="shared" ca="1" si="63"/>
        <v>0</v>
      </c>
      <c r="L292" s="362">
        <f t="shared" si="62"/>
        <v>4</v>
      </c>
      <c r="M292" s="266">
        <v>39916</v>
      </c>
      <c r="N292" s="151">
        <f t="shared" si="55"/>
        <v>7</v>
      </c>
      <c r="O292" s="152">
        <f t="shared" ca="1" si="56"/>
        <v>0</v>
      </c>
      <c r="P292" s="153">
        <f t="shared" si="57"/>
        <v>0</v>
      </c>
      <c r="Q292" s="154" t="b">
        <f t="shared" si="64"/>
        <v>0</v>
      </c>
      <c r="R292" s="155" t="b">
        <f t="shared" ca="1" si="58"/>
        <v>1</v>
      </c>
      <c r="S292" s="156"/>
      <c r="T292" s="156"/>
      <c r="U292" s="157">
        <f t="shared" ca="1" si="59"/>
        <v>0.29166666666666669</v>
      </c>
      <c r="V292" s="158"/>
      <c r="W292" s="159">
        <f t="shared" si="60"/>
        <v>0</v>
      </c>
      <c r="X292" s="160"/>
      <c r="Y292" s="160"/>
      <c r="Z292" s="160"/>
      <c r="AA292" s="117"/>
    </row>
    <row r="293" spans="1:27" ht="13.5" thickBot="1">
      <c r="A293" s="417"/>
      <c r="B293" s="411"/>
      <c r="C293" s="261">
        <f t="shared" si="65"/>
        <v>39917</v>
      </c>
      <c r="D293" s="161"/>
      <c r="E293" s="162"/>
      <c r="F293" s="163"/>
      <c r="G293" s="164">
        <f t="shared" si="61"/>
        <v>0</v>
      </c>
      <c r="H293" s="147"/>
      <c r="I293" s="165"/>
      <c r="J293" s="149" t="str">
        <f t="shared" ca="1" si="54"/>
        <v/>
      </c>
      <c r="K293" s="150" t="b">
        <f t="shared" ca="1" si="63"/>
        <v>0</v>
      </c>
      <c r="L293" s="364">
        <f t="shared" si="62"/>
        <v>4</v>
      </c>
      <c r="M293" s="267">
        <v>39917</v>
      </c>
      <c r="N293" s="166">
        <f t="shared" si="55"/>
        <v>1</v>
      </c>
      <c r="O293" s="167">
        <f t="shared" ca="1" si="56"/>
        <v>1</v>
      </c>
      <c r="P293" s="168">
        <f t="shared" si="57"/>
        <v>1</v>
      </c>
      <c r="Q293" s="169" t="b">
        <f t="shared" si="64"/>
        <v>0</v>
      </c>
      <c r="R293" s="170" t="b">
        <f t="shared" ca="1" si="58"/>
        <v>1</v>
      </c>
      <c r="S293" s="166"/>
      <c r="T293" s="166"/>
      <c r="U293" s="171">
        <f t="shared" ca="1" si="59"/>
        <v>0.29166666666666669</v>
      </c>
      <c r="V293" s="172"/>
      <c r="W293" s="173">
        <f t="shared" si="60"/>
        <v>0</v>
      </c>
      <c r="X293" s="174"/>
      <c r="Y293" s="174"/>
      <c r="Z293" s="174"/>
      <c r="AA293" s="117"/>
    </row>
    <row r="294" spans="1:27" ht="13.5" thickBot="1">
      <c r="A294" s="417"/>
      <c r="B294" s="411"/>
      <c r="C294" s="261">
        <f t="shared" si="65"/>
        <v>39918</v>
      </c>
      <c r="D294" s="161"/>
      <c r="E294" s="162"/>
      <c r="F294" s="163"/>
      <c r="G294" s="164">
        <f t="shared" si="61"/>
        <v>0</v>
      </c>
      <c r="H294" s="147"/>
      <c r="I294" s="165"/>
      <c r="J294" s="149" t="str">
        <f t="shared" ca="1" si="54"/>
        <v/>
      </c>
      <c r="K294" s="150" t="b">
        <f t="shared" ca="1" si="63"/>
        <v>0</v>
      </c>
      <c r="L294" s="364">
        <f t="shared" si="62"/>
        <v>4</v>
      </c>
      <c r="M294" s="267">
        <v>39918</v>
      </c>
      <c r="N294" s="166">
        <f t="shared" si="55"/>
        <v>2</v>
      </c>
      <c r="O294" s="167">
        <f t="shared" ca="1" si="56"/>
        <v>1</v>
      </c>
      <c r="P294" s="168">
        <f t="shared" si="57"/>
        <v>1</v>
      </c>
      <c r="Q294" s="169" t="b">
        <f t="shared" si="64"/>
        <v>0</v>
      </c>
      <c r="R294" s="170" t="b">
        <f t="shared" ca="1" si="58"/>
        <v>1</v>
      </c>
      <c r="S294" s="166"/>
      <c r="T294" s="166"/>
      <c r="U294" s="171">
        <f t="shared" ca="1" si="59"/>
        <v>0.29166666666666669</v>
      </c>
      <c r="V294" s="172"/>
      <c r="W294" s="173">
        <f t="shared" si="60"/>
        <v>0</v>
      </c>
      <c r="X294" s="174"/>
      <c r="Y294" s="174"/>
      <c r="Z294" s="174"/>
      <c r="AA294" s="117"/>
    </row>
    <row r="295" spans="1:27" ht="13.5" thickBot="1">
      <c r="A295" s="417"/>
      <c r="B295" s="411"/>
      <c r="C295" s="261">
        <f t="shared" si="65"/>
        <v>39919</v>
      </c>
      <c r="D295" s="161"/>
      <c r="E295" s="162"/>
      <c r="F295" s="163"/>
      <c r="G295" s="164">
        <f t="shared" si="61"/>
        <v>0</v>
      </c>
      <c r="H295" s="147"/>
      <c r="I295" s="165"/>
      <c r="J295" s="149" t="str">
        <f t="shared" ca="1" si="54"/>
        <v/>
      </c>
      <c r="K295" s="150" t="b">
        <f t="shared" ca="1" si="63"/>
        <v>0</v>
      </c>
      <c r="L295" s="364">
        <f t="shared" si="62"/>
        <v>4</v>
      </c>
      <c r="M295" s="267">
        <v>39919</v>
      </c>
      <c r="N295" s="166">
        <f t="shared" si="55"/>
        <v>3</v>
      </c>
      <c r="O295" s="167">
        <f t="shared" ca="1" si="56"/>
        <v>1</v>
      </c>
      <c r="P295" s="168">
        <f t="shared" si="57"/>
        <v>1</v>
      </c>
      <c r="Q295" s="169" t="b">
        <f t="shared" si="64"/>
        <v>0</v>
      </c>
      <c r="R295" s="170" t="b">
        <f t="shared" ca="1" si="58"/>
        <v>1</v>
      </c>
      <c r="S295" s="166"/>
      <c r="T295" s="166"/>
      <c r="U295" s="171">
        <f t="shared" ca="1" si="59"/>
        <v>0.29166666666666669</v>
      </c>
      <c r="V295" s="172"/>
      <c r="W295" s="173">
        <f t="shared" si="60"/>
        <v>0</v>
      </c>
      <c r="X295" s="174"/>
      <c r="Y295" s="174"/>
      <c r="Z295" s="174"/>
      <c r="AA295" s="117"/>
    </row>
    <row r="296" spans="1:27" ht="13.5" thickBot="1">
      <c r="A296" s="417"/>
      <c r="B296" s="411"/>
      <c r="C296" s="261">
        <f t="shared" si="65"/>
        <v>39920</v>
      </c>
      <c r="D296" s="161"/>
      <c r="E296" s="162"/>
      <c r="F296" s="163"/>
      <c r="G296" s="164">
        <f t="shared" si="61"/>
        <v>0</v>
      </c>
      <c r="H296" s="147"/>
      <c r="I296" s="165"/>
      <c r="J296" s="149" t="str">
        <f t="shared" ca="1" si="54"/>
        <v/>
      </c>
      <c r="K296" s="150" t="b">
        <f t="shared" ca="1" si="63"/>
        <v>0</v>
      </c>
      <c r="L296" s="364">
        <f t="shared" si="62"/>
        <v>4</v>
      </c>
      <c r="M296" s="267">
        <v>39920</v>
      </c>
      <c r="N296" s="166">
        <f t="shared" si="55"/>
        <v>4</v>
      </c>
      <c r="O296" s="167">
        <f t="shared" ca="1" si="56"/>
        <v>1</v>
      </c>
      <c r="P296" s="168">
        <f t="shared" si="57"/>
        <v>1</v>
      </c>
      <c r="Q296" s="169" t="b">
        <f t="shared" si="64"/>
        <v>0</v>
      </c>
      <c r="R296" s="170" t="b">
        <f t="shared" ca="1" si="58"/>
        <v>1</v>
      </c>
      <c r="S296" s="166"/>
      <c r="T296" s="166"/>
      <c r="U296" s="171">
        <f t="shared" ca="1" si="59"/>
        <v>0.29166666666666669</v>
      </c>
      <c r="V296" s="172"/>
      <c r="W296" s="173">
        <f t="shared" si="60"/>
        <v>0</v>
      </c>
      <c r="X296" s="174"/>
      <c r="Y296" s="174"/>
      <c r="Z296" s="174"/>
      <c r="AA296" s="117"/>
    </row>
    <row r="297" spans="1:27" ht="13.5" thickBot="1">
      <c r="A297" s="417"/>
      <c r="B297" s="411"/>
      <c r="C297" s="262">
        <f t="shared" si="65"/>
        <v>39921</v>
      </c>
      <c r="D297" s="175"/>
      <c r="E297" s="176"/>
      <c r="F297" s="177"/>
      <c r="G297" s="178">
        <f t="shared" si="61"/>
        <v>0</v>
      </c>
      <c r="H297" s="279"/>
      <c r="I297" s="179"/>
      <c r="J297" s="180" t="str">
        <f t="shared" ca="1" si="54"/>
        <v/>
      </c>
      <c r="K297" s="181" t="b">
        <f t="shared" ca="1" si="63"/>
        <v>0</v>
      </c>
      <c r="L297" s="365">
        <f t="shared" si="62"/>
        <v>4</v>
      </c>
      <c r="M297" s="271">
        <v>39921</v>
      </c>
      <c r="N297" s="182">
        <f t="shared" si="55"/>
        <v>5</v>
      </c>
      <c r="O297" s="183">
        <f t="shared" ca="1" si="56"/>
        <v>1</v>
      </c>
      <c r="P297" s="184">
        <f t="shared" si="57"/>
        <v>1</v>
      </c>
      <c r="Q297" s="185" t="b">
        <f t="shared" si="64"/>
        <v>0</v>
      </c>
      <c r="R297" s="186" t="b">
        <f t="shared" ca="1" si="58"/>
        <v>1</v>
      </c>
      <c r="S297" s="182"/>
      <c r="T297" s="182"/>
      <c r="U297" s="187"/>
      <c r="V297" s="172"/>
      <c r="W297" s="188">
        <f t="shared" si="60"/>
        <v>0</v>
      </c>
      <c r="X297" s="174"/>
      <c r="Y297" s="174"/>
      <c r="Z297" s="174"/>
      <c r="AA297" s="117"/>
    </row>
    <row r="298" spans="1:27" ht="13.5" thickBot="1">
      <c r="A298" s="418"/>
      <c r="B298" s="412"/>
      <c r="C298" s="263">
        <f t="shared" si="65"/>
        <v>39922</v>
      </c>
      <c r="D298" s="189"/>
      <c r="E298" s="190"/>
      <c r="F298" s="191"/>
      <c r="G298" s="192">
        <f t="shared" si="61"/>
        <v>0</v>
      </c>
      <c r="H298" s="280"/>
      <c r="I298" s="193"/>
      <c r="J298" s="194" t="str">
        <f t="shared" ca="1" si="54"/>
        <v/>
      </c>
      <c r="K298" s="195" t="b">
        <f t="shared" ca="1" si="63"/>
        <v>0</v>
      </c>
      <c r="L298" s="366">
        <f t="shared" si="62"/>
        <v>4</v>
      </c>
      <c r="M298" s="272">
        <v>39922</v>
      </c>
      <c r="N298" s="196">
        <f t="shared" si="55"/>
        <v>6</v>
      </c>
      <c r="O298" s="197">
        <f t="shared" ca="1" si="56"/>
        <v>0</v>
      </c>
      <c r="P298" s="198">
        <f t="shared" si="57"/>
        <v>0</v>
      </c>
      <c r="Q298" s="199" t="b">
        <f t="shared" si="64"/>
        <v>0</v>
      </c>
      <c r="R298" s="200" t="b">
        <f t="shared" ca="1" si="58"/>
        <v>1</v>
      </c>
      <c r="S298" s="196" t="b">
        <f>AND(R298,R292)</f>
        <v>1</v>
      </c>
      <c r="T298" s="196" t="b">
        <f>OR(R298,R292)</f>
        <v>1</v>
      </c>
      <c r="U298" s="201"/>
      <c r="V298" s="202">
        <f ca="1">IF(Sem_entame,SUM(U292:U298),"")</f>
        <v>1.4583333333333335</v>
      </c>
      <c r="W298" s="203">
        <f t="shared" si="60"/>
        <v>0</v>
      </c>
      <c r="X298" s="204">
        <f ca="1">SUM(W292:W298)</f>
        <v>0</v>
      </c>
      <c r="Y298" s="204">
        <f ca="1">IF(Sem_entame,X298-V298,"")</f>
        <v>-1.4583333333333335</v>
      </c>
      <c r="Z298" s="204">
        <f ca="1">IF(Sem_entame,Y298+IF(ISNUMBER(Z291),Z291,0),"")</f>
        <v>-57.6041666666667</v>
      </c>
      <c r="AA298" s="117"/>
    </row>
    <row r="299" spans="1:27" ht="12.75" customHeight="1" thickBot="1">
      <c r="A299" s="416">
        <f>A292+1</f>
        <v>43</v>
      </c>
      <c r="B299" s="411" t="str">
        <f>IF(L299&lt;&gt;L305,TEXT(C305,"mmm"&amp;"-"),"")&amp;TEXT(C299,"mmm")</f>
        <v>avr</v>
      </c>
      <c r="C299" s="260">
        <f t="shared" si="65"/>
        <v>39923</v>
      </c>
      <c r="D299" s="144"/>
      <c r="E299" s="145"/>
      <c r="F299" s="146"/>
      <c r="G299" s="147">
        <f t="shared" si="61"/>
        <v>0</v>
      </c>
      <c r="H299" s="147"/>
      <c r="I299" s="148"/>
      <c r="J299" s="207" t="str">
        <f t="shared" ca="1" si="54"/>
        <v/>
      </c>
      <c r="K299" s="150" t="b">
        <f t="shared" ca="1" si="63"/>
        <v>0</v>
      </c>
      <c r="L299" s="362">
        <f t="shared" si="62"/>
        <v>4</v>
      </c>
      <c r="M299" s="266">
        <v>39923</v>
      </c>
      <c r="N299" s="151">
        <f t="shared" si="55"/>
        <v>7</v>
      </c>
      <c r="O299" s="152">
        <f t="shared" ca="1" si="56"/>
        <v>0</v>
      </c>
      <c r="P299" s="153">
        <f t="shared" si="57"/>
        <v>0</v>
      </c>
      <c r="Q299" s="154" t="b">
        <f t="shared" si="64"/>
        <v>0</v>
      </c>
      <c r="R299" s="155" t="b">
        <f t="shared" ca="1" si="58"/>
        <v>1</v>
      </c>
      <c r="S299" s="156"/>
      <c r="T299" s="156"/>
      <c r="U299" s="157">
        <f t="shared" ca="1" si="59"/>
        <v>0.29166666666666669</v>
      </c>
      <c r="V299" s="158"/>
      <c r="W299" s="159">
        <f t="shared" si="60"/>
        <v>0</v>
      </c>
      <c r="X299" s="160"/>
      <c r="Y299" s="160"/>
      <c r="Z299" s="160"/>
      <c r="AA299" s="117"/>
    </row>
    <row r="300" spans="1:27" ht="13.5" thickBot="1">
      <c r="A300" s="417"/>
      <c r="B300" s="411"/>
      <c r="C300" s="261">
        <f t="shared" si="65"/>
        <v>39924</v>
      </c>
      <c r="D300" s="161"/>
      <c r="E300" s="162"/>
      <c r="F300" s="163"/>
      <c r="G300" s="164">
        <f t="shared" si="61"/>
        <v>0</v>
      </c>
      <c r="H300" s="147"/>
      <c r="I300" s="165"/>
      <c r="J300" s="149" t="str">
        <f t="shared" ca="1" si="54"/>
        <v/>
      </c>
      <c r="K300" s="150" t="b">
        <f t="shared" ca="1" si="63"/>
        <v>0</v>
      </c>
      <c r="L300" s="364">
        <f t="shared" si="62"/>
        <v>4</v>
      </c>
      <c r="M300" s="267">
        <v>39924</v>
      </c>
      <c r="N300" s="166">
        <f t="shared" si="55"/>
        <v>1</v>
      </c>
      <c r="O300" s="167">
        <f t="shared" ca="1" si="56"/>
        <v>1</v>
      </c>
      <c r="P300" s="168">
        <f t="shared" si="57"/>
        <v>1</v>
      </c>
      <c r="Q300" s="169" t="b">
        <f t="shared" si="64"/>
        <v>0</v>
      </c>
      <c r="R300" s="170" t="b">
        <f t="shared" ca="1" si="58"/>
        <v>1</v>
      </c>
      <c r="S300" s="166"/>
      <c r="T300" s="166"/>
      <c r="U300" s="171">
        <f t="shared" ca="1" si="59"/>
        <v>0.29166666666666669</v>
      </c>
      <c r="V300" s="172"/>
      <c r="W300" s="173">
        <f t="shared" si="60"/>
        <v>0</v>
      </c>
      <c r="X300" s="174"/>
      <c r="Y300" s="174"/>
      <c r="Z300" s="174"/>
      <c r="AA300" s="117"/>
    </row>
    <row r="301" spans="1:27" ht="13.5" thickBot="1">
      <c r="A301" s="417"/>
      <c r="B301" s="411"/>
      <c r="C301" s="261">
        <f t="shared" si="65"/>
        <v>39925</v>
      </c>
      <c r="D301" s="161"/>
      <c r="E301" s="162"/>
      <c r="F301" s="163"/>
      <c r="G301" s="164">
        <f t="shared" si="61"/>
        <v>0</v>
      </c>
      <c r="H301" s="147"/>
      <c r="I301" s="165"/>
      <c r="J301" s="149" t="str">
        <f t="shared" ca="1" si="54"/>
        <v/>
      </c>
      <c r="K301" s="150" t="b">
        <f t="shared" ca="1" si="63"/>
        <v>0</v>
      </c>
      <c r="L301" s="364">
        <f t="shared" si="62"/>
        <v>4</v>
      </c>
      <c r="M301" s="267">
        <v>39925</v>
      </c>
      <c r="N301" s="166">
        <f t="shared" si="55"/>
        <v>2</v>
      </c>
      <c r="O301" s="167">
        <f t="shared" ca="1" si="56"/>
        <v>1</v>
      </c>
      <c r="P301" s="168">
        <f t="shared" si="57"/>
        <v>1</v>
      </c>
      <c r="Q301" s="169" t="b">
        <f t="shared" si="64"/>
        <v>0</v>
      </c>
      <c r="R301" s="170" t="b">
        <f t="shared" ca="1" si="58"/>
        <v>1</v>
      </c>
      <c r="S301" s="166"/>
      <c r="T301" s="166"/>
      <c r="U301" s="171">
        <f t="shared" ca="1" si="59"/>
        <v>0.29166666666666669</v>
      </c>
      <c r="V301" s="172"/>
      <c r="W301" s="173">
        <f t="shared" si="60"/>
        <v>0</v>
      </c>
      <c r="X301" s="174"/>
      <c r="Y301" s="174"/>
      <c r="Z301" s="174"/>
      <c r="AA301" s="117"/>
    </row>
    <row r="302" spans="1:27" ht="13.5" thickBot="1">
      <c r="A302" s="417"/>
      <c r="B302" s="411"/>
      <c r="C302" s="261">
        <f t="shared" si="65"/>
        <v>39926</v>
      </c>
      <c r="D302" s="161"/>
      <c r="E302" s="162"/>
      <c r="F302" s="163"/>
      <c r="G302" s="164">
        <f t="shared" si="61"/>
        <v>0</v>
      </c>
      <c r="H302" s="147"/>
      <c r="I302" s="165"/>
      <c r="J302" s="149" t="str">
        <f t="shared" ca="1" si="54"/>
        <v/>
      </c>
      <c r="K302" s="150" t="b">
        <f t="shared" ca="1" si="63"/>
        <v>0</v>
      </c>
      <c r="L302" s="364">
        <f t="shared" si="62"/>
        <v>4</v>
      </c>
      <c r="M302" s="267">
        <v>39926</v>
      </c>
      <c r="N302" s="166">
        <f t="shared" si="55"/>
        <v>3</v>
      </c>
      <c r="O302" s="167">
        <f t="shared" ca="1" si="56"/>
        <v>1</v>
      </c>
      <c r="P302" s="168">
        <f t="shared" si="57"/>
        <v>1</v>
      </c>
      <c r="Q302" s="169" t="b">
        <f t="shared" si="64"/>
        <v>0</v>
      </c>
      <c r="R302" s="170" t="b">
        <f t="shared" ca="1" si="58"/>
        <v>1</v>
      </c>
      <c r="S302" s="166"/>
      <c r="T302" s="166"/>
      <c r="U302" s="171">
        <f t="shared" ca="1" si="59"/>
        <v>0.29166666666666669</v>
      </c>
      <c r="V302" s="172"/>
      <c r="W302" s="173">
        <f t="shared" si="60"/>
        <v>0</v>
      </c>
      <c r="X302" s="174"/>
      <c r="Y302" s="174"/>
      <c r="Z302" s="174"/>
      <c r="AA302" s="117"/>
    </row>
    <row r="303" spans="1:27" ht="13.5" thickBot="1">
      <c r="A303" s="417"/>
      <c r="B303" s="411"/>
      <c r="C303" s="261">
        <f t="shared" si="65"/>
        <v>39927</v>
      </c>
      <c r="D303" s="161"/>
      <c r="E303" s="162"/>
      <c r="F303" s="163"/>
      <c r="G303" s="164">
        <f t="shared" si="61"/>
        <v>0</v>
      </c>
      <c r="H303" s="147"/>
      <c r="I303" s="165"/>
      <c r="J303" s="149" t="str">
        <f t="shared" ca="1" si="54"/>
        <v/>
      </c>
      <c r="K303" s="150" t="b">
        <f t="shared" ca="1" si="63"/>
        <v>0</v>
      </c>
      <c r="L303" s="364">
        <f t="shared" si="62"/>
        <v>4</v>
      </c>
      <c r="M303" s="267">
        <v>39927</v>
      </c>
      <c r="N303" s="166">
        <f t="shared" si="55"/>
        <v>4</v>
      </c>
      <c r="O303" s="167">
        <f t="shared" ca="1" si="56"/>
        <v>1</v>
      </c>
      <c r="P303" s="168">
        <f t="shared" si="57"/>
        <v>1</v>
      </c>
      <c r="Q303" s="169" t="b">
        <f t="shared" si="64"/>
        <v>0</v>
      </c>
      <c r="R303" s="170" t="b">
        <f t="shared" ca="1" si="58"/>
        <v>1</v>
      </c>
      <c r="S303" s="166"/>
      <c r="T303" s="166"/>
      <c r="U303" s="171">
        <f t="shared" ca="1" si="59"/>
        <v>0.29166666666666669</v>
      </c>
      <c r="V303" s="172"/>
      <c r="W303" s="173">
        <f t="shared" si="60"/>
        <v>0</v>
      </c>
      <c r="X303" s="174"/>
      <c r="Y303" s="174"/>
      <c r="Z303" s="174"/>
      <c r="AA303" s="117"/>
    </row>
    <row r="304" spans="1:27" ht="13.5" thickBot="1">
      <c r="A304" s="417"/>
      <c r="B304" s="411"/>
      <c r="C304" s="262">
        <f t="shared" si="65"/>
        <v>39928</v>
      </c>
      <c r="D304" s="175"/>
      <c r="E304" s="176"/>
      <c r="F304" s="177"/>
      <c r="G304" s="178">
        <f t="shared" si="61"/>
        <v>0</v>
      </c>
      <c r="H304" s="279"/>
      <c r="I304" s="179"/>
      <c r="J304" s="180" t="str">
        <f t="shared" ca="1" si="54"/>
        <v/>
      </c>
      <c r="K304" s="181" t="b">
        <f t="shared" ca="1" si="63"/>
        <v>0</v>
      </c>
      <c r="L304" s="365">
        <f t="shared" si="62"/>
        <v>4</v>
      </c>
      <c r="M304" s="271">
        <v>39928</v>
      </c>
      <c r="N304" s="182">
        <f t="shared" si="55"/>
        <v>5</v>
      </c>
      <c r="O304" s="183">
        <f t="shared" ca="1" si="56"/>
        <v>1</v>
      </c>
      <c r="P304" s="184">
        <f t="shared" si="57"/>
        <v>1</v>
      </c>
      <c r="Q304" s="185" t="b">
        <f t="shared" si="64"/>
        <v>0</v>
      </c>
      <c r="R304" s="186" t="b">
        <f t="shared" ca="1" si="58"/>
        <v>1</v>
      </c>
      <c r="S304" s="182"/>
      <c r="T304" s="182"/>
      <c r="U304" s="187"/>
      <c r="V304" s="172"/>
      <c r="W304" s="188">
        <f t="shared" si="60"/>
        <v>0</v>
      </c>
      <c r="X304" s="174"/>
      <c r="Y304" s="174"/>
      <c r="Z304" s="174"/>
      <c r="AA304" s="117"/>
    </row>
    <row r="305" spans="1:27" ht="13.5" thickBot="1">
      <c r="A305" s="418"/>
      <c r="B305" s="412"/>
      <c r="C305" s="263">
        <f t="shared" si="65"/>
        <v>39929</v>
      </c>
      <c r="D305" s="189"/>
      <c r="E305" s="190"/>
      <c r="F305" s="191"/>
      <c r="G305" s="192">
        <f t="shared" si="61"/>
        <v>0</v>
      </c>
      <c r="H305" s="280"/>
      <c r="I305" s="193"/>
      <c r="J305" s="194" t="str">
        <f t="shared" ca="1" si="54"/>
        <v/>
      </c>
      <c r="K305" s="195" t="b">
        <f t="shared" ca="1" si="63"/>
        <v>0</v>
      </c>
      <c r="L305" s="366">
        <f t="shared" si="62"/>
        <v>4</v>
      </c>
      <c r="M305" s="272">
        <v>39929</v>
      </c>
      <c r="N305" s="196">
        <f t="shared" si="55"/>
        <v>6</v>
      </c>
      <c r="O305" s="197">
        <f t="shared" ca="1" si="56"/>
        <v>0</v>
      </c>
      <c r="P305" s="198">
        <f t="shared" si="57"/>
        <v>0</v>
      </c>
      <c r="Q305" s="199" t="b">
        <f t="shared" si="64"/>
        <v>0</v>
      </c>
      <c r="R305" s="200" t="b">
        <f t="shared" ca="1" si="58"/>
        <v>1</v>
      </c>
      <c r="S305" s="196" t="b">
        <f>AND(R305,R299)</f>
        <v>1</v>
      </c>
      <c r="T305" s="196" t="b">
        <f>OR(R305,R299)</f>
        <v>1</v>
      </c>
      <c r="U305" s="201"/>
      <c r="V305" s="202">
        <f ca="1">IF(Sem_entame,SUM(U299:U305),"")</f>
        <v>1.4583333333333335</v>
      </c>
      <c r="W305" s="203">
        <f t="shared" si="60"/>
        <v>0</v>
      </c>
      <c r="X305" s="204">
        <f ca="1">SUM(W299:W305)</f>
        <v>0</v>
      </c>
      <c r="Y305" s="204">
        <f ca="1">IF(Sem_entame,X305-V305,"")</f>
        <v>-1.4583333333333335</v>
      </c>
      <c r="Z305" s="204">
        <f ca="1">IF(Sem_entame,Y305+IF(ISNUMBER(Z298),Z298,0),"")</f>
        <v>-59.062500000000036</v>
      </c>
      <c r="AA305" s="117"/>
    </row>
    <row r="306" spans="1:27" ht="12.75" customHeight="1" thickBot="1">
      <c r="A306" s="416">
        <f>A299+1</f>
        <v>44</v>
      </c>
      <c r="B306" s="411" t="str">
        <f>IF(L306&lt;&gt;L312,TEXT(C312,"mmm"&amp;"-"),"")&amp;TEXT(C306,"mmm")</f>
        <v>mai-avr</v>
      </c>
      <c r="C306" s="260">
        <f>C305+1</f>
        <v>39930</v>
      </c>
      <c r="D306" s="144"/>
      <c r="E306" s="145"/>
      <c r="F306" s="146"/>
      <c r="G306" s="147">
        <f t="shared" si="61"/>
        <v>0</v>
      </c>
      <c r="H306" s="147"/>
      <c r="I306" s="148"/>
      <c r="J306" s="207" t="str">
        <f t="shared" ca="1" si="54"/>
        <v/>
      </c>
      <c r="K306" s="150" t="b">
        <f t="shared" ca="1" si="63"/>
        <v>0</v>
      </c>
      <c r="L306" s="362">
        <f t="shared" si="62"/>
        <v>4</v>
      </c>
      <c r="M306" s="266">
        <v>39930</v>
      </c>
      <c r="N306" s="151">
        <f t="shared" si="55"/>
        <v>7</v>
      </c>
      <c r="O306" s="152">
        <f t="shared" ca="1" si="56"/>
        <v>0</v>
      </c>
      <c r="P306" s="153">
        <f t="shared" si="57"/>
        <v>0</v>
      </c>
      <c r="Q306" s="154" t="b">
        <f t="shared" si="64"/>
        <v>0</v>
      </c>
      <c r="R306" s="155" t="b">
        <f t="shared" ca="1" si="58"/>
        <v>1</v>
      </c>
      <c r="S306" s="156"/>
      <c r="T306" s="156"/>
      <c r="U306" s="157">
        <f t="shared" ca="1" si="59"/>
        <v>0.29166666666666669</v>
      </c>
      <c r="V306" s="158"/>
      <c r="W306" s="159">
        <f t="shared" si="60"/>
        <v>0</v>
      </c>
      <c r="X306" s="160"/>
      <c r="Y306" s="160"/>
      <c r="Z306" s="160"/>
      <c r="AA306" s="117"/>
    </row>
    <row r="307" spans="1:27" ht="13.5" thickBot="1">
      <c r="A307" s="417"/>
      <c r="B307" s="411"/>
      <c r="C307" s="261">
        <f>C306+1</f>
        <v>39931</v>
      </c>
      <c r="D307" s="161"/>
      <c r="E307" s="162"/>
      <c r="F307" s="163"/>
      <c r="G307" s="164">
        <f t="shared" si="61"/>
        <v>0</v>
      </c>
      <c r="H307" s="147"/>
      <c r="I307" s="165"/>
      <c r="J307" s="149" t="str">
        <f t="shared" ca="1" si="54"/>
        <v/>
      </c>
      <c r="K307" s="150" t="b">
        <f t="shared" ca="1" si="63"/>
        <v>0</v>
      </c>
      <c r="L307" s="364">
        <f t="shared" si="62"/>
        <v>4</v>
      </c>
      <c r="M307" s="267">
        <v>39931</v>
      </c>
      <c r="N307" s="166">
        <f t="shared" si="55"/>
        <v>1</v>
      </c>
      <c r="O307" s="167">
        <f t="shared" ca="1" si="56"/>
        <v>1</v>
      </c>
      <c r="P307" s="168">
        <f t="shared" si="57"/>
        <v>1</v>
      </c>
      <c r="Q307" s="169" t="b">
        <f t="shared" si="64"/>
        <v>0</v>
      </c>
      <c r="R307" s="170" t="b">
        <f t="shared" ca="1" si="58"/>
        <v>1</v>
      </c>
      <c r="S307" s="166"/>
      <c r="T307" s="166"/>
      <c r="U307" s="171">
        <f t="shared" ca="1" si="59"/>
        <v>0.29166666666666669</v>
      </c>
      <c r="V307" s="172"/>
      <c r="W307" s="173">
        <f t="shared" si="60"/>
        <v>0</v>
      </c>
      <c r="X307" s="174"/>
      <c r="Y307" s="174"/>
      <c r="Z307" s="174"/>
      <c r="AA307" s="117"/>
    </row>
    <row r="308" spans="1:27" ht="13.5" thickBot="1">
      <c r="A308" s="417"/>
      <c r="B308" s="411"/>
      <c r="C308" s="261">
        <f t="shared" ref="C308:C333" si="66">C307+1</f>
        <v>39932</v>
      </c>
      <c r="D308" s="161"/>
      <c r="E308" s="162"/>
      <c r="F308" s="163"/>
      <c r="G308" s="164">
        <f t="shared" si="61"/>
        <v>0</v>
      </c>
      <c r="H308" s="147"/>
      <c r="I308" s="165"/>
      <c r="J308" s="149" t="str">
        <f t="shared" ca="1" si="54"/>
        <v/>
      </c>
      <c r="K308" s="150" t="b">
        <f t="shared" ca="1" si="63"/>
        <v>0</v>
      </c>
      <c r="L308" s="364">
        <f t="shared" si="62"/>
        <v>4</v>
      </c>
      <c r="M308" s="267">
        <v>39932</v>
      </c>
      <c r="N308" s="166">
        <f t="shared" si="55"/>
        <v>2</v>
      </c>
      <c r="O308" s="167">
        <f t="shared" ca="1" si="56"/>
        <v>1</v>
      </c>
      <c r="P308" s="168">
        <f t="shared" si="57"/>
        <v>1</v>
      </c>
      <c r="Q308" s="169" t="b">
        <f t="shared" si="64"/>
        <v>0</v>
      </c>
      <c r="R308" s="170" t="b">
        <f t="shared" ca="1" si="58"/>
        <v>1</v>
      </c>
      <c r="S308" s="166"/>
      <c r="T308" s="166"/>
      <c r="U308" s="171">
        <f t="shared" ca="1" si="59"/>
        <v>0.29166666666666669</v>
      </c>
      <c r="V308" s="172"/>
      <c r="W308" s="173">
        <f t="shared" si="60"/>
        <v>0</v>
      </c>
      <c r="X308" s="174"/>
      <c r="Y308" s="174"/>
      <c r="Z308" s="174"/>
      <c r="AA308" s="117"/>
    </row>
    <row r="309" spans="1:27" ht="13.5" thickBot="1">
      <c r="A309" s="417"/>
      <c r="B309" s="411"/>
      <c r="C309" s="261">
        <f t="shared" si="66"/>
        <v>39933</v>
      </c>
      <c r="D309" s="161"/>
      <c r="E309" s="162"/>
      <c r="F309" s="163"/>
      <c r="G309" s="164">
        <f t="shared" si="61"/>
        <v>0</v>
      </c>
      <c r="H309" s="147"/>
      <c r="I309" s="165"/>
      <c r="J309" s="149" t="str">
        <f t="shared" ca="1" si="54"/>
        <v/>
      </c>
      <c r="K309" s="150" t="b">
        <f t="shared" ca="1" si="63"/>
        <v>0</v>
      </c>
      <c r="L309" s="364">
        <f t="shared" si="62"/>
        <v>5</v>
      </c>
      <c r="M309" s="267">
        <v>39933</v>
      </c>
      <c r="N309" s="166">
        <f t="shared" si="55"/>
        <v>3</v>
      </c>
      <c r="O309" s="167">
        <f t="shared" ca="1" si="56"/>
        <v>0</v>
      </c>
      <c r="P309" s="168">
        <f t="shared" si="57"/>
        <v>1</v>
      </c>
      <c r="Q309" s="169" t="b">
        <f t="shared" si="64"/>
        <v>1</v>
      </c>
      <c r="R309" s="170" t="b">
        <f t="shared" ca="1" si="58"/>
        <v>1</v>
      </c>
      <c r="S309" s="166"/>
      <c r="T309" s="166"/>
      <c r="U309" s="171">
        <f t="shared" ca="1" si="59"/>
        <v>0.29166666666666669</v>
      </c>
      <c r="V309" s="172"/>
      <c r="W309" s="173">
        <f t="shared" si="60"/>
        <v>0</v>
      </c>
      <c r="X309" s="174"/>
      <c r="Y309" s="174"/>
      <c r="Z309" s="174"/>
      <c r="AA309" s="117"/>
    </row>
    <row r="310" spans="1:27" ht="13.5" thickBot="1">
      <c r="A310" s="417"/>
      <c r="B310" s="411"/>
      <c r="C310" s="261">
        <f t="shared" si="66"/>
        <v>39934</v>
      </c>
      <c r="D310" s="161"/>
      <c r="E310" s="162"/>
      <c r="F310" s="163"/>
      <c r="G310" s="164">
        <f t="shared" si="61"/>
        <v>0</v>
      </c>
      <c r="H310" s="147"/>
      <c r="I310" s="165"/>
      <c r="J310" s="149" t="str">
        <f t="shared" ca="1" si="54"/>
        <v/>
      </c>
      <c r="K310" s="150" t="b">
        <f t="shared" ca="1" si="63"/>
        <v>0</v>
      </c>
      <c r="L310" s="364">
        <f t="shared" si="62"/>
        <v>5</v>
      </c>
      <c r="M310" s="267">
        <v>39934</v>
      </c>
      <c r="N310" s="166">
        <f t="shared" si="55"/>
        <v>4</v>
      </c>
      <c r="O310" s="167">
        <f t="shared" ca="1" si="56"/>
        <v>1</v>
      </c>
      <c r="P310" s="168">
        <f t="shared" si="57"/>
        <v>1</v>
      </c>
      <c r="Q310" s="169" t="b">
        <f t="shared" si="64"/>
        <v>0</v>
      </c>
      <c r="R310" s="170" t="b">
        <f t="shared" ca="1" si="58"/>
        <v>1</v>
      </c>
      <c r="S310" s="166"/>
      <c r="T310" s="166"/>
      <c r="U310" s="171">
        <f t="shared" ca="1" si="59"/>
        <v>0.29166666666666669</v>
      </c>
      <c r="V310" s="172"/>
      <c r="W310" s="173">
        <f t="shared" si="60"/>
        <v>0</v>
      </c>
      <c r="X310" s="174"/>
      <c r="Y310" s="174"/>
      <c r="Z310" s="174"/>
      <c r="AA310" s="117"/>
    </row>
    <row r="311" spans="1:27" ht="13.5" thickBot="1">
      <c r="A311" s="417"/>
      <c r="B311" s="411"/>
      <c r="C311" s="262">
        <f t="shared" si="66"/>
        <v>39935</v>
      </c>
      <c r="D311" s="175"/>
      <c r="E311" s="176"/>
      <c r="F311" s="177"/>
      <c r="G311" s="178">
        <f t="shared" si="61"/>
        <v>0</v>
      </c>
      <c r="H311" s="279"/>
      <c r="I311" s="179"/>
      <c r="J311" s="180" t="str">
        <f t="shared" ca="1" si="54"/>
        <v/>
      </c>
      <c r="K311" s="181" t="b">
        <f t="shared" ca="1" si="63"/>
        <v>0</v>
      </c>
      <c r="L311" s="365">
        <f t="shared" si="62"/>
        <v>5</v>
      </c>
      <c r="M311" s="271">
        <v>39935</v>
      </c>
      <c r="N311" s="182">
        <f t="shared" si="55"/>
        <v>5</v>
      </c>
      <c r="O311" s="183">
        <f t="shared" ca="1" si="56"/>
        <v>1</v>
      </c>
      <c r="P311" s="184">
        <f t="shared" si="57"/>
        <v>1</v>
      </c>
      <c r="Q311" s="185" t="b">
        <f t="shared" si="64"/>
        <v>0</v>
      </c>
      <c r="R311" s="186" t="b">
        <f t="shared" ca="1" si="58"/>
        <v>1</v>
      </c>
      <c r="S311" s="182"/>
      <c r="T311" s="182"/>
      <c r="U311" s="187"/>
      <c r="V311" s="172"/>
      <c r="W311" s="188">
        <f t="shared" si="60"/>
        <v>0</v>
      </c>
      <c r="X311" s="174"/>
      <c r="Y311" s="174"/>
      <c r="Z311" s="174"/>
      <c r="AA311" s="117"/>
    </row>
    <row r="312" spans="1:27" ht="13.5" thickBot="1">
      <c r="A312" s="418"/>
      <c r="B312" s="412"/>
      <c r="C312" s="263">
        <f t="shared" si="66"/>
        <v>39936</v>
      </c>
      <c r="D312" s="189"/>
      <c r="E312" s="190"/>
      <c r="F312" s="191"/>
      <c r="G312" s="192">
        <f t="shared" si="61"/>
        <v>0</v>
      </c>
      <c r="H312" s="280"/>
      <c r="I312" s="193"/>
      <c r="J312" s="194" t="str">
        <f t="shared" ca="1" si="54"/>
        <v/>
      </c>
      <c r="K312" s="195" t="b">
        <f t="shared" ca="1" si="63"/>
        <v>0</v>
      </c>
      <c r="L312" s="366">
        <f t="shared" si="62"/>
        <v>5</v>
      </c>
      <c r="M312" s="272">
        <v>39936</v>
      </c>
      <c r="N312" s="196">
        <f t="shared" si="55"/>
        <v>6</v>
      </c>
      <c r="O312" s="197">
        <f t="shared" ca="1" si="56"/>
        <v>0</v>
      </c>
      <c r="P312" s="198">
        <f t="shared" si="57"/>
        <v>0</v>
      </c>
      <c r="Q312" s="199" t="b">
        <f t="shared" si="64"/>
        <v>0</v>
      </c>
      <c r="R312" s="200" t="b">
        <f t="shared" ca="1" si="58"/>
        <v>1</v>
      </c>
      <c r="S312" s="196" t="b">
        <f>AND(R312,R306)</f>
        <v>1</v>
      </c>
      <c r="T312" s="196" t="b">
        <f>OR(R312,R306)</f>
        <v>1</v>
      </c>
      <c r="U312" s="201"/>
      <c r="V312" s="202">
        <f ca="1">IF(Sem_entame,SUM(U306:U312),"")</f>
        <v>1.4583333333333335</v>
      </c>
      <c r="W312" s="203">
        <f t="shared" si="60"/>
        <v>0</v>
      </c>
      <c r="X312" s="204">
        <f ca="1">SUM(W306:W312)</f>
        <v>0</v>
      </c>
      <c r="Y312" s="204">
        <f ca="1">IF(Sem_entame,X312-V312,"")</f>
        <v>-1.4583333333333335</v>
      </c>
      <c r="Z312" s="204">
        <f ca="1">IF(Sem_entame,Y312+IF(ISNUMBER(Z305),Z305,0),"")</f>
        <v>-60.520833333333371</v>
      </c>
      <c r="AA312" s="117"/>
    </row>
    <row r="313" spans="1:27" ht="12.75" customHeight="1" thickBot="1">
      <c r="A313" s="416">
        <f>A306+1</f>
        <v>45</v>
      </c>
      <c r="B313" s="411" t="str">
        <f>IF(L313&lt;&gt;L319,TEXT(C319,"mmm"&amp;"-"),"")&amp;TEXT(C313,"mmm")</f>
        <v>mai</v>
      </c>
      <c r="C313" s="260">
        <f t="shared" si="66"/>
        <v>39937</v>
      </c>
      <c r="D313" s="144"/>
      <c r="E313" s="145"/>
      <c r="F313" s="146"/>
      <c r="G313" s="147">
        <f t="shared" si="61"/>
        <v>0</v>
      </c>
      <c r="H313" s="147"/>
      <c r="I313" s="148"/>
      <c r="J313" s="207" t="str">
        <f t="shared" ca="1" si="54"/>
        <v/>
      </c>
      <c r="K313" s="150" t="b">
        <f t="shared" ca="1" si="63"/>
        <v>0</v>
      </c>
      <c r="L313" s="362">
        <f t="shared" si="62"/>
        <v>5</v>
      </c>
      <c r="M313" s="266">
        <v>39937</v>
      </c>
      <c r="N313" s="151">
        <f t="shared" si="55"/>
        <v>7</v>
      </c>
      <c r="O313" s="152">
        <f t="shared" ca="1" si="56"/>
        <v>0</v>
      </c>
      <c r="P313" s="153">
        <f t="shared" si="57"/>
        <v>0</v>
      </c>
      <c r="Q313" s="154" t="b">
        <f t="shared" si="64"/>
        <v>0</v>
      </c>
      <c r="R313" s="155" t="b">
        <f t="shared" ca="1" si="58"/>
        <v>1</v>
      </c>
      <c r="S313" s="156"/>
      <c r="T313" s="156"/>
      <c r="U313" s="157">
        <f t="shared" ca="1" si="59"/>
        <v>0.29166666666666669</v>
      </c>
      <c r="V313" s="158"/>
      <c r="W313" s="159">
        <f t="shared" si="60"/>
        <v>0</v>
      </c>
      <c r="X313" s="160"/>
      <c r="Y313" s="160"/>
      <c r="Z313" s="160"/>
      <c r="AA313" s="117"/>
    </row>
    <row r="314" spans="1:27" ht="13.5" thickBot="1">
      <c r="A314" s="417"/>
      <c r="B314" s="411"/>
      <c r="C314" s="261">
        <f t="shared" si="66"/>
        <v>39938</v>
      </c>
      <c r="D314" s="161"/>
      <c r="E314" s="162"/>
      <c r="F314" s="163"/>
      <c r="G314" s="164">
        <f t="shared" si="61"/>
        <v>0</v>
      </c>
      <c r="H314" s="147"/>
      <c r="I314" s="165"/>
      <c r="J314" s="149" t="str">
        <f t="shared" ca="1" si="54"/>
        <v/>
      </c>
      <c r="K314" s="150" t="b">
        <f t="shared" ca="1" si="63"/>
        <v>0</v>
      </c>
      <c r="L314" s="364">
        <f t="shared" si="62"/>
        <v>5</v>
      </c>
      <c r="M314" s="267">
        <v>39938</v>
      </c>
      <c r="N314" s="166">
        <f t="shared" si="55"/>
        <v>1</v>
      </c>
      <c r="O314" s="167">
        <f t="shared" ca="1" si="56"/>
        <v>1</v>
      </c>
      <c r="P314" s="168">
        <f t="shared" si="57"/>
        <v>1</v>
      </c>
      <c r="Q314" s="169" t="b">
        <f t="shared" si="64"/>
        <v>0</v>
      </c>
      <c r="R314" s="170" t="b">
        <f t="shared" ca="1" si="58"/>
        <v>1</v>
      </c>
      <c r="S314" s="166"/>
      <c r="T314" s="166"/>
      <c r="U314" s="171">
        <f t="shared" ca="1" si="59"/>
        <v>0.29166666666666669</v>
      </c>
      <c r="V314" s="172"/>
      <c r="W314" s="173">
        <f t="shared" si="60"/>
        <v>0</v>
      </c>
      <c r="X314" s="174"/>
      <c r="Y314" s="174"/>
      <c r="Z314" s="174"/>
      <c r="AA314" s="117"/>
    </row>
    <row r="315" spans="1:27" ht="13.5" thickBot="1">
      <c r="A315" s="417"/>
      <c r="B315" s="411"/>
      <c r="C315" s="261">
        <f t="shared" si="66"/>
        <v>39939</v>
      </c>
      <c r="D315" s="161"/>
      <c r="E315" s="162"/>
      <c r="F315" s="163"/>
      <c r="G315" s="164">
        <f t="shared" si="61"/>
        <v>0</v>
      </c>
      <c r="H315" s="147"/>
      <c r="I315" s="165"/>
      <c r="J315" s="149" t="str">
        <f t="shared" ca="1" si="54"/>
        <v/>
      </c>
      <c r="K315" s="150" t="b">
        <f t="shared" ca="1" si="63"/>
        <v>0</v>
      </c>
      <c r="L315" s="364">
        <f t="shared" si="62"/>
        <v>5</v>
      </c>
      <c r="M315" s="267">
        <v>39939</v>
      </c>
      <c r="N315" s="166">
        <f t="shared" si="55"/>
        <v>2</v>
      </c>
      <c r="O315" s="167">
        <f t="shared" ca="1" si="56"/>
        <v>1</v>
      </c>
      <c r="P315" s="168">
        <f t="shared" si="57"/>
        <v>1</v>
      </c>
      <c r="Q315" s="169" t="b">
        <f t="shared" si="64"/>
        <v>0</v>
      </c>
      <c r="R315" s="170" t="b">
        <f t="shared" ca="1" si="58"/>
        <v>1</v>
      </c>
      <c r="S315" s="166"/>
      <c r="T315" s="166"/>
      <c r="U315" s="171">
        <f t="shared" ca="1" si="59"/>
        <v>0.29166666666666669</v>
      </c>
      <c r="V315" s="172"/>
      <c r="W315" s="173">
        <f t="shared" si="60"/>
        <v>0</v>
      </c>
      <c r="X315" s="174"/>
      <c r="Y315" s="174"/>
      <c r="Z315" s="174"/>
      <c r="AA315" s="117"/>
    </row>
    <row r="316" spans="1:27" ht="13.5" thickBot="1">
      <c r="A316" s="417"/>
      <c r="B316" s="411"/>
      <c r="C316" s="261">
        <f t="shared" si="66"/>
        <v>39940</v>
      </c>
      <c r="D316" s="161"/>
      <c r="E316" s="162"/>
      <c r="F316" s="163"/>
      <c r="G316" s="164">
        <f t="shared" si="61"/>
        <v>0</v>
      </c>
      <c r="H316" s="147"/>
      <c r="I316" s="165"/>
      <c r="J316" s="149" t="str">
        <f t="shared" ca="1" si="54"/>
        <v/>
      </c>
      <c r="K316" s="150" t="b">
        <f t="shared" ca="1" si="63"/>
        <v>0</v>
      </c>
      <c r="L316" s="364">
        <f t="shared" si="62"/>
        <v>5</v>
      </c>
      <c r="M316" s="267">
        <v>39940</v>
      </c>
      <c r="N316" s="166">
        <f t="shared" si="55"/>
        <v>3</v>
      </c>
      <c r="O316" s="167">
        <f t="shared" ca="1" si="56"/>
        <v>0</v>
      </c>
      <c r="P316" s="168">
        <f t="shared" si="57"/>
        <v>1</v>
      </c>
      <c r="Q316" s="169" t="b">
        <f t="shared" si="64"/>
        <v>1</v>
      </c>
      <c r="R316" s="170" t="b">
        <f t="shared" ca="1" si="58"/>
        <v>1</v>
      </c>
      <c r="S316" s="166"/>
      <c r="T316" s="166"/>
      <c r="U316" s="171">
        <f t="shared" ca="1" si="59"/>
        <v>0.29166666666666669</v>
      </c>
      <c r="V316" s="172"/>
      <c r="W316" s="173">
        <f t="shared" si="60"/>
        <v>0</v>
      </c>
      <c r="X316" s="174"/>
      <c r="Y316" s="174"/>
      <c r="Z316" s="174"/>
      <c r="AA316" s="117"/>
    </row>
    <row r="317" spans="1:27" ht="13.5" thickBot="1">
      <c r="A317" s="417"/>
      <c r="B317" s="411"/>
      <c r="C317" s="261">
        <f t="shared" si="66"/>
        <v>39941</v>
      </c>
      <c r="D317" s="161"/>
      <c r="E317" s="162"/>
      <c r="F317" s="163"/>
      <c r="G317" s="164">
        <f t="shared" si="61"/>
        <v>0</v>
      </c>
      <c r="H317" s="147"/>
      <c r="I317" s="165"/>
      <c r="J317" s="149" t="str">
        <f t="shared" ca="1" si="54"/>
        <v/>
      </c>
      <c r="K317" s="150" t="b">
        <f t="shared" ca="1" si="63"/>
        <v>0</v>
      </c>
      <c r="L317" s="364">
        <f t="shared" si="62"/>
        <v>5</v>
      </c>
      <c r="M317" s="267">
        <v>39941</v>
      </c>
      <c r="N317" s="166">
        <f t="shared" si="55"/>
        <v>4</v>
      </c>
      <c r="O317" s="167">
        <f t="shared" ca="1" si="56"/>
        <v>0</v>
      </c>
      <c r="P317" s="168">
        <f t="shared" si="57"/>
        <v>1</v>
      </c>
      <c r="Q317" s="169" t="b">
        <f t="shared" si="64"/>
        <v>1</v>
      </c>
      <c r="R317" s="170" t="b">
        <f t="shared" ca="1" si="58"/>
        <v>1</v>
      </c>
      <c r="S317" s="166"/>
      <c r="T317" s="166"/>
      <c r="U317" s="171">
        <f t="shared" ca="1" si="59"/>
        <v>0.29166666666666669</v>
      </c>
      <c r="V317" s="172"/>
      <c r="W317" s="173">
        <f t="shared" si="60"/>
        <v>0</v>
      </c>
      <c r="X317" s="174"/>
      <c r="Y317" s="174"/>
      <c r="Z317" s="174"/>
      <c r="AA317" s="117"/>
    </row>
    <row r="318" spans="1:27" ht="13.5" thickBot="1">
      <c r="A318" s="417"/>
      <c r="B318" s="411"/>
      <c r="C318" s="262">
        <f t="shared" si="66"/>
        <v>39942</v>
      </c>
      <c r="D318" s="175"/>
      <c r="E318" s="176"/>
      <c r="F318" s="177"/>
      <c r="G318" s="178">
        <f t="shared" si="61"/>
        <v>0</v>
      </c>
      <c r="H318" s="279"/>
      <c r="I318" s="179"/>
      <c r="J318" s="180" t="str">
        <f t="shared" ca="1" si="54"/>
        <v/>
      </c>
      <c r="K318" s="181" t="b">
        <f t="shared" ca="1" si="63"/>
        <v>0</v>
      </c>
      <c r="L318" s="365">
        <f t="shared" si="62"/>
        <v>5</v>
      </c>
      <c r="M318" s="271">
        <v>39942</v>
      </c>
      <c r="N318" s="182">
        <f t="shared" si="55"/>
        <v>5</v>
      </c>
      <c r="O318" s="183">
        <f t="shared" ca="1" si="56"/>
        <v>1</v>
      </c>
      <c r="P318" s="184">
        <f t="shared" si="57"/>
        <v>1</v>
      </c>
      <c r="Q318" s="185" t="b">
        <f t="shared" si="64"/>
        <v>0</v>
      </c>
      <c r="R318" s="186" t="b">
        <f t="shared" ca="1" si="58"/>
        <v>1</v>
      </c>
      <c r="S318" s="182"/>
      <c r="T318" s="182"/>
      <c r="U318" s="187"/>
      <c r="V318" s="172"/>
      <c r="W318" s="188">
        <f t="shared" si="60"/>
        <v>0</v>
      </c>
      <c r="X318" s="174"/>
      <c r="Y318" s="174"/>
      <c r="Z318" s="174"/>
      <c r="AA318" s="117"/>
    </row>
    <row r="319" spans="1:27" ht="13.5" thickBot="1">
      <c r="A319" s="418"/>
      <c r="B319" s="412"/>
      <c r="C319" s="263">
        <f t="shared" si="66"/>
        <v>39943</v>
      </c>
      <c r="D319" s="189"/>
      <c r="E319" s="190"/>
      <c r="F319" s="191"/>
      <c r="G319" s="192">
        <f t="shared" si="61"/>
        <v>0</v>
      </c>
      <c r="H319" s="280"/>
      <c r="I319" s="193"/>
      <c r="J319" s="194" t="str">
        <f t="shared" ca="1" si="54"/>
        <v/>
      </c>
      <c r="K319" s="195" t="b">
        <f t="shared" ca="1" si="63"/>
        <v>0</v>
      </c>
      <c r="L319" s="366">
        <f t="shared" si="62"/>
        <v>5</v>
      </c>
      <c r="M319" s="272">
        <v>39943</v>
      </c>
      <c r="N319" s="196">
        <f t="shared" si="55"/>
        <v>6</v>
      </c>
      <c r="O319" s="197">
        <f t="shared" ca="1" si="56"/>
        <v>0</v>
      </c>
      <c r="P319" s="198">
        <f t="shared" si="57"/>
        <v>0</v>
      </c>
      <c r="Q319" s="199" t="b">
        <f t="shared" si="64"/>
        <v>0</v>
      </c>
      <c r="R319" s="200" t="b">
        <f t="shared" ca="1" si="58"/>
        <v>1</v>
      </c>
      <c r="S319" s="196" t="b">
        <f>AND(R319,R313)</f>
        <v>1</v>
      </c>
      <c r="T319" s="196" t="b">
        <f>OR(R319,R313)</f>
        <v>1</v>
      </c>
      <c r="U319" s="201"/>
      <c r="V319" s="202">
        <f ca="1">IF(Sem_entame,SUM(U313:U319),"")</f>
        <v>1.4583333333333335</v>
      </c>
      <c r="W319" s="203">
        <f t="shared" si="60"/>
        <v>0</v>
      </c>
      <c r="X319" s="204">
        <f ca="1">SUM(W313:W319)</f>
        <v>0</v>
      </c>
      <c r="Y319" s="204">
        <f ca="1">IF(Sem_entame,X319-V319,"")</f>
        <v>-1.4583333333333335</v>
      </c>
      <c r="Z319" s="204">
        <f ca="1">IF(Sem_entame,Y319+IF(ISNUMBER(Z312),Z312,0),"")</f>
        <v>-61.979166666666707</v>
      </c>
      <c r="AA319" s="117"/>
    </row>
    <row r="320" spans="1:27" ht="12.75" customHeight="1" thickBot="1">
      <c r="A320" s="416">
        <f>A313+1</f>
        <v>46</v>
      </c>
      <c r="B320" s="411" t="str">
        <f>IF(L320&lt;&gt;L326,TEXT(C326,"mmm"&amp;"-"),"")&amp;TEXT(C320,"mmm")</f>
        <v>mai</v>
      </c>
      <c r="C320" s="260">
        <f t="shared" si="66"/>
        <v>39944</v>
      </c>
      <c r="D320" s="144"/>
      <c r="E320" s="145"/>
      <c r="F320" s="146"/>
      <c r="G320" s="147">
        <f t="shared" si="61"/>
        <v>0</v>
      </c>
      <c r="H320" s="147"/>
      <c r="I320" s="148"/>
      <c r="J320" s="207" t="str">
        <f t="shared" ca="1" si="54"/>
        <v/>
      </c>
      <c r="K320" s="150" t="b">
        <f t="shared" ca="1" si="63"/>
        <v>0</v>
      </c>
      <c r="L320" s="362">
        <f t="shared" si="62"/>
        <v>5</v>
      </c>
      <c r="M320" s="266">
        <v>39944</v>
      </c>
      <c r="N320" s="151">
        <f t="shared" si="55"/>
        <v>7</v>
      </c>
      <c r="O320" s="152">
        <f t="shared" ca="1" si="56"/>
        <v>0</v>
      </c>
      <c r="P320" s="153">
        <f t="shared" si="57"/>
        <v>0</v>
      </c>
      <c r="Q320" s="154" t="b">
        <f t="shared" si="64"/>
        <v>0</v>
      </c>
      <c r="R320" s="155" t="b">
        <f t="shared" ca="1" si="58"/>
        <v>1</v>
      </c>
      <c r="S320" s="156"/>
      <c r="T320" s="156"/>
      <c r="U320" s="157">
        <f t="shared" ca="1" si="59"/>
        <v>0.29166666666666669</v>
      </c>
      <c r="V320" s="158"/>
      <c r="W320" s="159">
        <f t="shared" si="60"/>
        <v>0</v>
      </c>
      <c r="X320" s="160"/>
      <c r="Y320" s="160"/>
      <c r="Z320" s="160"/>
      <c r="AA320" s="117"/>
    </row>
    <row r="321" spans="1:27" ht="13.5" thickBot="1">
      <c r="A321" s="417"/>
      <c r="B321" s="411"/>
      <c r="C321" s="261">
        <f t="shared" si="66"/>
        <v>39945</v>
      </c>
      <c r="D321" s="161"/>
      <c r="E321" s="162"/>
      <c r="F321" s="163"/>
      <c r="G321" s="164">
        <f t="shared" si="61"/>
        <v>0</v>
      </c>
      <c r="H321" s="147"/>
      <c r="I321" s="165"/>
      <c r="J321" s="149" t="str">
        <f t="shared" ca="1" si="54"/>
        <v/>
      </c>
      <c r="K321" s="150" t="b">
        <f t="shared" ca="1" si="63"/>
        <v>0</v>
      </c>
      <c r="L321" s="364">
        <f t="shared" si="62"/>
        <v>5</v>
      </c>
      <c r="M321" s="267">
        <v>39945</v>
      </c>
      <c r="N321" s="166">
        <f t="shared" si="55"/>
        <v>1</v>
      </c>
      <c r="O321" s="167">
        <f t="shared" ca="1" si="56"/>
        <v>1</v>
      </c>
      <c r="P321" s="168">
        <f t="shared" si="57"/>
        <v>1</v>
      </c>
      <c r="Q321" s="169" t="b">
        <f t="shared" si="64"/>
        <v>0</v>
      </c>
      <c r="R321" s="170" t="b">
        <f t="shared" ca="1" si="58"/>
        <v>1</v>
      </c>
      <c r="S321" s="166"/>
      <c r="T321" s="166"/>
      <c r="U321" s="171">
        <f t="shared" ca="1" si="59"/>
        <v>0.29166666666666669</v>
      </c>
      <c r="V321" s="172"/>
      <c r="W321" s="173">
        <f t="shared" si="60"/>
        <v>0</v>
      </c>
      <c r="X321" s="174"/>
      <c r="Y321" s="174"/>
      <c r="Z321" s="174"/>
      <c r="AA321" s="117"/>
    </row>
    <row r="322" spans="1:27" ht="13.5" thickBot="1">
      <c r="A322" s="417"/>
      <c r="B322" s="411"/>
      <c r="C322" s="261">
        <f t="shared" si="66"/>
        <v>39946</v>
      </c>
      <c r="D322" s="161"/>
      <c r="E322" s="162"/>
      <c r="F322" s="163"/>
      <c r="G322" s="164">
        <f t="shared" si="61"/>
        <v>0</v>
      </c>
      <c r="H322" s="147"/>
      <c r="I322" s="165"/>
      <c r="J322" s="149" t="str">
        <f t="shared" ca="1" si="54"/>
        <v/>
      </c>
      <c r="K322" s="150" t="b">
        <f t="shared" ca="1" si="63"/>
        <v>0</v>
      </c>
      <c r="L322" s="364">
        <f t="shared" si="62"/>
        <v>5</v>
      </c>
      <c r="M322" s="267">
        <v>39946</v>
      </c>
      <c r="N322" s="166">
        <f t="shared" si="55"/>
        <v>2</v>
      </c>
      <c r="O322" s="167">
        <f t="shared" ca="1" si="56"/>
        <v>1</v>
      </c>
      <c r="P322" s="168">
        <f t="shared" si="57"/>
        <v>1</v>
      </c>
      <c r="Q322" s="169" t="b">
        <f t="shared" si="64"/>
        <v>0</v>
      </c>
      <c r="R322" s="170" t="b">
        <f t="shared" ca="1" si="58"/>
        <v>1</v>
      </c>
      <c r="S322" s="166"/>
      <c r="T322" s="166"/>
      <c r="U322" s="171">
        <f t="shared" ca="1" si="59"/>
        <v>0.29166666666666669</v>
      </c>
      <c r="V322" s="172"/>
      <c r="W322" s="173">
        <f t="shared" si="60"/>
        <v>0</v>
      </c>
      <c r="X322" s="174"/>
      <c r="Y322" s="174"/>
      <c r="Z322" s="174"/>
      <c r="AA322" s="117"/>
    </row>
    <row r="323" spans="1:27" ht="13.5" thickBot="1">
      <c r="A323" s="417"/>
      <c r="B323" s="411"/>
      <c r="C323" s="261">
        <f t="shared" si="66"/>
        <v>39947</v>
      </c>
      <c r="D323" s="161"/>
      <c r="E323" s="162"/>
      <c r="F323" s="163"/>
      <c r="G323" s="164">
        <f t="shared" si="61"/>
        <v>0</v>
      </c>
      <c r="H323" s="147"/>
      <c r="I323" s="165"/>
      <c r="J323" s="149" t="str">
        <f t="shared" ca="1" si="54"/>
        <v/>
      </c>
      <c r="K323" s="150" t="b">
        <f t="shared" ca="1" si="63"/>
        <v>0</v>
      </c>
      <c r="L323" s="364">
        <f t="shared" si="62"/>
        <v>5</v>
      </c>
      <c r="M323" s="267">
        <v>39947</v>
      </c>
      <c r="N323" s="166">
        <f t="shared" si="55"/>
        <v>3</v>
      </c>
      <c r="O323" s="167">
        <f t="shared" ca="1" si="56"/>
        <v>1</v>
      </c>
      <c r="P323" s="168">
        <f t="shared" si="57"/>
        <v>1</v>
      </c>
      <c r="Q323" s="169" t="b">
        <f t="shared" si="64"/>
        <v>0</v>
      </c>
      <c r="R323" s="170" t="b">
        <f t="shared" ca="1" si="58"/>
        <v>1</v>
      </c>
      <c r="S323" s="166"/>
      <c r="T323" s="166"/>
      <c r="U323" s="171">
        <f t="shared" ca="1" si="59"/>
        <v>0.29166666666666669</v>
      </c>
      <c r="V323" s="172"/>
      <c r="W323" s="173">
        <f t="shared" si="60"/>
        <v>0</v>
      </c>
      <c r="X323" s="174"/>
      <c r="Y323" s="174"/>
      <c r="Z323" s="174"/>
      <c r="AA323" s="117"/>
    </row>
    <row r="324" spans="1:27" ht="13.5" thickBot="1">
      <c r="A324" s="417"/>
      <c r="B324" s="411"/>
      <c r="C324" s="261">
        <f t="shared" si="66"/>
        <v>39948</v>
      </c>
      <c r="D324" s="161"/>
      <c r="E324" s="162"/>
      <c r="F324" s="163"/>
      <c r="G324" s="164">
        <f t="shared" si="61"/>
        <v>0</v>
      </c>
      <c r="H324" s="147"/>
      <c r="I324" s="165"/>
      <c r="J324" s="149" t="str">
        <f t="shared" ca="1" si="54"/>
        <v/>
      </c>
      <c r="K324" s="150" t="b">
        <f t="shared" ca="1" si="63"/>
        <v>0</v>
      </c>
      <c r="L324" s="364">
        <f t="shared" si="62"/>
        <v>5</v>
      </c>
      <c r="M324" s="267">
        <v>39948</v>
      </c>
      <c r="N324" s="166">
        <f t="shared" si="55"/>
        <v>4</v>
      </c>
      <c r="O324" s="167">
        <f t="shared" ca="1" si="56"/>
        <v>1</v>
      </c>
      <c r="P324" s="168">
        <f t="shared" si="57"/>
        <v>1</v>
      </c>
      <c r="Q324" s="169" t="b">
        <f t="shared" si="64"/>
        <v>0</v>
      </c>
      <c r="R324" s="170" t="b">
        <f t="shared" ca="1" si="58"/>
        <v>1</v>
      </c>
      <c r="S324" s="166"/>
      <c r="T324" s="166"/>
      <c r="U324" s="171">
        <f t="shared" ca="1" si="59"/>
        <v>0.29166666666666669</v>
      </c>
      <c r="V324" s="172"/>
      <c r="W324" s="173">
        <f t="shared" si="60"/>
        <v>0</v>
      </c>
      <c r="X324" s="174"/>
      <c r="Y324" s="174"/>
      <c r="Z324" s="174"/>
      <c r="AA324" s="117"/>
    </row>
    <row r="325" spans="1:27" ht="13.5" thickBot="1">
      <c r="A325" s="417"/>
      <c r="B325" s="411"/>
      <c r="C325" s="262">
        <f t="shared" si="66"/>
        <v>39949</v>
      </c>
      <c r="D325" s="175"/>
      <c r="E325" s="176"/>
      <c r="F325" s="177"/>
      <c r="G325" s="178">
        <f t="shared" si="61"/>
        <v>0</v>
      </c>
      <c r="H325" s="279"/>
      <c r="I325" s="179"/>
      <c r="J325" s="180" t="str">
        <f t="shared" ref="J325:J375" ca="1" si="67">IF(I325&lt;&gt;"",MATCH(I325,L_Motif_Abscence,0),"")</f>
        <v/>
      </c>
      <c r="K325" s="181" t="b">
        <f t="shared" ca="1" si="63"/>
        <v>0</v>
      </c>
      <c r="L325" s="365">
        <f t="shared" si="62"/>
        <v>5</v>
      </c>
      <c r="M325" s="271">
        <v>39949</v>
      </c>
      <c r="N325" s="182">
        <f t="shared" ref="N325:N375" si="68">WEEKDAY(C325,2)</f>
        <v>5</v>
      </c>
      <c r="O325" s="183">
        <f t="shared" ref="O325:O375" ca="1" si="69">NETWORKDAYS(C325,C325,Fériés)</f>
        <v>1</v>
      </c>
      <c r="P325" s="184">
        <f t="shared" ref="P325:P375" si="70">NETWORKDAYS(C325,C325)</f>
        <v>1</v>
      </c>
      <c r="Q325" s="185" t="b">
        <f t="shared" si="64"/>
        <v>0</v>
      </c>
      <c r="R325" s="186" t="b">
        <f t="shared" ref="R325:R375" ca="1" si="71">AND(C325&gt;=Jour_Debut,C325&lt;=Jour_Fin)</f>
        <v>1</v>
      </c>
      <c r="S325" s="182"/>
      <c r="T325" s="182"/>
      <c r="U325" s="187"/>
      <c r="V325" s="172"/>
      <c r="W325" s="188">
        <f t="shared" ref="W325:W375" si="72">G325+K325</f>
        <v>0</v>
      </c>
      <c r="X325" s="174"/>
      <c r="Y325" s="174"/>
      <c r="Z325" s="174"/>
      <c r="AA325" s="117"/>
    </row>
    <row r="326" spans="1:27" ht="13.5" thickBot="1">
      <c r="A326" s="418"/>
      <c r="B326" s="412"/>
      <c r="C326" s="263">
        <f t="shared" si="66"/>
        <v>39950</v>
      </c>
      <c r="D326" s="189"/>
      <c r="E326" s="190"/>
      <c r="F326" s="191"/>
      <c r="G326" s="192">
        <f t="shared" ref="G326:G375" si="73">E326-D326-F326</f>
        <v>0</v>
      </c>
      <c r="H326" s="280"/>
      <c r="I326" s="193"/>
      <c r="J326" s="194" t="str">
        <f t="shared" ca="1" si="67"/>
        <v/>
      </c>
      <c r="K326" s="195" t="b">
        <f t="shared" ca="1" si="63"/>
        <v>0</v>
      </c>
      <c r="L326" s="366">
        <f t="shared" ref="L326:L375" si="74">MONTH(C326)</f>
        <v>5</v>
      </c>
      <c r="M326" s="272">
        <v>39950</v>
      </c>
      <c r="N326" s="196">
        <f t="shared" si="68"/>
        <v>6</v>
      </c>
      <c r="O326" s="197">
        <f t="shared" ca="1" si="69"/>
        <v>0</v>
      </c>
      <c r="P326" s="198">
        <f t="shared" si="70"/>
        <v>0</v>
      </c>
      <c r="Q326" s="199" t="b">
        <f t="shared" si="64"/>
        <v>0</v>
      </c>
      <c r="R326" s="200" t="b">
        <f t="shared" ca="1" si="71"/>
        <v>1</v>
      </c>
      <c r="S326" s="196" t="b">
        <f>AND(R326,R320)</f>
        <v>1</v>
      </c>
      <c r="T326" s="196" t="b">
        <f>OR(R326,R320)</f>
        <v>1</v>
      </c>
      <c r="U326" s="201"/>
      <c r="V326" s="202">
        <f ca="1">IF(Sem_entame,SUM(U320:U326),"")</f>
        <v>1.4583333333333335</v>
      </c>
      <c r="W326" s="203">
        <f t="shared" si="72"/>
        <v>0</v>
      </c>
      <c r="X326" s="204">
        <f ca="1">SUM(W320:W326)</f>
        <v>0</v>
      </c>
      <c r="Y326" s="204">
        <f ca="1">IF(Sem_entame,X326-V326,"")</f>
        <v>-1.4583333333333335</v>
      </c>
      <c r="Z326" s="204">
        <f ca="1">IF(Sem_entame,Y326+IF(ISNUMBER(Z319),Z319,0),"")</f>
        <v>-63.437500000000043</v>
      </c>
      <c r="AA326" s="117"/>
    </row>
    <row r="327" spans="1:27" ht="12.75" customHeight="1" thickBot="1">
      <c r="A327" s="416">
        <f>A320+1</f>
        <v>47</v>
      </c>
      <c r="B327" s="411" t="str">
        <f>IF(L327&lt;&gt;L333,TEXT(C333,"mmm"&amp;"-"),"")&amp;TEXT(C327,"mmm")</f>
        <v>mai</v>
      </c>
      <c r="C327" s="260">
        <f t="shared" si="66"/>
        <v>39951</v>
      </c>
      <c r="D327" s="144"/>
      <c r="E327" s="145"/>
      <c r="F327" s="146"/>
      <c r="G327" s="147">
        <f t="shared" si="73"/>
        <v>0</v>
      </c>
      <c r="H327" s="147"/>
      <c r="I327" s="148"/>
      <c r="J327" s="207" t="str">
        <f t="shared" ca="1" si="67"/>
        <v/>
      </c>
      <c r="K327" s="150" t="b">
        <f t="shared" ca="1" si="63"/>
        <v>0</v>
      </c>
      <c r="L327" s="362">
        <f t="shared" si="74"/>
        <v>5</v>
      </c>
      <c r="M327" s="266">
        <v>39951</v>
      </c>
      <c r="N327" s="151">
        <f t="shared" si="68"/>
        <v>7</v>
      </c>
      <c r="O327" s="152">
        <f t="shared" ca="1" si="69"/>
        <v>0</v>
      </c>
      <c r="P327" s="153">
        <f t="shared" si="70"/>
        <v>0</v>
      </c>
      <c r="Q327" s="154" t="b">
        <f t="shared" si="64"/>
        <v>0</v>
      </c>
      <c r="R327" s="155" t="b">
        <f t="shared" ca="1" si="71"/>
        <v>1</v>
      </c>
      <c r="S327" s="156"/>
      <c r="T327" s="156"/>
      <c r="U327" s="157">
        <f t="shared" ref="U327:U373" ca="1" si="75">IF(bornes,"7:00"*1,0)</f>
        <v>0.29166666666666669</v>
      </c>
      <c r="V327" s="158"/>
      <c r="W327" s="159">
        <f t="shared" si="72"/>
        <v>0</v>
      </c>
      <c r="X327" s="160"/>
      <c r="Y327" s="160"/>
      <c r="Z327" s="160"/>
      <c r="AA327" s="117"/>
    </row>
    <row r="328" spans="1:27" ht="13.5" thickBot="1">
      <c r="A328" s="417"/>
      <c r="B328" s="411"/>
      <c r="C328" s="261">
        <f t="shared" si="66"/>
        <v>39952</v>
      </c>
      <c r="D328" s="161"/>
      <c r="E328" s="162"/>
      <c r="F328" s="163"/>
      <c r="G328" s="164">
        <f t="shared" si="73"/>
        <v>0</v>
      </c>
      <c r="H328" s="147"/>
      <c r="I328" s="165"/>
      <c r="J328" s="149" t="str">
        <f t="shared" ca="1" si="67"/>
        <v/>
      </c>
      <c r="K328" s="150" t="b">
        <f t="shared" ca="1" si="63"/>
        <v>0</v>
      </c>
      <c r="L328" s="364">
        <f t="shared" si="74"/>
        <v>5</v>
      </c>
      <c r="M328" s="267">
        <v>39952</v>
      </c>
      <c r="N328" s="166">
        <f t="shared" si="68"/>
        <v>1</v>
      </c>
      <c r="O328" s="167">
        <f t="shared" ca="1" si="69"/>
        <v>0</v>
      </c>
      <c r="P328" s="168">
        <f t="shared" si="70"/>
        <v>1</v>
      </c>
      <c r="Q328" s="169" t="b">
        <f t="shared" si="64"/>
        <v>1</v>
      </c>
      <c r="R328" s="170" t="b">
        <f t="shared" ca="1" si="71"/>
        <v>1</v>
      </c>
      <c r="S328" s="166"/>
      <c r="T328" s="166"/>
      <c r="U328" s="171">
        <f t="shared" ca="1" si="75"/>
        <v>0.29166666666666669</v>
      </c>
      <c r="V328" s="172"/>
      <c r="W328" s="173">
        <f t="shared" si="72"/>
        <v>0</v>
      </c>
      <c r="X328" s="174"/>
      <c r="Y328" s="174"/>
      <c r="Z328" s="174"/>
      <c r="AA328" s="117"/>
    </row>
    <row r="329" spans="1:27" ht="13.5" thickBot="1">
      <c r="A329" s="417"/>
      <c r="B329" s="411"/>
      <c r="C329" s="261">
        <f t="shared" si="66"/>
        <v>39953</v>
      </c>
      <c r="D329" s="161"/>
      <c r="E329" s="162"/>
      <c r="F329" s="163"/>
      <c r="G329" s="164">
        <f t="shared" si="73"/>
        <v>0</v>
      </c>
      <c r="H329" s="147"/>
      <c r="I329" s="165"/>
      <c r="J329" s="149" t="str">
        <f t="shared" ca="1" si="67"/>
        <v/>
      </c>
      <c r="K329" s="150" t="b">
        <f t="shared" ca="1" si="63"/>
        <v>0</v>
      </c>
      <c r="L329" s="364">
        <f t="shared" si="74"/>
        <v>5</v>
      </c>
      <c r="M329" s="267">
        <v>39953</v>
      </c>
      <c r="N329" s="166">
        <f t="shared" si="68"/>
        <v>2</v>
      </c>
      <c r="O329" s="167">
        <f t="shared" ca="1" si="69"/>
        <v>1</v>
      </c>
      <c r="P329" s="168">
        <f t="shared" si="70"/>
        <v>1</v>
      </c>
      <c r="Q329" s="169" t="b">
        <f t="shared" si="64"/>
        <v>0</v>
      </c>
      <c r="R329" s="170" t="b">
        <f t="shared" ca="1" si="71"/>
        <v>1</v>
      </c>
      <c r="S329" s="166"/>
      <c r="T329" s="166"/>
      <c r="U329" s="171">
        <f t="shared" ca="1" si="75"/>
        <v>0.29166666666666669</v>
      </c>
      <c r="V329" s="172"/>
      <c r="W329" s="173">
        <f t="shared" si="72"/>
        <v>0</v>
      </c>
      <c r="X329" s="174"/>
      <c r="Y329" s="174"/>
      <c r="Z329" s="174"/>
      <c r="AA329" s="117"/>
    </row>
    <row r="330" spans="1:27" ht="13.5" thickBot="1">
      <c r="A330" s="417"/>
      <c r="B330" s="411"/>
      <c r="C330" s="261">
        <f t="shared" si="66"/>
        <v>39954</v>
      </c>
      <c r="D330" s="161"/>
      <c r="E330" s="162"/>
      <c r="F330" s="163"/>
      <c r="G330" s="164">
        <f t="shared" si="73"/>
        <v>0</v>
      </c>
      <c r="H330" s="147"/>
      <c r="I330" s="165"/>
      <c r="J330" s="149" t="str">
        <f t="shared" ca="1" si="67"/>
        <v/>
      </c>
      <c r="K330" s="150" t="b">
        <f t="shared" ca="1" si="63"/>
        <v>0</v>
      </c>
      <c r="L330" s="364">
        <f t="shared" si="74"/>
        <v>5</v>
      </c>
      <c r="M330" s="267">
        <v>39954</v>
      </c>
      <c r="N330" s="166">
        <f t="shared" si="68"/>
        <v>3</v>
      </c>
      <c r="O330" s="167">
        <f t="shared" ca="1" si="69"/>
        <v>1</v>
      </c>
      <c r="P330" s="168">
        <f t="shared" si="70"/>
        <v>1</v>
      </c>
      <c r="Q330" s="169" t="b">
        <f t="shared" si="64"/>
        <v>0</v>
      </c>
      <c r="R330" s="170" t="b">
        <f t="shared" ca="1" si="71"/>
        <v>1</v>
      </c>
      <c r="S330" s="166"/>
      <c r="T330" s="166"/>
      <c r="U330" s="171">
        <f t="shared" ca="1" si="75"/>
        <v>0.29166666666666669</v>
      </c>
      <c r="V330" s="172"/>
      <c r="W330" s="173">
        <f t="shared" si="72"/>
        <v>0</v>
      </c>
      <c r="X330" s="174"/>
      <c r="Y330" s="174"/>
      <c r="Z330" s="174"/>
      <c r="AA330" s="117"/>
    </row>
    <row r="331" spans="1:27" ht="13.5" thickBot="1">
      <c r="A331" s="417"/>
      <c r="B331" s="411"/>
      <c r="C331" s="261">
        <f t="shared" si="66"/>
        <v>39955</v>
      </c>
      <c r="D331" s="161"/>
      <c r="E331" s="162"/>
      <c r="F331" s="163"/>
      <c r="G331" s="164">
        <f t="shared" si="73"/>
        <v>0</v>
      </c>
      <c r="H331" s="147"/>
      <c r="I331" s="165"/>
      <c r="J331" s="149" t="str">
        <f t="shared" ca="1" si="67"/>
        <v/>
      </c>
      <c r="K331" s="150" t="b">
        <f t="shared" ca="1" si="63"/>
        <v>0</v>
      </c>
      <c r="L331" s="364">
        <f t="shared" si="74"/>
        <v>5</v>
      </c>
      <c r="M331" s="267">
        <v>39955</v>
      </c>
      <c r="N331" s="166">
        <f t="shared" si="68"/>
        <v>4</v>
      </c>
      <c r="O331" s="167">
        <f t="shared" ca="1" si="69"/>
        <v>1</v>
      </c>
      <c r="P331" s="168">
        <f t="shared" si="70"/>
        <v>1</v>
      </c>
      <c r="Q331" s="169" t="b">
        <f t="shared" si="64"/>
        <v>0</v>
      </c>
      <c r="R331" s="170" t="b">
        <f t="shared" ca="1" si="71"/>
        <v>1</v>
      </c>
      <c r="S331" s="166"/>
      <c r="T331" s="166"/>
      <c r="U331" s="171">
        <f t="shared" ca="1" si="75"/>
        <v>0.29166666666666669</v>
      </c>
      <c r="V331" s="172"/>
      <c r="W331" s="173">
        <f t="shared" si="72"/>
        <v>0</v>
      </c>
      <c r="X331" s="174"/>
      <c r="Y331" s="174"/>
      <c r="Z331" s="174"/>
      <c r="AA331" s="117"/>
    </row>
    <row r="332" spans="1:27" ht="13.5" thickBot="1">
      <c r="A332" s="417"/>
      <c r="B332" s="411"/>
      <c r="C332" s="262">
        <f t="shared" si="66"/>
        <v>39956</v>
      </c>
      <c r="D332" s="175"/>
      <c r="E332" s="176"/>
      <c r="F332" s="177"/>
      <c r="G332" s="178">
        <f t="shared" si="73"/>
        <v>0</v>
      </c>
      <c r="H332" s="279"/>
      <c r="I332" s="179"/>
      <c r="J332" s="180" t="str">
        <f t="shared" ca="1" si="67"/>
        <v/>
      </c>
      <c r="K332" s="181" t="b">
        <f t="shared" ref="K332:K375" ca="1" si="76">IF(J332&lt;&gt;"",INDEX(H_abscence,J332))</f>
        <v>0</v>
      </c>
      <c r="L332" s="365">
        <f t="shared" si="74"/>
        <v>5</v>
      </c>
      <c r="M332" s="271">
        <v>39956</v>
      </c>
      <c r="N332" s="182">
        <f t="shared" si="68"/>
        <v>5</v>
      </c>
      <c r="O332" s="183">
        <f t="shared" ca="1" si="69"/>
        <v>1</v>
      </c>
      <c r="P332" s="184">
        <f t="shared" si="70"/>
        <v>1</v>
      </c>
      <c r="Q332" s="185" t="b">
        <f t="shared" ref="Q332:Q375" si="77">(O332+P332)=1</f>
        <v>0</v>
      </c>
      <c r="R332" s="186" t="b">
        <f t="shared" ca="1" si="71"/>
        <v>1</v>
      </c>
      <c r="S332" s="182"/>
      <c r="T332" s="182"/>
      <c r="U332" s="187"/>
      <c r="V332" s="172"/>
      <c r="W332" s="188">
        <f t="shared" si="72"/>
        <v>0</v>
      </c>
      <c r="X332" s="174"/>
      <c r="Y332" s="174"/>
      <c r="Z332" s="174"/>
      <c r="AA332" s="117"/>
    </row>
    <row r="333" spans="1:27" ht="13.5" thickBot="1">
      <c r="A333" s="418"/>
      <c r="B333" s="412"/>
      <c r="C333" s="263">
        <f t="shared" si="66"/>
        <v>39957</v>
      </c>
      <c r="D333" s="189"/>
      <c r="E333" s="190"/>
      <c r="F333" s="191"/>
      <c r="G333" s="192">
        <f t="shared" si="73"/>
        <v>0</v>
      </c>
      <c r="H333" s="280"/>
      <c r="I333" s="193"/>
      <c r="J333" s="194" t="str">
        <f t="shared" ca="1" si="67"/>
        <v/>
      </c>
      <c r="K333" s="195" t="b">
        <f t="shared" ca="1" si="76"/>
        <v>0</v>
      </c>
      <c r="L333" s="366">
        <f t="shared" si="74"/>
        <v>5</v>
      </c>
      <c r="M333" s="272">
        <v>39957</v>
      </c>
      <c r="N333" s="196">
        <f t="shared" si="68"/>
        <v>6</v>
      </c>
      <c r="O333" s="197">
        <f t="shared" ca="1" si="69"/>
        <v>0</v>
      </c>
      <c r="P333" s="198">
        <f t="shared" si="70"/>
        <v>0</v>
      </c>
      <c r="Q333" s="199" t="b">
        <f t="shared" si="77"/>
        <v>0</v>
      </c>
      <c r="R333" s="200" t="b">
        <f t="shared" ca="1" si="71"/>
        <v>1</v>
      </c>
      <c r="S333" s="196" t="b">
        <f>AND(R333,R327)</f>
        <v>1</v>
      </c>
      <c r="T333" s="196" t="b">
        <f>OR(R333,R327)</f>
        <v>1</v>
      </c>
      <c r="U333" s="201"/>
      <c r="V333" s="202">
        <f ca="1">IF(Sem_entame,SUM(U327:U333),"")</f>
        <v>1.4583333333333335</v>
      </c>
      <c r="W333" s="203">
        <f t="shared" si="72"/>
        <v>0</v>
      </c>
      <c r="X333" s="204">
        <f ca="1">SUM(W327:W333)</f>
        <v>0</v>
      </c>
      <c r="Y333" s="204">
        <f ca="1">IF(Sem_entame,X333-V333,"")</f>
        <v>-1.4583333333333335</v>
      </c>
      <c r="Z333" s="204">
        <f ca="1">IF(Sem_entame,Y333+IF(ISNUMBER(Z326),Z326,0),"")</f>
        <v>-64.895833333333371</v>
      </c>
      <c r="AA333" s="117"/>
    </row>
    <row r="334" spans="1:27" ht="12.75" customHeight="1" thickBot="1">
      <c r="A334" s="416">
        <f>A327+1</f>
        <v>48</v>
      </c>
      <c r="B334" s="411" t="str">
        <f>IF(L334&lt;&gt;L340,TEXT(C340,"mmm"&amp;"-"),"")&amp;TEXT(C334,"mmm")</f>
        <v>juin-mai</v>
      </c>
      <c r="C334" s="260">
        <f>C333+1</f>
        <v>39958</v>
      </c>
      <c r="D334" s="144"/>
      <c r="E334" s="145"/>
      <c r="F334" s="146"/>
      <c r="G334" s="147">
        <f t="shared" si="73"/>
        <v>0</v>
      </c>
      <c r="H334" s="147"/>
      <c r="I334" s="148"/>
      <c r="J334" s="207" t="str">
        <f t="shared" ca="1" si="67"/>
        <v/>
      </c>
      <c r="K334" s="150" t="b">
        <f t="shared" ca="1" si="76"/>
        <v>0</v>
      </c>
      <c r="L334" s="362">
        <f t="shared" si="74"/>
        <v>5</v>
      </c>
      <c r="M334" s="266">
        <v>39958</v>
      </c>
      <c r="N334" s="151">
        <f t="shared" si="68"/>
        <v>7</v>
      </c>
      <c r="O334" s="152">
        <f t="shared" ca="1" si="69"/>
        <v>0</v>
      </c>
      <c r="P334" s="153">
        <f t="shared" si="70"/>
        <v>0</v>
      </c>
      <c r="Q334" s="154" t="b">
        <f t="shared" si="77"/>
        <v>0</v>
      </c>
      <c r="R334" s="155" t="b">
        <f t="shared" ca="1" si="71"/>
        <v>1</v>
      </c>
      <c r="S334" s="156"/>
      <c r="T334" s="156"/>
      <c r="U334" s="157">
        <f t="shared" ca="1" si="75"/>
        <v>0.29166666666666669</v>
      </c>
      <c r="V334" s="158"/>
      <c r="W334" s="159">
        <f t="shared" si="72"/>
        <v>0</v>
      </c>
      <c r="X334" s="160"/>
      <c r="Y334" s="160"/>
      <c r="Z334" s="160"/>
      <c r="AA334" s="117"/>
    </row>
    <row r="335" spans="1:27" ht="13.5" thickBot="1">
      <c r="A335" s="417"/>
      <c r="B335" s="411"/>
      <c r="C335" s="261">
        <f>C334+1</f>
        <v>39959</v>
      </c>
      <c r="D335" s="161"/>
      <c r="E335" s="162"/>
      <c r="F335" s="163"/>
      <c r="G335" s="164">
        <f t="shared" si="73"/>
        <v>0</v>
      </c>
      <c r="H335" s="147"/>
      <c r="I335" s="165"/>
      <c r="J335" s="149" t="str">
        <f t="shared" ca="1" si="67"/>
        <v/>
      </c>
      <c r="K335" s="150" t="b">
        <f t="shared" ca="1" si="76"/>
        <v>0</v>
      </c>
      <c r="L335" s="364">
        <f t="shared" si="74"/>
        <v>5</v>
      </c>
      <c r="M335" s="267">
        <v>39959</v>
      </c>
      <c r="N335" s="166">
        <f t="shared" si="68"/>
        <v>1</v>
      </c>
      <c r="O335" s="167">
        <f t="shared" ca="1" si="69"/>
        <v>1</v>
      </c>
      <c r="P335" s="168">
        <f t="shared" si="70"/>
        <v>1</v>
      </c>
      <c r="Q335" s="169" t="b">
        <f t="shared" si="77"/>
        <v>0</v>
      </c>
      <c r="R335" s="170" t="b">
        <f t="shared" ca="1" si="71"/>
        <v>1</v>
      </c>
      <c r="S335" s="166"/>
      <c r="T335" s="166"/>
      <c r="U335" s="171">
        <f t="shared" ca="1" si="75"/>
        <v>0.29166666666666669</v>
      </c>
      <c r="V335" s="172"/>
      <c r="W335" s="173">
        <f t="shared" si="72"/>
        <v>0</v>
      </c>
      <c r="X335" s="174"/>
      <c r="Y335" s="174"/>
      <c r="Z335" s="174"/>
      <c r="AA335" s="117"/>
    </row>
    <row r="336" spans="1:27" ht="13.5" thickBot="1">
      <c r="A336" s="417"/>
      <c r="B336" s="411"/>
      <c r="C336" s="261">
        <f t="shared" ref="C336:C368" si="78">C335+1</f>
        <v>39960</v>
      </c>
      <c r="D336" s="161"/>
      <c r="E336" s="162"/>
      <c r="F336" s="163"/>
      <c r="G336" s="164">
        <f t="shared" si="73"/>
        <v>0</v>
      </c>
      <c r="H336" s="147"/>
      <c r="I336" s="165"/>
      <c r="J336" s="149" t="str">
        <f t="shared" ca="1" si="67"/>
        <v/>
      </c>
      <c r="K336" s="150" t="b">
        <f t="shared" ca="1" si="76"/>
        <v>0</v>
      </c>
      <c r="L336" s="364">
        <f t="shared" si="74"/>
        <v>5</v>
      </c>
      <c r="M336" s="267">
        <v>39960</v>
      </c>
      <c r="N336" s="166">
        <f t="shared" si="68"/>
        <v>2</v>
      </c>
      <c r="O336" s="167">
        <f t="shared" ca="1" si="69"/>
        <v>1</v>
      </c>
      <c r="P336" s="168">
        <f t="shared" si="70"/>
        <v>1</v>
      </c>
      <c r="Q336" s="169" t="b">
        <f t="shared" si="77"/>
        <v>0</v>
      </c>
      <c r="R336" s="170" t="b">
        <f t="shared" ca="1" si="71"/>
        <v>1</v>
      </c>
      <c r="S336" s="166"/>
      <c r="T336" s="166"/>
      <c r="U336" s="171">
        <f t="shared" ca="1" si="75"/>
        <v>0.29166666666666669</v>
      </c>
      <c r="V336" s="172"/>
      <c r="W336" s="173">
        <f t="shared" si="72"/>
        <v>0</v>
      </c>
      <c r="X336" s="174"/>
      <c r="Y336" s="174"/>
      <c r="Z336" s="174"/>
      <c r="AA336" s="117"/>
    </row>
    <row r="337" spans="1:27" ht="13.5" thickBot="1">
      <c r="A337" s="417"/>
      <c r="B337" s="411"/>
      <c r="C337" s="261">
        <f t="shared" si="78"/>
        <v>39961</v>
      </c>
      <c r="D337" s="161"/>
      <c r="E337" s="162"/>
      <c r="F337" s="163"/>
      <c r="G337" s="164">
        <f t="shared" si="73"/>
        <v>0</v>
      </c>
      <c r="H337" s="147"/>
      <c r="I337" s="165"/>
      <c r="J337" s="149" t="str">
        <f t="shared" ca="1" si="67"/>
        <v/>
      </c>
      <c r="K337" s="150" t="b">
        <f t="shared" ca="1" si="76"/>
        <v>0</v>
      </c>
      <c r="L337" s="364">
        <f t="shared" si="74"/>
        <v>5</v>
      </c>
      <c r="M337" s="267">
        <v>39961</v>
      </c>
      <c r="N337" s="166">
        <f t="shared" si="68"/>
        <v>3</v>
      </c>
      <c r="O337" s="167">
        <f t="shared" ca="1" si="69"/>
        <v>1</v>
      </c>
      <c r="P337" s="168">
        <f t="shared" si="70"/>
        <v>1</v>
      </c>
      <c r="Q337" s="169" t="b">
        <f t="shared" si="77"/>
        <v>0</v>
      </c>
      <c r="R337" s="170" t="b">
        <f t="shared" ca="1" si="71"/>
        <v>1</v>
      </c>
      <c r="S337" s="166"/>
      <c r="T337" s="166"/>
      <c r="U337" s="171">
        <f t="shared" ca="1" si="75"/>
        <v>0.29166666666666669</v>
      </c>
      <c r="V337" s="172"/>
      <c r="W337" s="173">
        <f t="shared" si="72"/>
        <v>0</v>
      </c>
      <c r="X337" s="174"/>
      <c r="Y337" s="174"/>
      <c r="Z337" s="174"/>
      <c r="AA337" s="117"/>
    </row>
    <row r="338" spans="1:27" ht="13.5" thickBot="1">
      <c r="A338" s="417"/>
      <c r="B338" s="411"/>
      <c r="C338" s="261">
        <f t="shared" si="78"/>
        <v>39962</v>
      </c>
      <c r="D338" s="161"/>
      <c r="E338" s="162"/>
      <c r="F338" s="163"/>
      <c r="G338" s="164">
        <f t="shared" si="73"/>
        <v>0</v>
      </c>
      <c r="H338" s="147"/>
      <c r="I338" s="165"/>
      <c r="J338" s="149" t="str">
        <f t="shared" ca="1" si="67"/>
        <v/>
      </c>
      <c r="K338" s="150" t="b">
        <f t="shared" ca="1" si="76"/>
        <v>0</v>
      </c>
      <c r="L338" s="364">
        <f t="shared" si="74"/>
        <v>5</v>
      </c>
      <c r="M338" s="267">
        <v>39962</v>
      </c>
      <c r="N338" s="166">
        <f t="shared" si="68"/>
        <v>4</v>
      </c>
      <c r="O338" s="167">
        <f t="shared" ca="1" si="69"/>
        <v>1</v>
      </c>
      <c r="P338" s="168">
        <f t="shared" si="70"/>
        <v>1</v>
      </c>
      <c r="Q338" s="169" t="b">
        <f t="shared" si="77"/>
        <v>0</v>
      </c>
      <c r="R338" s="170" t="b">
        <f t="shared" ca="1" si="71"/>
        <v>1</v>
      </c>
      <c r="S338" s="166"/>
      <c r="T338" s="166"/>
      <c r="U338" s="171">
        <f t="shared" ca="1" si="75"/>
        <v>0.29166666666666669</v>
      </c>
      <c r="V338" s="172"/>
      <c r="W338" s="173">
        <f t="shared" si="72"/>
        <v>0</v>
      </c>
      <c r="X338" s="174"/>
      <c r="Y338" s="174"/>
      <c r="Z338" s="174"/>
      <c r="AA338" s="117"/>
    </row>
    <row r="339" spans="1:27" ht="13.5" thickBot="1">
      <c r="A339" s="417"/>
      <c r="B339" s="411"/>
      <c r="C339" s="262">
        <f t="shared" si="78"/>
        <v>39963</v>
      </c>
      <c r="D339" s="175"/>
      <c r="E339" s="176"/>
      <c r="F339" s="177"/>
      <c r="G339" s="178">
        <f t="shared" si="73"/>
        <v>0</v>
      </c>
      <c r="H339" s="279"/>
      <c r="I339" s="179"/>
      <c r="J339" s="180" t="str">
        <f t="shared" ca="1" si="67"/>
        <v/>
      </c>
      <c r="K339" s="181" t="b">
        <f t="shared" ca="1" si="76"/>
        <v>0</v>
      </c>
      <c r="L339" s="365">
        <f t="shared" si="74"/>
        <v>5</v>
      </c>
      <c r="M339" s="271">
        <v>39963</v>
      </c>
      <c r="N339" s="182">
        <f t="shared" si="68"/>
        <v>5</v>
      </c>
      <c r="O339" s="183">
        <f t="shared" ca="1" si="69"/>
        <v>1</v>
      </c>
      <c r="P339" s="184">
        <f t="shared" si="70"/>
        <v>1</v>
      </c>
      <c r="Q339" s="185" t="b">
        <f t="shared" si="77"/>
        <v>0</v>
      </c>
      <c r="R339" s="186" t="b">
        <f t="shared" ca="1" si="71"/>
        <v>1</v>
      </c>
      <c r="S339" s="182"/>
      <c r="T339" s="182"/>
      <c r="U339" s="187"/>
      <c r="V339" s="172"/>
      <c r="W339" s="188">
        <f t="shared" si="72"/>
        <v>0</v>
      </c>
      <c r="X339" s="174"/>
      <c r="Y339" s="174"/>
      <c r="Z339" s="174"/>
      <c r="AA339" s="117"/>
    </row>
    <row r="340" spans="1:27" ht="13.5" thickBot="1">
      <c r="A340" s="418"/>
      <c r="B340" s="412"/>
      <c r="C340" s="263">
        <f t="shared" si="78"/>
        <v>39964</v>
      </c>
      <c r="D340" s="189"/>
      <c r="E340" s="190"/>
      <c r="F340" s="191"/>
      <c r="G340" s="192">
        <f t="shared" si="73"/>
        <v>0</v>
      </c>
      <c r="H340" s="280"/>
      <c r="I340" s="193"/>
      <c r="J340" s="194" t="str">
        <f t="shared" ca="1" si="67"/>
        <v/>
      </c>
      <c r="K340" s="195" t="b">
        <f t="shared" ca="1" si="76"/>
        <v>0</v>
      </c>
      <c r="L340" s="366">
        <f t="shared" si="74"/>
        <v>6</v>
      </c>
      <c r="M340" s="272">
        <v>39964</v>
      </c>
      <c r="N340" s="196">
        <f t="shared" si="68"/>
        <v>6</v>
      </c>
      <c r="O340" s="197">
        <f t="shared" ca="1" si="69"/>
        <v>0</v>
      </c>
      <c r="P340" s="198">
        <f t="shared" si="70"/>
        <v>0</v>
      </c>
      <c r="Q340" s="199" t="b">
        <f t="shared" si="77"/>
        <v>0</v>
      </c>
      <c r="R340" s="200" t="b">
        <f t="shared" ca="1" si="71"/>
        <v>1</v>
      </c>
      <c r="S340" s="196" t="b">
        <f>AND(R340,R334)</f>
        <v>1</v>
      </c>
      <c r="T340" s="196" t="b">
        <f>OR(R340,R334)</f>
        <v>1</v>
      </c>
      <c r="U340" s="201"/>
      <c r="V340" s="202">
        <f ca="1">IF(Sem_entame,SUM(U334:U340),"")</f>
        <v>1.4583333333333335</v>
      </c>
      <c r="W340" s="203">
        <f t="shared" si="72"/>
        <v>0</v>
      </c>
      <c r="X340" s="204">
        <f ca="1">SUM(W334:W340)</f>
        <v>0</v>
      </c>
      <c r="Y340" s="204">
        <f ca="1">IF(Sem_entame,X340-V340,"")</f>
        <v>-1.4583333333333335</v>
      </c>
      <c r="Z340" s="204">
        <f ca="1">IF(Sem_entame,Y340+IF(ISNUMBER(Z333),Z333,0),"")</f>
        <v>-66.3541666666667</v>
      </c>
      <c r="AA340" s="117"/>
    </row>
    <row r="341" spans="1:27" ht="12.75" customHeight="1" thickBot="1">
      <c r="A341" s="416">
        <f>A334+1</f>
        <v>49</v>
      </c>
      <c r="B341" s="411" t="str">
        <f>IF(L341&lt;&gt;L347,TEXT(C347,"mmm"&amp;"-"),"")&amp;TEXT(C341,"mmm")</f>
        <v>juin</v>
      </c>
      <c r="C341" s="260">
        <f t="shared" si="78"/>
        <v>39965</v>
      </c>
      <c r="D341" s="144"/>
      <c r="E341" s="145"/>
      <c r="F341" s="146"/>
      <c r="G341" s="147">
        <f t="shared" si="73"/>
        <v>0</v>
      </c>
      <c r="H341" s="147"/>
      <c r="I341" s="148"/>
      <c r="J341" s="207" t="str">
        <f t="shared" ca="1" si="67"/>
        <v/>
      </c>
      <c r="K341" s="150" t="b">
        <f t="shared" ca="1" si="76"/>
        <v>0</v>
      </c>
      <c r="L341" s="362">
        <f t="shared" si="74"/>
        <v>6</v>
      </c>
      <c r="M341" s="266">
        <v>39965</v>
      </c>
      <c r="N341" s="151">
        <f t="shared" si="68"/>
        <v>7</v>
      </c>
      <c r="O341" s="152">
        <f t="shared" ca="1" si="69"/>
        <v>0</v>
      </c>
      <c r="P341" s="153">
        <f t="shared" si="70"/>
        <v>0</v>
      </c>
      <c r="Q341" s="154" t="b">
        <f t="shared" si="77"/>
        <v>0</v>
      </c>
      <c r="R341" s="155" t="b">
        <f t="shared" ca="1" si="71"/>
        <v>1</v>
      </c>
      <c r="S341" s="156"/>
      <c r="T341" s="156"/>
      <c r="U341" s="157">
        <f t="shared" ca="1" si="75"/>
        <v>0.29166666666666669</v>
      </c>
      <c r="V341" s="158"/>
      <c r="W341" s="159">
        <f t="shared" si="72"/>
        <v>0</v>
      </c>
      <c r="X341" s="160"/>
      <c r="Y341" s="160"/>
      <c r="Z341" s="160"/>
      <c r="AA341" s="117"/>
    </row>
    <row r="342" spans="1:27" ht="13.5" thickBot="1">
      <c r="A342" s="417"/>
      <c r="B342" s="411"/>
      <c r="C342" s="261">
        <f t="shared" si="78"/>
        <v>39966</v>
      </c>
      <c r="D342" s="161"/>
      <c r="E342" s="162"/>
      <c r="F342" s="163"/>
      <c r="G342" s="164">
        <f t="shared" si="73"/>
        <v>0</v>
      </c>
      <c r="H342" s="147"/>
      <c r="I342" s="165"/>
      <c r="J342" s="149" t="str">
        <f t="shared" ca="1" si="67"/>
        <v/>
      </c>
      <c r="K342" s="150" t="b">
        <f t="shared" ca="1" si="76"/>
        <v>0</v>
      </c>
      <c r="L342" s="364">
        <f t="shared" si="74"/>
        <v>6</v>
      </c>
      <c r="M342" s="267">
        <v>39966</v>
      </c>
      <c r="N342" s="166">
        <f t="shared" si="68"/>
        <v>1</v>
      </c>
      <c r="O342" s="167">
        <f t="shared" ca="1" si="69"/>
        <v>1</v>
      </c>
      <c r="P342" s="168">
        <f t="shared" si="70"/>
        <v>1</v>
      </c>
      <c r="Q342" s="169" t="b">
        <f t="shared" si="77"/>
        <v>0</v>
      </c>
      <c r="R342" s="170" t="b">
        <f t="shared" ca="1" si="71"/>
        <v>1</v>
      </c>
      <c r="S342" s="166"/>
      <c r="T342" s="166"/>
      <c r="U342" s="171">
        <f t="shared" ca="1" si="75"/>
        <v>0.29166666666666669</v>
      </c>
      <c r="V342" s="172"/>
      <c r="W342" s="173">
        <f t="shared" si="72"/>
        <v>0</v>
      </c>
      <c r="X342" s="174"/>
      <c r="Y342" s="174"/>
      <c r="Z342" s="174"/>
      <c r="AA342" s="117"/>
    </row>
    <row r="343" spans="1:27" ht="13.5" thickBot="1">
      <c r="A343" s="417"/>
      <c r="B343" s="411"/>
      <c r="C343" s="261">
        <f t="shared" si="78"/>
        <v>39967</v>
      </c>
      <c r="D343" s="161"/>
      <c r="E343" s="162"/>
      <c r="F343" s="163"/>
      <c r="G343" s="164">
        <f t="shared" si="73"/>
        <v>0</v>
      </c>
      <c r="H343" s="147"/>
      <c r="I343" s="165"/>
      <c r="J343" s="149" t="str">
        <f t="shared" ca="1" si="67"/>
        <v/>
      </c>
      <c r="K343" s="150" t="b">
        <f t="shared" ca="1" si="76"/>
        <v>0</v>
      </c>
      <c r="L343" s="364">
        <f t="shared" si="74"/>
        <v>6</v>
      </c>
      <c r="M343" s="267">
        <v>39967</v>
      </c>
      <c r="N343" s="166">
        <f t="shared" si="68"/>
        <v>2</v>
      </c>
      <c r="O343" s="167">
        <f t="shared" ca="1" si="69"/>
        <v>1</v>
      </c>
      <c r="P343" s="168">
        <f t="shared" si="70"/>
        <v>1</v>
      </c>
      <c r="Q343" s="169" t="b">
        <f t="shared" si="77"/>
        <v>0</v>
      </c>
      <c r="R343" s="170" t="b">
        <f t="shared" ca="1" si="71"/>
        <v>1</v>
      </c>
      <c r="S343" s="166"/>
      <c r="T343" s="166"/>
      <c r="U343" s="171">
        <f t="shared" ca="1" si="75"/>
        <v>0.29166666666666669</v>
      </c>
      <c r="V343" s="172"/>
      <c r="W343" s="173">
        <f t="shared" si="72"/>
        <v>0</v>
      </c>
      <c r="X343" s="174"/>
      <c r="Y343" s="174"/>
      <c r="Z343" s="174"/>
      <c r="AA343" s="117"/>
    </row>
    <row r="344" spans="1:27" ht="13.5" thickBot="1">
      <c r="A344" s="417"/>
      <c r="B344" s="411"/>
      <c r="C344" s="261">
        <f t="shared" si="78"/>
        <v>39968</v>
      </c>
      <c r="D344" s="161"/>
      <c r="E344" s="162"/>
      <c r="F344" s="163"/>
      <c r="G344" s="164">
        <f t="shared" si="73"/>
        <v>0</v>
      </c>
      <c r="H344" s="147"/>
      <c r="I344" s="165"/>
      <c r="J344" s="149" t="str">
        <f t="shared" ca="1" si="67"/>
        <v/>
      </c>
      <c r="K344" s="150" t="b">
        <f t="shared" ca="1" si="76"/>
        <v>0</v>
      </c>
      <c r="L344" s="364">
        <f t="shared" si="74"/>
        <v>6</v>
      </c>
      <c r="M344" s="267">
        <v>39968</v>
      </c>
      <c r="N344" s="166">
        <f t="shared" si="68"/>
        <v>3</v>
      </c>
      <c r="O344" s="167">
        <f t="shared" ca="1" si="69"/>
        <v>1</v>
      </c>
      <c r="P344" s="168">
        <f t="shared" si="70"/>
        <v>1</v>
      </c>
      <c r="Q344" s="169" t="b">
        <f t="shared" si="77"/>
        <v>0</v>
      </c>
      <c r="R344" s="170" t="b">
        <f t="shared" ca="1" si="71"/>
        <v>1</v>
      </c>
      <c r="S344" s="166"/>
      <c r="T344" s="166"/>
      <c r="U344" s="171">
        <f t="shared" ca="1" si="75"/>
        <v>0.29166666666666669</v>
      </c>
      <c r="V344" s="172"/>
      <c r="W344" s="173">
        <f t="shared" si="72"/>
        <v>0</v>
      </c>
      <c r="X344" s="174"/>
      <c r="Y344" s="174"/>
      <c r="Z344" s="174"/>
      <c r="AA344" s="117"/>
    </row>
    <row r="345" spans="1:27" ht="13.5" thickBot="1">
      <c r="A345" s="417"/>
      <c r="B345" s="411"/>
      <c r="C345" s="261">
        <f t="shared" si="78"/>
        <v>39969</v>
      </c>
      <c r="D345" s="161"/>
      <c r="E345" s="162"/>
      <c r="F345" s="163"/>
      <c r="G345" s="164">
        <f t="shared" si="73"/>
        <v>0</v>
      </c>
      <c r="H345" s="147"/>
      <c r="I345" s="165"/>
      <c r="J345" s="149" t="str">
        <f t="shared" ca="1" si="67"/>
        <v/>
      </c>
      <c r="K345" s="150" t="b">
        <f t="shared" ca="1" si="76"/>
        <v>0</v>
      </c>
      <c r="L345" s="364">
        <f t="shared" si="74"/>
        <v>6</v>
      </c>
      <c r="M345" s="267">
        <v>39969</v>
      </c>
      <c r="N345" s="166">
        <f t="shared" si="68"/>
        <v>4</v>
      </c>
      <c r="O345" s="167">
        <f t="shared" ca="1" si="69"/>
        <v>1</v>
      </c>
      <c r="P345" s="168">
        <f t="shared" si="70"/>
        <v>1</v>
      </c>
      <c r="Q345" s="169" t="b">
        <f t="shared" si="77"/>
        <v>0</v>
      </c>
      <c r="R345" s="170" t="b">
        <f t="shared" ca="1" si="71"/>
        <v>1</v>
      </c>
      <c r="S345" s="166"/>
      <c r="T345" s="166"/>
      <c r="U345" s="171">
        <f t="shared" ca="1" si="75"/>
        <v>0.29166666666666669</v>
      </c>
      <c r="V345" s="172"/>
      <c r="W345" s="173">
        <f t="shared" si="72"/>
        <v>0</v>
      </c>
      <c r="X345" s="174"/>
      <c r="Y345" s="174"/>
      <c r="Z345" s="174"/>
      <c r="AA345" s="117"/>
    </row>
    <row r="346" spans="1:27" ht="13.5" thickBot="1">
      <c r="A346" s="417"/>
      <c r="B346" s="411"/>
      <c r="C346" s="262">
        <f t="shared" si="78"/>
        <v>39970</v>
      </c>
      <c r="D346" s="175"/>
      <c r="E346" s="176"/>
      <c r="F346" s="177"/>
      <c r="G346" s="178">
        <f t="shared" si="73"/>
        <v>0</v>
      </c>
      <c r="H346" s="279"/>
      <c r="I346" s="179"/>
      <c r="J346" s="180" t="str">
        <f t="shared" ca="1" si="67"/>
        <v/>
      </c>
      <c r="K346" s="181" t="b">
        <f t="shared" ca="1" si="76"/>
        <v>0</v>
      </c>
      <c r="L346" s="365">
        <f t="shared" si="74"/>
        <v>6</v>
      </c>
      <c r="M346" s="271">
        <v>39970</v>
      </c>
      <c r="N346" s="182">
        <f t="shared" si="68"/>
        <v>5</v>
      </c>
      <c r="O346" s="183">
        <f t="shared" ca="1" si="69"/>
        <v>1</v>
      </c>
      <c r="P346" s="184">
        <f t="shared" si="70"/>
        <v>1</v>
      </c>
      <c r="Q346" s="185" t="b">
        <f t="shared" si="77"/>
        <v>0</v>
      </c>
      <c r="R346" s="186" t="b">
        <f t="shared" ca="1" si="71"/>
        <v>1</v>
      </c>
      <c r="S346" s="182"/>
      <c r="T346" s="182"/>
      <c r="U346" s="187"/>
      <c r="V346" s="172"/>
      <c r="W346" s="188">
        <f t="shared" si="72"/>
        <v>0</v>
      </c>
      <c r="X346" s="174"/>
      <c r="Y346" s="174"/>
      <c r="Z346" s="174"/>
      <c r="AA346" s="117"/>
    </row>
    <row r="347" spans="1:27" ht="13.5" thickBot="1">
      <c r="A347" s="418"/>
      <c r="B347" s="412"/>
      <c r="C347" s="263">
        <f t="shared" si="78"/>
        <v>39971</v>
      </c>
      <c r="D347" s="189"/>
      <c r="E347" s="190"/>
      <c r="F347" s="191"/>
      <c r="G347" s="192">
        <f t="shared" si="73"/>
        <v>0</v>
      </c>
      <c r="H347" s="280"/>
      <c r="I347" s="193"/>
      <c r="J347" s="194" t="str">
        <f t="shared" ca="1" si="67"/>
        <v/>
      </c>
      <c r="K347" s="195" t="b">
        <f t="shared" ca="1" si="76"/>
        <v>0</v>
      </c>
      <c r="L347" s="366">
        <f t="shared" si="74"/>
        <v>6</v>
      </c>
      <c r="M347" s="272">
        <v>39971</v>
      </c>
      <c r="N347" s="196">
        <f t="shared" si="68"/>
        <v>6</v>
      </c>
      <c r="O347" s="197">
        <f t="shared" ca="1" si="69"/>
        <v>0</v>
      </c>
      <c r="P347" s="198">
        <f t="shared" si="70"/>
        <v>0</v>
      </c>
      <c r="Q347" s="199" t="b">
        <f t="shared" si="77"/>
        <v>0</v>
      </c>
      <c r="R347" s="200" t="b">
        <f t="shared" ca="1" si="71"/>
        <v>1</v>
      </c>
      <c r="S347" s="196" t="b">
        <f>AND(R347,R341)</f>
        <v>1</v>
      </c>
      <c r="T347" s="196" t="b">
        <f>OR(R347,R341)</f>
        <v>1</v>
      </c>
      <c r="U347" s="201"/>
      <c r="V347" s="202">
        <f ca="1">IF(Sem_entame,SUM(U341:U347),"")</f>
        <v>1.4583333333333335</v>
      </c>
      <c r="W347" s="203">
        <f t="shared" si="72"/>
        <v>0</v>
      </c>
      <c r="X347" s="204">
        <f ca="1">SUM(W341:W347)</f>
        <v>0</v>
      </c>
      <c r="Y347" s="204">
        <f ca="1">IF(Sem_entame,X347-V347,"")</f>
        <v>-1.4583333333333335</v>
      </c>
      <c r="Z347" s="204">
        <f ca="1">IF(Sem_entame,Y347+IF(ISNUMBER(Z340),Z340,0),"")</f>
        <v>-67.812500000000028</v>
      </c>
      <c r="AA347" s="117"/>
    </row>
    <row r="348" spans="1:27" ht="12.75" customHeight="1" thickBot="1">
      <c r="A348" s="416">
        <f>A341+1</f>
        <v>50</v>
      </c>
      <c r="B348" s="411" t="str">
        <f>IF(L348&lt;&gt;L354,TEXT(C354,"mmm"&amp;"-"),"")&amp;TEXT(C348,"mmm")</f>
        <v>juin</v>
      </c>
      <c r="C348" s="260">
        <f t="shared" si="78"/>
        <v>39972</v>
      </c>
      <c r="D348" s="144"/>
      <c r="E348" s="145"/>
      <c r="F348" s="146"/>
      <c r="G348" s="147">
        <f t="shared" si="73"/>
        <v>0</v>
      </c>
      <c r="H348" s="147"/>
      <c r="I348" s="148"/>
      <c r="J348" s="207" t="str">
        <f t="shared" ca="1" si="67"/>
        <v/>
      </c>
      <c r="K348" s="150" t="b">
        <f t="shared" ca="1" si="76"/>
        <v>0</v>
      </c>
      <c r="L348" s="362">
        <f t="shared" si="74"/>
        <v>6</v>
      </c>
      <c r="M348" s="266">
        <v>39972</v>
      </c>
      <c r="N348" s="151">
        <f t="shared" si="68"/>
        <v>7</v>
      </c>
      <c r="O348" s="152">
        <f t="shared" ca="1" si="69"/>
        <v>0</v>
      </c>
      <c r="P348" s="153">
        <f t="shared" si="70"/>
        <v>0</v>
      </c>
      <c r="Q348" s="154" t="b">
        <f t="shared" si="77"/>
        <v>0</v>
      </c>
      <c r="R348" s="155" t="b">
        <f t="shared" ca="1" si="71"/>
        <v>1</v>
      </c>
      <c r="S348" s="156"/>
      <c r="T348" s="156"/>
      <c r="U348" s="157">
        <f t="shared" ca="1" si="75"/>
        <v>0.29166666666666669</v>
      </c>
      <c r="V348" s="158"/>
      <c r="W348" s="159">
        <f t="shared" si="72"/>
        <v>0</v>
      </c>
      <c r="X348" s="160"/>
      <c r="Y348" s="160"/>
      <c r="Z348" s="160"/>
      <c r="AA348" s="117"/>
    </row>
    <row r="349" spans="1:27" ht="13.5" thickBot="1">
      <c r="A349" s="417"/>
      <c r="B349" s="411"/>
      <c r="C349" s="261">
        <f t="shared" si="78"/>
        <v>39973</v>
      </c>
      <c r="D349" s="161"/>
      <c r="E349" s="162"/>
      <c r="F349" s="163"/>
      <c r="G349" s="164">
        <f t="shared" si="73"/>
        <v>0</v>
      </c>
      <c r="H349" s="147"/>
      <c r="I349" s="165"/>
      <c r="J349" s="149" t="str">
        <f t="shared" ca="1" si="67"/>
        <v/>
      </c>
      <c r="K349" s="150" t="b">
        <f t="shared" ca="1" si="76"/>
        <v>0</v>
      </c>
      <c r="L349" s="364">
        <f t="shared" si="74"/>
        <v>6</v>
      </c>
      <c r="M349" s="267">
        <v>39973</v>
      </c>
      <c r="N349" s="166">
        <f t="shared" si="68"/>
        <v>1</v>
      </c>
      <c r="O349" s="167">
        <f t="shared" ca="1" si="69"/>
        <v>1</v>
      </c>
      <c r="P349" s="168">
        <f t="shared" si="70"/>
        <v>1</v>
      </c>
      <c r="Q349" s="169" t="b">
        <f t="shared" si="77"/>
        <v>0</v>
      </c>
      <c r="R349" s="170" t="b">
        <f t="shared" ca="1" si="71"/>
        <v>1</v>
      </c>
      <c r="S349" s="166"/>
      <c r="T349" s="166"/>
      <c r="U349" s="171">
        <f t="shared" ca="1" si="75"/>
        <v>0.29166666666666669</v>
      </c>
      <c r="V349" s="172"/>
      <c r="W349" s="173">
        <f t="shared" si="72"/>
        <v>0</v>
      </c>
      <c r="X349" s="174"/>
      <c r="Y349" s="174"/>
      <c r="Z349" s="174"/>
      <c r="AA349" s="117"/>
    </row>
    <row r="350" spans="1:27" ht="13.5" thickBot="1">
      <c r="A350" s="417"/>
      <c r="B350" s="411"/>
      <c r="C350" s="261">
        <f t="shared" si="78"/>
        <v>39974</v>
      </c>
      <c r="D350" s="161"/>
      <c r="E350" s="162"/>
      <c r="F350" s="163"/>
      <c r="G350" s="164">
        <f t="shared" si="73"/>
        <v>0</v>
      </c>
      <c r="H350" s="147"/>
      <c r="I350" s="165"/>
      <c r="J350" s="149" t="str">
        <f t="shared" ca="1" si="67"/>
        <v/>
      </c>
      <c r="K350" s="150" t="b">
        <f t="shared" ca="1" si="76"/>
        <v>0</v>
      </c>
      <c r="L350" s="364">
        <f t="shared" si="74"/>
        <v>6</v>
      </c>
      <c r="M350" s="267">
        <v>39974</v>
      </c>
      <c r="N350" s="166">
        <f t="shared" si="68"/>
        <v>2</v>
      </c>
      <c r="O350" s="167">
        <f t="shared" ca="1" si="69"/>
        <v>1</v>
      </c>
      <c r="P350" s="168">
        <f t="shared" si="70"/>
        <v>1</v>
      </c>
      <c r="Q350" s="169" t="b">
        <f t="shared" si="77"/>
        <v>0</v>
      </c>
      <c r="R350" s="170" t="b">
        <f t="shared" ca="1" si="71"/>
        <v>1</v>
      </c>
      <c r="S350" s="166"/>
      <c r="T350" s="166"/>
      <c r="U350" s="171">
        <f t="shared" ca="1" si="75"/>
        <v>0.29166666666666669</v>
      </c>
      <c r="V350" s="172"/>
      <c r="W350" s="173">
        <f t="shared" si="72"/>
        <v>0</v>
      </c>
      <c r="X350" s="174"/>
      <c r="Y350" s="174"/>
      <c r="Z350" s="174"/>
      <c r="AA350" s="117"/>
    </row>
    <row r="351" spans="1:27" ht="13.5" thickBot="1">
      <c r="A351" s="417"/>
      <c r="B351" s="411"/>
      <c r="C351" s="261">
        <f t="shared" si="78"/>
        <v>39975</v>
      </c>
      <c r="D351" s="161"/>
      <c r="E351" s="162"/>
      <c r="F351" s="163"/>
      <c r="G351" s="164">
        <f t="shared" si="73"/>
        <v>0</v>
      </c>
      <c r="H351" s="147"/>
      <c r="I351" s="165"/>
      <c r="J351" s="149" t="str">
        <f t="shared" ca="1" si="67"/>
        <v/>
      </c>
      <c r="K351" s="150" t="b">
        <f t="shared" ca="1" si="76"/>
        <v>0</v>
      </c>
      <c r="L351" s="364">
        <f t="shared" si="74"/>
        <v>6</v>
      </c>
      <c r="M351" s="267">
        <v>39975</v>
      </c>
      <c r="N351" s="166">
        <f t="shared" si="68"/>
        <v>3</v>
      </c>
      <c r="O351" s="167">
        <f t="shared" ca="1" si="69"/>
        <v>1</v>
      </c>
      <c r="P351" s="168">
        <f t="shared" si="70"/>
        <v>1</v>
      </c>
      <c r="Q351" s="169" t="b">
        <f t="shared" si="77"/>
        <v>0</v>
      </c>
      <c r="R351" s="170" t="b">
        <f t="shared" ca="1" si="71"/>
        <v>1</v>
      </c>
      <c r="S351" s="166"/>
      <c r="T351" s="166"/>
      <c r="U351" s="171">
        <f t="shared" ca="1" si="75"/>
        <v>0.29166666666666669</v>
      </c>
      <c r="V351" s="172"/>
      <c r="W351" s="173">
        <f t="shared" si="72"/>
        <v>0</v>
      </c>
      <c r="X351" s="174"/>
      <c r="Y351" s="174"/>
      <c r="Z351" s="174"/>
      <c r="AA351" s="117"/>
    </row>
    <row r="352" spans="1:27" ht="13.5" thickBot="1">
      <c r="A352" s="417"/>
      <c r="B352" s="411"/>
      <c r="C352" s="261">
        <f t="shared" si="78"/>
        <v>39976</v>
      </c>
      <c r="D352" s="161"/>
      <c r="E352" s="162"/>
      <c r="F352" s="163"/>
      <c r="G352" s="164">
        <f t="shared" si="73"/>
        <v>0</v>
      </c>
      <c r="H352" s="147"/>
      <c r="I352" s="165"/>
      <c r="J352" s="149" t="str">
        <f t="shared" ca="1" si="67"/>
        <v/>
      </c>
      <c r="K352" s="150" t="b">
        <f t="shared" ca="1" si="76"/>
        <v>0</v>
      </c>
      <c r="L352" s="364">
        <f t="shared" si="74"/>
        <v>6</v>
      </c>
      <c r="M352" s="267">
        <v>39976</v>
      </c>
      <c r="N352" s="166">
        <f t="shared" si="68"/>
        <v>4</v>
      </c>
      <c r="O352" s="167">
        <f t="shared" ca="1" si="69"/>
        <v>1</v>
      </c>
      <c r="P352" s="168">
        <f t="shared" si="70"/>
        <v>1</v>
      </c>
      <c r="Q352" s="169" t="b">
        <f t="shared" si="77"/>
        <v>0</v>
      </c>
      <c r="R352" s="170" t="b">
        <f t="shared" ca="1" si="71"/>
        <v>1</v>
      </c>
      <c r="S352" s="166"/>
      <c r="T352" s="166"/>
      <c r="U352" s="171">
        <f t="shared" ca="1" si="75"/>
        <v>0.29166666666666669</v>
      </c>
      <c r="V352" s="172"/>
      <c r="W352" s="173">
        <f t="shared" si="72"/>
        <v>0</v>
      </c>
      <c r="X352" s="174"/>
      <c r="Y352" s="174"/>
      <c r="Z352" s="174"/>
      <c r="AA352" s="117"/>
    </row>
    <row r="353" spans="1:27" ht="13.5" thickBot="1">
      <c r="A353" s="417"/>
      <c r="B353" s="411"/>
      <c r="C353" s="262">
        <f t="shared" si="78"/>
        <v>39977</v>
      </c>
      <c r="D353" s="175"/>
      <c r="E353" s="176"/>
      <c r="F353" s="177"/>
      <c r="G353" s="178">
        <f t="shared" si="73"/>
        <v>0</v>
      </c>
      <c r="H353" s="279"/>
      <c r="I353" s="179"/>
      <c r="J353" s="180" t="str">
        <f t="shared" ca="1" si="67"/>
        <v/>
      </c>
      <c r="K353" s="181" t="b">
        <f t="shared" ca="1" si="76"/>
        <v>0</v>
      </c>
      <c r="L353" s="365">
        <f t="shared" si="74"/>
        <v>6</v>
      </c>
      <c r="M353" s="271">
        <v>39977</v>
      </c>
      <c r="N353" s="182">
        <f t="shared" si="68"/>
        <v>5</v>
      </c>
      <c r="O353" s="183">
        <f t="shared" ca="1" si="69"/>
        <v>1</v>
      </c>
      <c r="P353" s="184">
        <f t="shared" si="70"/>
        <v>1</v>
      </c>
      <c r="Q353" s="185" t="b">
        <f t="shared" si="77"/>
        <v>0</v>
      </c>
      <c r="R353" s="186" t="b">
        <f t="shared" ca="1" si="71"/>
        <v>1</v>
      </c>
      <c r="S353" s="182"/>
      <c r="T353" s="182"/>
      <c r="U353" s="187"/>
      <c r="V353" s="172"/>
      <c r="W353" s="188">
        <f t="shared" si="72"/>
        <v>0</v>
      </c>
      <c r="X353" s="174"/>
      <c r="Y353" s="174"/>
      <c r="Z353" s="174"/>
      <c r="AA353" s="117"/>
    </row>
    <row r="354" spans="1:27" ht="13.5" thickBot="1">
      <c r="A354" s="418"/>
      <c r="B354" s="412"/>
      <c r="C354" s="263">
        <f t="shared" si="78"/>
        <v>39978</v>
      </c>
      <c r="D354" s="189"/>
      <c r="E354" s="190"/>
      <c r="F354" s="191"/>
      <c r="G354" s="192">
        <f t="shared" si="73"/>
        <v>0</v>
      </c>
      <c r="H354" s="280"/>
      <c r="I354" s="193"/>
      <c r="J354" s="194" t="str">
        <f t="shared" ca="1" si="67"/>
        <v/>
      </c>
      <c r="K354" s="195" t="b">
        <f t="shared" ca="1" si="76"/>
        <v>0</v>
      </c>
      <c r="L354" s="366">
        <f t="shared" si="74"/>
        <v>6</v>
      </c>
      <c r="M354" s="272">
        <v>39978</v>
      </c>
      <c r="N354" s="196">
        <f t="shared" si="68"/>
        <v>6</v>
      </c>
      <c r="O354" s="197">
        <f t="shared" ca="1" si="69"/>
        <v>0</v>
      </c>
      <c r="P354" s="198">
        <f t="shared" si="70"/>
        <v>0</v>
      </c>
      <c r="Q354" s="199" t="b">
        <f t="shared" si="77"/>
        <v>0</v>
      </c>
      <c r="R354" s="200" t="b">
        <f t="shared" ca="1" si="71"/>
        <v>1</v>
      </c>
      <c r="S354" s="196" t="b">
        <f>AND(R354,R348)</f>
        <v>1</v>
      </c>
      <c r="T354" s="196" t="b">
        <f>OR(R354,R348)</f>
        <v>1</v>
      </c>
      <c r="U354" s="201"/>
      <c r="V354" s="202">
        <f ca="1">IF(Sem_entame,SUM(U348:U354),"")</f>
        <v>1.4583333333333335</v>
      </c>
      <c r="W354" s="203">
        <f t="shared" si="72"/>
        <v>0</v>
      </c>
      <c r="X354" s="204">
        <f ca="1">SUM(W348:W354)</f>
        <v>0</v>
      </c>
      <c r="Y354" s="204">
        <f ca="1">IF(Sem_entame,X354-V354,"")</f>
        <v>-1.4583333333333335</v>
      </c>
      <c r="Z354" s="204">
        <f ca="1">IF(Sem_entame,Y354+IF(ISNUMBER(Z347),Z347,0),"")</f>
        <v>-69.270833333333357</v>
      </c>
      <c r="AA354" s="117"/>
    </row>
    <row r="355" spans="1:27" ht="12.75" customHeight="1" thickBot="1">
      <c r="A355" s="416">
        <f>A348+1</f>
        <v>51</v>
      </c>
      <c r="B355" s="411" t="str">
        <f>IF(L355&lt;&gt;L361,TEXT(C361,"mmm"&amp;"-"),"")&amp;TEXT(C355,"mmm")</f>
        <v>juin</v>
      </c>
      <c r="C355" s="260">
        <f t="shared" si="78"/>
        <v>39979</v>
      </c>
      <c r="D355" s="144"/>
      <c r="E355" s="145"/>
      <c r="F355" s="146"/>
      <c r="G355" s="147">
        <f t="shared" si="73"/>
        <v>0</v>
      </c>
      <c r="H355" s="147"/>
      <c r="I355" s="148"/>
      <c r="J355" s="207" t="str">
        <f t="shared" ca="1" si="67"/>
        <v/>
      </c>
      <c r="K355" s="150" t="b">
        <f t="shared" ca="1" si="76"/>
        <v>0</v>
      </c>
      <c r="L355" s="362">
        <f t="shared" si="74"/>
        <v>6</v>
      </c>
      <c r="M355" s="266">
        <v>39979</v>
      </c>
      <c r="N355" s="151">
        <f t="shared" si="68"/>
        <v>7</v>
      </c>
      <c r="O355" s="152">
        <f t="shared" ca="1" si="69"/>
        <v>0</v>
      </c>
      <c r="P355" s="153">
        <f t="shared" si="70"/>
        <v>0</v>
      </c>
      <c r="Q355" s="154" t="b">
        <f t="shared" si="77"/>
        <v>0</v>
      </c>
      <c r="R355" s="155" t="b">
        <f t="shared" ca="1" si="71"/>
        <v>1</v>
      </c>
      <c r="S355" s="156"/>
      <c r="T355" s="156"/>
      <c r="U355" s="157">
        <f t="shared" ca="1" si="75"/>
        <v>0.29166666666666669</v>
      </c>
      <c r="V355" s="158"/>
      <c r="W355" s="159">
        <f t="shared" si="72"/>
        <v>0</v>
      </c>
      <c r="X355" s="160"/>
      <c r="Y355" s="160"/>
      <c r="Z355" s="160"/>
      <c r="AA355" s="117"/>
    </row>
    <row r="356" spans="1:27" ht="13.5" thickBot="1">
      <c r="A356" s="417"/>
      <c r="B356" s="411"/>
      <c r="C356" s="261">
        <f t="shared" si="78"/>
        <v>39980</v>
      </c>
      <c r="D356" s="161"/>
      <c r="E356" s="162"/>
      <c r="F356" s="163"/>
      <c r="G356" s="164">
        <f t="shared" si="73"/>
        <v>0</v>
      </c>
      <c r="H356" s="147"/>
      <c r="I356" s="165"/>
      <c r="J356" s="149" t="str">
        <f t="shared" ca="1" si="67"/>
        <v/>
      </c>
      <c r="K356" s="150" t="b">
        <f t="shared" ca="1" si="76"/>
        <v>0</v>
      </c>
      <c r="L356" s="364">
        <f t="shared" si="74"/>
        <v>6</v>
      </c>
      <c r="M356" s="267">
        <v>39980</v>
      </c>
      <c r="N356" s="166">
        <f t="shared" si="68"/>
        <v>1</v>
      </c>
      <c r="O356" s="167">
        <f t="shared" ca="1" si="69"/>
        <v>1</v>
      </c>
      <c r="P356" s="168">
        <f t="shared" si="70"/>
        <v>1</v>
      </c>
      <c r="Q356" s="169" t="b">
        <f t="shared" si="77"/>
        <v>0</v>
      </c>
      <c r="R356" s="170" t="b">
        <f t="shared" ca="1" si="71"/>
        <v>1</v>
      </c>
      <c r="S356" s="166"/>
      <c r="T356" s="166"/>
      <c r="U356" s="171">
        <f t="shared" ca="1" si="75"/>
        <v>0.29166666666666669</v>
      </c>
      <c r="V356" s="172"/>
      <c r="W356" s="173">
        <f t="shared" si="72"/>
        <v>0</v>
      </c>
      <c r="X356" s="174"/>
      <c r="Y356" s="174"/>
      <c r="Z356" s="174"/>
      <c r="AA356" s="117"/>
    </row>
    <row r="357" spans="1:27" ht="13.5" thickBot="1">
      <c r="A357" s="417"/>
      <c r="B357" s="411"/>
      <c r="C357" s="261">
        <f t="shared" si="78"/>
        <v>39981</v>
      </c>
      <c r="D357" s="161"/>
      <c r="E357" s="162"/>
      <c r="F357" s="163"/>
      <c r="G357" s="164">
        <f t="shared" si="73"/>
        <v>0</v>
      </c>
      <c r="H357" s="147"/>
      <c r="I357" s="165"/>
      <c r="J357" s="149" t="str">
        <f t="shared" ca="1" si="67"/>
        <v/>
      </c>
      <c r="K357" s="150" t="b">
        <f t="shared" ca="1" si="76"/>
        <v>0</v>
      </c>
      <c r="L357" s="364">
        <f t="shared" si="74"/>
        <v>6</v>
      </c>
      <c r="M357" s="267">
        <v>39981</v>
      </c>
      <c r="N357" s="166">
        <f t="shared" si="68"/>
        <v>2</v>
      </c>
      <c r="O357" s="167">
        <f t="shared" ca="1" si="69"/>
        <v>1</v>
      </c>
      <c r="P357" s="168">
        <f t="shared" si="70"/>
        <v>1</v>
      </c>
      <c r="Q357" s="169" t="b">
        <f t="shared" si="77"/>
        <v>0</v>
      </c>
      <c r="R357" s="170" t="b">
        <f t="shared" ca="1" si="71"/>
        <v>1</v>
      </c>
      <c r="S357" s="166"/>
      <c r="T357" s="166"/>
      <c r="U357" s="171">
        <f t="shared" ca="1" si="75"/>
        <v>0.29166666666666669</v>
      </c>
      <c r="V357" s="172"/>
      <c r="W357" s="173">
        <f t="shared" si="72"/>
        <v>0</v>
      </c>
      <c r="X357" s="174"/>
      <c r="Y357" s="174"/>
      <c r="Z357" s="174"/>
      <c r="AA357" s="117"/>
    </row>
    <row r="358" spans="1:27" ht="13.5" thickBot="1">
      <c r="A358" s="417"/>
      <c r="B358" s="411"/>
      <c r="C358" s="261">
        <f t="shared" si="78"/>
        <v>39982</v>
      </c>
      <c r="D358" s="161"/>
      <c r="E358" s="162"/>
      <c r="F358" s="163"/>
      <c r="G358" s="164">
        <f t="shared" si="73"/>
        <v>0</v>
      </c>
      <c r="H358" s="147"/>
      <c r="I358" s="165"/>
      <c r="J358" s="149" t="str">
        <f t="shared" ca="1" si="67"/>
        <v/>
      </c>
      <c r="K358" s="150" t="b">
        <f t="shared" ca="1" si="76"/>
        <v>0</v>
      </c>
      <c r="L358" s="364">
        <f t="shared" si="74"/>
        <v>6</v>
      </c>
      <c r="M358" s="267">
        <v>39982</v>
      </c>
      <c r="N358" s="166">
        <f t="shared" si="68"/>
        <v>3</v>
      </c>
      <c r="O358" s="167">
        <f t="shared" ca="1" si="69"/>
        <v>1</v>
      </c>
      <c r="P358" s="168">
        <f t="shared" si="70"/>
        <v>1</v>
      </c>
      <c r="Q358" s="169" t="b">
        <f t="shared" si="77"/>
        <v>0</v>
      </c>
      <c r="R358" s="170" t="b">
        <f t="shared" ca="1" si="71"/>
        <v>1</v>
      </c>
      <c r="S358" s="166"/>
      <c r="T358" s="166"/>
      <c r="U358" s="171">
        <f t="shared" ca="1" si="75"/>
        <v>0.29166666666666669</v>
      </c>
      <c r="V358" s="172"/>
      <c r="W358" s="173">
        <f t="shared" si="72"/>
        <v>0</v>
      </c>
      <c r="X358" s="174"/>
      <c r="Y358" s="174"/>
      <c r="Z358" s="174"/>
      <c r="AA358" s="117"/>
    </row>
    <row r="359" spans="1:27" ht="13.5" thickBot="1">
      <c r="A359" s="417"/>
      <c r="B359" s="411"/>
      <c r="C359" s="261">
        <f t="shared" si="78"/>
        <v>39983</v>
      </c>
      <c r="D359" s="161"/>
      <c r="E359" s="162"/>
      <c r="F359" s="163"/>
      <c r="G359" s="164">
        <f t="shared" si="73"/>
        <v>0</v>
      </c>
      <c r="H359" s="147"/>
      <c r="I359" s="165"/>
      <c r="J359" s="149" t="str">
        <f t="shared" ca="1" si="67"/>
        <v/>
      </c>
      <c r="K359" s="150" t="b">
        <f t="shared" ca="1" si="76"/>
        <v>0</v>
      </c>
      <c r="L359" s="364">
        <f t="shared" si="74"/>
        <v>6</v>
      </c>
      <c r="M359" s="267">
        <v>39983</v>
      </c>
      <c r="N359" s="166">
        <f t="shared" si="68"/>
        <v>4</v>
      </c>
      <c r="O359" s="167">
        <f t="shared" ca="1" si="69"/>
        <v>1</v>
      </c>
      <c r="P359" s="168">
        <f t="shared" si="70"/>
        <v>1</v>
      </c>
      <c r="Q359" s="169" t="b">
        <f t="shared" si="77"/>
        <v>0</v>
      </c>
      <c r="R359" s="170" t="b">
        <f t="shared" ca="1" si="71"/>
        <v>1</v>
      </c>
      <c r="S359" s="166"/>
      <c r="T359" s="166"/>
      <c r="U359" s="171">
        <f t="shared" ca="1" si="75"/>
        <v>0.29166666666666669</v>
      </c>
      <c r="V359" s="172"/>
      <c r="W359" s="173">
        <f t="shared" si="72"/>
        <v>0</v>
      </c>
      <c r="X359" s="174"/>
      <c r="Y359" s="174"/>
      <c r="Z359" s="174"/>
      <c r="AA359" s="117"/>
    </row>
    <row r="360" spans="1:27" ht="13.5" thickBot="1">
      <c r="A360" s="417"/>
      <c r="B360" s="411"/>
      <c r="C360" s="262">
        <f t="shared" si="78"/>
        <v>39984</v>
      </c>
      <c r="D360" s="175"/>
      <c r="E360" s="176"/>
      <c r="F360" s="177"/>
      <c r="G360" s="178">
        <f t="shared" si="73"/>
        <v>0</v>
      </c>
      <c r="H360" s="279"/>
      <c r="I360" s="179"/>
      <c r="J360" s="180" t="str">
        <f t="shared" ca="1" si="67"/>
        <v/>
      </c>
      <c r="K360" s="181" t="b">
        <f t="shared" ca="1" si="76"/>
        <v>0</v>
      </c>
      <c r="L360" s="365">
        <f t="shared" si="74"/>
        <v>6</v>
      </c>
      <c r="M360" s="271">
        <v>39984</v>
      </c>
      <c r="N360" s="182">
        <f t="shared" si="68"/>
        <v>5</v>
      </c>
      <c r="O360" s="183">
        <f t="shared" ca="1" si="69"/>
        <v>1</v>
      </c>
      <c r="P360" s="184">
        <f t="shared" si="70"/>
        <v>1</v>
      </c>
      <c r="Q360" s="185" t="b">
        <f t="shared" si="77"/>
        <v>0</v>
      </c>
      <c r="R360" s="186" t="b">
        <f t="shared" ca="1" si="71"/>
        <v>1</v>
      </c>
      <c r="S360" s="182"/>
      <c r="T360" s="182"/>
      <c r="U360" s="187"/>
      <c r="V360" s="172"/>
      <c r="W360" s="188">
        <f t="shared" si="72"/>
        <v>0</v>
      </c>
      <c r="X360" s="174"/>
      <c r="Y360" s="174"/>
      <c r="Z360" s="174"/>
      <c r="AA360" s="117"/>
    </row>
    <row r="361" spans="1:27" ht="13.5" thickBot="1">
      <c r="A361" s="418"/>
      <c r="B361" s="412"/>
      <c r="C361" s="263">
        <f t="shared" si="78"/>
        <v>39985</v>
      </c>
      <c r="D361" s="189"/>
      <c r="E361" s="190"/>
      <c r="F361" s="191"/>
      <c r="G361" s="192">
        <f t="shared" si="73"/>
        <v>0</v>
      </c>
      <c r="H361" s="280"/>
      <c r="I361" s="193"/>
      <c r="J361" s="194" t="str">
        <f t="shared" ca="1" si="67"/>
        <v/>
      </c>
      <c r="K361" s="195" t="b">
        <f t="shared" ca="1" si="76"/>
        <v>0</v>
      </c>
      <c r="L361" s="366">
        <f t="shared" si="74"/>
        <v>6</v>
      </c>
      <c r="M361" s="272">
        <v>39985</v>
      </c>
      <c r="N361" s="196">
        <f t="shared" si="68"/>
        <v>6</v>
      </c>
      <c r="O361" s="197">
        <f t="shared" ca="1" si="69"/>
        <v>0</v>
      </c>
      <c r="P361" s="198">
        <f t="shared" si="70"/>
        <v>0</v>
      </c>
      <c r="Q361" s="199" t="b">
        <f t="shared" si="77"/>
        <v>0</v>
      </c>
      <c r="R361" s="200" t="b">
        <f t="shared" ca="1" si="71"/>
        <v>1</v>
      </c>
      <c r="S361" s="196" t="b">
        <f>AND(R361,R355)</f>
        <v>1</v>
      </c>
      <c r="T361" s="196" t="b">
        <f>OR(R361,R355)</f>
        <v>1</v>
      </c>
      <c r="U361" s="201"/>
      <c r="V361" s="202">
        <f ca="1">IF(Sem_entame,SUM(U355:U361),"")</f>
        <v>1.4583333333333335</v>
      </c>
      <c r="W361" s="203">
        <f t="shared" si="72"/>
        <v>0</v>
      </c>
      <c r="X361" s="204">
        <f ca="1">SUM(W355:W361)</f>
        <v>0</v>
      </c>
      <c r="Y361" s="204">
        <f ca="1">IF(Sem_entame,X361-V361,"")</f>
        <v>-1.4583333333333335</v>
      </c>
      <c r="Z361" s="204">
        <f ca="1">IF(Sem_entame,Y361+IF(ISNUMBER(Z354),Z354,0),"")</f>
        <v>-70.729166666666686</v>
      </c>
      <c r="AA361" s="117"/>
    </row>
    <row r="362" spans="1:27" ht="12.75" customHeight="1" thickBot="1">
      <c r="A362" s="416">
        <f>A355+1</f>
        <v>52</v>
      </c>
      <c r="B362" s="411" t="str">
        <f>IF(L362&lt;&gt;L368,TEXT(C368,"mmm"&amp;"-"),"")&amp;TEXT(C362,"mmm")</f>
        <v>juin</v>
      </c>
      <c r="C362" s="260">
        <f t="shared" si="78"/>
        <v>39986</v>
      </c>
      <c r="D362" s="144"/>
      <c r="E362" s="145"/>
      <c r="F362" s="146"/>
      <c r="G362" s="147">
        <f t="shared" si="73"/>
        <v>0</v>
      </c>
      <c r="H362" s="147"/>
      <c r="I362" s="148"/>
      <c r="J362" s="207" t="str">
        <f t="shared" ca="1" si="67"/>
        <v/>
      </c>
      <c r="K362" s="150" t="b">
        <f t="shared" ca="1" si="76"/>
        <v>0</v>
      </c>
      <c r="L362" s="362">
        <f t="shared" si="74"/>
        <v>6</v>
      </c>
      <c r="M362" s="266">
        <v>39986</v>
      </c>
      <c r="N362" s="151">
        <f t="shared" si="68"/>
        <v>7</v>
      </c>
      <c r="O362" s="152">
        <f t="shared" ca="1" si="69"/>
        <v>0</v>
      </c>
      <c r="P362" s="153">
        <f t="shared" si="70"/>
        <v>0</v>
      </c>
      <c r="Q362" s="154" t="b">
        <f t="shared" si="77"/>
        <v>0</v>
      </c>
      <c r="R362" s="155" t="b">
        <f t="shared" ca="1" si="71"/>
        <v>1</v>
      </c>
      <c r="S362" s="156"/>
      <c r="T362" s="156"/>
      <c r="U362" s="157">
        <f t="shared" ca="1" si="75"/>
        <v>0.29166666666666669</v>
      </c>
      <c r="V362" s="158"/>
      <c r="W362" s="159">
        <f t="shared" si="72"/>
        <v>0</v>
      </c>
      <c r="X362" s="160"/>
      <c r="Y362" s="160"/>
      <c r="Z362" s="160"/>
      <c r="AA362" s="117"/>
    </row>
    <row r="363" spans="1:27" ht="13.5" thickBot="1">
      <c r="A363" s="417"/>
      <c r="B363" s="411"/>
      <c r="C363" s="261">
        <f t="shared" si="78"/>
        <v>39987</v>
      </c>
      <c r="D363" s="161"/>
      <c r="E363" s="162"/>
      <c r="F363" s="163"/>
      <c r="G363" s="164">
        <f t="shared" si="73"/>
        <v>0</v>
      </c>
      <c r="H363" s="147"/>
      <c r="I363" s="165"/>
      <c r="J363" s="149" t="str">
        <f t="shared" ca="1" si="67"/>
        <v/>
      </c>
      <c r="K363" s="150" t="b">
        <f t="shared" ca="1" si="76"/>
        <v>0</v>
      </c>
      <c r="L363" s="364">
        <f t="shared" si="74"/>
        <v>6</v>
      </c>
      <c r="M363" s="267">
        <v>39987</v>
      </c>
      <c r="N363" s="166">
        <f t="shared" si="68"/>
        <v>1</v>
      </c>
      <c r="O363" s="167">
        <f t="shared" ca="1" si="69"/>
        <v>1</v>
      </c>
      <c r="P363" s="168">
        <f t="shared" si="70"/>
        <v>1</v>
      </c>
      <c r="Q363" s="169" t="b">
        <f t="shared" si="77"/>
        <v>0</v>
      </c>
      <c r="R363" s="170" t="b">
        <f t="shared" ca="1" si="71"/>
        <v>1</v>
      </c>
      <c r="S363" s="166"/>
      <c r="T363" s="166"/>
      <c r="U363" s="171">
        <f t="shared" ca="1" si="75"/>
        <v>0.29166666666666669</v>
      </c>
      <c r="V363" s="172"/>
      <c r="W363" s="173">
        <f t="shared" si="72"/>
        <v>0</v>
      </c>
      <c r="X363" s="174"/>
      <c r="Y363" s="174"/>
      <c r="Z363" s="174"/>
      <c r="AA363" s="117"/>
    </row>
    <row r="364" spans="1:27" ht="13.5" thickBot="1">
      <c r="A364" s="417"/>
      <c r="B364" s="411"/>
      <c r="C364" s="261">
        <f t="shared" si="78"/>
        <v>39988</v>
      </c>
      <c r="D364" s="161"/>
      <c r="E364" s="162"/>
      <c r="F364" s="163"/>
      <c r="G364" s="164">
        <f t="shared" si="73"/>
        <v>0</v>
      </c>
      <c r="H364" s="147"/>
      <c r="I364" s="165"/>
      <c r="J364" s="149" t="str">
        <f t="shared" ca="1" si="67"/>
        <v/>
      </c>
      <c r="K364" s="150" t="b">
        <f t="shared" ca="1" si="76"/>
        <v>0</v>
      </c>
      <c r="L364" s="364">
        <f t="shared" si="74"/>
        <v>6</v>
      </c>
      <c r="M364" s="267">
        <v>39988</v>
      </c>
      <c r="N364" s="166">
        <f t="shared" si="68"/>
        <v>2</v>
      </c>
      <c r="O364" s="167">
        <f t="shared" ca="1" si="69"/>
        <v>1</v>
      </c>
      <c r="P364" s="168">
        <f t="shared" si="70"/>
        <v>1</v>
      </c>
      <c r="Q364" s="169" t="b">
        <f t="shared" si="77"/>
        <v>0</v>
      </c>
      <c r="R364" s="170" t="b">
        <f t="shared" ca="1" si="71"/>
        <v>1</v>
      </c>
      <c r="S364" s="166"/>
      <c r="T364" s="166"/>
      <c r="U364" s="171">
        <f t="shared" ca="1" si="75"/>
        <v>0.29166666666666669</v>
      </c>
      <c r="V364" s="172"/>
      <c r="W364" s="173">
        <f t="shared" si="72"/>
        <v>0</v>
      </c>
      <c r="X364" s="174"/>
      <c r="Y364" s="174"/>
      <c r="Z364" s="174"/>
      <c r="AA364" s="117"/>
    </row>
    <row r="365" spans="1:27" ht="13.5" thickBot="1">
      <c r="A365" s="417"/>
      <c r="B365" s="411"/>
      <c r="C365" s="261">
        <f t="shared" si="78"/>
        <v>39989</v>
      </c>
      <c r="D365" s="161"/>
      <c r="E365" s="162"/>
      <c r="F365" s="163"/>
      <c r="G365" s="164">
        <f t="shared" si="73"/>
        <v>0</v>
      </c>
      <c r="H365" s="147"/>
      <c r="I365" s="165"/>
      <c r="J365" s="149" t="str">
        <f t="shared" ca="1" si="67"/>
        <v/>
      </c>
      <c r="K365" s="150" t="b">
        <f t="shared" ca="1" si="76"/>
        <v>0</v>
      </c>
      <c r="L365" s="364">
        <f t="shared" si="74"/>
        <v>6</v>
      </c>
      <c r="M365" s="267">
        <v>39989</v>
      </c>
      <c r="N365" s="166">
        <f t="shared" si="68"/>
        <v>3</v>
      </c>
      <c r="O365" s="167">
        <f t="shared" ca="1" si="69"/>
        <v>1</v>
      </c>
      <c r="P365" s="168">
        <f t="shared" si="70"/>
        <v>1</v>
      </c>
      <c r="Q365" s="169" t="b">
        <f t="shared" si="77"/>
        <v>0</v>
      </c>
      <c r="R365" s="170" t="b">
        <f t="shared" ca="1" si="71"/>
        <v>1</v>
      </c>
      <c r="S365" s="166"/>
      <c r="T365" s="166"/>
      <c r="U365" s="171">
        <f t="shared" ca="1" si="75"/>
        <v>0.29166666666666669</v>
      </c>
      <c r="V365" s="172"/>
      <c r="W365" s="173">
        <f t="shared" si="72"/>
        <v>0</v>
      </c>
      <c r="X365" s="174"/>
      <c r="Y365" s="174"/>
      <c r="Z365" s="174"/>
      <c r="AA365" s="117"/>
    </row>
    <row r="366" spans="1:27" ht="13.5" thickBot="1">
      <c r="A366" s="417"/>
      <c r="B366" s="411"/>
      <c r="C366" s="261">
        <f t="shared" si="78"/>
        <v>39990</v>
      </c>
      <c r="D366" s="161"/>
      <c r="E366" s="162"/>
      <c r="F366" s="163"/>
      <c r="G366" s="164">
        <f t="shared" si="73"/>
        <v>0</v>
      </c>
      <c r="H366" s="147"/>
      <c r="I366" s="165"/>
      <c r="J366" s="149" t="str">
        <f t="shared" ca="1" si="67"/>
        <v/>
      </c>
      <c r="K366" s="150" t="b">
        <f t="shared" ca="1" si="76"/>
        <v>0</v>
      </c>
      <c r="L366" s="364">
        <f t="shared" si="74"/>
        <v>6</v>
      </c>
      <c r="M366" s="267">
        <v>39990</v>
      </c>
      <c r="N366" s="166">
        <f t="shared" si="68"/>
        <v>4</v>
      </c>
      <c r="O366" s="167">
        <f t="shared" ca="1" si="69"/>
        <v>1</v>
      </c>
      <c r="P366" s="168">
        <f t="shared" si="70"/>
        <v>1</v>
      </c>
      <c r="Q366" s="169" t="b">
        <f t="shared" si="77"/>
        <v>0</v>
      </c>
      <c r="R366" s="170" t="b">
        <f t="shared" ca="1" si="71"/>
        <v>1</v>
      </c>
      <c r="S366" s="166"/>
      <c r="T366" s="166"/>
      <c r="U366" s="171">
        <f t="shared" ca="1" si="75"/>
        <v>0.29166666666666669</v>
      </c>
      <c r="V366" s="172"/>
      <c r="W366" s="173">
        <f t="shared" si="72"/>
        <v>0</v>
      </c>
      <c r="X366" s="174"/>
      <c r="Y366" s="174"/>
      <c r="Z366" s="174"/>
      <c r="AA366" s="117"/>
    </row>
    <row r="367" spans="1:27" ht="13.5" thickBot="1">
      <c r="A367" s="417"/>
      <c r="B367" s="411"/>
      <c r="C367" s="262">
        <f t="shared" si="78"/>
        <v>39991</v>
      </c>
      <c r="D367" s="175"/>
      <c r="E367" s="176"/>
      <c r="F367" s="177"/>
      <c r="G367" s="178">
        <f t="shared" si="73"/>
        <v>0</v>
      </c>
      <c r="H367" s="279"/>
      <c r="I367" s="179"/>
      <c r="J367" s="180" t="str">
        <f t="shared" ca="1" si="67"/>
        <v/>
      </c>
      <c r="K367" s="181" t="b">
        <f t="shared" ca="1" si="76"/>
        <v>0</v>
      </c>
      <c r="L367" s="365">
        <f t="shared" si="74"/>
        <v>6</v>
      </c>
      <c r="M367" s="271">
        <v>39991</v>
      </c>
      <c r="N367" s="182">
        <f t="shared" si="68"/>
        <v>5</v>
      </c>
      <c r="O367" s="183">
        <f t="shared" ca="1" si="69"/>
        <v>1</v>
      </c>
      <c r="P367" s="184">
        <f t="shared" si="70"/>
        <v>1</v>
      </c>
      <c r="Q367" s="185" t="b">
        <f t="shared" si="77"/>
        <v>0</v>
      </c>
      <c r="R367" s="186" t="b">
        <f t="shared" ca="1" si="71"/>
        <v>1</v>
      </c>
      <c r="S367" s="182"/>
      <c r="T367" s="182"/>
      <c r="U367" s="187"/>
      <c r="V367" s="172"/>
      <c r="W367" s="188">
        <f t="shared" si="72"/>
        <v>0</v>
      </c>
      <c r="X367" s="174"/>
      <c r="Y367" s="174"/>
      <c r="Z367" s="174"/>
      <c r="AA367" s="117"/>
    </row>
    <row r="368" spans="1:27" ht="13.5" thickBot="1">
      <c r="A368" s="418"/>
      <c r="B368" s="412"/>
      <c r="C368" s="263">
        <f t="shared" si="78"/>
        <v>39992</v>
      </c>
      <c r="D368" s="189"/>
      <c r="E368" s="190"/>
      <c r="F368" s="191"/>
      <c r="G368" s="192">
        <f t="shared" si="73"/>
        <v>0</v>
      </c>
      <c r="H368" s="280"/>
      <c r="I368" s="193"/>
      <c r="J368" s="194" t="str">
        <f t="shared" ca="1" si="67"/>
        <v/>
      </c>
      <c r="K368" s="195" t="b">
        <f t="shared" ca="1" si="76"/>
        <v>0</v>
      </c>
      <c r="L368" s="366">
        <f t="shared" si="74"/>
        <v>6</v>
      </c>
      <c r="M368" s="272">
        <v>39992</v>
      </c>
      <c r="N368" s="196">
        <f t="shared" si="68"/>
        <v>6</v>
      </c>
      <c r="O368" s="197">
        <f t="shared" ca="1" si="69"/>
        <v>0</v>
      </c>
      <c r="P368" s="198">
        <f t="shared" si="70"/>
        <v>0</v>
      </c>
      <c r="Q368" s="199" t="b">
        <f t="shared" si="77"/>
        <v>0</v>
      </c>
      <c r="R368" s="200" t="b">
        <f t="shared" ca="1" si="71"/>
        <v>0</v>
      </c>
      <c r="S368" s="196" t="b">
        <f>AND(R368,R362)</f>
        <v>0</v>
      </c>
      <c r="T368" s="196" t="b">
        <f>OR(R368,R362)</f>
        <v>1</v>
      </c>
      <c r="U368" s="201"/>
      <c r="V368" s="202">
        <f ca="1">IF(Sem_entame,SUM(U362:U368),"")</f>
        <v>1.4583333333333335</v>
      </c>
      <c r="W368" s="203">
        <f t="shared" si="72"/>
        <v>0</v>
      </c>
      <c r="X368" s="204">
        <f ca="1">SUM(W362:W368)</f>
        <v>0</v>
      </c>
      <c r="Y368" s="204">
        <f ca="1">IF(Sem_entame,X368-V368,"")</f>
        <v>-1.4583333333333335</v>
      </c>
      <c r="Z368" s="204">
        <f ca="1">IF(Sem_entame,Y368+IF(ISNUMBER(Z361),Z361,0),"")</f>
        <v>-72.187500000000014</v>
      </c>
      <c r="AA368" s="117"/>
    </row>
    <row r="369" spans="1:27" ht="12.75" customHeight="1" thickBot="1">
      <c r="A369" s="416">
        <f>A362+1</f>
        <v>53</v>
      </c>
      <c r="B369" s="411" t="str">
        <f>IF(L369&lt;&gt;L375,TEXT(C375,"mmm"&amp;"-"),"")&amp;TEXT(C369,"mmm")</f>
        <v>juil-juin</v>
      </c>
      <c r="C369" s="260">
        <f t="shared" ref="C369:C375" si="79">C368+1</f>
        <v>39993</v>
      </c>
      <c r="D369" s="144"/>
      <c r="E369" s="145"/>
      <c r="F369" s="146"/>
      <c r="G369" s="147">
        <f t="shared" si="73"/>
        <v>0</v>
      </c>
      <c r="H369" s="147"/>
      <c r="I369" s="148"/>
      <c r="J369" s="207" t="str">
        <f t="shared" ca="1" si="67"/>
        <v/>
      </c>
      <c r="K369" s="150" t="b">
        <f t="shared" ca="1" si="76"/>
        <v>0</v>
      </c>
      <c r="L369" s="362">
        <f t="shared" si="74"/>
        <v>6</v>
      </c>
      <c r="M369" s="266">
        <v>39993</v>
      </c>
      <c r="N369" s="151">
        <f t="shared" si="68"/>
        <v>7</v>
      </c>
      <c r="O369" s="152">
        <f t="shared" ca="1" si="69"/>
        <v>0</v>
      </c>
      <c r="P369" s="153">
        <f t="shared" si="70"/>
        <v>0</v>
      </c>
      <c r="Q369" s="154" t="b">
        <f t="shared" si="77"/>
        <v>0</v>
      </c>
      <c r="R369" s="155" t="b">
        <f t="shared" ca="1" si="71"/>
        <v>0</v>
      </c>
      <c r="S369" s="156"/>
      <c r="T369" s="156"/>
      <c r="U369" s="157">
        <f t="shared" ca="1" si="75"/>
        <v>0</v>
      </c>
      <c r="V369" s="158"/>
      <c r="W369" s="159">
        <f t="shared" si="72"/>
        <v>0</v>
      </c>
      <c r="X369" s="160"/>
      <c r="Y369" s="160"/>
      <c r="Z369" s="160"/>
      <c r="AA369" s="117"/>
    </row>
    <row r="370" spans="1:27" ht="13.5" thickBot="1">
      <c r="A370" s="417"/>
      <c r="B370" s="411"/>
      <c r="C370" s="261">
        <f t="shared" si="79"/>
        <v>39994</v>
      </c>
      <c r="D370" s="161"/>
      <c r="E370" s="162"/>
      <c r="F370" s="163"/>
      <c r="G370" s="164">
        <f t="shared" si="73"/>
        <v>0</v>
      </c>
      <c r="H370" s="147"/>
      <c r="I370" s="165"/>
      <c r="J370" s="149" t="str">
        <f t="shared" ca="1" si="67"/>
        <v/>
      </c>
      <c r="K370" s="150" t="b">
        <f t="shared" ca="1" si="76"/>
        <v>0</v>
      </c>
      <c r="L370" s="364">
        <f t="shared" si="74"/>
        <v>7</v>
      </c>
      <c r="M370" s="267">
        <v>39994</v>
      </c>
      <c r="N370" s="166">
        <f t="shared" si="68"/>
        <v>1</v>
      </c>
      <c r="O370" s="167">
        <f t="shared" ca="1" si="69"/>
        <v>1</v>
      </c>
      <c r="P370" s="168">
        <f t="shared" si="70"/>
        <v>1</v>
      </c>
      <c r="Q370" s="169" t="b">
        <f t="shared" si="77"/>
        <v>0</v>
      </c>
      <c r="R370" s="170" t="b">
        <f t="shared" ca="1" si="71"/>
        <v>0</v>
      </c>
      <c r="S370" s="166"/>
      <c r="T370" s="166"/>
      <c r="U370" s="171">
        <f t="shared" ca="1" si="75"/>
        <v>0</v>
      </c>
      <c r="V370" s="172"/>
      <c r="W370" s="173">
        <f t="shared" si="72"/>
        <v>0</v>
      </c>
      <c r="X370" s="174"/>
      <c r="Y370" s="174"/>
      <c r="Z370" s="174"/>
      <c r="AA370" s="117"/>
    </row>
    <row r="371" spans="1:27" ht="13.5" thickBot="1">
      <c r="A371" s="417"/>
      <c r="B371" s="411"/>
      <c r="C371" s="261">
        <f t="shared" si="79"/>
        <v>39995</v>
      </c>
      <c r="D371" s="161"/>
      <c r="E371" s="162"/>
      <c r="F371" s="163"/>
      <c r="G371" s="164">
        <f t="shared" si="73"/>
        <v>0</v>
      </c>
      <c r="H371" s="147"/>
      <c r="I371" s="165"/>
      <c r="J371" s="149" t="str">
        <f t="shared" ca="1" si="67"/>
        <v/>
      </c>
      <c r="K371" s="150" t="b">
        <f t="shared" ca="1" si="76"/>
        <v>0</v>
      </c>
      <c r="L371" s="364">
        <f t="shared" si="74"/>
        <v>7</v>
      </c>
      <c r="M371" s="267">
        <v>39995</v>
      </c>
      <c r="N371" s="166">
        <f t="shared" si="68"/>
        <v>2</v>
      </c>
      <c r="O371" s="167">
        <f t="shared" ca="1" si="69"/>
        <v>1</v>
      </c>
      <c r="P371" s="168">
        <f t="shared" si="70"/>
        <v>1</v>
      </c>
      <c r="Q371" s="169" t="b">
        <f t="shared" si="77"/>
        <v>0</v>
      </c>
      <c r="R371" s="170" t="b">
        <f t="shared" ca="1" si="71"/>
        <v>0</v>
      </c>
      <c r="S371" s="166"/>
      <c r="T371" s="166"/>
      <c r="U371" s="171">
        <f t="shared" ca="1" si="75"/>
        <v>0</v>
      </c>
      <c r="V371" s="172"/>
      <c r="W371" s="173">
        <f t="shared" si="72"/>
        <v>0</v>
      </c>
      <c r="X371" s="174"/>
      <c r="Y371" s="174"/>
      <c r="Z371" s="174"/>
      <c r="AA371" s="117"/>
    </row>
    <row r="372" spans="1:27" ht="13.5" thickBot="1">
      <c r="A372" s="417"/>
      <c r="B372" s="411"/>
      <c r="C372" s="261">
        <f t="shared" si="79"/>
        <v>39996</v>
      </c>
      <c r="D372" s="161"/>
      <c r="E372" s="162"/>
      <c r="F372" s="163"/>
      <c r="G372" s="164">
        <f t="shared" si="73"/>
        <v>0</v>
      </c>
      <c r="H372" s="147"/>
      <c r="I372" s="165"/>
      <c r="J372" s="149" t="str">
        <f t="shared" ca="1" si="67"/>
        <v/>
      </c>
      <c r="K372" s="150" t="b">
        <f t="shared" ca="1" si="76"/>
        <v>0</v>
      </c>
      <c r="L372" s="364">
        <f t="shared" si="74"/>
        <v>7</v>
      </c>
      <c r="M372" s="267">
        <v>39996</v>
      </c>
      <c r="N372" s="166">
        <f t="shared" si="68"/>
        <v>3</v>
      </c>
      <c r="O372" s="167">
        <f t="shared" ca="1" si="69"/>
        <v>1</v>
      </c>
      <c r="P372" s="168">
        <f t="shared" si="70"/>
        <v>1</v>
      </c>
      <c r="Q372" s="169" t="b">
        <f t="shared" si="77"/>
        <v>0</v>
      </c>
      <c r="R372" s="170" t="b">
        <f t="shared" ca="1" si="71"/>
        <v>0</v>
      </c>
      <c r="S372" s="166"/>
      <c r="T372" s="166"/>
      <c r="U372" s="171">
        <f t="shared" ca="1" si="75"/>
        <v>0</v>
      </c>
      <c r="V372" s="172"/>
      <c r="W372" s="173">
        <f t="shared" si="72"/>
        <v>0</v>
      </c>
      <c r="X372" s="174"/>
      <c r="Y372" s="174"/>
      <c r="Z372" s="174"/>
      <c r="AA372" s="117"/>
    </row>
    <row r="373" spans="1:27" ht="13.5" thickBot="1">
      <c r="A373" s="417"/>
      <c r="B373" s="411"/>
      <c r="C373" s="261">
        <f t="shared" si="79"/>
        <v>39997</v>
      </c>
      <c r="D373" s="161"/>
      <c r="E373" s="162"/>
      <c r="F373" s="163"/>
      <c r="G373" s="164">
        <f t="shared" si="73"/>
        <v>0</v>
      </c>
      <c r="H373" s="147"/>
      <c r="I373" s="165"/>
      <c r="J373" s="149" t="str">
        <f t="shared" ca="1" si="67"/>
        <v/>
      </c>
      <c r="K373" s="150" t="b">
        <f t="shared" ca="1" si="76"/>
        <v>0</v>
      </c>
      <c r="L373" s="364">
        <f t="shared" si="74"/>
        <v>7</v>
      </c>
      <c r="M373" s="267">
        <v>39997</v>
      </c>
      <c r="N373" s="166">
        <f t="shared" si="68"/>
        <v>4</v>
      </c>
      <c r="O373" s="167">
        <f t="shared" ca="1" si="69"/>
        <v>1</v>
      </c>
      <c r="P373" s="168">
        <f t="shared" si="70"/>
        <v>1</v>
      </c>
      <c r="Q373" s="169" t="b">
        <f t="shared" si="77"/>
        <v>0</v>
      </c>
      <c r="R373" s="170" t="b">
        <f t="shared" ca="1" si="71"/>
        <v>0</v>
      </c>
      <c r="S373" s="166"/>
      <c r="T373" s="166"/>
      <c r="U373" s="171">
        <f t="shared" ca="1" si="75"/>
        <v>0</v>
      </c>
      <c r="V373" s="172"/>
      <c r="W373" s="173">
        <f t="shared" si="72"/>
        <v>0</v>
      </c>
      <c r="X373" s="174"/>
      <c r="Y373" s="174"/>
      <c r="Z373" s="174"/>
      <c r="AA373" s="117"/>
    </row>
    <row r="374" spans="1:27" ht="13.5" thickBot="1">
      <c r="A374" s="417"/>
      <c r="B374" s="411"/>
      <c r="C374" s="262">
        <f t="shared" si="79"/>
        <v>39998</v>
      </c>
      <c r="D374" s="175"/>
      <c r="E374" s="176"/>
      <c r="F374" s="177"/>
      <c r="G374" s="178">
        <f t="shared" si="73"/>
        <v>0</v>
      </c>
      <c r="H374" s="279"/>
      <c r="I374" s="179"/>
      <c r="J374" s="180" t="str">
        <f t="shared" ca="1" si="67"/>
        <v/>
      </c>
      <c r="K374" s="181" t="b">
        <f t="shared" ca="1" si="76"/>
        <v>0</v>
      </c>
      <c r="L374" s="365">
        <f t="shared" si="74"/>
        <v>7</v>
      </c>
      <c r="M374" s="271">
        <v>39998</v>
      </c>
      <c r="N374" s="182">
        <f t="shared" si="68"/>
        <v>5</v>
      </c>
      <c r="O374" s="183">
        <f t="shared" ca="1" si="69"/>
        <v>1</v>
      </c>
      <c r="P374" s="184">
        <f t="shared" si="70"/>
        <v>1</v>
      </c>
      <c r="Q374" s="185" t="b">
        <f t="shared" si="77"/>
        <v>0</v>
      </c>
      <c r="R374" s="186" t="b">
        <f t="shared" ca="1" si="71"/>
        <v>0</v>
      </c>
      <c r="S374" s="182"/>
      <c r="T374" s="182"/>
      <c r="U374" s="187"/>
      <c r="V374" s="172"/>
      <c r="W374" s="188">
        <f t="shared" si="72"/>
        <v>0</v>
      </c>
      <c r="X374" s="174"/>
      <c r="Y374" s="174"/>
      <c r="Z374" s="174"/>
      <c r="AA374" s="117"/>
    </row>
    <row r="375" spans="1:27" ht="13.5" thickBot="1">
      <c r="A375" s="418"/>
      <c r="B375" s="412"/>
      <c r="C375" s="263">
        <f t="shared" si="79"/>
        <v>39999</v>
      </c>
      <c r="D375" s="189"/>
      <c r="E375" s="190"/>
      <c r="F375" s="191"/>
      <c r="G375" s="192">
        <f t="shared" si="73"/>
        <v>0</v>
      </c>
      <c r="H375" s="280"/>
      <c r="I375" s="193"/>
      <c r="J375" s="194" t="str">
        <f t="shared" ca="1" si="67"/>
        <v/>
      </c>
      <c r="K375" s="195" t="b">
        <f t="shared" ca="1" si="76"/>
        <v>0</v>
      </c>
      <c r="L375" s="366">
        <f t="shared" si="74"/>
        <v>7</v>
      </c>
      <c r="M375" s="272">
        <v>39999</v>
      </c>
      <c r="N375" s="196">
        <f t="shared" si="68"/>
        <v>6</v>
      </c>
      <c r="O375" s="197">
        <f t="shared" ca="1" si="69"/>
        <v>0</v>
      </c>
      <c r="P375" s="198">
        <f t="shared" si="70"/>
        <v>0</v>
      </c>
      <c r="Q375" s="199" t="b">
        <f t="shared" si="77"/>
        <v>0</v>
      </c>
      <c r="R375" s="200" t="b">
        <f t="shared" ca="1" si="71"/>
        <v>0</v>
      </c>
      <c r="S375" s="196" t="b">
        <f>AND(R375,R369)</f>
        <v>0</v>
      </c>
      <c r="T375" s="196" t="b">
        <f>OR(R375,R369)</f>
        <v>0</v>
      </c>
      <c r="U375" s="201"/>
      <c r="V375" s="202" t="str">
        <f ca="1">IF(Sem_entame,SUM(U369:U375),"")</f>
        <v/>
      </c>
      <c r="W375" s="203">
        <f t="shared" si="72"/>
        <v>0</v>
      </c>
      <c r="X375" s="204">
        <f ca="1">SUM(W369:W375)</f>
        <v>0</v>
      </c>
      <c r="Y375" s="204" t="str">
        <f ca="1">IF(Sem_entame,X375-V375,"")</f>
        <v/>
      </c>
      <c r="Z375" s="204" t="str">
        <f ca="1">IF(Sem_entame,Y375+IF(ISNUMBER(Z368),Z368,0),"")</f>
        <v/>
      </c>
      <c r="AA375" s="117"/>
    </row>
    <row r="376" spans="1:27">
      <c r="A376" s="117"/>
      <c r="B376" s="117"/>
      <c r="C376" s="264"/>
      <c r="D376" s="117"/>
      <c r="E376" s="117"/>
      <c r="F376" s="117"/>
      <c r="G376" s="117"/>
      <c r="H376" s="117"/>
      <c r="I376" s="117"/>
      <c r="J376" s="208"/>
      <c r="K376" s="117"/>
      <c r="L376" s="273"/>
      <c r="M376" s="273"/>
      <c r="N376" s="117"/>
      <c r="O376" s="117"/>
      <c r="P376" s="117"/>
      <c r="Q376" s="117"/>
      <c r="R376" s="117"/>
      <c r="S376" s="117"/>
      <c r="T376" s="117"/>
      <c r="U376" s="117"/>
      <c r="V376" s="117"/>
      <c r="W376" s="117"/>
      <c r="X376" s="117"/>
      <c r="Y376" s="117"/>
      <c r="Z376" s="117"/>
      <c r="AA376" s="117"/>
    </row>
  </sheetData>
  <sheetProtection selectLockedCells="1"/>
  <mergeCells count="108">
    <mergeCell ref="A369:A375"/>
    <mergeCell ref="B369:B375"/>
    <mergeCell ref="A355:A361"/>
    <mergeCell ref="B355:B361"/>
    <mergeCell ref="A362:A368"/>
    <mergeCell ref="B362:B368"/>
    <mergeCell ref="A299:A305"/>
    <mergeCell ref="A243:A249"/>
    <mergeCell ref="B243:B249"/>
    <mergeCell ref="A250:A256"/>
    <mergeCell ref="B250:B256"/>
    <mergeCell ref="A257:A263"/>
    <mergeCell ref="B257:B263"/>
    <mergeCell ref="B299:B305"/>
    <mergeCell ref="A264:A270"/>
    <mergeCell ref="A285:A291"/>
    <mergeCell ref="B348:B354"/>
    <mergeCell ref="A327:A333"/>
    <mergeCell ref="B327:B333"/>
    <mergeCell ref="A334:A340"/>
    <mergeCell ref="B334:B340"/>
    <mergeCell ref="A341:A347"/>
    <mergeCell ref="B341:B347"/>
    <mergeCell ref="A348:A354"/>
    <mergeCell ref="G1:G2"/>
    <mergeCell ref="A278:A284"/>
    <mergeCell ref="B278:B284"/>
    <mergeCell ref="A208:A214"/>
    <mergeCell ref="B208:B214"/>
    <mergeCell ref="A222:A228"/>
    <mergeCell ref="B222:B228"/>
    <mergeCell ref="B236:B242"/>
    <mergeCell ref="A215:A221"/>
    <mergeCell ref="B215:B221"/>
    <mergeCell ref="A306:A312"/>
    <mergeCell ref="B306:B312"/>
    <mergeCell ref="A313:A319"/>
    <mergeCell ref="B313:B319"/>
    <mergeCell ref="B285:B291"/>
    <mergeCell ref="A292:A298"/>
    <mergeCell ref="B292:B298"/>
    <mergeCell ref="A194:A200"/>
    <mergeCell ref="B194:B200"/>
    <mergeCell ref="A173:A179"/>
    <mergeCell ref="A320:A326"/>
    <mergeCell ref="B320:B326"/>
    <mergeCell ref="A201:A207"/>
    <mergeCell ref="B201:B207"/>
    <mergeCell ref="A271:A277"/>
    <mergeCell ref="B271:B277"/>
    <mergeCell ref="A236:A242"/>
    <mergeCell ref="B145:B151"/>
    <mergeCell ref="A152:A158"/>
    <mergeCell ref="B152:B158"/>
    <mergeCell ref="A229:A235"/>
    <mergeCell ref="B229:B235"/>
    <mergeCell ref="B264:B270"/>
    <mergeCell ref="A166:A172"/>
    <mergeCell ref="B166:B172"/>
    <mergeCell ref="A187:A193"/>
    <mergeCell ref="B187:B193"/>
    <mergeCell ref="B173:B179"/>
    <mergeCell ref="A180:A186"/>
    <mergeCell ref="B180:B186"/>
    <mergeCell ref="A131:A137"/>
    <mergeCell ref="B131:B137"/>
    <mergeCell ref="A138:A144"/>
    <mergeCell ref="B138:B144"/>
    <mergeCell ref="A159:A165"/>
    <mergeCell ref="B159:B165"/>
    <mergeCell ref="A145:A151"/>
    <mergeCell ref="A75:A81"/>
    <mergeCell ref="B75:B81"/>
    <mergeCell ref="A117:A123"/>
    <mergeCell ref="B117:B123"/>
    <mergeCell ref="A124:A130"/>
    <mergeCell ref="B124:B130"/>
    <mergeCell ref="A103:A109"/>
    <mergeCell ref="B103:B109"/>
    <mergeCell ref="A110:A116"/>
    <mergeCell ref="B110:B116"/>
    <mergeCell ref="A82:A88"/>
    <mergeCell ref="B82:B88"/>
    <mergeCell ref="A54:A60"/>
    <mergeCell ref="B54:B60"/>
    <mergeCell ref="A89:A95"/>
    <mergeCell ref="B89:B95"/>
    <mergeCell ref="A96:A102"/>
    <mergeCell ref="B96:B102"/>
    <mergeCell ref="A61:A67"/>
    <mergeCell ref="B61:B67"/>
    <mergeCell ref="A68:A74"/>
    <mergeCell ref="B68:B74"/>
    <mergeCell ref="A33:A39"/>
    <mergeCell ref="B33:B39"/>
    <mergeCell ref="A40:A46"/>
    <mergeCell ref="B40:B46"/>
    <mergeCell ref="A47:A53"/>
    <mergeCell ref="B47:B53"/>
    <mergeCell ref="A1:C1"/>
    <mergeCell ref="B12:B18"/>
    <mergeCell ref="B19:B25"/>
    <mergeCell ref="B26:B32"/>
    <mergeCell ref="A5:A11"/>
    <mergeCell ref="A12:A18"/>
    <mergeCell ref="A19:A25"/>
    <mergeCell ref="A26:A32"/>
    <mergeCell ref="B5:B11"/>
  </mergeCells>
  <phoneticPr fontId="17" type="noConversion"/>
  <conditionalFormatting sqref="A5:A375">
    <cfRule type="expression" dxfId="3" priority="4" stopIfTrue="1">
      <formula>A5=Semaine_courrante</formula>
    </cfRule>
  </conditionalFormatting>
  <conditionalFormatting sqref="C5:W375">
    <cfRule type="expression" dxfId="2" priority="17" stopIfTrue="1">
      <formula>NOT($R5)</formula>
    </cfRule>
    <cfRule type="expression" dxfId="1" priority="18" stopIfTrue="1">
      <formula>($N5=(N_jour_Rtt-1))*(N_jour_Rtt&gt;0)</formula>
    </cfRule>
    <cfRule type="expression" dxfId="0" priority="19" stopIfTrue="1">
      <formula>$Q5</formula>
    </cfRule>
  </conditionalFormatting>
  <dataValidations xWindow="787" yWindow="220" count="1">
    <dataValidation type="list" allowBlank="1" showInputMessage="1" showErrorMessage="1" sqref="I5:I375">
      <formula1>L_Motif_Abscence</formula1>
    </dataValidation>
  </dataValidations>
  <pageMargins left="0.78740157499999996" right="0.78740157499999996" top="0.984251969" bottom="0.984251969" header="0.4921259845" footer="0.4921259845"/>
  <pageSetup paperSize="9" orientation="portrait"/>
  <headerFooter alignWithMargins="0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M27"/>
  <sheetViews>
    <sheetView showGridLines="0" zoomScale="80" zoomScaleNormal="80" workbookViewId="0">
      <pane ySplit="3" topLeftCell="A7" activePane="bottomLeft" state="frozen"/>
      <selection activeCell="A6" sqref="A6:I6"/>
      <selection pane="bottomLeft" activeCell="H14" sqref="H14"/>
    </sheetView>
  </sheetViews>
  <sheetFormatPr baseColWidth="10" defaultRowHeight="12.75" zeroHeight="1"/>
  <cols>
    <col min="1" max="1" width="7" style="3" customWidth="1"/>
    <col min="2" max="2" width="6.85546875" style="3" customWidth="1"/>
    <col min="3" max="3" width="19.42578125" style="3" customWidth="1"/>
    <col min="4" max="7" width="13.140625" style="3" customWidth="1"/>
    <col min="8" max="8" width="11.42578125" style="3"/>
    <col min="9" max="9" width="25.42578125" style="3" customWidth="1"/>
    <col min="10" max="16384" width="11.42578125" style="3"/>
  </cols>
  <sheetData>
    <row r="1" spans="1:13">
      <c r="B1" s="51"/>
      <c r="C1" s="51"/>
      <c r="D1" s="51"/>
      <c r="E1" s="57" t="s">
        <v>42</v>
      </c>
      <c r="F1" s="51"/>
      <c r="G1" s="53"/>
      <c r="H1" s="53"/>
      <c r="I1" s="58" t="s">
        <v>94</v>
      </c>
      <c r="J1" s="51"/>
      <c r="K1" s="60"/>
    </row>
    <row r="2" spans="1:13" ht="25.5" customHeight="1">
      <c r="B2" s="51"/>
      <c r="C2" s="51"/>
      <c r="D2" s="51"/>
      <c r="E2" s="287">
        <v>1</v>
      </c>
      <c r="F2" s="51"/>
      <c r="G2" s="52"/>
      <c r="H2" s="53"/>
      <c r="I2" s="55">
        <f ca="1">Semaine_courrante</f>
        <v>2</v>
      </c>
      <c r="J2" s="59"/>
      <c r="K2" s="60"/>
    </row>
    <row r="3" spans="1:13" ht="13.5" thickBot="1">
      <c r="B3" s="54"/>
      <c r="C3" s="54"/>
      <c r="D3" s="54"/>
      <c r="E3" s="54"/>
      <c r="F3" s="54"/>
      <c r="G3" s="54"/>
      <c r="H3" s="54"/>
      <c r="I3" s="56"/>
      <c r="J3" s="54"/>
      <c r="K3" s="61"/>
    </row>
    <row r="4" spans="1:13" ht="42" customHeight="1" thickTop="1"/>
    <row r="5" spans="1:13" ht="47.25" customHeight="1">
      <c r="B5" s="422" t="s">
        <v>74</v>
      </c>
      <c r="C5" s="422"/>
      <c r="D5" s="422"/>
      <c r="E5" s="422"/>
      <c r="F5" s="422"/>
      <c r="G5" s="422"/>
      <c r="H5" s="422"/>
      <c r="I5" s="422"/>
      <c r="J5" s="422"/>
    </row>
    <row r="6" spans="1:13" ht="21.75" customHeight="1">
      <c r="C6" s="14" t="s">
        <v>79</v>
      </c>
      <c r="D6" s="13" t="str">
        <f ca="1">Prénom&amp;" "&amp;Nom</f>
        <v xml:space="preserve"> </v>
      </c>
      <c r="E6" s="13"/>
      <c r="F6" s="13"/>
      <c r="G6" s="14" t="s">
        <v>78</v>
      </c>
      <c r="I6" s="13">
        <f ca="1">Service</f>
        <v>0</v>
      </c>
      <c r="M6" s="13"/>
    </row>
    <row r="7" spans="1:13" ht="15" customHeight="1">
      <c r="C7" s="14"/>
      <c r="D7" s="13"/>
      <c r="E7" s="13"/>
      <c r="F7" s="13"/>
      <c r="G7" s="13"/>
      <c r="H7" s="13"/>
      <c r="I7" s="13"/>
    </row>
    <row r="8" spans="1:13" ht="21.75" customHeight="1">
      <c r="C8" s="13" t="s">
        <v>82</v>
      </c>
      <c r="D8" s="13">
        <f ca="1">Matricule</f>
        <v>0</v>
      </c>
      <c r="E8" s="13"/>
      <c r="F8" s="13"/>
      <c r="G8" s="14" t="s">
        <v>110</v>
      </c>
      <c r="I8" s="13">
        <f ca="1">Responsable</f>
        <v>0</v>
      </c>
    </row>
    <row r="9" spans="1:13" ht="15" customHeight="1">
      <c r="C9" s="14"/>
      <c r="D9" s="13"/>
      <c r="E9" s="13"/>
      <c r="F9" s="13"/>
      <c r="G9" s="13"/>
      <c r="H9" s="13"/>
      <c r="I9" s="13"/>
    </row>
    <row r="10" spans="1:13" ht="21.75" customHeight="1">
      <c r="C10" s="14" t="s">
        <v>77</v>
      </c>
      <c r="D10" s="421">
        <f>C14</f>
        <v>39630</v>
      </c>
      <c r="E10" s="421"/>
      <c r="F10" s="421"/>
      <c r="G10" s="14" t="s">
        <v>4</v>
      </c>
      <c r="H10" s="13"/>
      <c r="I10" s="20">
        <f ca="1">TODAY()</f>
        <v>39637</v>
      </c>
    </row>
    <row r="11" spans="1:13" ht="21.75" customHeight="1">
      <c r="C11" s="14" t="s">
        <v>80</v>
      </c>
      <c r="D11" s="421">
        <f>D10+6</f>
        <v>39636</v>
      </c>
      <c r="E11" s="421"/>
      <c r="F11" s="421"/>
      <c r="H11" s="70"/>
    </row>
    <row r="12" spans="1:13" ht="15" customHeight="1" thickBot="1">
      <c r="C12" s="14"/>
      <c r="D12" s="13"/>
      <c r="E12" s="13"/>
      <c r="F12" s="13"/>
      <c r="G12" s="13"/>
      <c r="H12" s="13"/>
      <c r="I12" s="13"/>
    </row>
    <row r="13" spans="1:13" ht="26.25" thickBot="1">
      <c r="D13" s="15" t="s">
        <v>39</v>
      </c>
      <c r="E13" s="16" t="s">
        <v>40</v>
      </c>
      <c r="F13" s="16" t="s">
        <v>41</v>
      </c>
      <c r="G13" s="16" t="s">
        <v>69</v>
      </c>
      <c r="H13" s="17" t="s">
        <v>83</v>
      </c>
      <c r="I13" s="18" t="s">
        <v>81</v>
      </c>
      <c r="J13" s="19" t="s">
        <v>87</v>
      </c>
    </row>
    <row r="14" spans="1:13" s="4" customFormat="1" ht="35.25" customHeight="1">
      <c r="A14" s="4">
        <f ca="1">MATCH(C14,Date,0)</f>
        <v>2</v>
      </c>
      <c r="C14" s="21">
        <f ca="1">INDEX(Liste_semaines,E2)</f>
        <v>39630</v>
      </c>
      <c r="D14" s="22">
        <f t="shared" ref="D14:D20" ca="1" si="0">INDEX(Arrivée,indice)</f>
        <v>0.33333333333333331</v>
      </c>
      <c r="E14" s="23">
        <f t="shared" ref="E14:E20" ca="1" si="1">INDEX(Départ,indice)</f>
        <v>0.52083333333333337</v>
      </c>
      <c r="F14" s="23">
        <f t="shared" ref="F14:F20" ca="1" si="2">INDEX(Pause,indice)</f>
        <v>0</v>
      </c>
      <c r="G14" s="23">
        <f t="shared" ref="G14:G20" ca="1" si="3">INDEX(Travaillé,indice)</f>
        <v>0.18750000000000006</v>
      </c>
      <c r="H14" s="24">
        <f ca="1">INDEX(Abscence,indice)</f>
        <v>1</v>
      </c>
      <c r="I14" s="25" t="str">
        <f ca="1">VLOOKUP(H14,Paramètres!C37:E49,3,FALSE)</f>
        <v>Congés payés 1 journée</v>
      </c>
      <c r="J14" s="26">
        <f t="shared" ref="J14:J20" ca="1" si="4">INDEX(Heures,indice)</f>
        <v>0.47916666666666674</v>
      </c>
    </row>
    <row r="15" spans="1:13" s="4" customFormat="1" ht="35.25" customHeight="1">
      <c r="A15" s="4">
        <f t="shared" ref="A15:A20" si="5">A14+1</f>
        <v>3</v>
      </c>
      <c r="C15" s="27">
        <f t="shared" ref="C15:C20" si="6">C14+1</f>
        <v>39631</v>
      </c>
      <c r="D15" s="22">
        <f t="shared" ca="1" si="0"/>
        <v>0</v>
      </c>
      <c r="E15" s="23">
        <f t="shared" ca="1" si="1"/>
        <v>0</v>
      </c>
      <c r="F15" s="23">
        <f t="shared" ca="1" si="2"/>
        <v>0</v>
      </c>
      <c r="G15" s="23">
        <f t="shared" ca="1" si="3"/>
        <v>0</v>
      </c>
      <c r="H15" s="24" t="str">
        <f t="shared" ref="H15:H20" ca="1" si="7">INDEX(Abscence,indice)</f>
        <v/>
      </c>
      <c r="I15" s="25" t="str">
        <f t="shared" ref="I15:I20" ca="1" si="8">IF(H15="","",IF(H15=5,INDEX(L_Fériés,MATCH(C18,Fériés)),INDEX(Motif_abscence,indice)))</f>
        <v/>
      </c>
      <c r="J15" s="26">
        <f t="shared" ca="1" si="4"/>
        <v>0</v>
      </c>
    </row>
    <row r="16" spans="1:13" s="4" customFormat="1" ht="35.25" customHeight="1">
      <c r="A16" s="4">
        <f t="shared" si="5"/>
        <v>4</v>
      </c>
      <c r="C16" s="27">
        <f t="shared" si="6"/>
        <v>39632</v>
      </c>
      <c r="D16" s="22">
        <f t="shared" ca="1" si="0"/>
        <v>0</v>
      </c>
      <c r="E16" s="23">
        <f t="shared" ca="1" si="1"/>
        <v>0</v>
      </c>
      <c r="F16" s="23">
        <f t="shared" ca="1" si="2"/>
        <v>0</v>
      </c>
      <c r="G16" s="23">
        <f t="shared" ca="1" si="3"/>
        <v>0</v>
      </c>
      <c r="H16" s="24" t="str">
        <f t="shared" ca="1" si="7"/>
        <v/>
      </c>
      <c r="I16" s="25" t="str">
        <f t="shared" ca="1" si="8"/>
        <v/>
      </c>
      <c r="J16" s="26">
        <f t="shared" ca="1" si="4"/>
        <v>0</v>
      </c>
    </row>
    <row r="17" spans="1:10" s="4" customFormat="1" ht="35.25" customHeight="1">
      <c r="A17" s="4">
        <f t="shared" si="5"/>
        <v>5</v>
      </c>
      <c r="C17" s="27">
        <f t="shared" si="6"/>
        <v>39633</v>
      </c>
      <c r="D17" s="22">
        <f t="shared" ca="1" si="0"/>
        <v>0</v>
      </c>
      <c r="E17" s="23">
        <f t="shared" ca="1" si="1"/>
        <v>0</v>
      </c>
      <c r="F17" s="23">
        <f t="shared" ca="1" si="2"/>
        <v>0</v>
      </c>
      <c r="G17" s="23">
        <f t="shared" ca="1" si="3"/>
        <v>0</v>
      </c>
      <c r="H17" s="24" t="str">
        <f t="shared" ca="1" si="7"/>
        <v/>
      </c>
      <c r="I17" s="25" t="str">
        <f t="shared" ca="1" si="8"/>
        <v/>
      </c>
      <c r="J17" s="26">
        <f t="shared" ca="1" si="4"/>
        <v>0</v>
      </c>
    </row>
    <row r="18" spans="1:10" s="4" customFormat="1" ht="35.25" customHeight="1">
      <c r="A18" s="4">
        <f t="shared" si="5"/>
        <v>6</v>
      </c>
      <c r="C18" s="27">
        <f t="shared" si="6"/>
        <v>39634</v>
      </c>
      <c r="D18" s="22">
        <f t="shared" ca="1" si="0"/>
        <v>0</v>
      </c>
      <c r="E18" s="23">
        <f t="shared" ca="1" si="1"/>
        <v>0</v>
      </c>
      <c r="F18" s="23">
        <f t="shared" ca="1" si="2"/>
        <v>0</v>
      </c>
      <c r="G18" s="23">
        <f t="shared" ca="1" si="3"/>
        <v>0</v>
      </c>
      <c r="H18" s="24" t="str">
        <f t="shared" ca="1" si="7"/>
        <v/>
      </c>
      <c r="I18" s="25" t="str">
        <f t="shared" ca="1" si="8"/>
        <v/>
      </c>
      <c r="J18" s="26">
        <f t="shared" ca="1" si="4"/>
        <v>0</v>
      </c>
    </row>
    <row r="19" spans="1:10" s="4" customFormat="1" ht="35.25" customHeight="1">
      <c r="A19" s="4">
        <f t="shared" si="5"/>
        <v>7</v>
      </c>
      <c r="C19" s="28">
        <f t="shared" si="6"/>
        <v>39635</v>
      </c>
      <c r="D19" s="29">
        <f t="shared" ca="1" si="0"/>
        <v>0</v>
      </c>
      <c r="E19" s="30">
        <f t="shared" ca="1" si="1"/>
        <v>0</v>
      </c>
      <c r="F19" s="30">
        <f t="shared" ca="1" si="2"/>
        <v>0</v>
      </c>
      <c r="G19" s="30">
        <f t="shared" ca="1" si="3"/>
        <v>0</v>
      </c>
      <c r="H19" s="31" t="str">
        <f t="shared" ca="1" si="7"/>
        <v/>
      </c>
      <c r="I19" s="32" t="str">
        <f t="shared" ca="1" si="8"/>
        <v/>
      </c>
      <c r="J19" s="33">
        <f t="shared" ca="1" si="4"/>
        <v>0</v>
      </c>
    </row>
    <row r="20" spans="1:10" s="4" customFormat="1" ht="35.25" customHeight="1" thickBot="1">
      <c r="A20" s="4">
        <f t="shared" si="5"/>
        <v>8</v>
      </c>
      <c r="C20" s="34">
        <f t="shared" si="6"/>
        <v>39636</v>
      </c>
      <c r="D20" s="35">
        <f t="shared" ca="1" si="0"/>
        <v>0.375</v>
      </c>
      <c r="E20" s="36">
        <f t="shared" ca="1" si="1"/>
        <v>0.79166666666666663</v>
      </c>
      <c r="F20" s="36">
        <f t="shared" ca="1" si="2"/>
        <v>6.25E-2</v>
      </c>
      <c r="G20" s="36">
        <f t="shared" ca="1" si="3"/>
        <v>0.35416666666666663</v>
      </c>
      <c r="H20" s="37">
        <f t="shared" ca="1" si="7"/>
        <v>5</v>
      </c>
      <c r="I20" s="38" t="e">
        <f t="shared" ca="1" si="8"/>
        <v>#N/A</v>
      </c>
      <c r="J20" s="39">
        <f t="shared" ca="1" si="4"/>
        <v>1.3541666666666665</v>
      </c>
    </row>
    <row r="21" spans="1:10" s="4" customFormat="1" ht="35.25" customHeight="1" thickTop="1" thickBot="1">
      <c r="C21" s="40"/>
      <c r="D21" s="41"/>
      <c r="E21" s="41"/>
      <c r="F21" s="41"/>
      <c r="G21" s="42"/>
      <c r="H21" s="43"/>
      <c r="I21" s="44" t="s">
        <v>88</v>
      </c>
      <c r="J21" s="293">
        <f>SUM(J14:J20)</f>
        <v>1.8333333333333333</v>
      </c>
    </row>
    <row r="22" spans="1:10" s="4" customFormat="1" ht="35.25" customHeight="1" thickTop="1">
      <c r="A22" s="4">
        <f>A20</f>
        <v>8</v>
      </c>
      <c r="C22" s="65"/>
      <c r="D22" s="66"/>
      <c r="E22" s="66"/>
      <c r="F22" s="66"/>
      <c r="G22" s="67"/>
      <c r="H22" s="68"/>
      <c r="I22" s="69" t="s">
        <v>106</v>
      </c>
      <c r="J22" s="26">
        <f ca="1">INDEX(Bilan_global,A22)</f>
        <v>0</v>
      </c>
    </row>
    <row r="23" spans="1:10" s="4" customFormat="1" ht="35.25" customHeight="1">
      <c r="C23" s="282"/>
      <c r="D23" s="283"/>
      <c r="E23" s="283"/>
      <c r="F23" s="283"/>
      <c r="G23" s="284"/>
      <c r="H23" s="285"/>
      <c r="I23" s="286"/>
      <c r="J23" s="284"/>
    </row>
    <row r="24" spans="1:10" ht="30" customHeight="1" thickBot="1">
      <c r="C24" s="5"/>
    </row>
    <row r="25" spans="1:10" ht="13.5" thickBot="1">
      <c r="C25" s="45"/>
      <c r="D25" s="47"/>
      <c r="E25" s="6" t="s">
        <v>76</v>
      </c>
      <c r="F25" s="6"/>
      <c r="G25" s="7"/>
      <c r="H25" s="6"/>
      <c r="I25" s="6" t="s">
        <v>5</v>
      </c>
      <c r="J25" s="8"/>
    </row>
    <row r="26" spans="1:10" ht="95.25" customHeight="1" thickBot="1">
      <c r="C26" s="46" t="s">
        <v>75</v>
      </c>
      <c r="D26" s="9"/>
      <c r="E26" s="9"/>
      <c r="F26" s="10"/>
      <c r="G26" s="11"/>
      <c r="H26" s="10"/>
      <c r="I26" s="10"/>
      <c r="J26" s="12"/>
    </row>
    <row r="27" spans="1:10"/>
  </sheetData>
  <mergeCells count="3">
    <mergeCell ref="D10:F10"/>
    <mergeCell ref="D11:F11"/>
    <mergeCell ref="B5:J5"/>
  </mergeCells>
  <phoneticPr fontId="17" type="noConversion"/>
  <pageMargins left="0.39370078740157483" right="0.78740157480314965" top="0.39370078740157483" bottom="0.98425196850393704" header="0.51181102362204722" footer="0.51181102362204722"/>
  <pageSetup paperSize="9" scale="65" orientation="portrait"/>
  <headerFooter alignWithMargins="0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W24"/>
  <sheetViews>
    <sheetView showGridLines="0" showRowColHeaders="0" tabSelected="1" topLeftCell="A5" zoomScaleNormal="100" workbookViewId="0">
      <selection activeCell="H13" sqref="H13"/>
    </sheetView>
  </sheetViews>
  <sheetFormatPr baseColWidth="10" defaultColWidth="0" defaultRowHeight="12.75" zeroHeight="1"/>
  <cols>
    <col min="1" max="1" width="2.28515625" style="62" customWidth="1"/>
    <col min="2" max="4" width="9.140625" style="63" hidden="1" customWidth="1"/>
    <col min="5" max="5" width="5.42578125" style="63" hidden="1" customWidth="1"/>
    <col min="6" max="6" width="14.140625" style="63" customWidth="1"/>
    <col min="7" max="9" width="10" style="63" customWidth="1"/>
    <col min="10" max="21" width="7.7109375" style="63" customWidth="1"/>
    <col min="22" max="22" width="2.42578125" style="62" customWidth="1"/>
    <col min="23" max="16384" width="0" style="63" hidden="1"/>
  </cols>
  <sheetData>
    <row r="1" spans="1:23" ht="7.5" customHeight="1">
      <c r="F1" s="223"/>
      <c r="G1" s="224"/>
      <c r="H1" s="224"/>
      <c r="I1" s="224"/>
      <c r="J1" s="223"/>
      <c r="K1" s="223"/>
      <c r="L1" s="223"/>
      <c r="M1" s="223"/>
      <c r="N1" s="223"/>
      <c r="O1" s="223"/>
      <c r="P1" s="223"/>
      <c r="Q1" s="223"/>
      <c r="R1" s="223"/>
      <c r="S1" s="223"/>
      <c r="T1" s="223"/>
      <c r="U1" s="223"/>
    </row>
    <row r="2" spans="1:23" s="223" customFormat="1" ht="18">
      <c r="A2" s="288"/>
      <c r="F2" s="295" t="s">
        <v>97</v>
      </c>
      <c r="G2" s="296"/>
      <c r="H2" s="296"/>
      <c r="I2" s="426" t="str">
        <f ca="1">Identité!$B$13</f>
        <v>Saison sportive 2012/2013</v>
      </c>
      <c r="J2" s="426"/>
      <c r="K2" s="426"/>
      <c r="L2" s="426"/>
      <c r="M2" s="426"/>
      <c r="N2" s="426"/>
      <c r="O2" s="426"/>
      <c r="P2" s="426"/>
      <c r="Q2" s="426"/>
      <c r="R2" s="425">
        <f ca="1">TODAY()</f>
        <v>39637</v>
      </c>
      <c r="S2" s="425"/>
      <c r="T2" s="425"/>
      <c r="U2" s="425"/>
      <c r="V2" s="288"/>
    </row>
    <row r="3" spans="1:23" s="223" customFormat="1" ht="6" customHeight="1" thickBot="1">
      <c r="A3" s="288"/>
      <c r="F3" s="297"/>
      <c r="G3" s="298"/>
      <c r="H3" s="298"/>
      <c r="I3" s="298"/>
      <c r="J3" s="297"/>
      <c r="K3" s="297"/>
      <c r="L3" s="297"/>
      <c r="M3" s="297"/>
      <c r="N3" s="297"/>
      <c r="O3" s="297"/>
      <c r="P3" s="297"/>
      <c r="Q3" s="297"/>
      <c r="R3" s="297"/>
      <c r="S3" s="297"/>
      <c r="T3" s="297"/>
      <c r="U3" s="297"/>
      <c r="V3" s="288"/>
    </row>
    <row r="4" spans="1:23" s="223" customFormat="1" ht="13.5" hidden="1" thickBot="1">
      <c r="A4" s="288"/>
      <c r="F4" s="297"/>
      <c r="G4" s="298"/>
      <c r="H4" s="298"/>
      <c r="I4" s="298"/>
      <c r="J4" s="297">
        <v>1</v>
      </c>
      <c r="K4" s="297">
        <v>2</v>
      </c>
      <c r="L4" s="297">
        <v>3</v>
      </c>
      <c r="M4" s="297">
        <v>4</v>
      </c>
      <c r="N4" s="297">
        <v>5</v>
      </c>
      <c r="O4" s="297">
        <v>6</v>
      </c>
      <c r="P4" s="297">
        <v>7</v>
      </c>
      <c r="Q4" s="297">
        <v>8</v>
      </c>
      <c r="R4" s="297">
        <v>9</v>
      </c>
      <c r="S4" s="297">
        <v>10</v>
      </c>
      <c r="T4" s="297"/>
      <c r="U4" s="297">
        <v>11</v>
      </c>
      <c r="V4" s="288"/>
    </row>
    <row r="5" spans="1:23" s="223" customFormat="1" ht="133.5" customHeight="1" thickBot="1">
      <c r="A5" s="289"/>
      <c r="B5" s="290"/>
      <c r="C5" s="290"/>
      <c r="D5" s="290"/>
      <c r="E5" s="291"/>
      <c r="F5" s="299" t="s">
        <v>44</v>
      </c>
      <c r="G5" s="300" t="s">
        <v>71</v>
      </c>
      <c r="H5" s="301" t="s">
        <v>33</v>
      </c>
      <c r="I5" s="302" t="s">
        <v>34</v>
      </c>
      <c r="J5" s="300" t="str">
        <f t="array" aca="1" ref="J5" ca="1">INDEX(L_Motif_Abscence,J$4)</f>
        <v>Congés payés 1 journée</v>
      </c>
      <c r="K5" s="303" t="str">
        <f t="array" aca="1" ref="K5" ca="1">INDEX(L_Motif_Abscence,K$4)</f>
        <v>Congés payés 1/2 journée</v>
      </c>
      <c r="L5" s="300" t="str">
        <f t="array" aca="1" ref="L5" ca="1">INDEX(L_Motif_Abscence,L$4)</f>
        <v>Récupération prise journée (en heures)</v>
      </c>
      <c r="M5" s="303" t="str">
        <f t="array" aca="1" ref="M5" ca="1">INDEX(L_Motif_Abscence,M$4)</f>
        <v>Récupération prise 1/2 journée (en heures)</v>
      </c>
      <c r="N5" s="304" t="str">
        <f t="array" aca="1" ref="N5" ca="1">INDEX(L_Motif_Abscence,N$4)</f>
        <v>Récupération prise en jours (forfait jours)</v>
      </c>
      <c r="O5" s="305" t="str">
        <f t="array" aca="1" ref="O5" ca="1">INDEX(L_Motif_Abscence,O$4)</f>
        <v>Récupération prise 1/2 journée (forfait jours)</v>
      </c>
      <c r="P5" s="301" t="str">
        <f t="array" aca="1" ref="P5" ca="1">INDEX(L_Motif_Abscence,P$4)</f>
        <v xml:space="preserve">Jour férié </v>
      </c>
      <c r="Q5" s="301" t="str">
        <f t="array" aca="1" ref="Q5" ca="1">INDEX(L_Motif_Abscence,Q$4)</f>
        <v>Mission / déplacement</v>
      </c>
      <c r="R5" s="301" t="str">
        <f t="array" aca="1" ref="R5" ca="1">INDEX(L_Motif_Abscence,R$4)</f>
        <v>Formation</v>
      </c>
      <c r="S5" s="301" t="str">
        <f t="array" aca="1" ref="S5" ca="1">INDEX(L_Motif_Abscence,S$4)</f>
        <v>Abs. non rémunérée</v>
      </c>
      <c r="T5" s="303" t="str">
        <f ca="1">INDEX(L_Motif_Abscence,U$4)</f>
        <v>Maladie - maternité - AT</v>
      </c>
      <c r="U5" s="302"/>
      <c r="V5" s="288"/>
      <c r="W5" s="288"/>
    </row>
    <row r="6" spans="1:23" s="292" customFormat="1" ht="13.5" thickBot="1">
      <c r="A6" s="288"/>
      <c r="B6" s="290">
        <f t="shared" ref="B6:B17" ca="1" si="0">Nom</f>
        <v>0</v>
      </c>
      <c r="C6" s="290">
        <f t="shared" ref="C6:C17" ca="1" si="1">Prénom</f>
        <v>0</v>
      </c>
      <c r="D6" s="290" t="e">
        <f t="shared" ref="D6:D17" si="2">Année</f>
        <v>#NAME?</v>
      </c>
      <c r="E6" s="290">
        <v>1</v>
      </c>
      <c r="F6" s="306">
        <v>39629</v>
      </c>
      <c r="G6" s="363">
        <f t="shared" ref="G6:G17" ca="1" si="3">SUMPRODUCT((Mois=MONTH(F6))*(Heures))</f>
        <v>3.3541666666666661</v>
      </c>
      <c r="H6" s="308">
        <f t="array" aca="1" ref="H6" ca="1">SUM((Mois=E6)*(H_legal))</f>
        <v>6.7083333333333357</v>
      </c>
      <c r="I6" s="309">
        <f t="shared" ref="I6:I17" si="4">G6-H6</f>
        <v>-3.3541666666666696</v>
      </c>
      <c r="J6" s="310">
        <f t="array" aca="1" ref="J6" ca="1">SUM((Mois=$E6)*(Abscence=J$4)*1)</f>
        <v>0</v>
      </c>
      <c r="K6" s="311">
        <f t="array" aca="1" ref="K6" ca="1">SUM((Mois=$E6)*(Abscence=K$4)*0.5)</f>
        <v>0</v>
      </c>
      <c r="L6" s="310">
        <f t="array" aca="1" ref="L6" ca="1">SUM((Mois=$E6)*(Abscence=L$4)*1)</f>
        <v>0</v>
      </c>
      <c r="M6" s="311">
        <f t="array" aca="1" ref="M6" ca="1">SUM((Mois=$E6)*(Abscence=M$4)*0.5)</f>
        <v>0</v>
      </c>
      <c r="N6" s="312">
        <f t="array" aca="1" ref="N6" ca="1">SUM((Mois=$E6)*(Abscence=N$4)*1)</f>
        <v>0</v>
      </c>
      <c r="O6" s="313">
        <f t="shared" ref="O6:O17" ca="1" si="5">SUM((Mois=$E6)*(Abscence=O$4)*0.5)</f>
        <v>0</v>
      </c>
      <c r="P6" s="314">
        <f t="array" aca="1" ref="P6" ca="1">SUM((Mois=$E6)*(Abscence=P$4)*1)</f>
        <v>0</v>
      </c>
      <c r="Q6" s="314">
        <f t="array" aca="1" ref="Q6" ca="1">SUM((Mois=$E6)*(Abscence=Q$4)*1)</f>
        <v>0</v>
      </c>
      <c r="R6" s="314">
        <f t="array" aca="1" ref="R6" ca="1">SUM((Mois=$E6)*(Abscence=R$4)*1)</f>
        <v>0</v>
      </c>
      <c r="S6" s="314">
        <f t="array" aca="1" ref="S6" ca="1">SUM((Mois=$E6)*(Abscence=S$4)*1)</f>
        <v>0</v>
      </c>
      <c r="T6" s="311">
        <f t="array" aca="1" ref="T6" ca="1">SUM((Mois=$E6)*(Abscence=T$4)*1)</f>
        <v>31</v>
      </c>
      <c r="U6" s="315"/>
    </row>
    <row r="7" spans="1:23" s="292" customFormat="1" ht="13.5" thickBot="1">
      <c r="A7" s="288"/>
      <c r="B7" s="290">
        <f t="shared" ca="1" si="0"/>
        <v>0</v>
      </c>
      <c r="C7" s="290">
        <f t="shared" ca="1" si="1"/>
        <v>0</v>
      </c>
      <c r="D7" s="290" t="e">
        <f t="shared" si="2"/>
        <v>#NAME?</v>
      </c>
      <c r="E7" s="290">
        <v>2</v>
      </c>
      <c r="F7" s="316">
        <v>39660</v>
      </c>
      <c r="G7" s="307">
        <f t="shared" ca="1" si="3"/>
        <v>0</v>
      </c>
      <c r="H7" s="317">
        <f t="array" aca="1" ref="H7" ca="1">SUM((Mois=E7)*(H_legal))</f>
        <v>5.8333333333333348</v>
      </c>
      <c r="I7" s="318">
        <f t="shared" si="4"/>
        <v>-5.8333333333333348</v>
      </c>
      <c r="J7" s="319">
        <f t="array" aca="1" ref="J7" ca="1">SUM((Mois=$E7)*(Abscence=J$4)*1)</f>
        <v>0</v>
      </c>
      <c r="K7" s="320">
        <f t="array" aca="1" ref="K7" ca="1">SUM((Mois=$E7)*(Abscence=K$4)*0.5)</f>
        <v>0</v>
      </c>
      <c r="L7" s="319">
        <f t="array" aca="1" ref="L7" ca="1">SUM((Mois=$E7)*(Abscence=L$4)*1)</f>
        <v>0</v>
      </c>
      <c r="M7" s="320">
        <f t="array" aca="1" ref="M7" ca="1">SUM((Mois=$E7)*(Abscence=M$4)*0.5)</f>
        <v>0</v>
      </c>
      <c r="N7" s="321">
        <f t="array" aca="1" ref="N7" ca="1">SUM((Mois=$E7)*(Abscence=N$4)*1)</f>
        <v>0</v>
      </c>
      <c r="O7" s="322">
        <f t="shared" ca="1" si="5"/>
        <v>0</v>
      </c>
      <c r="P7" s="323">
        <f t="array" aca="1" ref="P7" ca="1">SUM((Mois=$E7)*(Abscence=P$4)*1)</f>
        <v>0</v>
      </c>
      <c r="Q7" s="323">
        <f t="array" aca="1" ref="Q7" ca="1">SUM((Mois=$E7)*(Abscence=Q$4)*1)</f>
        <v>0</v>
      </c>
      <c r="R7" s="323">
        <f t="array" aca="1" ref="R7" ca="1">SUM((Mois=$E7)*(Abscence=R$4)*1)</f>
        <v>0</v>
      </c>
      <c r="S7" s="323">
        <f t="array" aca="1" ref="S7" ca="1">SUM((Mois=$E7)*(Abscence=S$4)*1)</f>
        <v>0</v>
      </c>
      <c r="T7" s="320">
        <f t="array" aca="1" ref="T7" ca="1">SUM((Mois=$E7)*(Abscence=T$4)*1)</f>
        <v>28</v>
      </c>
      <c r="U7" s="315"/>
    </row>
    <row r="8" spans="1:23" s="292" customFormat="1" ht="13.5" thickBot="1">
      <c r="A8" s="288"/>
      <c r="B8" s="290">
        <f t="shared" ca="1" si="0"/>
        <v>0</v>
      </c>
      <c r="C8" s="290">
        <f t="shared" ca="1" si="1"/>
        <v>0</v>
      </c>
      <c r="D8" s="290" t="e">
        <f t="shared" si="2"/>
        <v>#NAME?</v>
      </c>
      <c r="E8" s="290">
        <v>3</v>
      </c>
      <c r="F8" s="316">
        <v>39691</v>
      </c>
      <c r="G8" s="307">
        <f t="shared" ca="1" si="3"/>
        <v>0</v>
      </c>
      <c r="H8" s="317">
        <f t="array" aca="1" ref="H8" ca="1">SUM((Mois=E8)*(H_legal))</f>
        <v>6.1250000000000018</v>
      </c>
      <c r="I8" s="318">
        <f t="shared" si="4"/>
        <v>-6.1250000000000018</v>
      </c>
      <c r="J8" s="319">
        <f t="array" aca="1" ref="J8" ca="1">SUM((Mois=$E8)*(Abscence=J$4)*1)</f>
        <v>0</v>
      </c>
      <c r="K8" s="320">
        <f t="array" aca="1" ref="K8" ca="1">SUM((Mois=$E8)*(Abscence=K$4)*0.5)</f>
        <v>0</v>
      </c>
      <c r="L8" s="319">
        <f t="array" aca="1" ref="L8" ca="1">SUM((Mois=$E8)*(Abscence=L$4)*1)</f>
        <v>0</v>
      </c>
      <c r="M8" s="320">
        <f t="array" aca="1" ref="M8" ca="1">SUM((Mois=$E8)*(Abscence=M$4)*0.5)</f>
        <v>0</v>
      </c>
      <c r="N8" s="321">
        <f t="array" aca="1" ref="N8" ca="1">SUM((Mois=$E8)*(Abscence=N$4)*1)</f>
        <v>0</v>
      </c>
      <c r="O8" s="322">
        <f t="shared" ca="1" si="5"/>
        <v>0</v>
      </c>
      <c r="P8" s="323">
        <f t="array" aca="1" ref="P8" ca="1">SUM((Mois=$E8)*(Abscence=P$4)*1)</f>
        <v>0</v>
      </c>
      <c r="Q8" s="323">
        <f t="array" aca="1" ref="Q8" ca="1">SUM((Mois=$E8)*(Abscence=Q$4)*1)</f>
        <v>0</v>
      </c>
      <c r="R8" s="323">
        <f t="array" aca="1" ref="R8" ca="1">SUM((Mois=$E8)*(Abscence=R$4)*1)</f>
        <v>0</v>
      </c>
      <c r="S8" s="323">
        <f t="array" aca="1" ref="S8" ca="1">SUM((Mois=$E8)*(Abscence=S$4)*1)</f>
        <v>0</v>
      </c>
      <c r="T8" s="320">
        <f t="array" aca="1" ref="T8" ca="1">SUM((Mois=$E8)*(Abscence=T$4)*1)</f>
        <v>31</v>
      </c>
      <c r="U8" s="315"/>
    </row>
    <row r="9" spans="1:23" s="292" customFormat="1" ht="13.5" thickBot="1">
      <c r="A9" s="288"/>
      <c r="B9" s="290">
        <f t="shared" ca="1" si="0"/>
        <v>0</v>
      </c>
      <c r="C9" s="290">
        <f t="shared" ca="1" si="1"/>
        <v>0</v>
      </c>
      <c r="D9" s="290" t="e">
        <f t="shared" si="2"/>
        <v>#NAME?</v>
      </c>
      <c r="E9" s="290">
        <v>4</v>
      </c>
      <c r="F9" s="316">
        <v>39721</v>
      </c>
      <c r="G9" s="307">
        <f t="shared" ca="1" si="3"/>
        <v>0</v>
      </c>
      <c r="H9" s="317">
        <f t="array" aca="1" ref="H9" ca="1">SUM((Mois=E9)*(H_legal))</f>
        <v>6.4166666666666687</v>
      </c>
      <c r="I9" s="318">
        <f t="shared" si="4"/>
        <v>-6.4166666666666687</v>
      </c>
      <c r="J9" s="319">
        <f t="array" aca="1" ref="J9" ca="1">SUM((Mois=$E9)*(Abscence=J$4)*1)</f>
        <v>0</v>
      </c>
      <c r="K9" s="320">
        <f t="array" aca="1" ref="K9" ca="1">SUM((Mois=$E9)*(Abscence=K$4)*0.5)</f>
        <v>0</v>
      </c>
      <c r="L9" s="319">
        <f t="array" aca="1" ref="L9" ca="1">SUM((Mois=$E9)*(Abscence=L$4)*1)</f>
        <v>0</v>
      </c>
      <c r="M9" s="320">
        <f t="array" aca="1" ref="M9" ca="1">SUM((Mois=$E9)*(Abscence=M$4)*0.5)</f>
        <v>0</v>
      </c>
      <c r="N9" s="321">
        <f t="array" aca="1" ref="N9" ca="1">SUM((Mois=$E9)*(Abscence=N$4)*1)</f>
        <v>0</v>
      </c>
      <c r="O9" s="322">
        <f t="shared" ca="1" si="5"/>
        <v>0</v>
      </c>
      <c r="P9" s="323">
        <f t="array" aca="1" ref="P9" ca="1">SUM((Mois=$E9)*(Abscence=P$4)*1)</f>
        <v>0</v>
      </c>
      <c r="Q9" s="323">
        <f t="array" aca="1" ref="Q9" ca="1">SUM((Mois=$E9)*(Abscence=Q$4)*1)</f>
        <v>0</v>
      </c>
      <c r="R9" s="323">
        <f t="array" aca="1" ref="R9" ca="1">SUM((Mois=$E9)*(Abscence=R$4)*1)</f>
        <v>0</v>
      </c>
      <c r="S9" s="323">
        <f t="array" aca="1" ref="S9" ca="1">SUM((Mois=$E9)*(Abscence=S$4)*1)</f>
        <v>0</v>
      </c>
      <c r="T9" s="320">
        <f t="array" aca="1" ref="T9" ca="1">SUM((Mois=$E9)*(Abscence=T$4)*1)</f>
        <v>30</v>
      </c>
      <c r="U9" s="315"/>
    </row>
    <row r="10" spans="1:23" s="292" customFormat="1" ht="13.5" thickBot="1">
      <c r="A10" s="288"/>
      <c r="B10" s="290">
        <f t="shared" ca="1" si="0"/>
        <v>0</v>
      </c>
      <c r="C10" s="290">
        <f t="shared" ca="1" si="1"/>
        <v>0</v>
      </c>
      <c r="D10" s="290" t="e">
        <f t="shared" si="2"/>
        <v>#NAME?</v>
      </c>
      <c r="E10" s="290">
        <v>5</v>
      </c>
      <c r="F10" s="316">
        <v>39752</v>
      </c>
      <c r="G10" s="307">
        <f t="shared" ca="1" si="3"/>
        <v>0</v>
      </c>
      <c r="H10" s="317">
        <f t="array" aca="1" ref="H10" ca="1">SUM((Mois=E10)*(H_legal))</f>
        <v>6.4166666666666687</v>
      </c>
      <c r="I10" s="318">
        <f t="shared" si="4"/>
        <v>-6.4166666666666687</v>
      </c>
      <c r="J10" s="319">
        <f t="array" aca="1" ref="J10" ca="1">SUM((Mois=$E10)*(Abscence=J$4)*1)</f>
        <v>0</v>
      </c>
      <c r="K10" s="320">
        <f t="array" aca="1" ref="K10" ca="1">SUM((Mois=$E10)*(Abscence=K$4)*0.5)</f>
        <v>0</v>
      </c>
      <c r="L10" s="319">
        <f t="array" aca="1" ref="L10" ca="1">SUM((Mois=$E10)*(Abscence=L$4)*1)</f>
        <v>0</v>
      </c>
      <c r="M10" s="320">
        <f t="array" aca="1" ref="M10" ca="1">SUM((Mois=$E10)*(Abscence=M$4)*0.5)</f>
        <v>0</v>
      </c>
      <c r="N10" s="321">
        <f t="array" aca="1" ref="N10" ca="1">SUM((Mois=$E10)*(Abscence=N$4)*1)</f>
        <v>0</v>
      </c>
      <c r="O10" s="322">
        <f t="shared" ca="1" si="5"/>
        <v>0</v>
      </c>
      <c r="P10" s="323">
        <f t="array" aca="1" ref="P10" ca="1">SUM((Mois=$E10)*(Abscence=P$4)*1)</f>
        <v>0</v>
      </c>
      <c r="Q10" s="323">
        <f t="array" aca="1" ref="Q10" ca="1">SUM((Mois=$E10)*(Abscence=Q$4)*1)</f>
        <v>0</v>
      </c>
      <c r="R10" s="323">
        <f t="array" aca="1" ref="R10" ca="1">SUM((Mois=$E10)*(Abscence=R$4)*1)</f>
        <v>0</v>
      </c>
      <c r="S10" s="323">
        <f t="array" aca="1" ref="S10" ca="1">SUM((Mois=$E10)*(Abscence=S$4)*1)</f>
        <v>0</v>
      </c>
      <c r="T10" s="320">
        <f t="array" aca="1" ref="T10" ca="1">SUM((Mois=$E10)*(Abscence=T$4)*1)</f>
        <v>31</v>
      </c>
      <c r="U10" s="315"/>
    </row>
    <row r="11" spans="1:23" s="292" customFormat="1" ht="13.5" thickBot="1">
      <c r="A11" s="288"/>
      <c r="B11" s="290">
        <f t="shared" ca="1" si="0"/>
        <v>0</v>
      </c>
      <c r="C11" s="290">
        <f t="shared" ca="1" si="1"/>
        <v>0</v>
      </c>
      <c r="D11" s="290" t="e">
        <f t="shared" si="2"/>
        <v>#NAME?</v>
      </c>
      <c r="E11" s="290">
        <v>6</v>
      </c>
      <c r="F11" s="316">
        <v>39782</v>
      </c>
      <c r="G11" s="307">
        <f t="shared" ca="1" si="3"/>
        <v>0</v>
      </c>
      <c r="H11" s="317">
        <f t="array" aca="1" ref="H11" ca="1">SUM((Mois=E11)*(H_legal))</f>
        <v>5.8333333333333348</v>
      </c>
      <c r="I11" s="318">
        <f t="shared" si="4"/>
        <v>-5.8333333333333348</v>
      </c>
      <c r="J11" s="319">
        <f t="array" aca="1" ref="J11" ca="1">SUM((Mois=$E11)*(Abscence=J$4)*1)</f>
        <v>0</v>
      </c>
      <c r="K11" s="320">
        <f t="array" aca="1" ref="K11" ca="1">SUM((Mois=$E11)*(Abscence=K$4)*0.5)</f>
        <v>0</v>
      </c>
      <c r="L11" s="319">
        <f t="array" aca="1" ref="L11" ca="1">SUM((Mois=$E11)*(Abscence=L$4)*1)</f>
        <v>0</v>
      </c>
      <c r="M11" s="320">
        <f t="array" aca="1" ref="M11" ca="1">SUM((Mois=$E11)*(Abscence=M$4)*0.5)</f>
        <v>0</v>
      </c>
      <c r="N11" s="321">
        <f t="array" aca="1" ref="N11" ca="1">SUM((Mois=$E11)*(Abscence=N$4)*1)</f>
        <v>0</v>
      </c>
      <c r="O11" s="322">
        <f t="shared" ca="1" si="5"/>
        <v>0</v>
      </c>
      <c r="P11" s="323">
        <f t="array" aca="1" ref="P11" ca="1">SUM((Mois=$E11)*(Abscence=P$4)*1)</f>
        <v>0</v>
      </c>
      <c r="Q11" s="323">
        <f t="array" aca="1" ref="Q11" ca="1">SUM((Mois=$E11)*(Abscence=Q$4)*1)</f>
        <v>0</v>
      </c>
      <c r="R11" s="323">
        <f t="array" aca="1" ref="R11" ca="1">SUM((Mois=$E11)*(Abscence=R$4)*1)</f>
        <v>0</v>
      </c>
      <c r="S11" s="323">
        <f t="array" aca="1" ref="S11" ca="1">SUM((Mois=$E11)*(Abscence=S$4)*1)</f>
        <v>0</v>
      </c>
      <c r="T11" s="320">
        <f t="array" aca="1" ref="T11" ca="1">SUM((Mois=$E11)*(Abscence=T$4)*1)</f>
        <v>30</v>
      </c>
      <c r="U11" s="315"/>
    </row>
    <row r="12" spans="1:23" s="292" customFormat="1" ht="13.5" thickBot="1">
      <c r="A12" s="288"/>
      <c r="B12" s="290">
        <f t="shared" ca="1" si="0"/>
        <v>0</v>
      </c>
      <c r="C12" s="290">
        <f t="shared" ca="1" si="1"/>
        <v>0</v>
      </c>
      <c r="D12" s="290" t="e">
        <f t="shared" si="2"/>
        <v>#NAME?</v>
      </c>
      <c r="E12" s="290">
        <v>7</v>
      </c>
      <c r="F12" s="316">
        <v>39813</v>
      </c>
      <c r="G12" s="307">
        <f t="shared" ca="1" si="3"/>
        <v>0</v>
      </c>
      <c r="H12" s="317">
        <f t="array" aca="1" ref="H12" ca="1">SUM((Mois=E12)*(H_legal))</f>
        <v>6.4166666666666687</v>
      </c>
      <c r="I12" s="318">
        <f t="shared" si="4"/>
        <v>-6.4166666666666687</v>
      </c>
      <c r="J12" s="319">
        <f t="array" aca="1" ref="J12" ca="1">SUM((Mois=$E12)*(Abscence=J$4)*1)</f>
        <v>1</v>
      </c>
      <c r="K12" s="320">
        <f t="array" aca="1" ref="K12" ca="1">SUM((Mois=$E12)*(Abscence=K$4)*0.5)</f>
        <v>0</v>
      </c>
      <c r="L12" s="319">
        <f t="array" aca="1" ref="L12" ca="1">SUM((Mois=$E12)*(Abscence=L$4)*1)</f>
        <v>0</v>
      </c>
      <c r="M12" s="320">
        <f t="array" aca="1" ref="M12" ca="1">SUM((Mois=$E12)*(Abscence=M$4)*0.5)</f>
        <v>0.5</v>
      </c>
      <c r="N12" s="321">
        <f t="array" aca="1" ref="N12" ca="1">SUM((Mois=$E12)*(Abscence=N$4)*1)</f>
        <v>1</v>
      </c>
      <c r="O12" s="322">
        <f t="shared" ca="1" si="5"/>
        <v>0</v>
      </c>
      <c r="P12" s="323">
        <f t="array" aca="1" ref="P12" ca="1">SUM((Mois=$E12)*(Abscence=P$4)*1)</f>
        <v>0</v>
      </c>
      <c r="Q12" s="323">
        <f t="array" aca="1" ref="Q12" ca="1">SUM((Mois=$E12)*(Abscence=Q$4)*1)</f>
        <v>0</v>
      </c>
      <c r="R12" s="323">
        <f t="array" aca="1" ref="R12" ca="1">SUM((Mois=$E12)*(Abscence=R$4)*1)</f>
        <v>0</v>
      </c>
      <c r="S12" s="323">
        <f t="array" aca="1" ref="S12" ca="1">SUM((Mois=$E12)*(Abscence=S$4)*1)</f>
        <v>0</v>
      </c>
      <c r="T12" s="320">
        <f t="array" aca="1" ref="T12" ca="1">SUM((Mois=$E12)*(Abscence=T$4)*1)</f>
        <v>34</v>
      </c>
      <c r="U12" s="315"/>
    </row>
    <row r="13" spans="1:23" s="292" customFormat="1" ht="13.5" thickBot="1">
      <c r="A13" s="288"/>
      <c r="B13" s="290">
        <f t="shared" ca="1" si="0"/>
        <v>0</v>
      </c>
      <c r="C13" s="290">
        <f t="shared" ca="1" si="1"/>
        <v>0</v>
      </c>
      <c r="D13" s="290" t="e">
        <f t="shared" si="2"/>
        <v>#NAME?</v>
      </c>
      <c r="E13" s="290">
        <v>8</v>
      </c>
      <c r="F13" s="316">
        <v>39844</v>
      </c>
      <c r="G13" s="307">
        <f t="shared" ca="1" si="3"/>
        <v>0</v>
      </c>
      <c r="H13" s="317">
        <f t="array" aca="1" ref="H13" ca="1">SUM((Mois=E13)*(H_legal))</f>
        <v>6.4166666666666687</v>
      </c>
      <c r="I13" s="318">
        <f t="shared" si="4"/>
        <v>-6.4166666666666687</v>
      </c>
      <c r="J13" s="319">
        <f t="array" aca="1" ref="J13" ca="1">SUM((Mois=$E13)*(Abscence=J$4)*1)</f>
        <v>0</v>
      </c>
      <c r="K13" s="320">
        <f t="array" aca="1" ref="K13" ca="1">SUM((Mois=$E13)*(Abscence=K$4)*0.5)</f>
        <v>0</v>
      </c>
      <c r="L13" s="319">
        <f t="array" aca="1" ref="L13" ca="1">SUM((Mois=$E13)*(Abscence=L$4)*1)</f>
        <v>0</v>
      </c>
      <c r="M13" s="320">
        <f t="array" aca="1" ref="M13" ca="1">SUM((Mois=$E13)*(Abscence=M$4)*0.5)</f>
        <v>0</v>
      </c>
      <c r="N13" s="321">
        <f t="array" aca="1" ref="N13" ca="1">SUM((Mois=$E13)*(Abscence=N$4)*1)</f>
        <v>0</v>
      </c>
      <c r="O13" s="322">
        <f t="shared" ca="1" si="5"/>
        <v>0</v>
      </c>
      <c r="P13" s="323">
        <f t="array" aca="1" ref="P13" ca="1">SUM((Mois=$E13)*(Abscence=P$4)*1)</f>
        <v>0</v>
      </c>
      <c r="Q13" s="323">
        <f t="array" aca="1" ref="Q13" ca="1">SUM((Mois=$E13)*(Abscence=Q$4)*1)</f>
        <v>0</v>
      </c>
      <c r="R13" s="323">
        <f t="array" aca="1" ref="R13" ca="1">SUM((Mois=$E13)*(Abscence=R$4)*1)</f>
        <v>0</v>
      </c>
      <c r="S13" s="323">
        <f t="array" aca="1" ref="S13" ca="1">SUM((Mois=$E13)*(Abscence=S$4)*1)</f>
        <v>0</v>
      </c>
      <c r="T13" s="320">
        <f t="array" aca="1" ref="T13" ca="1">SUM((Mois=$E13)*(Abscence=T$4)*1)</f>
        <v>31</v>
      </c>
      <c r="U13" s="315"/>
    </row>
    <row r="14" spans="1:23" s="292" customFormat="1" ht="13.5" thickBot="1">
      <c r="A14" s="288"/>
      <c r="B14" s="290">
        <f t="shared" ca="1" si="0"/>
        <v>0</v>
      </c>
      <c r="C14" s="290">
        <f t="shared" ca="1" si="1"/>
        <v>0</v>
      </c>
      <c r="D14" s="290" t="e">
        <f t="shared" si="2"/>
        <v>#NAME?</v>
      </c>
      <c r="E14" s="290">
        <v>9</v>
      </c>
      <c r="F14" s="316">
        <v>39872</v>
      </c>
      <c r="G14" s="307">
        <f t="shared" ca="1" si="3"/>
        <v>0</v>
      </c>
      <c r="H14" s="317">
        <f t="array" aca="1" ref="H14" ca="1">SUM((Mois=E14)*(H_legal))</f>
        <v>6.1250000000000018</v>
      </c>
      <c r="I14" s="318">
        <f t="shared" si="4"/>
        <v>-6.1250000000000018</v>
      </c>
      <c r="J14" s="319">
        <f t="array" aca="1" ref="J14" ca="1">SUM((Mois=$E14)*(Abscence=J$4)*1)</f>
        <v>0</v>
      </c>
      <c r="K14" s="320">
        <f t="array" aca="1" ref="K14" ca="1">SUM((Mois=$E14)*(Abscence=K$4)*0.5)</f>
        <v>0</v>
      </c>
      <c r="L14" s="319">
        <f t="array" aca="1" ref="L14" ca="1">SUM((Mois=$E14)*(Abscence=L$4)*1)</f>
        <v>0</v>
      </c>
      <c r="M14" s="320">
        <f t="array" aca="1" ref="M14" ca="1">SUM((Mois=$E14)*(Abscence=M$4)*0.5)</f>
        <v>0</v>
      </c>
      <c r="N14" s="321">
        <f t="array" aca="1" ref="N14" ca="1">SUM((Mois=$E14)*(Abscence=N$4)*1)</f>
        <v>0</v>
      </c>
      <c r="O14" s="322">
        <f t="shared" ca="1" si="5"/>
        <v>0</v>
      </c>
      <c r="P14" s="323">
        <f t="array" aca="1" ref="P14" ca="1">SUM((Mois=$E14)*(Abscence=P$4)*1)</f>
        <v>0</v>
      </c>
      <c r="Q14" s="323">
        <f t="array" aca="1" ref="Q14" ca="1">SUM((Mois=$E14)*(Abscence=Q$4)*1)</f>
        <v>0</v>
      </c>
      <c r="R14" s="323">
        <f t="array" aca="1" ref="R14" ca="1">SUM((Mois=$E14)*(Abscence=R$4)*1)</f>
        <v>0</v>
      </c>
      <c r="S14" s="323">
        <f t="array" aca="1" ref="S14" ca="1">SUM((Mois=$E14)*(Abscence=S$4)*1)</f>
        <v>0</v>
      </c>
      <c r="T14" s="320">
        <f t="array" aca="1" ref="T14" ca="1">SUM((Mois=$E14)*(Abscence=T$4)*1)</f>
        <v>30</v>
      </c>
      <c r="U14" s="315"/>
    </row>
    <row r="15" spans="1:23" s="292" customFormat="1" ht="13.5" thickBot="1">
      <c r="A15" s="288"/>
      <c r="B15" s="290">
        <f t="shared" ca="1" si="0"/>
        <v>0</v>
      </c>
      <c r="C15" s="290">
        <f t="shared" ca="1" si="1"/>
        <v>0</v>
      </c>
      <c r="D15" s="290" t="e">
        <f t="shared" si="2"/>
        <v>#NAME?</v>
      </c>
      <c r="E15" s="290">
        <v>10</v>
      </c>
      <c r="F15" s="316">
        <v>39903</v>
      </c>
      <c r="G15" s="307">
        <f t="shared" ca="1" si="3"/>
        <v>0</v>
      </c>
      <c r="H15" s="317">
        <f t="array" aca="1" ref="H15" ca="1">SUM((Mois=E15)*(H_legal))</f>
        <v>6.7083333333333357</v>
      </c>
      <c r="I15" s="318">
        <f t="shared" si="4"/>
        <v>-6.7083333333333357</v>
      </c>
      <c r="J15" s="319">
        <f t="array" aca="1" ref="J15" ca="1">SUM((Mois=$E15)*(Abscence=J$4)*1)</f>
        <v>0</v>
      </c>
      <c r="K15" s="320">
        <f t="array" aca="1" ref="K15" ca="1">SUM((Mois=$E15)*(Abscence=K$4)*0.5)</f>
        <v>0</v>
      </c>
      <c r="L15" s="319">
        <f t="array" aca="1" ref="L15" ca="1">SUM((Mois=$E15)*(Abscence=L$4)*1)</f>
        <v>0</v>
      </c>
      <c r="M15" s="320">
        <f t="array" aca="1" ref="M15" ca="1">SUM((Mois=$E15)*(Abscence=M$4)*0.5)</f>
        <v>0</v>
      </c>
      <c r="N15" s="321">
        <f t="array" aca="1" ref="N15" ca="1">SUM((Mois=$E15)*(Abscence=N$4)*1)</f>
        <v>0</v>
      </c>
      <c r="O15" s="322">
        <f t="shared" ca="1" si="5"/>
        <v>0</v>
      </c>
      <c r="P15" s="323">
        <f t="array" aca="1" ref="P15" ca="1">SUM((Mois=$E15)*(Abscence=P$4)*1)</f>
        <v>0</v>
      </c>
      <c r="Q15" s="323">
        <f t="array" aca="1" ref="Q15" ca="1">SUM((Mois=$E15)*(Abscence=Q$4)*1)</f>
        <v>0</v>
      </c>
      <c r="R15" s="323">
        <f t="array" aca="1" ref="R15" ca="1">SUM((Mois=$E15)*(Abscence=R$4)*1)</f>
        <v>0</v>
      </c>
      <c r="S15" s="323">
        <f t="array" aca="1" ref="S15" ca="1">SUM((Mois=$E15)*(Abscence=S$4)*1)</f>
        <v>0</v>
      </c>
      <c r="T15" s="320">
        <f t="array" aca="1" ref="T15" ca="1">SUM((Mois=$E15)*(Abscence=T$4)*1)</f>
        <v>31</v>
      </c>
      <c r="U15" s="315"/>
    </row>
    <row r="16" spans="1:23" s="292" customFormat="1" ht="13.5" thickBot="1">
      <c r="A16" s="288"/>
      <c r="B16" s="290">
        <f t="shared" ca="1" si="0"/>
        <v>0</v>
      </c>
      <c r="C16" s="290">
        <f t="shared" ca="1" si="1"/>
        <v>0</v>
      </c>
      <c r="D16" s="290" t="e">
        <f t="shared" si="2"/>
        <v>#NAME?</v>
      </c>
      <c r="E16" s="290">
        <v>11</v>
      </c>
      <c r="F16" s="316">
        <v>39933</v>
      </c>
      <c r="G16" s="307">
        <f t="shared" ca="1" si="3"/>
        <v>0</v>
      </c>
      <c r="H16" s="317">
        <f t="array" aca="1" ref="H16" ca="1">SUM((Mois=E16)*(H_legal))</f>
        <v>6.1250000000000018</v>
      </c>
      <c r="I16" s="318">
        <f t="shared" si="4"/>
        <v>-6.1250000000000018</v>
      </c>
      <c r="J16" s="319">
        <f t="array" aca="1" ref="J16" ca="1">SUM((Mois=$E16)*(Abscence=J$4)*1)</f>
        <v>0</v>
      </c>
      <c r="K16" s="320">
        <f t="array" aca="1" ref="K16" ca="1">SUM((Mois=$E16)*(Abscence=K$4)*0.5)</f>
        <v>0</v>
      </c>
      <c r="L16" s="319">
        <f t="array" aca="1" ref="L16" ca="1">SUM((Mois=$E16)*(Abscence=L$4)*1)</f>
        <v>0</v>
      </c>
      <c r="M16" s="320">
        <f t="array" aca="1" ref="M16" ca="1">SUM((Mois=$E16)*(Abscence=M$4)*0.5)</f>
        <v>0</v>
      </c>
      <c r="N16" s="321">
        <f t="array" aca="1" ref="N16" ca="1">SUM((Mois=$E16)*(Abscence=N$4)*1)</f>
        <v>0</v>
      </c>
      <c r="O16" s="322">
        <f t="shared" ca="1" si="5"/>
        <v>0</v>
      </c>
      <c r="P16" s="323">
        <f t="array" aca="1" ref="P16" ca="1">SUM((Mois=$E16)*(Abscence=P$4)*1)</f>
        <v>0</v>
      </c>
      <c r="Q16" s="323">
        <f t="array" aca="1" ref="Q16" ca="1">SUM((Mois=$E16)*(Abscence=Q$4)*1)</f>
        <v>0</v>
      </c>
      <c r="R16" s="323">
        <f t="array" aca="1" ref="R16" ca="1">SUM((Mois=$E16)*(Abscence=R$4)*1)</f>
        <v>0</v>
      </c>
      <c r="S16" s="323">
        <f t="array" aca="1" ref="S16" ca="1">SUM((Mois=$E16)*(Abscence=S$4)*1)</f>
        <v>0</v>
      </c>
      <c r="T16" s="320">
        <f t="array" aca="1" ref="T16" ca="1">SUM((Mois=$E16)*(Abscence=T$4)*1)</f>
        <v>30</v>
      </c>
      <c r="U16" s="315"/>
    </row>
    <row r="17" spans="1:21" s="292" customFormat="1" ht="13.5" thickBot="1">
      <c r="A17" s="288"/>
      <c r="B17" s="290">
        <f t="shared" ca="1" si="0"/>
        <v>0</v>
      </c>
      <c r="C17" s="290">
        <f t="shared" ca="1" si="1"/>
        <v>0</v>
      </c>
      <c r="D17" s="290" t="e">
        <f t="shared" si="2"/>
        <v>#NAME?</v>
      </c>
      <c r="E17" s="290">
        <v>12</v>
      </c>
      <c r="F17" s="324">
        <v>39964</v>
      </c>
      <c r="G17" s="307">
        <f t="shared" ca="1" si="3"/>
        <v>0</v>
      </c>
      <c r="H17" s="325">
        <f t="array" aca="1" ref="H17" ca="1">SUM((Mois=E17)*(H_legal))</f>
        <v>6.4166666666666687</v>
      </c>
      <c r="I17" s="326">
        <f t="shared" si="4"/>
        <v>-6.4166666666666687</v>
      </c>
      <c r="J17" s="327">
        <f t="array" aca="1" ref="J17" ca="1">SUM((Mois=$E17)*(Abscence=J$4)*1)</f>
        <v>0</v>
      </c>
      <c r="K17" s="328">
        <f t="array" aca="1" ref="K17" ca="1">SUM((Mois=$E17)*(Abscence=K$4)*0.5)</f>
        <v>0</v>
      </c>
      <c r="L17" s="327">
        <f t="array" aca="1" ref="L17" ca="1">SUM((Mois=$E17)*(Abscence=L$4)*1)</f>
        <v>0</v>
      </c>
      <c r="M17" s="328">
        <f t="array" aca="1" ref="M17" ca="1">SUM((Mois=$E17)*(Abscence=M$4)*0.5)</f>
        <v>0</v>
      </c>
      <c r="N17" s="329">
        <f t="array" aca="1" ref="N17" ca="1">SUM((Mois=$E17)*(Abscence=N$4)*1)</f>
        <v>0</v>
      </c>
      <c r="O17" s="330">
        <f t="shared" ca="1" si="5"/>
        <v>0</v>
      </c>
      <c r="P17" s="331">
        <f t="array" aca="1" ref="P17" ca="1">SUM((Mois=$E17)*(Abscence=P$4)*1)</f>
        <v>0</v>
      </c>
      <c r="Q17" s="331">
        <f t="array" aca="1" ref="Q17" ca="1">SUM((Mois=$E17)*(Abscence=Q$4)*1)</f>
        <v>0</v>
      </c>
      <c r="R17" s="331">
        <f t="array" aca="1" ref="R17" ca="1">SUM((Mois=$E17)*(Abscence=R$4)*1)</f>
        <v>0</v>
      </c>
      <c r="S17" s="331">
        <f t="array" aca="1" ref="S17" ca="1">SUM((Mois=$E17)*(Abscence=S$4)*1)</f>
        <v>0</v>
      </c>
      <c r="T17" s="328">
        <f t="array" aca="1" ref="T17" ca="1">SUM((Mois=$E17)*(Abscence=T$4)*1)</f>
        <v>31</v>
      </c>
      <c r="U17" s="315"/>
    </row>
    <row r="18" spans="1:21" s="292" customFormat="1" ht="13.5" customHeight="1" thickBot="1">
      <c r="A18" s="288"/>
      <c r="B18" s="290"/>
      <c r="C18" s="290"/>
      <c r="D18" s="290"/>
      <c r="E18" s="290"/>
      <c r="F18" s="332"/>
      <c r="G18" s="333"/>
      <c r="H18" s="334"/>
      <c r="I18" s="335"/>
      <c r="J18" s="336"/>
      <c r="K18" s="337"/>
      <c r="L18" s="336"/>
      <c r="M18" s="337"/>
      <c r="N18" s="338"/>
      <c r="O18" s="339"/>
      <c r="P18" s="340"/>
      <c r="Q18" s="340"/>
      <c r="R18" s="340"/>
      <c r="S18" s="340"/>
      <c r="T18" s="337"/>
      <c r="U18" s="315"/>
    </row>
    <row r="19" spans="1:21" s="292" customFormat="1" ht="13.5" thickBot="1">
      <c r="A19" s="288"/>
      <c r="B19" s="290">
        <f ca="1">Nom</f>
        <v>0</v>
      </c>
      <c r="C19" s="290">
        <f ca="1">Prénom</f>
        <v>0</v>
      </c>
      <c r="D19" s="290" t="e">
        <f>Année</f>
        <v>#NAME?</v>
      </c>
      <c r="E19" s="290"/>
      <c r="F19" s="341" t="s">
        <v>72</v>
      </c>
      <c r="G19" s="342">
        <f>SUM(G6:G17)</f>
        <v>3.3541666666666661</v>
      </c>
      <c r="H19" s="343">
        <f>SUM(H6:H17)</f>
        <v>75.5416666666667</v>
      </c>
      <c r="I19" s="344">
        <f>SUM(I6:I17)</f>
        <v>-72.187500000000028</v>
      </c>
      <c r="J19" s="345">
        <f>SUM(J6:J17)</f>
        <v>1</v>
      </c>
      <c r="K19" s="346">
        <f t="shared" ref="K19:S19" si="6">SUM(K6:K17)</f>
        <v>0</v>
      </c>
      <c r="L19" s="345">
        <f t="shared" si="6"/>
        <v>0</v>
      </c>
      <c r="M19" s="346">
        <f t="shared" si="6"/>
        <v>0.5</v>
      </c>
      <c r="N19" s="347">
        <f t="shared" si="6"/>
        <v>1</v>
      </c>
      <c r="O19" s="348">
        <f t="shared" si="6"/>
        <v>0</v>
      </c>
      <c r="P19" s="348">
        <f t="shared" si="6"/>
        <v>0</v>
      </c>
      <c r="Q19" s="348">
        <f t="shared" si="6"/>
        <v>0</v>
      </c>
      <c r="R19" s="348">
        <f t="shared" si="6"/>
        <v>0</v>
      </c>
      <c r="S19" s="348">
        <f t="shared" si="6"/>
        <v>0</v>
      </c>
      <c r="T19" s="349">
        <f>SUM(T6:T17)</f>
        <v>368</v>
      </c>
      <c r="U19" s="315"/>
    </row>
    <row r="20" spans="1:21" s="292" customFormat="1" ht="13.5" thickBot="1">
      <c r="A20" s="288"/>
      <c r="B20" s="223"/>
      <c r="C20" s="223"/>
      <c r="D20" s="223"/>
      <c r="E20" s="223"/>
      <c r="F20" s="350"/>
      <c r="G20" s="351"/>
      <c r="H20" s="351"/>
      <c r="I20" s="351"/>
      <c r="J20" s="423">
        <f>J19+K19/2</f>
        <v>1</v>
      </c>
      <c r="K20" s="424"/>
      <c r="L20" s="423">
        <f>L19+M19/2</f>
        <v>0.25</v>
      </c>
      <c r="M20" s="424"/>
      <c r="N20" s="352">
        <f>N19+O19/2</f>
        <v>1</v>
      </c>
      <c r="O20" s="353"/>
      <c r="P20" s="354"/>
      <c r="Q20" s="354"/>
      <c r="R20" s="354"/>
      <c r="S20" s="354"/>
      <c r="T20" s="354"/>
      <c r="U20" s="315"/>
    </row>
    <row r="21" spans="1:21" ht="8.25" customHeight="1">
      <c r="B21" s="62"/>
      <c r="C21" s="62"/>
      <c r="D21" s="62"/>
      <c r="E21" s="62"/>
      <c r="F21" s="355"/>
      <c r="G21" s="356"/>
      <c r="H21" s="356"/>
      <c r="I21" s="356"/>
      <c r="J21" s="357"/>
      <c r="K21" s="357"/>
      <c r="L21" s="357"/>
      <c r="M21" s="357"/>
      <c r="N21" s="357"/>
      <c r="O21" s="357"/>
      <c r="P21" s="357"/>
      <c r="Q21" s="357"/>
      <c r="R21" s="357"/>
      <c r="S21" s="357"/>
      <c r="T21" s="357"/>
      <c r="U21" s="358"/>
    </row>
    <row r="22" spans="1:21" hidden="1">
      <c r="G22" s="64"/>
      <c r="H22" s="64"/>
      <c r="I22" s="64"/>
    </row>
    <row r="23" spans="1:21" hidden="1"/>
    <row r="24" spans="1:21" hidden="1"/>
  </sheetData>
  <sheetProtection selectLockedCells="1"/>
  <mergeCells count="4">
    <mergeCell ref="L20:M20"/>
    <mergeCell ref="J20:K20"/>
    <mergeCell ref="R2:U2"/>
    <mergeCell ref="I2:Q2"/>
  </mergeCells>
  <phoneticPr fontId="17" type="noConversion"/>
  <pageMargins left="0.78740157499999996" right="0.78740157499999996" top="0.984251969" bottom="0.984251969" header="0.4921259845" footer="0.4921259845"/>
  <pageSetup paperSize="9" scale="93" orientation="landscape"/>
  <headerFooter alignWithMargins="0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I105"/>
  <sheetViews>
    <sheetView topLeftCell="A2" workbookViewId="0">
      <selection activeCell="C5" sqref="C5"/>
    </sheetView>
  </sheetViews>
  <sheetFormatPr baseColWidth="10" defaultColWidth="0" defaultRowHeight="12.75"/>
  <cols>
    <col min="1" max="1" width="3.7109375" style="71" customWidth="1"/>
    <col min="2" max="2" width="30.5703125" style="71" bestFit="1" customWidth="1"/>
    <col min="3" max="3" width="29.28515625" style="71" bestFit="1" customWidth="1"/>
    <col min="4" max="4" width="11.42578125" style="71" customWidth="1"/>
    <col min="5" max="5" width="54.140625" style="71" customWidth="1"/>
    <col min="6" max="6" width="25.28515625" style="71" hidden="1" customWidth="1"/>
    <col min="7" max="8" width="0" style="71" hidden="1" customWidth="1"/>
    <col min="9" max="9" width="16.85546875" style="71" hidden="1" customWidth="1"/>
    <col min="10" max="16384" width="0" style="71" hidden="1"/>
  </cols>
  <sheetData>
    <row r="1" spans="1:8">
      <c r="C1" s="72" t="s">
        <v>107</v>
      </c>
    </row>
    <row r="2" spans="1:8">
      <c r="C2" s="73" t="s">
        <v>144</v>
      </c>
    </row>
    <row r="4" spans="1:8">
      <c r="B4" s="74" t="s">
        <v>108</v>
      </c>
      <c r="C4" s="75">
        <v>39629</v>
      </c>
      <c r="E4" s="74"/>
      <c r="F4" s="75"/>
    </row>
    <row r="5" spans="1:8" ht="25.5">
      <c r="B5" s="76" t="s">
        <v>0</v>
      </c>
      <c r="C5" s="75">
        <f ca="1">FirstDay+1</f>
        <v>39630</v>
      </c>
      <c r="E5" s="74"/>
      <c r="F5" s="75"/>
    </row>
    <row r="6" spans="1:8">
      <c r="B6" s="76"/>
      <c r="C6" s="75"/>
      <c r="E6" s="74"/>
      <c r="F6" s="75"/>
    </row>
    <row r="7" spans="1:8" ht="18.75" customHeight="1" thickBot="1">
      <c r="A7" s="77" t="s">
        <v>90</v>
      </c>
    </row>
    <row r="8" spans="1:8" ht="13.5" thickBot="1">
      <c r="B8" s="79"/>
      <c r="C8" s="78" t="s">
        <v>125</v>
      </c>
      <c r="H8" s="74"/>
    </row>
    <row r="9" spans="1:8">
      <c r="B9" s="79" t="s">
        <v>46</v>
      </c>
      <c r="C9" s="80">
        <f>DATE(2013,1,1)</f>
        <v>39813</v>
      </c>
      <c r="H9" s="74"/>
    </row>
    <row r="10" spans="1:8">
      <c r="B10" s="221" t="s">
        <v>47</v>
      </c>
      <c r="C10" s="222">
        <v>39902</v>
      </c>
      <c r="D10" s="221"/>
      <c r="H10" s="74"/>
    </row>
    <row r="11" spans="1:8">
      <c r="B11" s="79" t="s">
        <v>48</v>
      </c>
      <c r="C11" s="102">
        <f ca="1">Pâques+1</f>
        <v>39903</v>
      </c>
      <c r="H11" s="74"/>
    </row>
    <row r="12" spans="1:8">
      <c r="B12" s="79" t="s">
        <v>49</v>
      </c>
      <c r="C12" s="81">
        <f ca="1">DATE(2013,5,1)</f>
        <v>39933</v>
      </c>
      <c r="H12" s="74"/>
    </row>
    <row r="13" spans="1:8">
      <c r="B13" s="79" t="s">
        <v>50</v>
      </c>
      <c r="C13" s="81">
        <f ca="1">DATE(2013,5,8)</f>
        <v>39940</v>
      </c>
      <c r="H13" s="82"/>
    </row>
    <row r="14" spans="1:8">
      <c r="B14" s="79" t="s">
        <v>51</v>
      </c>
      <c r="C14" s="81">
        <f ca="1">Pâques+39</f>
        <v>39941</v>
      </c>
      <c r="H14" s="82"/>
    </row>
    <row r="15" spans="1:8">
      <c r="B15" s="79" t="s">
        <v>52</v>
      </c>
      <c r="C15" s="81">
        <f ca="1">Pâques+50</f>
        <v>39952</v>
      </c>
      <c r="H15" s="82"/>
    </row>
    <row r="16" spans="1:8">
      <c r="B16" s="225" t="s">
        <v>53</v>
      </c>
      <c r="C16" s="226">
        <f>DATE(2012,7,14)</f>
        <v>39642</v>
      </c>
      <c r="H16" s="82"/>
    </row>
    <row r="17" spans="1:8">
      <c r="B17" s="79" t="s">
        <v>54</v>
      </c>
      <c r="C17" s="81">
        <f>DATE(2012,8,15)</f>
        <v>39674</v>
      </c>
      <c r="H17" s="82"/>
    </row>
    <row r="18" spans="1:8">
      <c r="B18" s="79" t="s">
        <v>55</v>
      </c>
      <c r="C18" s="81">
        <f>DATE(2012,11,1)</f>
        <v>39752</v>
      </c>
    </row>
    <row r="19" spans="1:8">
      <c r="B19" s="79" t="s">
        <v>56</v>
      </c>
      <c r="C19" s="81">
        <f>DATE(2012,11,11)</f>
        <v>39762</v>
      </c>
    </row>
    <row r="20" spans="1:8" ht="13.5" thickBot="1">
      <c r="B20" s="79" t="s">
        <v>57</v>
      </c>
      <c r="C20" s="85">
        <f>DATE(2012,12,25)</f>
        <v>39806</v>
      </c>
      <c r="E20" s="83"/>
      <c r="G20" s="84"/>
    </row>
    <row r="22" spans="1:8" ht="13.5" thickBot="1">
      <c r="A22" s="77" t="s">
        <v>111</v>
      </c>
    </row>
    <row r="23" spans="1:8" ht="38.25">
      <c r="C23" s="86" t="s">
        <v>112</v>
      </c>
      <c r="D23" s="103" t="s">
        <v>113</v>
      </c>
      <c r="E23" s="87" t="s">
        <v>2</v>
      </c>
    </row>
    <row r="24" spans="1:8">
      <c r="C24" s="88" t="s">
        <v>128</v>
      </c>
      <c r="D24" s="89">
        <f>"35:00"/5</f>
        <v>0.29166666666666663</v>
      </c>
      <c r="E24" s="90" t="s">
        <v>118</v>
      </c>
    </row>
    <row r="25" spans="1:8">
      <c r="C25" s="88" t="s">
        <v>129</v>
      </c>
      <c r="D25" s="89">
        <f>"35:00"/10</f>
        <v>0.14583333333333331</v>
      </c>
      <c r="E25" s="90" t="s">
        <v>118</v>
      </c>
    </row>
    <row r="26" spans="1:8">
      <c r="C26" s="88" t="s">
        <v>130</v>
      </c>
      <c r="D26" s="89">
        <f>"28:00"/4</f>
        <v>0.29166666666666669</v>
      </c>
      <c r="E26" s="90" t="s">
        <v>127</v>
      </c>
    </row>
    <row r="27" spans="1:8">
      <c r="C27" s="88" t="s">
        <v>131</v>
      </c>
      <c r="D27" s="89">
        <f>"28:00"/8</f>
        <v>0.14583333333333334</v>
      </c>
      <c r="E27" s="90" t="s">
        <v>127</v>
      </c>
    </row>
    <row r="28" spans="1:8">
      <c r="C28" s="88" t="s">
        <v>132</v>
      </c>
      <c r="D28" s="89">
        <f>"32:00"/4</f>
        <v>0.33333333333333331</v>
      </c>
      <c r="E28" s="90" t="s">
        <v>126</v>
      </c>
    </row>
    <row r="29" spans="1:8" ht="21.75" customHeight="1">
      <c r="C29" s="88" t="s">
        <v>133</v>
      </c>
      <c r="D29" s="89">
        <f>"32:00"/8</f>
        <v>0.16666666666666666</v>
      </c>
      <c r="E29" s="90" t="s">
        <v>126</v>
      </c>
    </row>
    <row r="30" spans="1:8">
      <c r="C30" s="88" t="s">
        <v>134</v>
      </c>
      <c r="D30" s="104">
        <v>1</v>
      </c>
      <c r="E30" s="90" t="s">
        <v>137</v>
      </c>
    </row>
    <row r="31" spans="1:8">
      <c r="C31" s="88" t="s">
        <v>139</v>
      </c>
      <c r="D31" s="104">
        <v>0.5</v>
      </c>
      <c r="E31" s="90" t="s">
        <v>137</v>
      </c>
      <c r="F31" s="74"/>
    </row>
    <row r="32" spans="1:8">
      <c r="C32" s="88" t="s">
        <v>136</v>
      </c>
      <c r="D32" s="104">
        <v>1</v>
      </c>
      <c r="E32" s="90" t="s">
        <v>138</v>
      </c>
    </row>
    <row r="33" spans="1:5" ht="13.5" thickBot="1">
      <c r="C33" s="91" t="s">
        <v>135</v>
      </c>
      <c r="D33" s="105">
        <v>0.5</v>
      </c>
      <c r="E33" s="109" t="s">
        <v>138</v>
      </c>
    </row>
    <row r="36" spans="1:5" ht="13.5" thickBot="1">
      <c r="A36" s="77" t="s">
        <v>91</v>
      </c>
    </row>
    <row r="37" spans="1:5">
      <c r="B37" s="92" t="s">
        <v>67</v>
      </c>
      <c r="C37" s="92" t="s">
        <v>89</v>
      </c>
      <c r="D37" s="93" t="s">
        <v>68</v>
      </c>
    </row>
    <row r="38" spans="1:5">
      <c r="B38" s="106" t="s">
        <v>86</v>
      </c>
      <c r="C38" s="94">
        <v>1</v>
      </c>
      <c r="D38" s="89">
        <f>"7:00"*1</f>
        <v>0.29166666666666669</v>
      </c>
      <c r="E38" s="71" t="str">
        <f>+B38</f>
        <v>Congés payés 1 journée</v>
      </c>
    </row>
    <row r="39" spans="1:5">
      <c r="B39" s="106" t="s">
        <v>85</v>
      </c>
      <c r="C39" s="94">
        <v>2</v>
      </c>
      <c r="D39" s="89">
        <f>"7:00"*0.5</f>
        <v>0.14583333333333334</v>
      </c>
      <c r="E39" s="71" t="str">
        <f t="shared" ref="E39:E49" si="0">+B39</f>
        <v>Congés payés 1/2 journée</v>
      </c>
    </row>
    <row r="40" spans="1:5">
      <c r="B40" s="107" t="s">
        <v>117</v>
      </c>
      <c r="C40" s="94">
        <v>3</v>
      </c>
      <c r="D40" s="89">
        <f>"7:00"*1</f>
        <v>0.29166666666666669</v>
      </c>
      <c r="E40" s="71" t="str">
        <f t="shared" si="0"/>
        <v>Récupération prise journée (en heures)</v>
      </c>
    </row>
    <row r="41" spans="1:5">
      <c r="B41" s="107" t="s">
        <v>114</v>
      </c>
      <c r="C41" s="94">
        <v>4</v>
      </c>
      <c r="D41" s="89">
        <f>"7:00"*0.5</f>
        <v>0.14583333333333334</v>
      </c>
      <c r="E41" s="71" t="str">
        <f t="shared" si="0"/>
        <v>Récupération prise 1/2 journée (en heures)</v>
      </c>
    </row>
    <row r="42" spans="1:5">
      <c r="B42" s="107" t="s">
        <v>115</v>
      </c>
      <c r="C42" s="94">
        <v>5</v>
      </c>
      <c r="D42" s="104">
        <v>1</v>
      </c>
      <c r="E42" s="71" t="str">
        <f t="shared" si="0"/>
        <v>Récupération prise en jours (forfait jours)</v>
      </c>
    </row>
    <row r="43" spans="1:5" ht="19.5" customHeight="1">
      <c r="B43" s="107" t="s">
        <v>116</v>
      </c>
      <c r="C43" s="94">
        <v>6</v>
      </c>
      <c r="D43" s="104">
        <v>0.5</v>
      </c>
      <c r="E43" s="71" t="str">
        <f t="shared" si="0"/>
        <v>Récupération prise 1/2 journée (forfait jours)</v>
      </c>
    </row>
    <row r="44" spans="1:5">
      <c r="B44" s="106" t="s">
        <v>62</v>
      </c>
      <c r="C44" s="94">
        <v>7</v>
      </c>
      <c r="D44" s="89">
        <v>0.29166666666666669</v>
      </c>
      <c r="E44" s="71" t="str">
        <f t="shared" si="0"/>
        <v xml:space="preserve">Jour férié </v>
      </c>
    </row>
    <row r="45" spans="1:5">
      <c r="B45" s="106" t="s">
        <v>61</v>
      </c>
      <c r="C45" s="94">
        <v>8</v>
      </c>
      <c r="D45" s="89">
        <v>0.29166666666666669</v>
      </c>
      <c r="E45" s="71" t="str">
        <f t="shared" si="0"/>
        <v>Mission / déplacement</v>
      </c>
    </row>
    <row r="46" spans="1:5">
      <c r="B46" s="107" t="s">
        <v>63</v>
      </c>
      <c r="C46" s="94">
        <v>9</v>
      </c>
      <c r="D46" s="89">
        <v>0.29166666666666669</v>
      </c>
      <c r="E46" s="71" t="str">
        <f t="shared" si="0"/>
        <v>Formation</v>
      </c>
    </row>
    <row r="47" spans="1:5">
      <c r="B47" s="107" t="s">
        <v>64</v>
      </c>
      <c r="C47" s="94">
        <v>10</v>
      </c>
      <c r="D47" s="89">
        <v>0</v>
      </c>
      <c r="E47" s="71" t="str">
        <f t="shared" si="0"/>
        <v>Abs. non rémunérée</v>
      </c>
    </row>
    <row r="48" spans="1:5">
      <c r="B48" s="107" t="s">
        <v>65</v>
      </c>
      <c r="C48" s="94">
        <v>11</v>
      </c>
      <c r="D48" s="89">
        <v>0.29166666666666669</v>
      </c>
      <c r="E48" s="71" t="str">
        <f t="shared" si="0"/>
        <v>Maladie - maternité - AT</v>
      </c>
    </row>
    <row r="49" spans="1:5" ht="13.5" thickBot="1">
      <c r="B49" s="108" t="s">
        <v>66</v>
      </c>
      <c r="C49" s="95">
        <v>12</v>
      </c>
      <c r="D49" s="96">
        <v>0</v>
      </c>
      <c r="E49" s="71" t="str">
        <f t="shared" si="0"/>
        <v>Autres absences rémunérées</v>
      </c>
    </row>
    <row r="51" spans="1:5" ht="13.5" thickBot="1">
      <c r="A51" s="77" t="s">
        <v>1</v>
      </c>
    </row>
    <row r="52" spans="1:5">
      <c r="C52" s="97" t="s">
        <v>73</v>
      </c>
    </row>
    <row r="53" spans="1:5">
      <c r="C53" s="98">
        <v>39630</v>
      </c>
    </row>
    <row r="54" spans="1:5">
      <c r="C54" s="99">
        <f>C53+7</f>
        <v>39637</v>
      </c>
    </row>
    <row r="55" spans="1:5">
      <c r="C55" s="99">
        <f t="shared" ref="C55:C105" si="1">C54+7</f>
        <v>39644</v>
      </c>
    </row>
    <row r="56" spans="1:5">
      <c r="C56" s="99">
        <f t="shared" si="1"/>
        <v>39651</v>
      </c>
    </row>
    <row r="57" spans="1:5">
      <c r="C57" s="99">
        <f t="shared" si="1"/>
        <v>39658</v>
      </c>
    </row>
    <row r="58" spans="1:5">
      <c r="C58" s="99">
        <f t="shared" si="1"/>
        <v>39665</v>
      </c>
    </row>
    <row r="59" spans="1:5">
      <c r="C59" s="99">
        <f t="shared" si="1"/>
        <v>39672</v>
      </c>
    </row>
    <row r="60" spans="1:5">
      <c r="C60" s="99">
        <f t="shared" si="1"/>
        <v>39679</v>
      </c>
    </row>
    <row r="61" spans="1:5">
      <c r="C61" s="99">
        <f t="shared" si="1"/>
        <v>39686</v>
      </c>
    </row>
    <row r="62" spans="1:5">
      <c r="C62" s="99">
        <f t="shared" si="1"/>
        <v>39693</v>
      </c>
    </row>
    <row r="63" spans="1:5">
      <c r="C63" s="99">
        <f t="shared" si="1"/>
        <v>39700</v>
      </c>
    </row>
    <row r="64" spans="1:5">
      <c r="C64" s="99">
        <f>C63+7</f>
        <v>39707</v>
      </c>
    </row>
    <row r="65" spans="3:9">
      <c r="C65" s="99">
        <f t="shared" si="1"/>
        <v>39714</v>
      </c>
    </row>
    <row r="66" spans="3:9">
      <c r="C66" s="99">
        <f t="shared" si="1"/>
        <v>39721</v>
      </c>
    </row>
    <row r="67" spans="3:9">
      <c r="C67" s="99">
        <f t="shared" si="1"/>
        <v>39728</v>
      </c>
    </row>
    <row r="68" spans="3:9">
      <c r="C68" s="99">
        <f t="shared" si="1"/>
        <v>39735</v>
      </c>
    </row>
    <row r="69" spans="3:9">
      <c r="C69" s="99">
        <f t="shared" si="1"/>
        <v>39742</v>
      </c>
    </row>
    <row r="70" spans="3:9">
      <c r="C70" s="99">
        <f t="shared" si="1"/>
        <v>39749</v>
      </c>
    </row>
    <row r="71" spans="3:9">
      <c r="C71" s="99">
        <f t="shared" si="1"/>
        <v>39756</v>
      </c>
      <c r="I71" s="100"/>
    </row>
    <row r="72" spans="3:9">
      <c r="C72" s="99">
        <f t="shared" si="1"/>
        <v>39763</v>
      </c>
    </row>
    <row r="73" spans="3:9">
      <c r="C73" s="99">
        <f t="shared" si="1"/>
        <v>39770</v>
      </c>
    </row>
    <row r="74" spans="3:9">
      <c r="C74" s="99">
        <f t="shared" si="1"/>
        <v>39777</v>
      </c>
    </row>
    <row r="75" spans="3:9">
      <c r="C75" s="99">
        <f t="shared" si="1"/>
        <v>39784</v>
      </c>
    </row>
    <row r="76" spans="3:9">
      <c r="C76" s="99">
        <f t="shared" si="1"/>
        <v>39791</v>
      </c>
    </row>
    <row r="77" spans="3:9">
      <c r="C77" s="99">
        <f t="shared" si="1"/>
        <v>39798</v>
      </c>
    </row>
    <row r="78" spans="3:9">
      <c r="C78" s="99">
        <f t="shared" si="1"/>
        <v>39805</v>
      </c>
    </row>
    <row r="79" spans="3:9">
      <c r="C79" s="99">
        <f t="shared" si="1"/>
        <v>39812</v>
      </c>
    </row>
    <row r="80" spans="3:9">
      <c r="C80" s="99">
        <f t="shared" si="1"/>
        <v>39819</v>
      </c>
    </row>
    <row r="81" spans="3:3">
      <c r="C81" s="99">
        <f t="shared" si="1"/>
        <v>39826</v>
      </c>
    </row>
    <row r="82" spans="3:3">
      <c r="C82" s="99">
        <f t="shared" si="1"/>
        <v>39833</v>
      </c>
    </row>
    <row r="83" spans="3:3">
      <c r="C83" s="99">
        <f t="shared" si="1"/>
        <v>39840</v>
      </c>
    </row>
    <row r="84" spans="3:3">
      <c r="C84" s="99">
        <f t="shared" si="1"/>
        <v>39847</v>
      </c>
    </row>
    <row r="85" spans="3:3">
      <c r="C85" s="99">
        <f t="shared" si="1"/>
        <v>39854</v>
      </c>
    </row>
    <row r="86" spans="3:3">
      <c r="C86" s="99">
        <f t="shared" si="1"/>
        <v>39861</v>
      </c>
    </row>
    <row r="87" spans="3:3">
      <c r="C87" s="99">
        <f t="shared" si="1"/>
        <v>39868</v>
      </c>
    </row>
    <row r="88" spans="3:3">
      <c r="C88" s="99">
        <f t="shared" si="1"/>
        <v>39875</v>
      </c>
    </row>
    <row r="89" spans="3:3">
      <c r="C89" s="99">
        <f t="shared" si="1"/>
        <v>39882</v>
      </c>
    </row>
    <row r="90" spans="3:3">
      <c r="C90" s="99">
        <f t="shared" si="1"/>
        <v>39889</v>
      </c>
    </row>
    <row r="91" spans="3:3">
      <c r="C91" s="99">
        <f t="shared" si="1"/>
        <v>39896</v>
      </c>
    </row>
    <row r="92" spans="3:3">
      <c r="C92" s="99">
        <f t="shared" si="1"/>
        <v>39903</v>
      </c>
    </row>
    <row r="93" spans="3:3">
      <c r="C93" s="99">
        <f t="shared" si="1"/>
        <v>39910</v>
      </c>
    </row>
    <row r="94" spans="3:3">
      <c r="C94" s="99">
        <f t="shared" si="1"/>
        <v>39917</v>
      </c>
    </row>
    <row r="95" spans="3:3">
      <c r="C95" s="99">
        <f t="shared" si="1"/>
        <v>39924</v>
      </c>
    </row>
    <row r="96" spans="3:3">
      <c r="C96" s="99">
        <f t="shared" si="1"/>
        <v>39931</v>
      </c>
    </row>
    <row r="97" spans="3:3">
      <c r="C97" s="99">
        <f t="shared" si="1"/>
        <v>39938</v>
      </c>
    </row>
    <row r="98" spans="3:3">
      <c r="C98" s="99">
        <f t="shared" si="1"/>
        <v>39945</v>
      </c>
    </row>
    <row r="99" spans="3:3">
      <c r="C99" s="99">
        <f t="shared" si="1"/>
        <v>39952</v>
      </c>
    </row>
    <row r="100" spans="3:3">
      <c r="C100" s="99">
        <f t="shared" si="1"/>
        <v>39959</v>
      </c>
    </row>
    <row r="101" spans="3:3">
      <c r="C101" s="99">
        <f t="shared" si="1"/>
        <v>39966</v>
      </c>
    </row>
    <row r="102" spans="3:3">
      <c r="C102" s="99">
        <f t="shared" si="1"/>
        <v>39973</v>
      </c>
    </row>
    <row r="103" spans="3:3">
      <c r="C103" s="99">
        <f t="shared" si="1"/>
        <v>39980</v>
      </c>
    </row>
    <row r="104" spans="3:3">
      <c r="C104" s="99">
        <f t="shared" si="1"/>
        <v>39987</v>
      </c>
    </row>
    <row r="105" spans="3:3" ht="13.5" thickBot="1">
      <c r="C105" s="101">
        <f t="shared" si="1"/>
        <v>39994</v>
      </c>
    </row>
  </sheetData>
  <phoneticPr fontId="17" type="noConversion"/>
  <pageMargins left="0.78740157499999996" right="0.78740157499999996" top="0.984251969" bottom="0.984251969" header="0.4921259845" footer="0.4921259845"/>
  <pageSetup paperSize="9" orientation="portrait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49</vt:i4>
      </vt:variant>
    </vt:vector>
  </HeadingPairs>
  <TitlesOfParts>
    <vt:vector size="55" baseType="lpstr">
      <vt:lpstr>Mode d'emploi</vt:lpstr>
      <vt:lpstr>Identité</vt:lpstr>
      <vt:lpstr>Horaires</vt:lpstr>
      <vt:lpstr>Semaines</vt:lpstr>
      <vt:lpstr>Recap année</vt:lpstr>
      <vt:lpstr>Paramètres</vt:lpstr>
      <vt:lpstr>Abscence</vt:lpstr>
      <vt:lpstr>Ad_Aujourd_hui</vt:lpstr>
      <vt:lpstr>Arrivée</vt:lpstr>
      <vt:lpstr>Bilan_global</vt:lpstr>
      <vt:lpstr>bornes</vt:lpstr>
      <vt:lpstr>bornes_sem</vt:lpstr>
      <vt:lpstr>Date</vt:lpstr>
      <vt:lpstr>DDeb</vt:lpstr>
      <vt:lpstr>Départ</vt:lpstr>
      <vt:lpstr>Fériés</vt:lpstr>
      <vt:lpstr>FirstDay</vt:lpstr>
      <vt:lpstr>H_abscence</vt:lpstr>
      <vt:lpstr>H_legal</vt:lpstr>
      <vt:lpstr>H_Sem</vt:lpstr>
      <vt:lpstr>Heures</vt:lpstr>
      <vt:lpstr>indice</vt:lpstr>
      <vt:lpstr>j_férié</vt:lpstr>
      <vt:lpstr>Jour_Debut</vt:lpstr>
      <vt:lpstr>Jour_Fin</vt:lpstr>
      <vt:lpstr>Jour_sem</vt:lpstr>
      <vt:lpstr>L_Code_Motif_absence</vt:lpstr>
      <vt:lpstr>L_Fériés</vt:lpstr>
      <vt:lpstr>L_Heure_Sem</vt:lpstr>
      <vt:lpstr>L_Motif_Abscence</vt:lpstr>
      <vt:lpstr>Liste_semaines</vt:lpstr>
      <vt:lpstr>MA_Aide</vt:lpstr>
      <vt:lpstr>MA_onglets</vt:lpstr>
      <vt:lpstr>Ma_PB</vt:lpstr>
      <vt:lpstr>Matricule</vt:lpstr>
      <vt:lpstr>Mois</vt:lpstr>
      <vt:lpstr>Motif_abscence</vt:lpstr>
      <vt:lpstr>Nom</vt:lpstr>
      <vt:lpstr>Pâques</vt:lpstr>
      <vt:lpstr>Pause</vt:lpstr>
      <vt:lpstr>Prénom</vt:lpstr>
      <vt:lpstr>Responsable</vt:lpstr>
      <vt:lpstr>S_jour_debut</vt:lpstr>
      <vt:lpstr>S_Jour_Fin</vt:lpstr>
      <vt:lpstr>S_Premier_jour</vt:lpstr>
      <vt:lpstr>Sais</vt:lpstr>
      <vt:lpstr>Saison</vt:lpstr>
      <vt:lpstr>Sem_entame</vt:lpstr>
      <vt:lpstr>Semaine_courrante</vt:lpstr>
      <vt:lpstr>Service</vt:lpstr>
      <vt:lpstr>T_Heure_jour</vt:lpstr>
      <vt:lpstr>T_Mode_Rtt</vt:lpstr>
      <vt:lpstr>Travaillé</vt:lpstr>
      <vt:lpstr>'Recap année'!Zone_d_impression</vt:lpstr>
      <vt:lpstr>Semaines!Zone_d_impression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2005-05-04T18:47:43Z</cp:lastPrinted>
  <dcterms:created xsi:type="dcterms:W3CDTF">2003-12-02T15:58:24Z</dcterms:created>
  <dcterms:modified xsi:type="dcterms:W3CDTF">2012-07-09T21:54:01Z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-1302938037</vt:i4>
  </property>
  <property fmtid="{D5CDD505-2E9C-101B-9397-08002B2CF9AE}" pid="3" name="_ReviewingToolsShownOnce">
    <vt:lpwstr/>
  </property>
</Properties>
</file>