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LISTE_CONTRATS" sheetId="1" r:id="rId1"/>
    <sheet name="FEUILLE_CONTRAT" sheetId="2" r:id="rId2"/>
    <sheet name="COMPILDATA" sheetId="3" r:id="rId3"/>
  </sheets>
  <definedNames>
    <definedName name="N°_Contrat">OFFSET(COMPILDATA!$A$2,,,COUNTA(COMPILDATA!$A:$A)-1)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1" i="2"/>
  <c r="E2" i="2"/>
  <c r="K7" i="2" l="1"/>
  <c r="A3" i="1" l="1"/>
  <c r="C15" i="1"/>
  <c r="C31" i="1"/>
  <c r="C47" i="1"/>
  <c r="C16" i="1"/>
  <c r="C32" i="1"/>
  <c r="C48" i="1"/>
  <c r="C21" i="1"/>
  <c r="C49" i="1"/>
  <c r="C10" i="1"/>
  <c r="C26" i="1"/>
  <c r="C42" i="1"/>
  <c r="C37" i="1"/>
  <c r="C3" i="1"/>
  <c r="C19" i="1"/>
  <c r="C35" i="1"/>
  <c r="C51" i="1"/>
  <c r="C20" i="1"/>
  <c r="C36" i="1"/>
  <c r="C9" i="1"/>
  <c r="C29" i="1"/>
  <c r="C4" i="1"/>
  <c r="C14" i="1"/>
  <c r="C30" i="1"/>
  <c r="C46" i="1"/>
  <c r="C45" i="1"/>
  <c r="C7" i="1"/>
  <c r="C23" i="1"/>
  <c r="C39" i="1"/>
  <c r="C8" i="1"/>
  <c r="C24" i="1"/>
  <c r="C40" i="1"/>
  <c r="C13" i="1"/>
  <c r="C33" i="1"/>
  <c r="C5" i="1"/>
  <c r="C18" i="1"/>
  <c r="C34" i="1"/>
  <c r="C50" i="1"/>
  <c r="C2" i="1"/>
  <c r="C11" i="1"/>
  <c r="C27" i="1"/>
  <c r="C43" i="1"/>
  <c r="C12" i="1"/>
  <c r="C28" i="1"/>
  <c r="C44" i="1"/>
  <c r="C17" i="1"/>
  <c r="C41" i="1"/>
  <c r="C6" i="1"/>
  <c r="C22" i="1"/>
  <c r="C38" i="1"/>
  <c r="C25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B2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2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3" i="1"/>
  <c r="G53" i="2"/>
  <c r="G47" i="2"/>
  <c r="I29" i="2"/>
  <c r="I15" i="2"/>
  <c r="F21" i="2"/>
  <c r="I14" i="2"/>
  <c r="M10" i="2"/>
  <c r="I8" i="2"/>
  <c r="E7" i="2"/>
  <c r="I7" i="2"/>
  <c r="D53" i="2"/>
  <c r="D47" i="2"/>
  <c r="I28" i="2"/>
  <c r="L20" i="2"/>
  <c r="E21" i="2"/>
  <c r="I13" i="2"/>
  <c r="M9" i="2"/>
  <c r="E10" i="2"/>
  <c r="J53" i="2"/>
  <c r="H50" i="2"/>
  <c r="L29" i="2"/>
  <c r="D29" i="2"/>
  <c r="I21" i="2"/>
  <c r="C21" i="2"/>
  <c r="I12" i="2"/>
  <c r="I10" i="2"/>
  <c r="E9" i="2"/>
  <c r="C3" i="2"/>
  <c r="I53" i="2"/>
  <c r="D50" i="2"/>
  <c r="L28" i="2"/>
  <c r="D28" i="2"/>
  <c r="H21" i="2"/>
  <c r="B21" i="2"/>
  <c r="E12" i="2"/>
  <c r="I9" i="2"/>
  <c r="E8" i="2"/>
  <c r="J21" i="2" l="1"/>
  <c r="D21" i="2"/>
  <c r="G21" i="2"/>
  <c r="D24" i="2"/>
  <c r="D23" i="2"/>
</calcChain>
</file>

<file path=xl/sharedStrings.xml><?xml version="1.0" encoding="utf-8"?>
<sst xmlns="http://schemas.openxmlformats.org/spreadsheetml/2006/main" count="310" uniqueCount="257">
  <si>
    <t>N° Contrat</t>
  </si>
  <si>
    <t>Code D</t>
  </si>
  <si>
    <t>Libellé</t>
  </si>
  <si>
    <t>Date d'effet</t>
  </si>
  <si>
    <t>Prochaine échéance</t>
  </si>
  <si>
    <t>Durée</t>
  </si>
  <si>
    <t>0047612Y</t>
  </si>
  <si>
    <t>D53417B</t>
  </si>
  <si>
    <t>GIVORS Z.H. LES VERNES S/ST A5 LES AULNES</t>
  </si>
  <si>
    <t>0048509C</t>
  </si>
  <si>
    <t>D52299E</t>
  </si>
  <si>
    <t>LYON (69) - SST G024D - INSTITUT D'ETUDE POLITIQUE DE LYON (ELVYA)</t>
  </si>
  <si>
    <t>0051746L</t>
  </si>
  <si>
    <t>D25033D</t>
  </si>
  <si>
    <t>LYON (69) - SST C003 - LA FERRANDIERE (ELVYA)</t>
  </si>
  <si>
    <t>0051892D</t>
  </si>
  <si>
    <t>D25851E</t>
  </si>
  <si>
    <t>73550 MERIBEL LES ALLUES - HOTEL ALLODIS</t>
  </si>
  <si>
    <t>0051940S</t>
  </si>
  <si>
    <t>D25018J</t>
  </si>
  <si>
    <t>LYON (69) - SST D10 -  12 TER RUE D'INKERMANN (ELVYA)</t>
  </si>
  <si>
    <t>0052232B</t>
  </si>
  <si>
    <t>D25016F</t>
  </si>
  <si>
    <t>LYON (69) - SST XX - CENTRE COMMERCIAL BROTTEAUX 2000 (ELVYA)</t>
  </si>
  <si>
    <t>0052604R</t>
  </si>
  <si>
    <t>D25015E</t>
  </si>
  <si>
    <t>LYON (69) -SST B014- 76 RUE GARIBALDI</t>
  </si>
  <si>
    <t>0052667Z</t>
  </si>
  <si>
    <t>D25021N</t>
  </si>
  <si>
    <t>LYON 3° - IMMEUBLE "154 GAMBETTA"</t>
  </si>
  <si>
    <t>0052669B</t>
  </si>
  <si>
    <t>D25095K</t>
  </si>
  <si>
    <t>LYON 7° - RESIDENCE OPALINE ZAC GERLAND</t>
  </si>
  <si>
    <t>0052680R</t>
  </si>
  <si>
    <t>D50581W</t>
  </si>
  <si>
    <t>LYON (69) - SST XX - 1 RUE MAURICE FLANDIN (ELVYA)</t>
  </si>
  <si>
    <t>0053626K</t>
  </si>
  <si>
    <t>D25046X</t>
  </si>
  <si>
    <t>LYON (69) -  SST C021 - LE SAINT ANTOINE (ELVYA)</t>
  </si>
  <si>
    <t>0053902Z</t>
  </si>
  <si>
    <t>D25017H</t>
  </si>
  <si>
    <t>LYON 3 - IMMEUBLE 68 AVENUE DE SAXE</t>
  </si>
  <si>
    <t>0053903A</t>
  </si>
  <si>
    <t>D25031B</t>
  </si>
  <si>
    <t>LYON (69) - SST XX - IMMEUBLE 102 RUE MONTGOLFIER (ELVYA)</t>
  </si>
  <si>
    <t>0054312N</t>
  </si>
  <si>
    <t>D54363X</t>
  </si>
  <si>
    <t>LYON - IMMEUBLE 240 LAFAYETTE</t>
  </si>
  <si>
    <t>0055621K</t>
  </si>
  <si>
    <t>D001WFL</t>
  </si>
  <si>
    <t>FERNEY VOLTAIRE - SIVOM DE L'EST GESSIEN</t>
  </si>
  <si>
    <t>0059097J</t>
  </si>
  <si>
    <t>D001PTR</t>
  </si>
  <si>
    <t>LYON DUCHERE RCU - ST/48BIS - P2 SECONDAIRE</t>
  </si>
  <si>
    <t>0059114F</t>
  </si>
  <si>
    <t>D00A5FY</t>
  </si>
  <si>
    <t>VENISSIEUX LES MINGUETTES A.F.P.A. TRAIT ECS</t>
  </si>
  <si>
    <t>0059137L</t>
  </si>
  <si>
    <t>D00A5KD</t>
  </si>
  <si>
    <t>VENISSIEUX LES MINGUETTES CC/4 ENT.INSTAL.SEC.</t>
  </si>
  <si>
    <t>0063399W</t>
  </si>
  <si>
    <t>D24404B</t>
  </si>
  <si>
    <t>LYON (69) - RES LE VERSEAU 119 - 121 C.A.THOMAS</t>
  </si>
  <si>
    <t>0063788F</t>
  </si>
  <si>
    <t>D001XTP</t>
  </si>
  <si>
    <t>AMBERIEU EN BUGEY (01) - COPROPRIETE DIPAS CPA DE L'AIN</t>
  </si>
  <si>
    <t>0073810T</t>
  </si>
  <si>
    <t>D43571X</t>
  </si>
  <si>
    <t>TARARE (69)- RESIDENCE "LE LAMARTINE"</t>
  </si>
  <si>
    <t>0080931N</t>
  </si>
  <si>
    <t>D42118J</t>
  </si>
  <si>
    <t>BARBY - FOYER LES EPINETTES</t>
  </si>
  <si>
    <t>0082193Z</t>
  </si>
  <si>
    <t>D001XEW</t>
  </si>
  <si>
    <t>ST MICHEL DE MAURIENNE - MAPAD</t>
  </si>
  <si>
    <t>0091148F</t>
  </si>
  <si>
    <t>D62999J</t>
  </si>
  <si>
    <t>SEYNOD (74) - SST XX - CENTRE L EPANOU AAPEI (ZUP DE CHAMPFLEURI)</t>
  </si>
  <si>
    <t>0093016P</t>
  </si>
  <si>
    <t>D005PUT</t>
  </si>
  <si>
    <t>LYON - P2 SECONDAIRES L'ARCHE NORD &amp; L'ARCHE SUD</t>
  </si>
  <si>
    <t>0097858K</t>
  </si>
  <si>
    <t>D005PXY</t>
  </si>
  <si>
    <t>RILLIEUX - SECOND.NORD - S/ST 28 BAT M1 LE MANET</t>
  </si>
  <si>
    <t>0097889B</t>
  </si>
  <si>
    <t>D69559R</t>
  </si>
  <si>
    <t>RILLIEUX LA PAPE (69) - SST 31 - BAT JORDAENS SOGELEM (CU RILLIEUX)</t>
  </si>
  <si>
    <t>0101895Y</t>
  </si>
  <si>
    <t>D43472R</t>
  </si>
  <si>
    <t>VILLEURBANNE (69) - RESIDENCE MARECHAL LECLERC</t>
  </si>
  <si>
    <t>0105811A</t>
  </si>
  <si>
    <t>D25032C</t>
  </si>
  <si>
    <t>LYON (69) - SST XX - RES DE SEZE (ELVYA)</t>
  </si>
  <si>
    <t>0112142E</t>
  </si>
  <si>
    <t>LES HOUCHES -74310- LES ESSERTS</t>
  </si>
  <si>
    <t>3004560T</t>
  </si>
  <si>
    <t>D001WVH</t>
  </si>
  <si>
    <t xml:space="preserve">FERNEY VOLTAIRE (01) - SAS LES PORTES DE GENEVE - RES LA RESERVE </t>
  </si>
  <si>
    <t>3011315F</t>
  </si>
  <si>
    <t>D23873C</t>
  </si>
  <si>
    <t>SAINT PRIEST (69) - RES JULES VERNE</t>
  </si>
  <si>
    <t>3013975F</t>
  </si>
  <si>
    <t>D001WRC</t>
  </si>
  <si>
    <t>BOURG EN BRESSE (01) - RES LE THEMIS - BUREAUX</t>
  </si>
  <si>
    <t>3014440T</t>
  </si>
  <si>
    <t>D91680Y</t>
  </si>
  <si>
    <t>CHAMBERY (73) - INDIGGO</t>
  </si>
  <si>
    <t>3015243A</t>
  </si>
  <si>
    <t>D92817T</t>
  </si>
  <si>
    <t>MEYLAN (38)-FOYER PERSONNES AGEES PRE-BLANC</t>
  </si>
  <si>
    <t>3017154P</t>
  </si>
  <si>
    <t>D86523L</t>
  </si>
  <si>
    <t>BOURG EN BRESSE (01) - SCM IRM DE L'AIN - CLINIQUE CONVERT</t>
  </si>
  <si>
    <t>3017624H</t>
  </si>
  <si>
    <t>D96852C</t>
  </si>
  <si>
    <t>ALLEVARD LES BAINS (38) - SST XX - LA MARMOTTANE (CU)</t>
  </si>
  <si>
    <t>3018178L</t>
  </si>
  <si>
    <t>FONTAINE (38) - RES PRIMAVERA</t>
  </si>
  <si>
    <t>3018469W</t>
  </si>
  <si>
    <t>D97488Z</t>
  </si>
  <si>
    <t>CHAMBERY (73) - LE BUGEY</t>
  </si>
  <si>
    <t>3020982B</t>
  </si>
  <si>
    <t>D26007K</t>
  </si>
  <si>
    <t>MODANE (73) - IMMEUBLE BATIMENT DES DOUANES</t>
  </si>
  <si>
    <t>3021085L</t>
  </si>
  <si>
    <t>D77161T</t>
  </si>
  <si>
    <t>LES 2 ALPES (38) - COMPLEXE SPORTIF ET CULTUREL AMPHIBIA</t>
  </si>
  <si>
    <t>3021161L</t>
  </si>
  <si>
    <t>D99396J</t>
  </si>
  <si>
    <t>SAINT JULIEN MONT DENIS (73) - SALLE SERVEUR</t>
  </si>
  <si>
    <t>3026041H</t>
  </si>
  <si>
    <t>D0009MC</t>
  </si>
  <si>
    <t>VILLEURBANNE (69) - SDC LE LULLI</t>
  </si>
  <si>
    <t>3027156A</t>
  </si>
  <si>
    <t>SEYNOD (74) - SST 29 - COLLEGE SAINT FRANCOIS - LES CORDELIERS</t>
  </si>
  <si>
    <t>3028742L</t>
  </si>
  <si>
    <t>D97933J</t>
  </si>
  <si>
    <t>CRUSEILLES (74) - EHPAD SAINT MAURICE</t>
  </si>
  <si>
    <t>3030429F</t>
  </si>
  <si>
    <t>D33250R</t>
  </si>
  <si>
    <t>SAINT MARTIN D'HERES (38) - CEMAGREF</t>
  </si>
  <si>
    <t>3033682L</t>
  </si>
  <si>
    <t>SAMOENS (74) - CENTRE DE VACANCES</t>
  </si>
  <si>
    <t>3034731S</t>
  </si>
  <si>
    <t>D00AHTB</t>
  </si>
  <si>
    <t>CHATILLON SUR CHALARONNE (01) MAISON MEDICALE</t>
  </si>
  <si>
    <t>3036853J</t>
  </si>
  <si>
    <t>D84100Z</t>
  </si>
  <si>
    <t>ARBENT (01) - COLLEGE JEAN ROSTAND</t>
  </si>
  <si>
    <t>3033576Y</t>
  </si>
  <si>
    <t>D00BLRS</t>
  </si>
  <si>
    <t>ST GENIS POUILLY (01) - COLLEGE JACQUES PREVERT</t>
  </si>
  <si>
    <t>Informations contractuelles</t>
  </si>
  <si>
    <t>Date d'effet :</t>
  </si>
  <si>
    <t>Type de reconduction :</t>
  </si>
  <si>
    <t>Durée :</t>
  </si>
  <si>
    <t>Facturier :</t>
  </si>
  <si>
    <t>Date d'échéance :</t>
  </si>
  <si>
    <t>Type de contrat :</t>
  </si>
  <si>
    <t>Recouvrement :</t>
  </si>
  <si>
    <t>Date de prochaine échéance :</t>
  </si>
  <si>
    <t>RAC Contractuel :</t>
  </si>
  <si>
    <t>P3 Transparent :</t>
  </si>
  <si>
    <t>Nombre d'avenants :</t>
  </si>
  <si>
    <t>Objet avenant 1 :</t>
  </si>
  <si>
    <t>Date avenant 1 :</t>
  </si>
  <si>
    <t>Conditions financières</t>
  </si>
  <si>
    <t>P1</t>
  </si>
  <si>
    <t>P2</t>
  </si>
  <si>
    <t>P3</t>
  </si>
  <si>
    <t>Nombre d'heures</t>
  </si>
  <si>
    <t>CA</t>
  </si>
  <si>
    <t>MB</t>
  </si>
  <si>
    <t xml:space="preserve">% </t>
  </si>
  <si>
    <t>PAO (k€)</t>
  </si>
  <si>
    <t>MB Total (k€)</t>
  </si>
  <si>
    <r>
      <rPr>
        <b/>
        <sz val="11"/>
        <color theme="1"/>
        <rFont val="Calibri"/>
        <family val="2"/>
      </rPr>
      <t>É</t>
    </r>
    <r>
      <rPr>
        <b/>
        <sz val="11"/>
        <color theme="1"/>
        <rFont val="Calibri"/>
        <family val="2"/>
        <scheme val="minor"/>
      </rPr>
      <t>lements techniques</t>
    </r>
  </si>
  <si>
    <t>Type d'énergie :</t>
  </si>
  <si>
    <t>Secteur d'exploitation :</t>
  </si>
  <si>
    <t>ATE :</t>
  </si>
  <si>
    <t>Inventaire matériel :</t>
  </si>
  <si>
    <t>Chef d'exploitation :</t>
  </si>
  <si>
    <t>Technicien :</t>
  </si>
  <si>
    <t>Devis communiqués/Travaux éffectués :</t>
  </si>
  <si>
    <t>Informations clients</t>
  </si>
  <si>
    <t>Nom</t>
  </si>
  <si>
    <t>Adresse</t>
  </si>
  <si>
    <t>Partenaire :</t>
  </si>
  <si>
    <t>Client :</t>
  </si>
  <si>
    <t>Mail</t>
  </si>
  <si>
    <t>Téléphone</t>
  </si>
  <si>
    <t>Fonction</t>
  </si>
  <si>
    <t>Contact client :</t>
  </si>
  <si>
    <t>Objet avenant 2 :</t>
  </si>
  <si>
    <t>Date avenant 2 :</t>
  </si>
  <si>
    <t>4 avenue Vercors - 38243 MEYLAN CEDEX</t>
  </si>
  <si>
    <t>Nom contrat</t>
  </si>
  <si>
    <t>Date éch.</t>
  </si>
  <si>
    <t>Date pro. éch.</t>
  </si>
  <si>
    <t>Type reconduction</t>
  </si>
  <si>
    <t>Facturier</t>
  </si>
  <si>
    <t>Type contrat</t>
  </si>
  <si>
    <t>RAC Contractuel</t>
  </si>
  <si>
    <t>Recouvrement</t>
  </si>
  <si>
    <t>P3 Transparent</t>
  </si>
  <si>
    <t>Nb Avenant</t>
  </si>
  <si>
    <t>Date A1</t>
  </si>
  <si>
    <t>Objet A1</t>
  </si>
  <si>
    <t>Objet A2</t>
  </si>
  <si>
    <t>Date A2</t>
  </si>
  <si>
    <t>CA P1</t>
  </si>
  <si>
    <t>MB P1</t>
  </si>
  <si>
    <t>CA P2</t>
  </si>
  <si>
    <t>MB P2</t>
  </si>
  <si>
    <t>CA P3</t>
  </si>
  <si>
    <t>MB P3</t>
  </si>
  <si>
    <t>Nb heures</t>
  </si>
  <si>
    <t>Type E</t>
  </si>
  <si>
    <t>Inventaire</t>
  </si>
  <si>
    <t>Secteur</t>
  </si>
  <si>
    <t>Chef Exploitation</t>
  </si>
  <si>
    <t>ATE</t>
  </si>
  <si>
    <t>Technicien</t>
  </si>
  <si>
    <t>Nom Part.</t>
  </si>
  <si>
    <t>Adresse Part.</t>
  </si>
  <si>
    <t>Nom Client</t>
  </si>
  <si>
    <t>Adresse Client</t>
  </si>
  <si>
    <t>Nom CC</t>
  </si>
  <si>
    <t>Mail CC</t>
  </si>
  <si>
    <t>Téléphone CC</t>
  </si>
  <si>
    <t>Fonction CC</t>
  </si>
  <si>
    <t>PC 1</t>
  </si>
  <si>
    <t>PC 2</t>
  </si>
  <si>
    <t>PC 3</t>
  </si>
  <si>
    <t>Tacite</t>
  </si>
  <si>
    <t>Jean-François AGUERO</t>
  </si>
  <si>
    <t>PF</t>
  </si>
  <si>
    <t>Ø</t>
  </si>
  <si>
    <t>Non</t>
  </si>
  <si>
    <t>Faire attention</t>
  </si>
  <si>
    <t>Manger</t>
  </si>
  <si>
    <t>Boire</t>
  </si>
  <si>
    <t>Fioul</t>
  </si>
  <si>
    <t>Oui</t>
  </si>
  <si>
    <t>DMNI</t>
  </si>
  <si>
    <t>Jacques</t>
  </si>
  <si>
    <t>Bastien</t>
  </si>
  <si>
    <t>Durand</t>
  </si>
  <si>
    <t>FONCIA IMMOBILIER</t>
  </si>
  <si>
    <t>51 cours Romestang - 38200 VIENNE</t>
  </si>
  <si>
    <t>SDC AULNES IMMEUBLE</t>
  </si>
  <si>
    <t>Zone d'habitation les vernes - 69700 GIVORS</t>
  </si>
  <si>
    <t>Julie</t>
  </si>
  <si>
    <t>leromate@hotmail.fr</t>
  </si>
  <si>
    <t>Gerant</t>
  </si>
  <si>
    <t>Contrat + Avenant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</si>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</sst>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6">
    <xf numFmtId="0" fontId="0" fillId="0" borderId="0" xfId="0"/>
    <xf numFmtId="0" fontId="1" fillId="2" borderId="1" xfId="0" applyFont="1" applyFill="1" applyBorder="1"/>
    <xf numFmtId="14" fontId="1" fillId="4" borderId="1" xfId="0" applyNumberFormat="1" applyFont="1" applyFill="1" applyBorder="1" applyAlignment="1">
      <alignment horizontal="left"/>
    </xf>
    <xf numFmtId="14" fontId="1" fillId="4" borderId="1" xfId="0" applyNumberFormat="1" applyFont="1" applyFill="1" applyBorder="1" applyAlignment="1">
      <alignment horizontal="left" vertical="center" wrapText="1"/>
    </xf>
    <xf numFmtId="0" fontId="1" fillId="4" borderId="1" xfId="0" applyFont="1" applyFill="1" applyBorder="1"/>
    <xf numFmtId="0" fontId="0" fillId="0" borderId="2" xfId="0" applyFont="1" applyBorder="1"/>
    <xf numFmtId="14" fontId="0" fillId="0" borderId="2" xfId="0" applyNumberFormat="1" applyFont="1" applyBorder="1" applyAlignment="1">
      <alignment horizontal="left"/>
    </xf>
    <xf numFmtId="0" fontId="0" fillId="5" borderId="2" xfId="0" applyFont="1" applyFill="1" applyBorder="1"/>
    <xf numFmtId="0" fontId="0" fillId="6" borderId="2" xfId="0" applyFont="1" applyFill="1" applyBorder="1"/>
    <xf numFmtId="0" fontId="0" fillId="7" borderId="2" xfId="0" applyFont="1" applyFill="1" applyBorder="1"/>
    <xf numFmtId="0" fontId="0" fillId="0" borderId="2" xfId="0" applyFont="1" applyBorder="1" applyAlignment="1">
      <alignment horizontal="left" vertical="center"/>
    </xf>
    <xf numFmtId="0" fontId="3" fillId="3" borderId="1" xfId="0" applyFont="1" applyFill="1" applyBorder="1"/>
    <xf numFmtId="0" fontId="0" fillId="0" borderId="0" xfId="0" applyFill="1"/>
    <xf numFmtId="0" fontId="1" fillId="8" borderId="3" xfId="0" applyFont="1" applyFill="1" applyBorder="1" applyAlignment="1">
      <alignment horizontal="center"/>
    </xf>
    <xf numFmtId="0" fontId="0" fillId="8" borderId="4" xfId="0" applyFill="1" applyBorder="1"/>
    <xf numFmtId="0" fontId="1" fillId="8" borderId="8" xfId="0" applyFont="1" applyFill="1" applyBorder="1" applyAlignment="1">
      <alignment horizontal="center" vertical="center"/>
    </xf>
    <xf numFmtId="0" fontId="0" fillId="8" borderId="9" xfId="0" applyFill="1" applyBorder="1"/>
    <xf numFmtId="14" fontId="0" fillId="0" borderId="0" xfId="0" applyNumberFormat="1"/>
    <xf numFmtId="0" fontId="0" fillId="0" borderId="0" xfId="0" applyNumberForma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0" xfId="0" applyFont="1" applyBorder="1"/>
    <xf numFmtId="0" fontId="0" fillId="0" borderId="19" xfId="0" applyBorder="1"/>
    <xf numFmtId="10" fontId="0" fillId="0" borderId="19" xfId="0" applyNumberFormat="1" applyBorder="1"/>
    <xf numFmtId="0" fontId="0" fillId="4" borderId="19" xfId="0" applyNumberFormat="1" applyFill="1" applyBorder="1"/>
    <xf numFmtId="0" fontId="1" fillId="0" borderId="0" xfId="0" applyFont="1" applyAlignment="1">
      <alignment horizontal="left"/>
    </xf>
    <xf numFmtId="0" fontId="0" fillId="0" borderId="0" xfId="0" applyBorder="1"/>
    <xf numFmtId="0" fontId="0" fillId="0" borderId="20" xfId="0" applyBorder="1"/>
    <xf numFmtId="0" fontId="1" fillId="0" borderId="16" xfId="0" applyFont="1" applyBorder="1"/>
    <xf numFmtId="0" fontId="0" fillId="0" borderId="18" xfId="0" applyBorder="1"/>
    <xf numFmtId="0" fontId="1" fillId="0" borderId="22" xfId="0" applyFont="1" applyBorder="1" applyAlignment="1">
      <alignment horizontal="center"/>
    </xf>
    <xf numFmtId="0" fontId="0" fillId="0" borderId="17" xfId="0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ont="1" applyBorder="1"/>
    <xf numFmtId="0" fontId="0" fillId="5" borderId="0" xfId="0" applyFont="1" applyFill="1" applyBorder="1"/>
    <xf numFmtId="0" fontId="0" fillId="6" borderId="0" xfId="0" applyFont="1" applyFill="1" applyBorder="1"/>
    <xf numFmtId="0" fontId="0" fillId="7" borderId="0" xfId="0" applyFont="1" applyFill="1" applyBorder="1"/>
    <xf numFmtId="0" fontId="0" fillId="0" borderId="0" xfId="0" applyFont="1" applyBorder="1" applyAlignment="1">
      <alignment horizontal="left" vertical="center"/>
    </xf>
    <xf numFmtId="0" fontId="2" fillId="0" borderId="0" xfId="1"/>
    <xf numFmtId="0" fontId="0" fillId="0" borderId="2" xfId="0" applyNumberFormat="1" applyFont="1" applyBorder="1"/>
    <xf numFmtId="0" fontId="0" fillId="0" borderId="28" xfId="0" applyFont="1" applyFill="1" applyBorder="1"/>
    <xf numFmtId="0" fontId="0" fillId="0" borderId="27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4" xfId="0" applyBorder="1" applyAlignment="1">
      <alignment horizontal="left"/>
    </xf>
    <xf numFmtId="0" fontId="0" fillId="0" borderId="26" xfId="0" applyBorder="1" applyAlignment="1">
      <alignment horizontal="left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5" xfId="0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4" borderId="16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2" fillId="0" borderId="0" xfId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BACK%20OFFICE%20-%20ORGANISATION\Liste%2050%20Contrats\50_CONTRATS\0051892D%20-%20MERIBEL%20LES%20ALLUES%2073%20-%20HOTEL%20ALLODIS\CONTRAT+AVENANT_HOTEL%20ALLODIS_0051892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workbookViewId="0">
      <selection activeCell="A4" sqref="A4"/>
    </sheetView>
  </sheetViews>
  <sheetFormatPr baseColWidth="10" defaultRowHeight="14.4" x14ac:dyDescent="0.3"/>
  <cols>
    <col min="1" max="1" width="10.109375" bestFit="1" customWidth="1"/>
    <col min="2" max="2" width="9.6640625" bestFit="1" customWidth="1"/>
    <col min="3" max="3" width="64" customWidth="1"/>
    <col min="4" max="4" width="13" hidden="1" customWidth="1"/>
    <col min="5" max="5" width="11.6640625" bestFit="1" customWidth="1"/>
    <col min="6" max="6" width="10.6640625" bestFit="1" customWidth="1"/>
    <col min="7" max="7" width="6.44140625" customWidth="1"/>
    <col min="8" max="8" width="13" customWidth="1"/>
  </cols>
  <sheetData>
    <row r="1" spans="1:8" ht="29.4" thickBot="1" x14ac:dyDescent="0.35">
      <c r="A1" s="1" t="s">
        <v>0</v>
      </c>
      <c r="B1" s="1" t="s">
        <v>1</v>
      </c>
      <c r="C1" s="11" t="s">
        <v>2</v>
      </c>
      <c r="E1" s="2" t="s">
        <v>3</v>
      </c>
      <c r="F1" s="3" t="s">
        <v>4</v>
      </c>
      <c r="G1" s="4" t="s">
        <v>5</v>
      </c>
    </row>
    <row r="2" spans="1:8" x14ac:dyDescent="0.3">
      <c r="A2" s="5" t="str">
        <f>IF(COMPILDATA!A2="","",COMPILDATA!A2)</f>
        <v>0047612Y</v>
      </c>
      <c r="B2" s="42" t="str">
        <f>IF(COMPILDATA!B2="","",COMPILDATA!B2)</f>
        <v>D53417B</v>
      </c>
      <c r="C2" s="5" t="str">
        <f ca="1">INDIRECT("COMPILDATA!C"&amp;D2)</f>
        <v>GIVORS Z.H. LES VERNES S/ST A5 LES AULNES</v>
      </c>
      <c r="D2" s="43">
        <v>2</v>
      </c>
      <c r="E2" s="6">
        <f>IF(COMPILDATA!D2="","",COMPILDATA!D2)</f>
        <v>28399</v>
      </c>
      <c r="F2" s="6">
        <f>IF(COMPILDATA!G2="","",COMPILDATA!G2)</f>
        <v>43008</v>
      </c>
      <c r="G2" s="5">
        <f>IF(COMPILDATA!E2="","",COMPILDATA!E2)</f>
        <v>1</v>
      </c>
      <c r="H2" s="43"/>
    </row>
    <row r="3" spans="1:8" x14ac:dyDescent="0.3">
      <c r="A3" s="5" t="str">
        <f>IF(COMPILDATA!A3="","",COMPILDATA!A3)</f>
        <v>0048509C</v>
      </c>
      <c r="B3" s="42" t="str">
        <f>IF(COMPILDATA!B3="","",COMPILDATA!B3)</f>
        <v>D52299E</v>
      </c>
      <c r="C3" s="5" t="str">
        <f t="shared" ref="C3:C51" ca="1" si="0">INDIRECT("COMPILDATA!C"&amp;D3)</f>
        <v>LYON (69) - SST G024D - INSTITUT D'ETUDE POLITIQUE DE LYON (ELVYA)</v>
      </c>
      <c r="D3" s="43">
        <v>3</v>
      </c>
      <c r="E3" s="6" t="str">
        <f>IF(COMPILDATA!D3="","",COMPILDATA!D3)</f>
        <v/>
      </c>
      <c r="F3" s="6" t="str">
        <f>IF(COMPILDATA!G3="","",COMPILDATA!G3)</f>
        <v/>
      </c>
      <c r="G3" s="5" t="str">
        <f>IF(COMPILDATA!E3="","",COMPILDATA!E3)</f>
        <v/>
      </c>
      <c r="H3" s="43"/>
    </row>
    <row r="4" spans="1:8" x14ac:dyDescent="0.3">
      <c r="A4" s="5" t="str">
        <f>IF(COMPILDATA!A4="","",COMPILDATA!A4)</f>
        <v>0051746L</v>
      </c>
      <c r="B4" s="42" t="str">
        <f>IF(COMPILDATA!B4="","",COMPILDATA!B4)</f>
        <v>D25033D</v>
      </c>
      <c r="C4" s="5" t="str">
        <f t="shared" ca="1" si="0"/>
        <v>LYON (69) - SST C003 - LA FERRANDIERE (ELVYA)</v>
      </c>
      <c r="D4" s="43">
        <v>4</v>
      </c>
      <c r="E4" s="6" t="str">
        <f>IF(COMPILDATA!D4="","",COMPILDATA!D4)</f>
        <v>Test</v>
      </c>
      <c r="F4" s="6" t="str">
        <f>IF(COMPILDATA!G4="","",COMPILDATA!G4)</f>
        <v>Test</v>
      </c>
      <c r="G4" s="5" t="str">
        <f>IF(COMPILDATA!E4="","",COMPILDATA!E4)</f>
        <v>Test</v>
      </c>
      <c r="H4" s="43"/>
    </row>
    <row r="5" spans="1:8" x14ac:dyDescent="0.3">
      <c r="A5" s="5" t="str">
        <f>IF(COMPILDATA!A5="","",COMPILDATA!A5)</f>
        <v>0051892D</v>
      </c>
      <c r="B5" s="42" t="str">
        <f>IF(COMPILDATA!B5="","",COMPILDATA!B5)</f>
        <v>D25851E</v>
      </c>
      <c r="C5" s="5" t="str">
        <f t="shared" ca="1" si="0"/>
        <v>73550 MERIBEL LES ALLUES - HOTEL ALLODIS</v>
      </c>
      <c r="D5" s="43">
        <v>5</v>
      </c>
      <c r="E5" s="6" t="str">
        <f>IF(COMPILDATA!D5="","",COMPILDATA!D5)</f>
        <v/>
      </c>
      <c r="F5" s="6" t="str">
        <f>IF(COMPILDATA!G5="","",COMPILDATA!G5)</f>
        <v/>
      </c>
      <c r="G5" s="5" t="str">
        <f>IF(COMPILDATA!E5="","",COMPILDATA!E5)</f>
        <v/>
      </c>
      <c r="H5" s="43"/>
    </row>
    <row r="6" spans="1:8" x14ac:dyDescent="0.3">
      <c r="A6" s="5" t="str">
        <f>IF(COMPILDATA!A6="","",COMPILDATA!A6)</f>
        <v>0051940S</v>
      </c>
      <c r="B6" s="42" t="str">
        <f>IF(COMPILDATA!B6="","",COMPILDATA!B6)</f>
        <v>D25018J</v>
      </c>
      <c r="C6" s="5" t="str">
        <f t="shared" ca="1" si="0"/>
        <v>LYON (69) - SST D10 -  12 TER RUE D'INKERMANN (ELVYA)</v>
      </c>
      <c r="D6" s="43">
        <v>6</v>
      </c>
      <c r="E6" s="6" t="str">
        <f>IF(COMPILDATA!D6="","",COMPILDATA!D6)</f>
        <v/>
      </c>
      <c r="F6" s="6" t="str">
        <f>IF(COMPILDATA!G6="","",COMPILDATA!G6)</f>
        <v/>
      </c>
      <c r="G6" s="5" t="str">
        <f>IF(COMPILDATA!E6="","",COMPILDATA!E6)</f>
        <v/>
      </c>
      <c r="H6" s="43"/>
    </row>
    <row r="7" spans="1:8" x14ac:dyDescent="0.3">
      <c r="A7" s="5" t="str">
        <f>IF(COMPILDATA!A7="","",COMPILDATA!A7)</f>
        <v>0052232B</v>
      </c>
      <c r="B7" s="42" t="str">
        <f>IF(COMPILDATA!B7="","",COMPILDATA!B7)</f>
        <v>D25016F</v>
      </c>
      <c r="C7" s="5" t="str">
        <f t="shared" ca="1" si="0"/>
        <v>LYON (69) - SST XX - CENTRE COMMERCIAL BROTTEAUX 2000 (ELVYA)</v>
      </c>
      <c r="D7" s="43">
        <v>7</v>
      </c>
      <c r="E7" s="6" t="str">
        <f>IF(COMPILDATA!D7="","",COMPILDATA!D7)</f>
        <v/>
      </c>
      <c r="F7" s="6" t="str">
        <f>IF(COMPILDATA!G7="","",COMPILDATA!G7)</f>
        <v/>
      </c>
      <c r="G7" s="5" t="str">
        <f>IF(COMPILDATA!E7="","",COMPILDATA!E7)</f>
        <v/>
      </c>
      <c r="H7" s="43"/>
    </row>
    <row r="8" spans="1:8" x14ac:dyDescent="0.3">
      <c r="A8" s="5" t="str">
        <f>IF(COMPILDATA!A8="","",COMPILDATA!A8)</f>
        <v>0052604R</v>
      </c>
      <c r="B8" s="42" t="str">
        <f>IF(COMPILDATA!B8="","",COMPILDATA!B8)</f>
        <v>D25015E</v>
      </c>
      <c r="C8" s="5" t="str">
        <f t="shared" ca="1" si="0"/>
        <v>LYON (69) -SST B014- 76 RUE GARIBALDI</v>
      </c>
      <c r="D8" s="43">
        <v>8</v>
      </c>
      <c r="E8" s="6" t="str">
        <f>IF(COMPILDATA!D8="","",COMPILDATA!D8)</f>
        <v/>
      </c>
      <c r="F8" s="6" t="str">
        <f>IF(COMPILDATA!G8="","",COMPILDATA!G8)</f>
        <v/>
      </c>
      <c r="G8" s="5" t="str">
        <f>IF(COMPILDATA!E8="","",COMPILDATA!E8)</f>
        <v/>
      </c>
      <c r="H8" s="43"/>
    </row>
    <row r="9" spans="1:8" x14ac:dyDescent="0.3">
      <c r="A9" s="5" t="str">
        <f>IF(COMPILDATA!A9="","",COMPILDATA!A9)</f>
        <v>0052667Z</v>
      </c>
      <c r="B9" s="42" t="str">
        <f>IF(COMPILDATA!B9="","",COMPILDATA!B9)</f>
        <v>D25021N</v>
      </c>
      <c r="C9" s="5" t="str">
        <f t="shared" ca="1" si="0"/>
        <v>LYON 3° - IMMEUBLE "154 GAMBETTA"</v>
      </c>
      <c r="D9" s="43">
        <v>9</v>
      </c>
      <c r="E9" s="6" t="str">
        <f>IF(COMPILDATA!D9="","",COMPILDATA!D9)</f>
        <v/>
      </c>
      <c r="F9" s="6" t="str">
        <f>IF(COMPILDATA!G9="","",COMPILDATA!G9)</f>
        <v/>
      </c>
      <c r="G9" s="5" t="str">
        <f>IF(COMPILDATA!E9="","",COMPILDATA!E9)</f>
        <v/>
      </c>
      <c r="H9" s="43"/>
    </row>
    <row r="10" spans="1:8" x14ac:dyDescent="0.3">
      <c r="A10" s="5" t="str">
        <f>IF(COMPILDATA!A10="","",COMPILDATA!A10)</f>
        <v>0052669B</v>
      </c>
      <c r="B10" s="42" t="str">
        <f>IF(COMPILDATA!B10="","",COMPILDATA!B10)</f>
        <v>D25095K</v>
      </c>
      <c r="C10" s="5" t="str">
        <f t="shared" ca="1" si="0"/>
        <v>LYON 7° - RESIDENCE OPALINE ZAC GERLAND</v>
      </c>
      <c r="D10" s="43">
        <v>10</v>
      </c>
      <c r="E10" s="6" t="str">
        <f>IF(COMPILDATA!D10="","",COMPILDATA!D10)</f>
        <v/>
      </c>
      <c r="F10" s="6" t="str">
        <f>IF(COMPILDATA!G10="","",COMPILDATA!G10)</f>
        <v/>
      </c>
      <c r="G10" s="5" t="str">
        <f>IF(COMPILDATA!E10="","",COMPILDATA!E10)</f>
        <v/>
      </c>
      <c r="H10" s="43"/>
    </row>
    <row r="11" spans="1:8" x14ac:dyDescent="0.3">
      <c r="A11" s="5" t="str">
        <f>IF(COMPILDATA!A11="","",COMPILDATA!A11)</f>
        <v>0052680R</v>
      </c>
      <c r="B11" s="42" t="str">
        <f>IF(COMPILDATA!B11="","",COMPILDATA!B11)</f>
        <v>D50581W</v>
      </c>
      <c r="C11" s="5" t="str">
        <f t="shared" ca="1" si="0"/>
        <v>LYON (69) - SST XX - 1 RUE MAURICE FLANDIN (ELVYA)</v>
      </c>
      <c r="D11" s="43">
        <v>11</v>
      </c>
      <c r="E11" s="6" t="str">
        <f>IF(COMPILDATA!D11="","",COMPILDATA!D11)</f>
        <v/>
      </c>
      <c r="F11" s="6" t="str">
        <f>IF(COMPILDATA!G11="","",COMPILDATA!G11)</f>
        <v/>
      </c>
      <c r="G11" s="5" t="str">
        <f>IF(COMPILDATA!E11="","",COMPILDATA!E11)</f>
        <v/>
      </c>
      <c r="H11" s="43"/>
    </row>
    <row r="12" spans="1:8" x14ac:dyDescent="0.3">
      <c r="A12" s="5" t="str">
        <f>IF(COMPILDATA!A12="","",COMPILDATA!A12)</f>
        <v>0053626K</v>
      </c>
      <c r="B12" s="42" t="str">
        <f>IF(COMPILDATA!B12="","",COMPILDATA!B12)</f>
        <v>D25046X</v>
      </c>
      <c r="C12" s="5" t="str">
        <f t="shared" ca="1" si="0"/>
        <v>LYON (69) -  SST C021 - LE SAINT ANTOINE (ELVYA)</v>
      </c>
      <c r="D12" s="43">
        <v>12</v>
      </c>
      <c r="E12" s="6" t="str">
        <f>IF(COMPILDATA!D12="","",COMPILDATA!D12)</f>
        <v/>
      </c>
      <c r="F12" s="6" t="str">
        <f>IF(COMPILDATA!G12="","",COMPILDATA!G12)</f>
        <v/>
      </c>
      <c r="G12" s="5" t="str">
        <f>IF(COMPILDATA!E12="","",COMPILDATA!E12)</f>
        <v/>
      </c>
      <c r="H12" s="43"/>
    </row>
    <row r="13" spans="1:8" x14ac:dyDescent="0.3">
      <c r="A13" s="5" t="str">
        <f>IF(COMPILDATA!A13="","",COMPILDATA!A13)</f>
        <v>0053902Z</v>
      </c>
      <c r="B13" s="42" t="str">
        <f>IF(COMPILDATA!B13="","",COMPILDATA!B13)</f>
        <v>D25017H</v>
      </c>
      <c r="C13" s="5" t="str">
        <f t="shared" ca="1" si="0"/>
        <v>LYON 3 - IMMEUBLE 68 AVENUE DE SAXE</v>
      </c>
      <c r="D13" s="43">
        <v>13</v>
      </c>
      <c r="E13" s="6" t="str">
        <f>IF(COMPILDATA!D13="","",COMPILDATA!D13)</f>
        <v/>
      </c>
      <c r="F13" s="6" t="str">
        <f>IF(COMPILDATA!G13="","",COMPILDATA!G13)</f>
        <v/>
      </c>
      <c r="G13" s="5" t="str">
        <f>IF(COMPILDATA!E13="","",COMPILDATA!E13)</f>
        <v/>
      </c>
      <c r="H13" s="43"/>
    </row>
    <row r="14" spans="1:8" x14ac:dyDescent="0.3">
      <c r="A14" s="5" t="str">
        <f>IF(COMPILDATA!A14="","",COMPILDATA!A14)</f>
        <v>0053903A</v>
      </c>
      <c r="B14" s="42" t="str">
        <f>IF(COMPILDATA!B14="","",COMPILDATA!B14)</f>
        <v>D25031B</v>
      </c>
      <c r="C14" s="5" t="str">
        <f t="shared" ca="1" si="0"/>
        <v>LYON (69) - SST XX - IMMEUBLE 102 RUE MONTGOLFIER (ELVYA)</v>
      </c>
      <c r="D14" s="43">
        <v>14</v>
      </c>
      <c r="E14" s="6" t="str">
        <f>IF(COMPILDATA!D14="","",COMPILDATA!D14)</f>
        <v/>
      </c>
      <c r="F14" s="6" t="str">
        <f>IF(COMPILDATA!G14="","",COMPILDATA!G14)</f>
        <v/>
      </c>
      <c r="G14" s="5" t="str">
        <f>IF(COMPILDATA!E14="","",COMPILDATA!E14)</f>
        <v/>
      </c>
      <c r="H14" s="43"/>
    </row>
    <row r="15" spans="1:8" x14ac:dyDescent="0.3">
      <c r="A15" s="5" t="str">
        <f>IF(COMPILDATA!A15="","",COMPILDATA!A15)</f>
        <v>0054312N</v>
      </c>
      <c r="B15" s="42" t="str">
        <f>IF(COMPILDATA!B15="","",COMPILDATA!B15)</f>
        <v>D54363X</v>
      </c>
      <c r="C15" s="5" t="str">
        <f t="shared" ca="1" si="0"/>
        <v>LYON - IMMEUBLE 240 LAFAYETTE</v>
      </c>
      <c r="D15" s="43">
        <v>15</v>
      </c>
      <c r="E15" s="6" t="str">
        <f>IF(COMPILDATA!D15="","",COMPILDATA!D15)</f>
        <v/>
      </c>
      <c r="F15" s="6" t="str">
        <f>IF(COMPILDATA!G15="","",COMPILDATA!G15)</f>
        <v/>
      </c>
      <c r="G15" s="5" t="str">
        <f>IF(COMPILDATA!E15="","",COMPILDATA!E15)</f>
        <v/>
      </c>
      <c r="H15" s="43"/>
    </row>
    <row r="16" spans="1:8" x14ac:dyDescent="0.3">
      <c r="A16" s="5" t="str">
        <f>IF(COMPILDATA!A16="","",COMPILDATA!A16)</f>
        <v>0055621K</v>
      </c>
      <c r="B16" s="42" t="str">
        <f>IF(COMPILDATA!B16="","",COMPILDATA!B16)</f>
        <v>D001WFL</v>
      </c>
      <c r="C16" s="5" t="str">
        <f t="shared" ca="1" si="0"/>
        <v>FERNEY VOLTAIRE - SIVOM DE L'EST GESSIEN</v>
      </c>
      <c r="D16" s="43">
        <v>16</v>
      </c>
      <c r="E16" s="6" t="str">
        <f>IF(COMPILDATA!D16="","",COMPILDATA!D16)</f>
        <v/>
      </c>
      <c r="F16" s="6" t="str">
        <f>IF(COMPILDATA!G16="","",COMPILDATA!G16)</f>
        <v/>
      </c>
      <c r="G16" s="5" t="str">
        <f>IF(COMPILDATA!E16="","",COMPILDATA!E16)</f>
        <v/>
      </c>
      <c r="H16" s="43"/>
    </row>
    <row r="17" spans="1:8" x14ac:dyDescent="0.3">
      <c r="A17" s="5" t="str">
        <f>IF(COMPILDATA!A17="","",COMPILDATA!A17)</f>
        <v>0059097J</v>
      </c>
      <c r="B17" s="42" t="str">
        <f>IF(COMPILDATA!B17="","",COMPILDATA!B17)</f>
        <v>D001PTR</v>
      </c>
      <c r="C17" s="5" t="str">
        <f t="shared" ca="1" si="0"/>
        <v>LYON DUCHERE RCU - ST/48BIS - P2 SECONDAIRE</v>
      </c>
      <c r="D17" s="43">
        <v>17</v>
      </c>
      <c r="E17" s="6" t="str">
        <f>IF(COMPILDATA!D17="","",COMPILDATA!D17)</f>
        <v/>
      </c>
      <c r="F17" s="6" t="str">
        <f>IF(COMPILDATA!G17="","",COMPILDATA!G17)</f>
        <v/>
      </c>
      <c r="G17" s="5" t="str">
        <f>IF(COMPILDATA!E17="","",COMPILDATA!E17)</f>
        <v/>
      </c>
      <c r="H17" s="43"/>
    </row>
    <row r="18" spans="1:8" x14ac:dyDescent="0.3">
      <c r="A18" s="7" t="str">
        <f>IF(COMPILDATA!A18="","",COMPILDATA!A18)</f>
        <v>0059114F</v>
      </c>
      <c r="B18" s="42" t="str">
        <f>IF(COMPILDATA!B18="","",COMPILDATA!B18)</f>
        <v>D00A5FY</v>
      </c>
      <c r="C18" s="5" t="str">
        <f t="shared" ca="1" si="0"/>
        <v>VENISSIEUX LES MINGUETTES A.F.P.A. TRAIT ECS</v>
      </c>
      <c r="D18" s="43">
        <v>18</v>
      </c>
      <c r="E18" s="6" t="str">
        <f>IF(COMPILDATA!D18="","",COMPILDATA!D18)</f>
        <v/>
      </c>
      <c r="F18" s="6" t="str">
        <f>IF(COMPILDATA!G18="","",COMPILDATA!G18)</f>
        <v/>
      </c>
      <c r="G18" s="5" t="str">
        <f>IF(COMPILDATA!E18="","",COMPILDATA!E18)</f>
        <v/>
      </c>
      <c r="H18" s="43"/>
    </row>
    <row r="19" spans="1:8" x14ac:dyDescent="0.3">
      <c r="A19" s="7" t="str">
        <f>IF(COMPILDATA!A19="","",COMPILDATA!A19)</f>
        <v>0059137L</v>
      </c>
      <c r="B19" s="42" t="str">
        <f>IF(COMPILDATA!B19="","",COMPILDATA!B19)</f>
        <v>D00A5KD</v>
      </c>
      <c r="C19" s="5" t="str">
        <f t="shared" ca="1" si="0"/>
        <v>VENISSIEUX LES MINGUETTES CC/4 ENT.INSTAL.SEC.</v>
      </c>
      <c r="D19" s="43">
        <v>19</v>
      </c>
      <c r="E19" s="6" t="str">
        <f>IF(COMPILDATA!D19="","",COMPILDATA!D19)</f>
        <v/>
      </c>
      <c r="F19" s="6" t="str">
        <f>IF(COMPILDATA!G19="","",COMPILDATA!G19)</f>
        <v/>
      </c>
      <c r="G19" s="5" t="str">
        <f>IF(COMPILDATA!E19="","",COMPILDATA!E19)</f>
        <v/>
      </c>
      <c r="H19" s="43"/>
    </row>
    <row r="20" spans="1:8" x14ac:dyDescent="0.3">
      <c r="A20" s="5" t="str">
        <f>IF(COMPILDATA!A20="","",COMPILDATA!A20)</f>
        <v>0063399W</v>
      </c>
      <c r="B20" s="42" t="str">
        <f>IF(COMPILDATA!B20="","",COMPILDATA!B20)</f>
        <v>D24404B</v>
      </c>
      <c r="C20" s="5" t="str">
        <f t="shared" ca="1" si="0"/>
        <v>LYON (69) - RES LE VERSEAU 119 - 121 C.A.THOMAS</v>
      </c>
      <c r="D20" s="43">
        <v>20</v>
      </c>
      <c r="E20" s="6" t="str">
        <f>IF(COMPILDATA!D20="","",COMPILDATA!D20)</f>
        <v/>
      </c>
      <c r="F20" s="6" t="str">
        <f>IF(COMPILDATA!G20="","",COMPILDATA!G20)</f>
        <v/>
      </c>
      <c r="G20" s="5" t="str">
        <f>IF(COMPILDATA!E20="","",COMPILDATA!E20)</f>
        <v/>
      </c>
      <c r="H20" s="43"/>
    </row>
    <row r="21" spans="1:8" x14ac:dyDescent="0.3">
      <c r="A21" s="5" t="str">
        <f>IF(COMPILDATA!A21="","",COMPILDATA!A21)</f>
        <v>0063788F</v>
      </c>
      <c r="B21" s="42" t="str">
        <f>IF(COMPILDATA!B21="","",COMPILDATA!B21)</f>
        <v>D001XTP</v>
      </c>
      <c r="C21" s="5" t="str">
        <f t="shared" ca="1" si="0"/>
        <v>AMBERIEU EN BUGEY (01) - COPROPRIETE DIPAS CPA DE L'AIN</v>
      </c>
      <c r="D21" s="43">
        <v>21</v>
      </c>
      <c r="E21" s="6" t="str">
        <f>IF(COMPILDATA!D21="","",COMPILDATA!D21)</f>
        <v/>
      </c>
      <c r="F21" s="6" t="str">
        <f>IF(COMPILDATA!G21="","",COMPILDATA!G21)</f>
        <v/>
      </c>
      <c r="G21" s="5" t="str">
        <f>IF(COMPILDATA!E21="","",COMPILDATA!E21)</f>
        <v/>
      </c>
      <c r="H21" s="43"/>
    </row>
    <row r="22" spans="1:8" x14ac:dyDescent="0.3">
      <c r="A22" s="5" t="str">
        <f>IF(COMPILDATA!A22="","",COMPILDATA!A22)</f>
        <v>0073810T</v>
      </c>
      <c r="B22" s="42" t="str">
        <f>IF(COMPILDATA!B22="","",COMPILDATA!B22)</f>
        <v>D43571X</v>
      </c>
      <c r="C22" s="5" t="str">
        <f t="shared" ca="1" si="0"/>
        <v>TARARE (69)- RESIDENCE "LE LAMARTINE"</v>
      </c>
      <c r="D22" s="43">
        <v>22</v>
      </c>
      <c r="E22" s="6" t="str">
        <f>IF(COMPILDATA!D22="","",COMPILDATA!D22)</f>
        <v/>
      </c>
      <c r="F22" s="6" t="str">
        <f>IF(COMPILDATA!G22="","",COMPILDATA!G22)</f>
        <v/>
      </c>
      <c r="G22" s="5" t="str">
        <f>IF(COMPILDATA!E22="","",COMPILDATA!E22)</f>
        <v/>
      </c>
      <c r="H22" s="43"/>
    </row>
    <row r="23" spans="1:8" x14ac:dyDescent="0.3">
      <c r="A23" s="8" t="str">
        <f>IF(COMPILDATA!A23="","",COMPILDATA!A23)</f>
        <v>0080931N</v>
      </c>
      <c r="B23" s="42" t="str">
        <f>IF(COMPILDATA!B23="","",COMPILDATA!B23)</f>
        <v>D42118J</v>
      </c>
      <c r="C23" s="5" t="str">
        <f t="shared" ca="1" si="0"/>
        <v>BARBY - FOYER LES EPINETTES</v>
      </c>
      <c r="D23" s="43">
        <v>23</v>
      </c>
      <c r="E23" s="6" t="str">
        <f>IF(COMPILDATA!D23="","",COMPILDATA!D23)</f>
        <v/>
      </c>
      <c r="F23" s="6" t="str">
        <f>IF(COMPILDATA!G23="","",COMPILDATA!G23)</f>
        <v/>
      </c>
      <c r="G23" s="5" t="str">
        <f>IF(COMPILDATA!E23="","",COMPILDATA!E23)</f>
        <v/>
      </c>
      <c r="H23" s="43"/>
    </row>
    <row r="24" spans="1:8" x14ac:dyDescent="0.3">
      <c r="A24" s="5" t="str">
        <f>IF(COMPILDATA!A24="","",COMPILDATA!A24)</f>
        <v>0082193Z</v>
      </c>
      <c r="B24" s="42" t="str">
        <f>IF(COMPILDATA!B24="","",COMPILDATA!B24)</f>
        <v>D001XEW</v>
      </c>
      <c r="C24" s="5" t="str">
        <f t="shared" ca="1" si="0"/>
        <v>ST MICHEL DE MAURIENNE - MAPAD</v>
      </c>
      <c r="D24" s="43">
        <v>24</v>
      </c>
      <c r="E24" s="6" t="str">
        <f>IF(COMPILDATA!D24="","",COMPILDATA!D24)</f>
        <v/>
      </c>
      <c r="F24" s="6" t="str">
        <f>IF(COMPILDATA!G24="","",COMPILDATA!G24)</f>
        <v/>
      </c>
      <c r="G24" s="5" t="str">
        <f>IF(COMPILDATA!E24="","",COMPILDATA!E24)</f>
        <v/>
      </c>
      <c r="H24" s="43"/>
    </row>
    <row r="25" spans="1:8" x14ac:dyDescent="0.3">
      <c r="A25" s="5" t="str">
        <f>IF(COMPILDATA!A25="","",COMPILDATA!A25)</f>
        <v>0091148F</v>
      </c>
      <c r="B25" s="42" t="str">
        <f>IF(COMPILDATA!B25="","",COMPILDATA!B25)</f>
        <v>D62999J</v>
      </c>
      <c r="C25" s="5" t="str">
        <f t="shared" ca="1" si="0"/>
        <v>SEYNOD (74) - SST XX - CENTRE L EPANOU AAPEI (ZUP DE CHAMPFLEURI)</v>
      </c>
      <c r="D25" s="43">
        <v>25</v>
      </c>
      <c r="E25" s="6" t="str">
        <f>IF(COMPILDATA!D25="","",COMPILDATA!D25)</f>
        <v/>
      </c>
      <c r="F25" s="6" t="str">
        <f>IF(COMPILDATA!G25="","",COMPILDATA!G25)</f>
        <v/>
      </c>
      <c r="G25" s="5" t="str">
        <f>IF(COMPILDATA!E25="","",COMPILDATA!E25)</f>
        <v/>
      </c>
      <c r="H25" s="43"/>
    </row>
    <row r="26" spans="1:8" x14ac:dyDescent="0.3">
      <c r="A26" s="5" t="str">
        <f>IF(COMPILDATA!A26="","",COMPILDATA!A26)</f>
        <v>0093016P</v>
      </c>
      <c r="B26" s="42" t="str">
        <f>IF(COMPILDATA!B26="","",COMPILDATA!B26)</f>
        <v>D005PUT</v>
      </c>
      <c r="C26" s="5" t="str">
        <f t="shared" ca="1" si="0"/>
        <v>LYON - P2 SECONDAIRES L'ARCHE NORD &amp; L'ARCHE SUD</v>
      </c>
      <c r="D26" s="43">
        <v>26</v>
      </c>
      <c r="E26" s="6" t="str">
        <f>IF(COMPILDATA!D26="","",COMPILDATA!D26)</f>
        <v/>
      </c>
      <c r="F26" s="6" t="str">
        <f>IF(COMPILDATA!G26="","",COMPILDATA!G26)</f>
        <v/>
      </c>
      <c r="G26" s="5" t="str">
        <f>IF(COMPILDATA!E26="","",COMPILDATA!E26)</f>
        <v/>
      </c>
      <c r="H26" s="43"/>
    </row>
    <row r="27" spans="1:8" x14ac:dyDescent="0.3">
      <c r="A27" s="5" t="str">
        <f>IF(COMPILDATA!A27="","",COMPILDATA!A27)</f>
        <v>0097858K</v>
      </c>
      <c r="B27" s="42" t="str">
        <f>IF(COMPILDATA!B27="","",COMPILDATA!B27)</f>
        <v>D005PXY</v>
      </c>
      <c r="C27" s="5" t="str">
        <f t="shared" ca="1" si="0"/>
        <v>RILLIEUX - SECOND.NORD - S/ST 28 BAT M1 LE MANET</v>
      </c>
      <c r="D27" s="43">
        <v>27</v>
      </c>
      <c r="E27" s="6" t="str">
        <f>IF(COMPILDATA!D27="","",COMPILDATA!D27)</f>
        <v/>
      </c>
      <c r="F27" s="6" t="str">
        <f>IF(COMPILDATA!G27="","",COMPILDATA!G27)</f>
        <v/>
      </c>
      <c r="G27" s="5" t="str">
        <f>IF(COMPILDATA!E27="","",COMPILDATA!E27)</f>
        <v/>
      </c>
      <c r="H27" s="43"/>
    </row>
    <row r="28" spans="1:8" x14ac:dyDescent="0.3">
      <c r="A28" s="5" t="str">
        <f>IF(COMPILDATA!A28="","",COMPILDATA!A28)</f>
        <v>0097889B</v>
      </c>
      <c r="B28" s="42" t="str">
        <f>IF(COMPILDATA!B28="","",COMPILDATA!B28)</f>
        <v>D69559R</v>
      </c>
      <c r="C28" s="5" t="str">
        <f t="shared" ca="1" si="0"/>
        <v>RILLIEUX LA PAPE (69) - SST 31 - BAT JORDAENS SOGELEM (CU RILLIEUX)</v>
      </c>
      <c r="D28" s="43">
        <v>28</v>
      </c>
      <c r="E28" s="6" t="str">
        <f>IF(COMPILDATA!D28="","",COMPILDATA!D28)</f>
        <v/>
      </c>
      <c r="F28" s="6" t="str">
        <f>IF(COMPILDATA!G28="","",COMPILDATA!G28)</f>
        <v/>
      </c>
      <c r="G28" s="5" t="str">
        <f>IF(COMPILDATA!E28="","",COMPILDATA!E28)</f>
        <v/>
      </c>
      <c r="H28" s="43"/>
    </row>
    <row r="29" spans="1:8" x14ac:dyDescent="0.3">
      <c r="A29" s="5" t="str">
        <f>IF(COMPILDATA!A29="","",COMPILDATA!A29)</f>
        <v>0101895Y</v>
      </c>
      <c r="B29" s="42" t="str">
        <f>IF(COMPILDATA!B29="","",COMPILDATA!B29)</f>
        <v>D43472R</v>
      </c>
      <c r="C29" s="5" t="str">
        <f t="shared" ca="1" si="0"/>
        <v>VILLEURBANNE (69) - RESIDENCE MARECHAL LECLERC</v>
      </c>
      <c r="D29" s="43">
        <v>29</v>
      </c>
      <c r="E29" s="6" t="str">
        <f>IF(COMPILDATA!D29="","",COMPILDATA!D29)</f>
        <v/>
      </c>
      <c r="F29" s="6" t="str">
        <f>IF(COMPILDATA!G29="","",COMPILDATA!G29)</f>
        <v/>
      </c>
      <c r="G29" s="5" t="str">
        <f>IF(COMPILDATA!E29="","",COMPILDATA!E29)</f>
        <v/>
      </c>
      <c r="H29" s="43"/>
    </row>
    <row r="30" spans="1:8" x14ac:dyDescent="0.3">
      <c r="A30" s="5" t="str">
        <f>IF(COMPILDATA!A30="","",COMPILDATA!A30)</f>
        <v>0105811A</v>
      </c>
      <c r="B30" s="42" t="str">
        <f>IF(COMPILDATA!B30="","",COMPILDATA!B30)</f>
        <v>D25032C</v>
      </c>
      <c r="C30" s="5" t="str">
        <f t="shared" ca="1" si="0"/>
        <v>LYON (69) - SST XX - RES DE SEZE (ELVYA)</v>
      </c>
      <c r="D30" s="43">
        <v>30</v>
      </c>
      <c r="E30" s="6" t="str">
        <f>IF(COMPILDATA!D30="","",COMPILDATA!D30)</f>
        <v/>
      </c>
      <c r="F30" s="6" t="str">
        <f>IF(COMPILDATA!G30="","",COMPILDATA!G30)</f>
        <v/>
      </c>
      <c r="G30" s="5" t="str">
        <f>IF(COMPILDATA!E30="","",COMPILDATA!E30)</f>
        <v/>
      </c>
      <c r="H30" s="43"/>
    </row>
    <row r="31" spans="1:8" x14ac:dyDescent="0.3">
      <c r="A31" s="9" t="str">
        <f>IF(COMPILDATA!A31="","",COMPILDATA!A31)</f>
        <v>0112142E</v>
      </c>
      <c r="B31" s="42" t="str">
        <f>IF(COMPILDATA!B31="","",COMPILDATA!B31)</f>
        <v/>
      </c>
      <c r="C31" s="5" t="str">
        <f t="shared" ca="1" si="0"/>
        <v>LES HOUCHES -74310- LES ESSERTS</v>
      </c>
      <c r="D31" s="43">
        <v>31</v>
      </c>
      <c r="E31" s="6" t="str">
        <f>IF(COMPILDATA!D31="","",COMPILDATA!D31)</f>
        <v/>
      </c>
      <c r="F31" s="6" t="str">
        <f>IF(COMPILDATA!G31="","",COMPILDATA!G31)</f>
        <v/>
      </c>
      <c r="G31" s="5" t="str">
        <f>IF(COMPILDATA!E31="","",COMPILDATA!E31)</f>
        <v/>
      </c>
      <c r="H31" s="43"/>
    </row>
    <row r="32" spans="1:8" x14ac:dyDescent="0.3">
      <c r="A32" s="5" t="str">
        <f>IF(COMPILDATA!A32="","",COMPILDATA!A32)</f>
        <v>3004560T</v>
      </c>
      <c r="B32" s="42" t="str">
        <f>IF(COMPILDATA!B32="","",COMPILDATA!B32)</f>
        <v>D001WVH</v>
      </c>
      <c r="C32" s="5" t="str">
        <f t="shared" ca="1" si="0"/>
        <v xml:space="preserve">FERNEY VOLTAIRE (01) - SAS LES PORTES DE GENEVE - RES LA RESERVE </v>
      </c>
      <c r="D32" s="43">
        <v>32</v>
      </c>
      <c r="E32" s="6" t="str">
        <f>IF(COMPILDATA!D32="","",COMPILDATA!D32)</f>
        <v/>
      </c>
      <c r="F32" s="6" t="str">
        <f>IF(COMPILDATA!G32="","",COMPILDATA!G32)</f>
        <v/>
      </c>
      <c r="G32" s="5" t="str">
        <f>IF(COMPILDATA!E32="","",COMPILDATA!E32)</f>
        <v/>
      </c>
      <c r="H32" s="43"/>
    </row>
    <row r="33" spans="1:8" x14ac:dyDescent="0.3">
      <c r="A33" s="5" t="str">
        <f>IF(COMPILDATA!A33="","",COMPILDATA!A33)</f>
        <v>3011315F</v>
      </c>
      <c r="B33" s="42" t="str">
        <f>IF(COMPILDATA!B33="","",COMPILDATA!B33)</f>
        <v>D23873C</v>
      </c>
      <c r="C33" s="5" t="str">
        <f t="shared" ca="1" si="0"/>
        <v>SAINT PRIEST (69) - RES JULES VERNE</v>
      </c>
      <c r="D33" s="43">
        <v>33</v>
      </c>
      <c r="E33" s="6" t="str">
        <f>IF(COMPILDATA!D33="","",COMPILDATA!D33)</f>
        <v/>
      </c>
      <c r="F33" s="6" t="str">
        <f>IF(COMPILDATA!G33="","",COMPILDATA!G33)</f>
        <v/>
      </c>
      <c r="G33" s="5" t="str">
        <f>IF(COMPILDATA!E33="","",COMPILDATA!E33)</f>
        <v/>
      </c>
      <c r="H33" s="43"/>
    </row>
    <row r="34" spans="1:8" x14ac:dyDescent="0.3">
      <c r="A34" s="5" t="str">
        <f>IF(COMPILDATA!A34="","",COMPILDATA!A34)</f>
        <v>3013975F</v>
      </c>
      <c r="B34" s="42" t="str">
        <f>IF(COMPILDATA!B34="","",COMPILDATA!B34)</f>
        <v>D001WRC</v>
      </c>
      <c r="C34" s="5" t="str">
        <f t="shared" ca="1" si="0"/>
        <v>BOURG EN BRESSE (01) - RES LE THEMIS - BUREAUX</v>
      </c>
      <c r="D34" s="43">
        <v>34</v>
      </c>
      <c r="E34" s="6" t="str">
        <f>IF(COMPILDATA!D34="","",COMPILDATA!D34)</f>
        <v/>
      </c>
      <c r="F34" s="6" t="str">
        <f>IF(COMPILDATA!G34="","",COMPILDATA!G34)</f>
        <v/>
      </c>
      <c r="G34" s="5" t="str">
        <f>IF(COMPILDATA!E34="","",COMPILDATA!E34)</f>
        <v/>
      </c>
      <c r="H34" s="43"/>
    </row>
    <row r="35" spans="1:8" x14ac:dyDescent="0.3">
      <c r="A35" s="5" t="str">
        <f>IF(COMPILDATA!A35="","",COMPILDATA!A35)</f>
        <v>3014440T</v>
      </c>
      <c r="B35" s="42" t="str">
        <f>IF(COMPILDATA!B35="","",COMPILDATA!B35)</f>
        <v>D91680Y</v>
      </c>
      <c r="C35" s="5" t="str">
        <f t="shared" ca="1" si="0"/>
        <v>CHAMBERY (73) - INDIGGO</v>
      </c>
      <c r="D35" s="43">
        <v>35</v>
      </c>
      <c r="E35" s="6" t="str">
        <f>IF(COMPILDATA!D35="","",COMPILDATA!D35)</f>
        <v/>
      </c>
      <c r="F35" s="6" t="str">
        <f>IF(COMPILDATA!G35="","",COMPILDATA!G35)</f>
        <v/>
      </c>
      <c r="G35" s="5" t="str">
        <f>IF(COMPILDATA!E35="","",COMPILDATA!E35)</f>
        <v/>
      </c>
      <c r="H35" s="43"/>
    </row>
    <row r="36" spans="1:8" x14ac:dyDescent="0.3">
      <c r="A36" s="5" t="str">
        <f>IF(COMPILDATA!A36="","",COMPILDATA!A36)</f>
        <v>3015243A</v>
      </c>
      <c r="B36" s="42" t="str">
        <f>IF(COMPILDATA!B36="","",COMPILDATA!B36)</f>
        <v>D92817T</v>
      </c>
      <c r="C36" s="5" t="str">
        <f t="shared" ca="1" si="0"/>
        <v>MEYLAN (38)-FOYER PERSONNES AGEES PRE-BLANC</v>
      </c>
      <c r="D36" s="43">
        <v>36</v>
      </c>
      <c r="E36" s="6" t="str">
        <f>IF(COMPILDATA!D36="","",COMPILDATA!D36)</f>
        <v/>
      </c>
      <c r="F36" s="6" t="str">
        <f>IF(COMPILDATA!G36="","",COMPILDATA!G36)</f>
        <v/>
      </c>
      <c r="G36" s="5" t="str">
        <f>IF(COMPILDATA!E36="","",COMPILDATA!E36)</f>
        <v/>
      </c>
      <c r="H36" s="43"/>
    </row>
    <row r="37" spans="1:8" x14ac:dyDescent="0.3">
      <c r="A37" s="5" t="str">
        <f>IF(COMPILDATA!A37="","",COMPILDATA!A37)</f>
        <v>3017154P</v>
      </c>
      <c r="B37" s="42" t="str">
        <f>IF(COMPILDATA!B37="","",COMPILDATA!B37)</f>
        <v>D86523L</v>
      </c>
      <c r="C37" s="5" t="str">
        <f t="shared" ca="1" si="0"/>
        <v>BOURG EN BRESSE (01) - SCM IRM DE L'AIN - CLINIQUE CONVERT</v>
      </c>
      <c r="D37" s="43">
        <v>37</v>
      </c>
      <c r="E37" s="6" t="str">
        <f>IF(COMPILDATA!D37="","",COMPILDATA!D37)</f>
        <v/>
      </c>
      <c r="F37" s="6" t="str">
        <f>IF(COMPILDATA!G37="","",COMPILDATA!G37)</f>
        <v/>
      </c>
      <c r="G37" s="5" t="str">
        <f>IF(COMPILDATA!E37="","",COMPILDATA!E37)</f>
        <v/>
      </c>
      <c r="H37" s="43"/>
    </row>
    <row r="38" spans="1:8" x14ac:dyDescent="0.3">
      <c r="A38" s="9" t="str">
        <f>IF(COMPILDATA!A38="","",COMPILDATA!A38)</f>
        <v>3017624H</v>
      </c>
      <c r="B38" s="42" t="str">
        <f>IF(COMPILDATA!B38="","",COMPILDATA!B38)</f>
        <v>D96852C</v>
      </c>
      <c r="C38" s="5" t="str">
        <f t="shared" ca="1" si="0"/>
        <v>ALLEVARD LES BAINS (38) - SST XX - LA MARMOTTANE (CU)</v>
      </c>
      <c r="D38" s="43">
        <v>38</v>
      </c>
      <c r="E38" s="6" t="str">
        <f>IF(COMPILDATA!D38="","",COMPILDATA!D38)</f>
        <v/>
      </c>
      <c r="F38" s="6" t="str">
        <f>IF(COMPILDATA!G38="","",COMPILDATA!G38)</f>
        <v/>
      </c>
      <c r="G38" s="5" t="str">
        <f>IF(COMPILDATA!E38="","",COMPILDATA!E38)</f>
        <v/>
      </c>
      <c r="H38" s="43"/>
    </row>
    <row r="39" spans="1:8" x14ac:dyDescent="0.3">
      <c r="A39" s="9" t="str">
        <f>IF(COMPILDATA!A39="","",COMPILDATA!A39)</f>
        <v>3018178L</v>
      </c>
      <c r="B39" s="42" t="str">
        <f>IF(COMPILDATA!B39="","",COMPILDATA!B39)</f>
        <v/>
      </c>
      <c r="C39" s="5" t="str">
        <f t="shared" ca="1" si="0"/>
        <v>FONTAINE (38) - RES PRIMAVERA</v>
      </c>
      <c r="D39" s="43">
        <v>39</v>
      </c>
      <c r="E39" s="6" t="str">
        <f>IF(COMPILDATA!D39="","",COMPILDATA!D39)</f>
        <v/>
      </c>
      <c r="F39" s="6" t="str">
        <f>IF(COMPILDATA!G39="","",COMPILDATA!G39)</f>
        <v/>
      </c>
      <c r="G39" s="5" t="str">
        <f>IF(COMPILDATA!E39="","",COMPILDATA!E39)</f>
        <v/>
      </c>
      <c r="H39" s="43"/>
    </row>
    <row r="40" spans="1:8" x14ac:dyDescent="0.3">
      <c r="A40" s="5" t="str">
        <f>IF(COMPILDATA!A40="","",COMPILDATA!A40)</f>
        <v>3018469W</v>
      </c>
      <c r="B40" s="42" t="str">
        <f>IF(COMPILDATA!B40="","",COMPILDATA!B40)</f>
        <v>D97488Z</v>
      </c>
      <c r="C40" s="5" t="str">
        <f t="shared" ca="1" si="0"/>
        <v>CHAMBERY (73) - LE BUGEY</v>
      </c>
      <c r="D40" s="43">
        <v>40</v>
      </c>
      <c r="E40" s="6" t="str">
        <f>IF(COMPILDATA!D40="","",COMPILDATA!D40)</f>
        <v/>
      </c>
      <c r="F40" s="6" t="str">
        <f>IF(COMPILDATA!G40="","",COMPILDATA!G40)</f>
        <v/>
      </c>
      <c r="G40" s="5" t="str">
        <f>IF(COMPILDATA!E40="","",COMPILDATA!E40)</f>
        <v/>
      </c>
      <c r="H40" s="43"/>
    </row>
    <row r="41" spans="1:8" x14ac:dyDescent="0.3">
      <c r="A41" s="5" t="str">
        <f>IF(COMPILDATA!A41="","",COMPILDATA!A41)</f>
        <v>3020982B</v>
      </c>
      <c r="B41" s="42" t="str">
        <f>IF(COMPILDATA!B41="","",COMPILDATA!B41)</f>
        <v>D26007K</v>
      </c>
      <c r="C41" s="5" t="str">
        <f t="shared" ca="1" si="0"/>
        <v>MODANE (73) - IMMEUBLE BATIMENT DES DOUANES</v>
      </c>
      <c r="D41" s="43">
        <v>41</v>
      </c>
      <c r="E41" s="6" t="str">
        <f>IF(COMPILDATA!D41="","",COMPILDATA!D41)</f>
        <v/>
      </c>
      <c r="F41" s="6" t="str">
        <f>IF(COMPILDATA!G41="","",COMPILDATA!G41)</f>
        <v/>
      </c>
      <c r="G41" s="5" t="str">
        <f>IF(COMPILDATA!E41="","",COMPILDATA!E41)</f>
        <v/>
      </c>
      <c r="H41" s="43"/>
    </row>
    <row r="42" spans="1:8" x14ac:dyDescent="0.3">
      <c r="A42" s="5" t="str">
        <f>IF(COMPILDATA!A42="","",COMPILDATA!A42)</f>
        <v>3021085L</v>
      </c>
      <c r="B42" s="42" t="str">
        <f>IF(COMPILDATA!B42="","",COMPILDATA!B42)</f>
        <v>D77161T</v>
      </c>
      <c r="C42" s="5" t="str">
        <f t="shared" ca="1" si="0"/>
        <v>LES 2 ALPES (38) - COMPLEXE SPORTIF ET CULTUREL AMPHIBIA</v>
      </c>
      <c r="D42" s="43">
        <v>42</v>
      </c>
      <c r="E42" s="6" t="str">
        <f>IF(COMPILDATA!D42="","",COMPILDATA!D42)</f>
        <v/>
      </c>
      <c r="F42" s="6" t="str">
        <f>IF(COMPILDATA!G42="","",COMPILDATA!G42)</f>
        <v/>
      </c>
      <c r="G42" s="5" t="str">
        <f>IF(COMPILDATA!E42="","",COMPILDATA!E42)</f>
        <v/>
      </c>
      <c r="H42" s="43"/>
    </row>
    <row r="43" spans="1:8" x14ac:dyDescent="0.3">
      <c r="A43" s="5" t="str">
        <f>IF(COMPILDATA!A43="","",COMPILDATA!A43)</f>
        <v>3021161L</v>
      </c>
      <c r="B43" s="42" t="str">
        <f>IF(COMPILDATA!B43="","",COMPILDATA!B43)</f>
        <v>D99396J</v>
      </c>
      <c r="C43" s="5" t="str">
        <f t="shared" ca="1" si="0"/>
        <v>SAINT JULIEN MONT DENIS (73) - SALLE SERVEUR</v>
      </c>
      <c r="D43" s="43">
        <v>43</v>
      </c>
      <c r="E43" s="6" t="str">
        <f>IF(COMPILDATA!D43="","",COMPILDATA!D43)</f>
        <v/>
      </c>
      <c r="F43" s="6" t="str">
        <f>IF(COMPILDATA!G43="","",COMPILDATA!G43)</f>
        <v/>
      </c>
      <c r="G43" s="5" t="str">
        <f>IF(COMPILDATA!E43="","",COMPILDATA!E43)</f>
        <v/>
      </c>
      <c r="H43" s="43"/>
    </row>
    <row r="44" spans="1:8" x14ac:dyDescent="0.3">
      <c r="A44" s="8" t="str">
        <f>IF(COMPILDATA!A44="","",COMPILDATA!A44)</f>
        <v>3026041H</v>
      </c>
      <c r="B44" s="42" t="str">
        <f>IF(COMPILDATA!B44="","",COMPILDATA!B44)</f>
        <v>D0009MC</v>
      </c>
      <c r="C44" s="5" t="str">
        <f t="shared" ca="1" si="0"/>
        <v>VILLEURBANNE (69) - SDC LE LULLI</v>
      </c>
      <c r="D44" s="43">
        <v>44</v>
      </c>
      <c r="E44" s="6" t="str">
        <f>IF(COMPILDATA!D44="","",COMPILDATA!D44)</f>
        <v/>
      </c>
      <c r="F44" s="6" t="str">
        <f>IF(COMPILDATA!G44="","",COMPILDATA!G44)</f>
        <v/>
      </c>
      <c r="G44" s="5" t="str">
        <f>IF(COMPILDATA!E44="","",COMPILDATA!E44)</f>
        <v/>
      </c>
      <c r="H44" s="43"/>
    </row>
    <row r="45" spans="1:8" x14ac:dyDescent="0.3">
      <c r="A45" s="9" t="str">
        <f>IF(COMPILDATA!A45="","",COMPILDATA!A45)</f>
        <v>3027156A</v>
      </c>
      <c r="B45" s="42" t="str">
        <f>IF(COMPILDATA!B45="","",COMPILDATA!B45)</f>
        <v/>
      </c>
      <c r="C45" s="5" t="str">
        <f t="shared" ca="1" si="0"/>
        <v>SEYNOD (74) - SST 29 - COLLEGE SAINT FRANCOIS - LES CORDELIERS</v>
      </c>
      <c r="D45" s="43">
        <v>45</v>
      </c>
      <c r="E45" s="6" t="str">
        <f>IF(COMPILDATA!D45="","",COMPILDATA!D45)</f>
        <v/>
      </c>
      <c r="F45" s="6" t="str">
        <f>IF(COMPILDATA!G45="","",COMPILDATA!G45)</f>
        <v/>
      </c>
      <c r="G45" s="5" t="str">
        <f>IF(COMPILDATA!E45="","",COMPILDATA!E45)</f>
        <v/>
      </c>
      <c r="H45" s="43"/>
    </row>
    <row r="46" spans="1:8" x14ac:dyDescent="0.3">
      <c r="A46" s="5" t="str">
        <f>IF(COMPILDATA!A46="","",COMPILDATA!A46)</f>
        <v>3028742L</v>
      </c>
      <c r="B46" s="42" t="str">
        <f>IF(COMPILDATA!B46="","",COMPILDATA!B46)</f>
        <v>D97933J</v>
      </c>
      <c r="C46" s="5" t="str">
        <f t="shared" ca="1" si="0"/>
        <v>CRUSEILLES (74) - EHPAD SAINT MAURICE</v>
      </c>
      <c r="D46" s="43">
        <v>46</v>
      </c>
      <c r="E46" s="6" t="str">
        <f>IF(COMPILDATA!D46="","",COMPILDATA!D46)</f>
        <v/>
      </c>
      <c r="F46" s="6" t="str">
        <f>IF(COMPILDATA!G46="","",COMPILDATA!G46)</f>
        <v/>
      </c>
      <c r="G46" s="5" t="str">
        <f>IF(COMPILDATA!E46="","",COMPILDATA!E46)</f>
        <v/>
      </c>
      <c r="H46" s="43"/>
    </row>
    <row r="47" spans="1:8" x14ac:dyDescent="0.3">
      <c r="A47" s="5" t="str">
        <f>IF(COMPILDATA!A47="","",COMPILDATA!A47)</f>
        <v>3030429F</v>
      </c>
      <c r="B47" s="42" t="str">
        <f>IF(COMPILDATA!B47="","",COMPILDATA!B47)</f>
        <v>D33250R</v>
      </c>
      <c r="C47" s="5" t="str">
        <f t="shared" ca="1" si="0"/>
        <v>SAINT MARTIN D'HERES (38) - CEMAGREF</v>
      </c>
      <c r="D47" s="43">
        <v>47</v>
      </c>
      <c r="E47" s="6" t="str">
        <f>IF(COMPILDATA!D47="","",COMPILDATA!D47)</f>
        <v/>
      </c>
      <c r="F47" s="6" t="str">
        <f>IF(COMPILDATA!G47="","",COMPILDATA!G47)</f>
        <v/>
      </c>
      <c r="G47" s="5" t="str">
        <f>IF(COMPILDATA!E47="","",COMPILDATA!E47)</f>
        <v/>
      </c>
      <c r="H47" s="43"/>
    </row>
    <row r="48" spans="1:8" x14ac:dyDescent="0.3">
      <c r="A48" s="5" t="str">
        <f>IF(COMPILDATA!A48="","",COMPILDATA!A48)</f>
        <v>3033682L</v>
      </c>
      <c r="B48" s="42" t="str">
        <f>IF(COMPILDATA!B48="","",COMPILDATA!B48)</f>
        <v/>
      </c>
      <c r="C48" s="5" t="str">
        <f t="shared" ca="1" si="0"/>
        <v>SAMOENS (74) - CENTRE DE VACANCES</v>
      </c>
      <c r="D48" s="43">
        <v>48</v>
      </c>
      <c r="E48" s="6" t="str">
        <f>IF(COMPILDATA!D48="","",COMPILDATA!D48)</f>
        <v/>
      </c>
      <c r="F48" s="6" t="str">
        <f>IF(COMPILDATA!G48="","",COMPILDATA!G48)</f>
        <v/>
      </c>
      <c r="G48" s="5" t="str">
        <f>IF(COMPILDATA!E48="","",COMPILDATA!E48)</f>
        <v/>
      </c>
      <c r="H48" s="43"/>
    </row>
    <row r="49" spans="1:8" x14ac:dyDescent="0.3">
      <c r="A49" s="5" t="str">
        <f>IF(COMPILDATA!A49="","",COMPILDATA!A49)</f>
        <v>3034731S</v>
      </c>
      <c r="B49" s="42" t="str">
        <f>IF(COMPILDATA!B49="","",COMPILDATA!B49)</f>
        <v>D00AHTB</v>
      </c>
      <c r="C49" s="5" t="str">
        <f t="shared" ca="1" si="0"/>
        <v>CHATILLON SUR CHALARONNE (01) MAISON MEDICALE</v>
      </c>
      <c r="D49" s="43">
        <v>49</v>
      </c>
      <c r="E49" s="6" t="str">
        <f>IF(COMPILDATA!D49="","",COMPILDATA!D49)</f>
        <v/>
      </c>
      <c r="F49" s="6" t="str">
        <f>IF(COMPILDATA!G49="","",COMPILDATA!G49)</f>
        <v/>
      </c>
      <c r="G49" s="5" t="str">
        <f>IF(COMPILDATA!E49="","",COMPILDATA!E49)</f>
        <v/>
      </c>
      <c r="H49" s="43"/>
    </row>
    <row r="50" spans="1:8" x14ac:dyDescent="0.3">
      <c r="A50" s="10" t="str">
        <f>IF(COMPILDATA!A50="","",COMPILDATA!A50)</f>
        <v>3036853J</v>
      </c>
      <c r="B50" s="42" t="str">
        <f>IF(COMPILDATA!B50="","",COMPILDATA!B50)</f>
        <v>D84100Z</v>
      </c>
      <c r="C50" s="5" t="str">
        <f t="shared" ca="1" si="0"/>
        <v>ARBENT (01) - COLLEGE JEAN ROSTAND</v>
      </c>
      <c r="D50" s="43">
        <v>50</v>
      </c>
      <c r="E50" s="6" t="str">
        <f>IF(COMPILDATA!D50="","",COMPILDATA!D50)</f>
        <v/>
      </c>
      <c r="F50" s="6" t="str">
        <f>IF(COMPILDATA!G50="","",COMPILDATA!G50)</f>
        <v/>
      </c>
      <c r="G50" s="5" t="str">
        <f>IF(COMPILDATA!E50="","",COMPILDATA!E50)</f>
        <v/>
      </c>
      <c r="H50" s="43"/>
    </row>
    <row r="51" spans="1:8" x14ac:dyDescent="0.3">
      <c r="A51" s="10" t="str">
        <f>IF(COMPILDATA!A51="","",COMPILDATA!A51)</f>
        <v>3033576Y</v>
      </c>
      <c r="B51" s="42" t="str">
        <f>IF(COMPILDATA!B51="","",COMPILDATA!B51)</f>
        <v>D00BLRS</v>
      </c>
      <c r="C51" s="5" t="str">
        <f t="shared" ca="1" si="0"/>
        <v>ST GENIS POUILLY (01) - COLLEGE JACQUES PREVERT</v>
      </c>
      <c r="D51" s="43">
        <v>51</v>
      </c>
      <c r="E51" s="6" t="str">
        <f>IF(COMPILDATA!D51="","",COMPILDATA!D51)</f>
        <v/>
      </c>
      <c r="F51" s="6" t="str">
        <f>IF(COMPILDATA!G51="","",COMPILDATA!G51)</f>
        <v/>
      </c>
      <c r="G51" s="5"/>
      <c r="H51" s="4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showZeros="0" tabSelected="1" workbookViewId="0">
      <selection activeCell="A6" sqref="A6"/>
    </sheetView>
  </sheetViews>
  <sheetFormatPr baseColWidth="10" defaultRowHeight="14.4" x14ac:dyDescent="0.3"/>
  <cols>
    <col min="16" max="16" width="11.44140625" customWidth="1"/>
  </cols>
  <sheetData>
    <row r="1" spans="1:13" ht="15" thickBot="1" x14ac:dyDescent="0.35">
      <c r="A1">
        <f>MATCH(C2,COMPILDATA!$A$1:$A$100,0)</f>
        <v>4</v>
      </c>
    </row>
    <row r="2" spans="1:13" x14ac:dyDescent="0.3">
      <c r="A2" s="41" t="str">
        <f>HYPERLINK("[CLASSEUR_GESTION.xlsx]LISTE_CONTRATS!A"&amp;MATCH(C2,COMPILDATA!$A$1:$A$100,0),C2)</f>
        <v>0051746L</v>
      </c>
      <c r="B2" s="13" t="s">
        <v>0</v>
      </c>
      <c r="C2" s="14" t="s">
        <v>12</v>
      </c>
      <c r="E2" s="66" t="str">
        <f ca="1">IFERROR(INDIRECT("COMPILDATA!C"&amp;$A$1),"")</f>
        <v>LYON (69) - SST C003 - LA FERRANDIERE (ELVYA)</v>
      </c>
      <c r="F2" s="67"/>
      <c r="G2" s="67"/>
      <c r="H2" s="67"/>
      <c r="I2" s="67"/>
      <c r="J2" s="67"/>
      <c r="K2" s="67"/>
      <c r="L2" s="67"/>
      <c r="M2" s="68"/>
    </row>
    <row r="3" spans="1:13" ht="15" thickBot="1" x14ac:dyDescent="0.35">
      <c r="B3" s="15" t="s">
        <v>1</v>
      </c>
      <c r="C3" s="16" t="str">
        <f ca="1">IFERROR(INDIRECT("COMPILDATA!B"&amp;$A$1),"")</f>
        <v>D25033D</v>
      </c>
      <c r="E3" s="69"/>
      <c r="F3" s="70"/>
      <c r="G3" s="70"/>
      <c r="H3" s="70"/>
      <c r="I3" s="70"/>
      <c r="J3" s="70"/>
      <c r="K3" s="70"/>
      <c r="L3" s="70"/>
      <c r="M3" s="71"/>
    </row>
    <row r="4" spans="1:13" ht="15" thickBot="1" x14ac:dyDescent="0.35">
      <c r="F4" s="72"/>
      <c r="G4" s="72"/>
      <c r="H4" s="72"/>
      <c r="I4" s="72"/>
      <c r="J4" s="72"/>
    </row>
    <row r="5" spans="1:13" ht="15" thickBot="1" x14ac:dyDescent="0.35">
      <c r="B5" s="56" t="s">
        <v>152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8"/>
    </row>
    <row r="7" spans="1:13" x14ac:dyDescent="0.3">
      <c r="B7" s="52" t="s">
        <v>153</v>
      </c>
      <c r="C7" s="52"/>
      <c r="D7" s="52"/>
      <c r="E7" s="17" t="str">
        <f ca="1">IFERROR(INDIRECT("COMPILDATA!D"&amp;$A$1),"")</f>
        <v>Test</v>
      </c>
      <c r="G7" s="52" t="s">
        <v>154</v>
      </c>
      <c r="H7" s="52"/>
      <c r="I7" t="str">
        <f ca="1">IFERROR(INDIRECT("COMPILDATA!H"&amp;$A$1),"")</f>
        <v>Test</v>
      </c>
      <c r="K7" s="73" t="str">
        <f>COMPILDATA!AN2</f>
        <v>Contrat + Avenant</v>
      </c>
      <c r="L7" s="74"/>
    </row>
    <row r="8" spans="1:13" x14ac:dyDescent="0.3">
      <c r="B8" s="52" t="s">
        <v>155</v>
      </c>
      <c r="C8" s="52"/>
      <c r="D8" s="52"/>
      <c r="E8" s="18" t="str">
        <f ca="1">IFERROR(INDIRECT("COMPILDATA!E"&amp;$A$1),"")</f>
        <v>Test</v>
      </c>
      <c r="G8" s="52" t="s">
        <v>156</v>
      </c>
      <c r="H8" s="52"/>
      <c r="I8" t="str">
        <f ca="1">IFERROR(INDIRECT("COMPILDATA!I"&amp;$A$1),"")</f>
        <v>Test</v>
      </c>
      <c r="K8" s="19"/>
      <c r="M8" s="20"/>
    </row>
    <row r="9" spans="1:13" x14ac:dyDescent="0.3">
      <c r="B9" s="52" t="s">
        <v>157</v>
      </c>
      <c r="C9" s="52"/>
      <c r="D9" s="52"/>
      <c r="E9" s="17" t="str">
        <f ca="1">IFERROR(INDIRECT("COMPILDATA!F"&amp;$A$1),"")</f>
        <v>Test</v>
      </c>
      <c r="G9" s="52" t="s">
        <v>158</v>
      </c>
      <c r="H9" s="52"/>
      <c r="I9" t="str">
        <f ca="1">IFERROR(INDIRECT("COMPILDATA!J"&amp;$A$1),"")</f>
        <v>Test</v>
      </c>
      <c r="K9" s="52" t="s">
        <v>159</v>
      </c>
      <c r="L9" s="52"/>
      <c r="M9" t="str">
        <f ca="1">IFERROR(INDIRECT("COMPILDATA!L"&amp;$A$1),"")</f>
        <v>Test</v>
      </c>
    </row>
    <row r="10" spans="1:13" x14ac:dyDescent="0.3">
      <c r="B10" s="52" t="s">
        <v>160</v>
      </c>
      <c r="C10" s="52"/>
      <c r="D10" s="52"/>
      <c r="E10" s="17" t="str">
        <f ca="1">IFERROR(INDIRECT("COMPILDATA!G"&amp;$A$1),"")</f>
        <v>Test</v>
      </c>
      <c r="G10" s="52" t="s">
        <v>161</v>
      </c>
      <c r="H10" s="52"/>
      <c r="I10" t="str">
        <f ca="1">IFERROR(INDIRECT("COMPILDATA!K"&amp;$A$1),"")</f>
        <v>Test</v>
      </c>
      <c r="K10" s="52" t="s">
        <v>162</v>
      </c>
      <c r="L10" s="52"/>
      <c r="M10" t="str">
        <f ca="1">IFERROR(INDIRECT("COMPILDATA!M"&amp;$A$1),"")</f>
        <v>Test</v>
      </c>
    </row>
    <row r="11" spans="1:13" x14ac:dyDescent="0.3">
      <c r="E11" s="20"/>
    </row>
    <row r="12" spans="1:13" x14ac:dyDescent="0.3">
      <c r="B12" s="52" t="s">
        <v>163</v>
      </c>
      <c r="C12" s="52"/>
      <c r="D12" s="52"/>
      <c r="E12" s="21" t="str">
        <f ca="1">IFERROR(INDIRECT("COMPILDATA!N"&amp;$A$1),"")</f>
        <v>Test</v>
      </c>
      <c r="G12" s="52" t="s">
        <v>164</v>
      </c>
      <c r="H12" s="52"/>
      <c r="I12" s="45" t="str">
        <f ca="1">IFERROR(INDIRECT("COMPILDATA!O"&amp;$A$1),"")</f>
        <v>Test</v>
      </c>
      <c r="J12" s="45"/>
      <c r="K12" s="45"/>
      <c r="L12" s="45"/>
      <c r="M12" s="45"/>
    </row>
    <row r="13" spans="1:13" x14ac:dyDescent="0.3">
      <c r="B13" s="27"/>
      <c r="C13" s="27"/>
      <c r="D13" s="27"/>
      <c r="E13" s="21"/>
      <c r="G13" s="52" t="s">
        <v>165</v>
      </c>
      <c r="H13" s="52"/>
      <c r="I13" s="35" t="str">
        <f ca="1">IFERROR(INDIRECT("COMPILDATA!P"&amp;$A$1),"")</f>
        <v>Test</v>
      </c>
      <c r="J13" s="34"/>
      <c r="K13" s="34"/>
      <c r="L13" s="34"/>
      <c r="M13" s="34"/>
    </row>
    <row r="14" spans="1:13" x14ac:dyDescent="0.3">
      <c r="B14" s="27"/>
      <c r="C14" s="27"/>
      <c r="D14" s="27"/>
      <c r="E14" s="21"/>
      <c r="G14" s="52" t="s">
        <v>193</v>
      </c>
      <c r="H14" s="52"/>
      <c r="I14" s="45" t="str">
        <f ca="1">IFERROR(INDIRECT("COMPILDATA!Q"&amp;$A$1),"")</f>
        <v>Test</v>
      </c>
      <c r="J14" s="45"/>
      <c r="K14" s="45"/>
      <c r="L14" s="45"/>
      <c r="M14" s="45"/>
    </row>
    <row r="15" spans="1:13" x14ac:dyDescent="0.3">
      <c r="G15" s="52" t="s">
        <v>194</v>
      </c>
      <c r="H15" s="52"/>
      <c r="I15" s="35" t="str">
        <f ca="1">IFERROR(INDIRECT("COMPILDATA!R"&amp;$A$1),"")</f>
        <v>Test</v>
      </c>
      <c r="J15" s="34"/>
      <c r="K15" s="34"/>
      <c r="L15" s="34"/>
      <c r="M15" s="34"/>
    </row>
    <row r="16" spans="1:13" ht="15" thickBot="1" x14ac:dyDescent="0.35"/>
    <row r="17" spans="2:13" ht="15" thickBot="1" x14ac:dyDescent="0.35">
      <c r="B17" s="56" t="s">
        <v>166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8"/>
    </row>
    <row r="19" spans="2:13" x14ac:dyDescent="0.3">
      <c r="B19" s="63" t="s">
        <v>167</v>
      </c>
      <c r="C19" s="64"/>
      <c r="D19" s="65"/>
      <c r="E19" s="63" t="s">
        <v>168</v>
      </c>
      <c r="F19" s="64"/>
      <c r="G19" s="65"/>
      <c r="H19" s="63" t="s">
        <v>169</v>
      </c>
      <c r="I19" s="64"/>
      <c r="J19" s="65"/>
      <c r="L19" s="63" t="s">
        <v>170</v>
      </c>
      <c r="M19" s="65"/>
    </row>
    <row r="20" spans="2:13" x14ac:dyDescent="0.3">
      <c r="B20" s="22" t="s">
        <v>171</v>
      </c>
      <c r="C20" s="22" t="s">
        <v>172</v>
      </c>
      <c r="D20" s="22" t="s">
        <v>173</v>
      </c>
      <c r="E20" s="22" t="s">
        <v>171</v>
      </c>
      <c r="F20" s="22" t="s">
        <v>172</v>
      </c>
      <c r="G20" s="22" t="s">
        <v>173</v>
      </c>
      <c r="H20" s="22" t="s">
        <v>171</v>
      </c>
      <c r="I20" s="22" t="s">
        <v>172</v>
      </c>
      <c r="J20" s="22" t="s">
        <v>173</v>
      </c>
      <c r="K20" s="23"/>
      <c r="L20" s="59" t="str">
        <f ca="1">IFERROR(INDIRECT("COMPILDATA!y"&amp;$A$1),"")</f>
        <v>Test</v>
      </c>
      <c r="M20" s="60"/>
    </row>
    <row r="21" spans="2:13" x14ac:dyDescent="0.3">
      <c r="B21" s="24" t="str">
        <f ca="1">IFERROR(INDIRECT("COMPILDATA!S"&amp;$A$1),"")</f>
        <v>Test</v>
      </c>
      <c r="C21" s="24" t="str">
        <f ca="1">IFERROR(INDIRECT("COMPILDATA!T"&amp;$A$1),"")</f>
        <v>Test</v>
      </c>
      <c r="D21" s="25" t="str">
        <f ca="1">IF(C21="",C21/B21,"")</f>
        <v/>
      </c>
      <c r="E21" s="24" t="str">
        <f ca="1">IFERROR(INDIRECT("COMPILDATA!U"&amp;$A$1),"")</f>
        <v>Test</v>
      </c>
      <c r="F21" s="24" t="str">
        <f ca="1">IFERROR(INDIRECT("COMPILDATA!V"&amp;$A$1),"")</f>
        <v>Test</v>
      </c>
      <c r="G21" s="25" t="e">
        <f ca="1">IF(F21=0,"",F21/E21)</f>
        <v>#VALUE!</v>
      </c>
      <c r="H21" s="24" t="str">
        <f ca="1">IFERROR(INDIRECT("COMPILDATA!w"&amp;$A$1),"")</f>
        <v>Test</v>
      </c>
      <c r="I21" s="24" t="str">
        <f ca="1">IFERROR(INDIRECT("COMPILDATA!x"&amp;$A$1),"")</f>
        <v>Test</v>
      </c>
      <c r="J21" s="25" t="e">
        <f ca="1">IF(I21="","",I21/H21)</f>
        <v>#VALUE!</v>
      </c>
    </row>
    <row r="23" spans="2:13" x14ac:dyDescent="0.3">
      <c r="B23" s="61" t="s">
        <v>174</v>
      </c>
      <c r="C23" s="62"/>
      <c r="D23" s="26" t="e">
        <f ca="1">B21+E21+H21</f>
        <v>#VALUE!</v>
      </c>
    </row>
    <row r="24" spans="2:13" x14ac:dyDescent="0.3">
      <c r="B24" s="61" t="s">
        <v>175</v>
      </c>
      <c r="C24" s="62"/>
      <c r="D24" s="26" t="e">
        <f ca="1">C21+F21+I21</f>
        <v>#VALUE!</v>
      </c>
    </row>
    <row r="25" spans="2:13" ht="15" thickBot="1" x14ac:dyDescent="0.35"/>
    <row r="26" spans="2:13" ht="15" thickBot="1" x14ac:dyDescent="0.35">
      <c r="B26" s="56" t="s">
        <v>176</v>
      </c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8"/>
    </row>
    <row r="28" spans="2:13" x14ac:dyDescent="0.3">
      <c r="B28" s="52" t="s">
        <v>177</v>
      </c>
      <c r="C28" s="52"/>
      <c r="D28" t="str">
        <f ca="1">IFERROR(INDIRECT("COMPILDATA!Z"&amp;$A$1),"")</f>
        <v>Test</v>
      </c>
      <c r="G28" s="52" t="s">
        <v>178</v>
      </c>
      <c r="H28" s="52"/>
      <c r="I28" t="str">
        <f ca="1">IFERROR(INDIRECT("COMPILDATA!AB"&amp;$A$1),"")</f>
        <v>Test</v>
      </c>
      <c r="K28" s="27" t="s">
        <v>179</v>
      </c>
      <c r="L28" s="45" t="str">
        <f ca="1">IFERROR(INDIRECT("COMPILDATA!AD"&amp;$A$1),"")</f>
        <v>Test</v>
      </c>
      <c r="M28" s="45"/>
    </row>
    <row r="29" spans="2:13" x14ac:dyDescent="0.3">
      <c r="B29" s="52" t="s">
        <v>180</v>
      </c>
      <c r="C29" s="52"/>
      <c r="D29" t="str">
        <f ca="1">IFERROR(INDIRECT("COMPILDATA!AA"&amp;$A$1),"")</f>
        <v>Test</v>
      </c>
      <c r="G29" s="52" t="s">
        <v>181</v>
      </c>
      <c r="H29" s="52"/>
      <c r="I29" s="45" t="str">
        <f ca="1">IFERROR(INDIRECT("COMPILDATA!AC"&amp;$A$1),"")</f>
        <v>Test</v>
      </c>
      <c r="J29" s="45"/>
      <c r="K29" s="27" t="s">
        <v>182</v>
      </c>
      <c r="L29" s="45" t="str">
        <f ca="1">IFERROR(INDIRECT("COMPILDATA!AE"&amp;$A$1),"")</f>
        <v>Test</v>
      </c>
      <c r="M29" s="45"/>
    </row>
    <row r="30" spans="2:13" x14ac:dyDescent="0.3">
      <c r="G30" s="19"/>
    </row>
    <row r="31" spans="2:13" x14ac:dyDescent="0.3">
      <c r="B31" s="52" t="s">
        <v>183</v>
      </c>
      <c r="C31" s="52"/>
      <c r="D31" s="52"/>
      <c r="E31" s="52"/>
      <c r="G31" s="19"/>
    </row>
    <row r="43" spans="2:13" ht="15" thickBot="1" x14ac:dyDescent="0.35"/>
    <row r="44" spans="2:13" ht="15" thickBot="1" x14ac:dyDescent="0.35">
      <c r="B44" s="56" t="s">
        <v>184</v>
      </c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8"/>
    </row>
    <row r="46" spans="2:13" x14ac:dyDescent="0.3">
      <c r="B46" s="28"/>
      <c r="C46" s="29"/>
      <c r="D46" s="48" t="s">
        <v>185</v>
      </c>
      <c r="E46" s="49"/>
      <c r="F46" s="50"/>
      <c r="G46" s="48" t="s">
        <v>186</v>
      </c>
      <c r="H46" s="49"/>
      <c r="I46" s="49"/>
      <c r="J46" s="49"/>
      <c r="K46" s="49"/>
      <c r="L46" s="49"/>
      <c r="M46" s="50"/>
    </row>
    <row r="47" spans="2:13" x14ac:dyDescent="0.3">
      <c r="B47" s="30" t="s">
        <v>187</v>
      </c>
      <c r="C47" s="31"/>
      <c r="D47" s="53" t="str">
        <f ca="1">IFERROR(INDIRECT("COMPILDATA!AF"&amp;$A$1),"")</f>
        <v>Test</v>
      </c>
      <c r="E47" s="54"/>
      <c r="F47" s="55"/>
      <c r="G47" s="53" t="str">
        <f ca="1">IFERROR(INDIRECT("COMPILDATA!AG"&amp;$A$1),"")</f>
        <v>Test</v>
      </c>
      <c r="H47" s="54"/>
      <c r="I47" s="54"/>
      <c r="J47" s="54"/>
      <c r="K47" s="54"/>
      <c r="L47" s="54"/>
      <c r="M47" s="55"/>
    </row>
    <row r="49" spans="2:13" x14ac:dyDescent="0.3">
      <c r="B49" s="28"/>
      <c r="C49" s="29"/>
      <c r="D49" s="48" t="s">
        <v>185</v>
      </c>
      <c r="E49" s="49"/>
      <c r="F49" s="49"/>
      <c r="G49" s="50" t="s">
        <v>186</v>
      </c>
      <c r="H49" s="48" t="s">
        <v>186</v>
      </c>
      <c r="I49" s="49"/>
      <c r="J49" s="49"/>
      <c r="K49" s="49"/>
      <c r="L49" s="49"/>
      <c r="M49" s="50"/>
    </row>
    <row r="50" spans="2:13" x14ac:dyDescent="0.3">
      <c r="B50" s="30" t="s">
        <v>188</v>
      </c>
      <c r="C50" s="31"/>
      <c r="D50" s="53" t="str">
        <f ca="1">IFERROR(INDIRECT("COMPILDATA!AH"&amp;$A$1),"")</f>
        <v>Test</v>
      </c>
      <c r="E50" s="54"/>
      <c r="F50" s="54"/>
      <c r="G50" s="55" t="s">
        <v>195</v>
      </c>
      <c r="H50" s="53" t="str">
        <f ca="1">IFERROR(INDIRECT("COMPILDATA!AI"&amp;$A$1),"")</f>
        <v>Test</v>
      </c>
      <c r="I50" s="54"/>
      <c r="J50" s="54"/>
      <c r="K50" s="54"/>
      <c r="L50" s="54"/>
      <c r="M50" s="55"/>
    </row>
    <row r="52" spans="2:13" x14ac:dyDescent="0.3">
      <c r="D52" s="48" t="s">
        <v>185</v>
      </c>
      <c r="E52" s="49"/>
      <c r="F52" s="50"/>
      <c r="G52" s="48" t="s">
        <v>189</v>
      </c>
      <c r="H52" s="50"/>
      <c r="I52" s="32" t="s">
        <v>190</v>
      </c>
      <c r="J52" s="48" t="s">
        <v>191</v>
      </c>
      <c r="K52" s="50"/>
    </row>
    <row r="53" spans="2:13" x14ac:dyDescent="0.3">
      <c r="B53" s="30" t="s">
        <v>192</v>
      </c>
      <c r="C53" s="33"/>
      <c r="D53" s="46" t="str">
        <f ca="1">IFERROR(INDIRECT("COMPILDATA!AJ"&amp;$A$1),"")</f>
        <v>Test</v>
      </c>
      <c r="E53" s="51"/>
      <c r="F53" s="47"/>
      <c r="G53" s="46" t="str">
        <f ca="1">IFERROR(INDIRECT("COMPILDATA!AK"&amp;$A$1),"")</f>
        <v>Test</v>
      </c>
      <c r="H53" s="47"/>
      <c r="I53" s="44" t="str">
        <f ca="1">IFERROR(INDIRECT("COMPILDATA!AL"&amp;$A$1),"")</f>
        <v>Test</v>
      </c>
      <c r="J53" s="46" t="str">
        <f ca="1">IFERROR(INDIRECT("COMPILDATA!AM"&amp;$A$1),"")</f>
        <v>Test</v>
      </c>
      <c r="K53" s="47"/>
    </row>
  </sheetData>
  <mergeCells count="53">
    <mergeCell ref="B10:D10"/>
    <mergeCell ref="G10:H10"/>
    <mergeCell ref="K10:L10"/>
    <mergeCell ref="E2:M3"/>
    <mergeCell ref="F4:J4"/>
    <mergeCell ref="B5:M5"/>
    <mergeCell ref="B7:D7"/>
    <mergeCell ref="G7:H7"/>
    <mergeCell ref="K7:L7"/>
    <mergeCell ref="B8:D8"/>
    <mergeCell ref="G8:H8"/>
    <mergeCell ref="B9:D9"/>
    <mergeCell ref="G9:H9"/>
    <mergeCell ref="K9:L9"/>
    <mergeCell ref="B12:D12"/>
    <mergeCell ref="G12:H12"/>
    <mergeCell ref="G13:H13"/>
    <mergeCell ref="B17:M17"/>
    <mergeCell ref="B19:D19"/>
    <mergeCell ref="E19:G19"/>
    <mergeCell ref="H19:J19"/>
    <mergeCell ref="L19:M19"/>
    <mergeCell ref="I12:M12"/>
    <mergeCell ref="G46:M46"/>
    <mergeCell ref="B31:E31"/>
    <mergeCell ref="L20:M20"/>
    <mergeCell ref="B23:C23"/>
    <mergeCell ref="B24:C24"/>
    <mergeCell ref="B26:M26"/>
    <mergeCell ref="B28:C28"/>
    <mergeCell ref="G28:H28"/>
    <mergeCell ref="L28:M28"/>
    <mergeCell ref="B29:C29"/>
    <mergeCell ref="G29:H29"/>
    <mergeCell ref="I29:J29"/>
    <mergeCell ref="L29:M29"/>
    <mergeCell ref="B44:M44"/>
    <mergeCell ref="I14:M14"/>
    <mergeCell ref="J53:K53"/>
    <mergeCell ref="D52:F52"/>
    <mergeCell ref="G52:H52"/>
    <mergeCell ref="J52:K52"/>
    <mergeCell ref="D53:F53"/>
    <mergeCell ref="G53:H53"/>
    <mergeCell ref="G14:H14"/>
    <mergeCell ref="G15:H15"/>
    <mergeCell ref="D49:G49"/>
    <mergeCell ref="H49:M49"/>
    <mergeCell ref="D50:G50"/>
    <mergeCell ref="D47:F47"/>
    <mergeCell ref="G47:M47"/>
    <mergeCell ref="H50:M50"/>
    <mergeCell ref="D46:F46"/>
  </mergeCells>
  <dataValidations count="2">
    <dataValidation type="list" allowBlank="1" showInputMessage="1" showErrorMessage="1" sqref="E13:E14">
      <formula1>"Ø,1,2,3"</formula1>
    </dataValidation>
    <dataValidation type="list" allowBlank="1" showInputMessage="1" showErrorMessage="1" sqref="C2">
      <formula1>N°_Contrat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2"/>
  <sheetViews>
    <sheetView workbookViewId="0">
      <selection activeCell="AN2" sqref="AN2"/>
    </sheetView>
  </sheetViews>
  <sheetFormatPr baseColWidth="10" defaultRowHeight="14.4" x14ac:dyDescent="0.3"/>
  <cols>
    <col min="3" max="3" width="64.88671875" bestFit="1" customWidth="1"/>
    <col min="6" max="6" width="10.6640625" bestFit="1" customWidth="1"/>
    <col min="7" max="7" width="13.109375" bestFit="1" customWidth="1"/>
    <col min="8" max="8" width="17.5546875" bestFit="1" customWidth="1"/>
    <col min="9" max="9" width="21" bestFit="1" customWidth="1"/>
    <col min="10" max="10" width="12" bestFit="1" customWidth="1"/>
    <col min="11" max="11" width="15.33203125" bestFit="1" customWidth="1"/>
    <col min="12" max="12" width="14" bestFit="1" customWidth="1"/>
    <col min="20" max="20" width="11.44140625" style="18"/>
    <col min="32" max="32" width="19.109375" bestFit="1" customWidth="1"/>
    <col min="33" max="33" width="32.6640625" bestFit="1" customWidth="1"/>
    <col min="34" max="34" width="21.6640625" bestFit="1" customWidth="1"/>
    <col min="35" max="35" width="40.44140625" bestFit="1" customWidth="1"/>
    <col min="36" max="36" width="8" bestFit="1" customWidth="1"/>
    <col min="37" max="37" width="20" bestFit="1" customWidth="1"/>
    <col min="38" max="38" width="13.33203125" bestFit="1" customWidth="1"/>
    <col min="40" max="40" width="17" bestFit="1" customWidth="1"/>
  </cols>
  <sheetData>
    <row r="1" spans="1:42" x14ac:dyDescent="0.3">
      <c r="A1" t="s">
        <v>0</v>
      </c>
      <c r="B1" t="s">
        <v>1</v>
      </c>
      <c r="C1" s="21" t="s">
        <v>196</v>
      </c>
      <c r="D1" t="s">
        <v>3</v>
      </c>
      <c r="E1" t="s">
        <v>5</v>
      </c>
      <c r="F1" t="s">
        <v>197</v>
      </c>
      <c r="G1" t="s">
        <v>198</v>
      </c>
      <c r="H1" t="s">
        <v>199</v>
      </c>
      <c r="I1" t="s">
        <v>200</v>
      </c>
      <c r="J1" t="s">
        <v>201</v>
      </c>
      <c r="K1" t="s">
        <v>202</v>
      </c>
      <c r="L1" t="s">
        <v>203</v>
      </c>
      <c r="M1" t="s">
        <v>204</v>
      </c>
      <c r="N1" t="s">
        <v>205</v>
      </c>
      <c r="O1" t="s">
        <v>207</v>
      </c>
      <c r="P1" t="s">
        <v>206</v>
      </c>
      <c r="Q1" t="s">
        <v>208</v>
      </c>
      <c r="R1" t="s">
        <v>209</v>
      </c>
      <c r="S1" t="s">
        <v>210</v>
      </c>
      <c r="T1" s="18" t="s">
        <v>211</v>
      </c>
      <c r="U1" t="s">
        <v>212</v>
      </c>
      <c r="V1" t="s">
        <v>213</v>
      </c>
      <c r="W1" t="s">
        <v>214</v>
      </c>
      <c r="X1" t="s">
        <v>215</v>
      </c>
      <c r="Y1" t="s">
        <v>216</v>
      </c>
      <c r="Z1" t="s">
        <v>217</v>
      </c>
      <c r="AA1" t="s">
        <v>218</v>
      </c>
      <c r="AB1" t="s">
        <v>219</v>
      </c>
      <c r="AC1" t="s">
        <v>220</v>
      </c>
      <c r="AD1" t="s">
        <v>221</v>
      </c>
      <c r="AE1" t="s">
        <v>222</v>
      </c>
      <c r="AF1" t="s">
        <v>223</v>
      </c>
      <c r="AG1" t="s">
        <v>224</v>
      </c>
      <c r="AH1" t="s">
        <v>225</v>
      </c>
      <c r="AI1" t="s">
        <v>226</v>
      </c>
      <c r="AJ1" t="s">
        <v>227</v>
      </c>
      <c r="AK1" t="s">
        <v>228</v>
      </c>
      <c r="AL1" t="s">
        <v>229</v>
      </c>
      <c r="AM1" t="s">
        <v>230</v>
      </c>
      <c r="AN1" t="s">
        <v>231</v>
      </c>
      <c r="AO1" t="s">
        <v>232</v>
      </c>
      <c r="AP1" t="s">
        <v>233</v>
      </c>
    </row>
    <row r="2" spans="1:42" x14ac:dyDescent="0.3">
      <c r="A2" s="36" t="s">
        <v>6</v>
      </c>
      <c r="B2" s="36" t="s">
        <v>7</v>
      </c>
      <c r="C2" s="36" t="s">
        <v>8</v>
      </c>
      <c r="D2" s="17">
        <v>28399</v>
      </c>
      <c r="E2" s="18">
        <v>1</v>
      </c>
      <c r="F2" s="17">
        <v>28763</v>
      </c>
      <c r="G2" s="17">
        <v>43008</v>
      </c>
      <c r="H2" t="s">
        <v>234</v>
      </c>
      <c r="I2" t="s">
        <v>235</v>
      </c>
      <c r="J2" t="s">
        <v>236</v>
      </c>
      <c r="K2" t="s">
        <v>238</v>
      </c>
      <c r="L2" t="s">
        <v>239</v>
      </c>
      <c r="N2" t="s">
        <v>237</v>
      </c>
      <c r="O2" t="s">
        <v>240</v>
      </c>
      <c r="P2" s="17">
        <v>42064</v>
      </c>
      <c r="Q2" t="s">
        <v>241</v>
      </c>
      <c r="R2" s="17">
        <v>42125</v>
      </c>
      <c r="S2">
        <v>0.45</v>
      </c>
      <c r="T2" s="18">
        <v>1.21</v>
      </c>
      <c r="U2" s="18">
        <v>3.23</v>
      </c>
      <c r="V2" s="18">
        <v>2.23</v>
      </c>
      <c r="W2" s="18">
        <v>5.43</v>
      </c>
      <c r="X2" s="18">
        <v>8.9700000000000006</v>
      </c>
      <c r="Y2" s="18">
        <v>32</v>
      </c>
      <c r="Z2" t="s">
        <v>242</v>
      </c>
      <c r="AA2" t="s">
        <v>243</v>
      </c>
      <c r="AB2" t="s">
        <v>244</v>
      </c>
      <c r="AC2" t="s">
        <v>245</v>
      </c>
      <c r="AD2" t="s">
        <v>246</v>
      </c>
      <c r="AE2" t="s">
        <v>247</v>
      </c>
      <c r="AF2" t="s">
        <v>248</v>
      </c>
      <c r="AG2" t="s">
        <v>249</v>
      </c>
      <c r="AH2" t="s">
        <v>250</v>
      </c>
      <c r="AI2" t="s">
        <v>251</v>
      </c>
      <c r="AJ2" t="s">
        <v>252</v>
      </c>
      <c r="AK2" s="12" t="s">
        <v>253</v>
      </c>
      <c r="AL2">
        <v>437485926</v>
      </c>
      <c r="AM2" t="s">
        <v>254</v>
      </c>
      <c r="AN2" s="41" t="s">
        <v>255</v>
      </c>
    </row>
    <row r="3" spans="1:42" x14ac:dyDescent="0.3">
      <c r="A3" s="36" t="s">
        <v>9</v>
      </c>
      <c r="B3" s="36" t="s">
        <v>10</v>
      </c>
      <c r="C3" s="36" t="s">
        <v>11</v>
      </c>
    </row>
    <row r="4" spans="1:42" x14ac:dyDescent="0.3">
      <c r="A4" s="36" t="s">
        <v>12</v>
      </c>
      <c r="B4" s="36" t="s">
        <v>13</v>
      </c>
      <c r="C4" s="36" t="s">
        <v>14</v>
      </c>
      <c r="D4" s="75" t="s">
        <v>256</v>
      </c>
      <c r="E4" s="75" t="s">
        <v>256</v>
      </c>
      <c r="F4" s="75" t="s">
        <v>256</v>
      </c>
      <c r="G4" s="75" t="s">
        <v>256</v>
      </c>
      <c r="H4" s="75" t="s">
        <v>256</v>
      </c>
      <c r="I4" s="75" t="s">
        <v>256</v>
      </c>
      <c r="J4" s="75" t="s">
        <v>256</v>
      </c>
      <c r="K4" s="75" t="s">
        <v>256</v>
      </c>
      <c r="L4" s="75" t="s">
        <v>256</v>
      </c>
      <c r="M4" s="75" t="s">
        <v>256</v>
      </c>
      <c r="N4" s="75" t="s">
        <v>256</v>
      </c>
      <c r="O4" s="75" t="s">
        <v>256</v>
      </c>
      <c r="P4" s="75" t="s">
        <v>256</v>
      </c>
      <c r="Q4" s="75" t="s">
        <v>256</v>
      </c>
      <c r="R4" s="75" t="s">
        <v>256</v>
      </c>
      <c r="S4" s="75" t="s">
        <v>256</v>
      </c>
      <c r="T4" s="75" t="s">
        <v>256</v>
      </c>
      <c r="U4" s="75" t="s">
        <v>256</v>
      </c>
      <c r="V4" s="75" t="s">
        <v>256</v>
      </c>
      <c r="W4" s="75" t="s">
        <v>256</v>
      </c>
      <c r="X4" s="75" t="s">
        <v>256</v>
      </c>
      <c r="Y4" s="75" t="s">
        <v>256</v>
      </c>
      <c r="Z4" s="75" t="s">
        <v>256</v>
      </c>
      <c r="AA4" s="75" t="s">
        <v>256</v>
      </c>
      <c r="AB4" s="75" t="s">
        <v>256</v>
      </c>
      <c r="AC4" s="75" t="s">
        <v>256</v>
      </c>
      <c r="AD4" s="75" t="s">
        <v>256</v>
      </c>
      <c r="AE4" s="75" t="s">
        <v>256</v>
      </c>
      <c r="AF4" s="75" t="s">
        <v>256</v>
      </c>
      <c r="AG4" s="75" t="s">
        <v>256</v>
      </c>
      <c r="AH4" s="75" t="s">
        <v>256</v>
      </c>
      <c r="AI4" s="75" t="s">
        <v>256</v>
      </c>
      <c r="AJ4" s="75" t="s">
        <v>256</v>
      </c>
      <c r="AK4" s="75" t="s">
        <v>256</v>
      </c>
      <c r="AL4" s="75" t="s">
        <v>256</v>
      </c>
      <c r="AM4" s="75" t="s">
        <v>256</v>
      </c>
      <c r="AN4" s="75" t="s">
        <v>256</v>
      </c>
    </row>
    <row r="5" spans="1:42" x14ac:dyDescent="0.3">
      <c r="A5" s="36" t="s">
        <v>15</v>
      </c>
      <c r="B5" s="36" t="s">
        <v>16</v>
      </c>
      <c r="C5" s="36" t="s">
        <v>17</v>
      </c>
    </row>
    <row r="6" spans="1:42" x14ac:dyDescent="0.3">
      <c r="A6" s="36" t="s">
        <v>18</v>
      </c>
      <c r="B6" s="36" t="s">
        <v>19</v>
      </c>
      <c r="C6" s="36" t="s">
        <v>20</v>
      </c>
    </row>
    <row r="7" spans="1:42" x14ac:dyDescent="0.3">
      <c r="A7" s="36" t="s">
        <v>21</v>
      </c>
      <c r="B7" s="36" t="s">
        <v>22</v>
      </c>
      <c r="C7" s="36" t="s">
        <v>23</v>
      </c>
    </row>
    <row r="8" spans="1:42" x14ac:dyDescent="0.3">
      <c r="A8" s="36" t="s">
        <v>24</v>
      </c>
      <c r="B8" s="36" t="s">
        <v>25</v>
      </c>
      <c r="C8" s="36" t="s">
        <v>26</v>
      </c>
    </row>
    <row r="9" spans="1:42" x14ac:dyDescent="0.3">
      <c r="A9" s="36" t="s">
        <v>27</v>
      </c>
      <c r="B9" s="36" t="s">
        <v>28</v>
      </c>
      <c r="C9" s="36" t="s">
        <v>29</v>
      </c>
    </row>
    <row r="10" spans="1:42" x14ac:dyDescent="0.3">
      <c r="A10" s="36" t="s">
        <v>30</v>
      </c>
      <c r="B10" s="36" t="s">
        <v>31</v>
      </c>
      <c r="C10" s="36" t="s">
        <v>32</v>
      </c>
    </row>
    <row r="11" spans="1:42" x14ac:dyDescent="0.3">
      <c r="A11" s="36" t="s">
        <v>33</v>
      </c>
      <c r="B11" s="36" t="s">
        <v>34</v>
      </c>
      <c r="C11" s="36" t="s">
        <v>35</v>
      </c>
    </row>
    <row r="12" spans="1:42" x14ac:dyDescent="0.3">
      <c r="A12" s="36" t="s">
        <v>36</v>
      </c>
      <c r="B12" s="36" t="s">
        <v>37</v>
      </c>
      <c r="C12" s="36" t="s">
        <v>38</v>
      </c>
    </row>
    <row r="13" spans="1:42" x14ac:dyDescent="0.3">
      <c r="A13" s="36" t="s">
        <v>39</v>
      </c>
      <c r="B13" s="36" t="s">
        <v>40</v>
      </c>
      <c r="C13" s="36" t="s">
        <v>41</v>
      </c>
    </row>
    <row r="14" spans="1:42" x14ac:dyDescent="0.3">
      <c r="A14" s="36" t="s">
        <v>42</v>
      </c>
      <c r="B14" s="36" t="s">
        <v>43</v>
      </c>
      <c r="C14" s="36" t="s">
        <v>44</v>
      </c>
    </row>
    <row r="15" spans="1:42" x14ac:dyDescent="0.3">
      <c r="A15" s="36" t="s">
        <v>45</v>
      </c>
      <c r="B15" s="36" t="s">
        <v>46</v>
      </c>
      <c r="C15" s="36" t="s">
        <v>47</v>
      </c>
    </row>
    <row r="16" spans="1:42" x14ac:dyDescent="0.3">
      <c r="A16" s="36" t="s">
        <v>48</v>
      </c>
      <c r="B16" s="36" t="s">
        <v>49</v>
      </c>
      <c r="C16" s="36" t="s">
        <v>50</v>
      </c>
    </row>
    <row r="17" spans="1:3" x14ac:dyDescent="0.3">
      <c r="A17" s="36" t="s">
        <v>51</v>
      </c>
      <c r="B17" s="36" t="s">
        <v>52</v>
      </c>
      <c r="C17" s="36" t="s">
        <v>53</v>
      </c>
    </row>
    <row r="18" spans="1:3" x14ac:dyDescent="0.3">
      <c r="A18" s="37" t="s">
        <v>54</v>
      </c>
      <c r="B18" s="37" t="s">
        <v>55</v>
      </c>
      <c r="C18" s="36" t="s">
        <v>56</v>
      </c>
    </row>
    <row r="19" spans="1:3" x14ac:dyDescent="0.3">
      <c r="A19" s="37" t="s">
        <v>57</v>
      </c>
      <c r="B19" s="37" t="s">
        <v>58</v>
      </c>
      <c r="C19" s="36" t="s">
        <v>59</v>
      </c>
    </row>
    <row r="20" spans="1:3" x14ac:dyDescent="0.3">
      <c r="A20" s="36" t="s">
        <v>60</v>
      </c>
      <c r="B20" s="36" t="s">
        <v>61</v>
      </c>
      <c r="C20" s="36" t="s">
        <v>62</v>
      </c>
    </row>
    <row r="21" spans="1:3" x14ac:dyDescent="0.3">
      <c r="A21" s="36" t="s">
        <v>63</v>
      </c>
      <c r="B21" s="36" t="s">
        <v>64</v>
      </c>
      <c r="C21" s="36" t="s">
        <v>65</v>
      </c>
    </row>
    <row r="22" spans="1:3" x14ac:dyDescent="0.3">
      <c r="A22" s="36" t="s">
        <v>66</v>
      </c>
      <c r="B22" s="36" t="s">
        <v>67</v>
      </c>
      <c r="C22" s="36" t="s">
        <v>68</v>
      </c>
    </row>
    <row r="23" spans="1:3" x14ac:dyDescent="0.3">
      <c r="A23" s="38" t="s">
        <v>69</v>
      </c>
      <c r="B23" s="36" t="s">
        <v>70</v>
      </c>
      <c r="C23" s="36" t="s">
        <v>71</v>
      </c>
    </row>
    <row r="24" spans="1:3" x14ac:dyDescent="0.3">
      <c r="A24" s="36" t="s">
        <v>72</v>
      </c>
      <c r="B24" s="36" t="s">
        <v>73</v>
      </c>
      <c r="C24" s="36" t="s">
        <v>74</v>
      </c>
    </row>
    <row r="25" spans="1:3" x14ac:dyDescent="0.3">
      <c r="A25" s="36" t="s">
        <v>75</v>
      </c>
      <c r="B25" s="36" t="s">
        <v>76</v>
      </c>
      <c r="C25" s="36" t="s">
        <v>77</v>
      </c>
    </row>
    <row r="26" spans="1:3" x14ac:dyDescent="0.3">
      <c r="A26" s="36" t="s">
        <v>78</v>
      </c>
      <c r="B26" s="36" t="s">
        <v>79</v>
      </c>
      <c r="C26" s="36" t="s">
        <v>80</v>
      </c>
    </row>
    <row r="27" spans="1:3" x14ac:dyDescent="0.3">
      <c r="A27" s="36" t="s">
        <v>81</v>
      </c>
      <c r="B27" s="36" t="s">
        <v>82</v>
      </c>
      <c r="C27" s="36" t="s">
        <v>83</v>
      </c>
    </row>
    <row r="28" spans="1:3" x14ac:dyDescent="0.3">
      <c r="A28" s="36" t="s">
        <v>84</v>
      </c>
      <c r="B28" s="36" t="s">
        <v>85</v>
      </c>
      <c r="C28" s="36" t="s">
        <v>86</v>
      </c>
    </row>
    <row r="29" spans="1:3" x14ac:dyDescent="0.3">
      <c r="A29" s="36" t="s">
        <v>87</v>
      </c>
      <c r="B29" s="36" t="s">
        <v>88</v>
      </c>
      <c r="C29" s="36" t="s">
        <v>89</v>
      </c>
    </row>
    <row r="30" spans="1:3" x14ac:dyDescent="0.3">
      <c r="A30" s="36" t="s">
        <v>90</v>
      </c>
      <c r="B30" s="36" t="s">
        <v>91</v>
      </c>
      <c r="C30" s="36" t="s">
        <v>92</v>
      </c>
    </row>
    <row r="31" spans="1:3" x14ac:dyDescent="0.3">
      <c r="A31" s="39" t="s">
        <v>93</v>
      </c>
      <c r="B31" s="36"/>
      <c r="C31" s="36" t="s">
        <v>94</v>
      </c>
    </row>
    <row r="32" spans="1:3" x14ac:dyDescent="0.3">
      <c r="A32" s="36" t="s">
        <v>95</v>
      </c>
      <c r="B32" s="36" t="s">
        <v>96</v>
      </c>
      <c r="C32" s="36" t="s">
        <v>97</v>
      </c>
    </row>
    <row r="33" spans="1:3" x14ac:dyDescent="0.3">
      <c r="A33" s="36" t="s">
        <v>98</v>
      </c>
      <c r="B33" s="36" t="s">
        <v>99</v>
      </c>
      <c r="C33" s="36" t="s">
        <v>100</v>
      </c>
    </row>
    <row r="34" spans="1:3" x14ac:dyDescent="0.3">
      <c r="A34" s="36" t="s">
        <v>101</v>
      </c>
      <c r="B34" s="36" t="s">
        <v>102</v>
      </c>
      <c r="C34" s="36" t="s">
        <v>103</v>
      </c>
    </row>
    <row r="35" spans="1:3" x14ac:dyDescent="0.3">
      <c r="A35" s="36" t="s">
        <v>104</v>
      </c>
      <c r="B35" s="36" t="s">
        <v>105</v>
      </c>
      <c r="C35" s="36" t="s">
        <v>106</v>
      </c>
    </row>
    <row r="36" spans="1:3" x14ac:dyDescent="0.3">
      <c r="A36" s="36" t="s">
        <v>107</v>
      </c>
      <c r="B36" s="36" t="s">
        <v>108</v>
      </c>
      <c r="C36" s="36" t="s">
        <v>109</v>
      </c>
    </row>
    <row r="37" spans="1:3" x14ac:dyDescent="0.3">
      <c r="A37" s="36" t="s">
        <v>110</v>
      </c>
      <c r="B37" s="36" t="s">
        <v>111</v>
      </c>
      <c r="C37" s="36" t="s">
        <v>112</v>
      </c>
    </row>
    <row r="38" spans="1:3" x14ac:dyDescent="0.3">
      <c r="A38" s="39" t="s">
        <v>113</v>
      </c>
      <c r="B38" s="36" t="s">
        <v>114</v>
      </c>
      <c r="C38" s="36" t="s">
        <v>115</v>
      </c>
    </row>
    <row r="39" spans="1:3" x14ac:dyDescent="0.3">
      <c r="A39" s="39" t="s">
        <v>116</v>
      </c>
      <c r="B39" s="36"/>
      <c r="C39" s="36" t="s">
        <v>117</v>
      </c>
    </row>
    <row r="40" spans="1:3" x14ac:dyDescent="0.3">
      <c r="A40" s="36" t="s">
        <v>118</v>
      </c>
      <c r="B40" s="36" t="s">
        <v>119</v>
      </c>
      <c r="C40" s="36" t="s">
        <v>120</v>
      </c>
    </row>
    <row r="41" spans="1:3" x14ac:dyDescent="0.3">
      <c r="A41" s="36" t="s">
        <v>121</v>
      </c>
      <c r="B41" s="36" t="s">
        <v>122</v>
      </c>
      <c r="C41" s="36" t="s">
        <v>123</v>
      </c>
    </row>
    <row r="42" spans="1:3" x14ac:dyDescent="0.3">
      <c r="A42" s="36" t="s">
        <v>124</v>
      </c>
      <c r="B42" s="36" t="s">
        <v>125</v>
      </c>
      <c r="C42" s="36" t="s">
        <v>126</v>
      </c>
    </row>
    <row r="43" spans="1:3" x14ac:dyDescent="0.3">
      <c r="A43" s="36" t="s">
        <v>127</v>
      </c>
      <c r="B43" s="36" t="s">
        <v>128</v>
      </c>
      <c r="C43" s="36" t="s">
        <v>129</v>
      </c>
    </row>
    <row r="44" spans="1:3" x14ac:dyDescent="0.3">
      <c r="A44" s="38" t="s">
        <v>130</v>
      </c>
      <c r="B44" s="36" t="s">
        <v>131</v>
      </c>
      <c r="C44" s="36" t="s">
        <v>132</v>
      </c>
    </row>
    <row r="45" spans="1:3" x14ac:dyDescent="0.3">
      <c r="A45" s="39" t="s">
        <v>133</v>
      </c>
      <c r="B45" s="36"/>
      <c r="C45" s="36" t="s">
        <v>134</v>
      </c>
    </row>
    <row r="46" spans="1:3" x14ac:dyDescent="0.3">
      <c r="A46" s="36" t="s">
        <v>135</v>
      </c>
      <c r="B46" s="36" t="s">
        <v>136</v>
      </c>
      <c r="C46" s="36" t="s">
        <v>137</v>
      </c>
    </row>
    <row r="47" spans="1:3" x14ac:dyDescent="0.3">
      <c r="A47" s="36" t="s">
        <v>138</v>
      </c>
      <c r="B47" s="36" t="s">
        <v>139</v>
      </c>
      <c r="C47" s="36" t="s">
        <v>140</v>
      </c>
    </row>
    <row r="48" spans="1:3" x14ac:dyDescent="0.3">
      <c r="A48" s="36" t="s">
        <v>141</v>
      </c>
      <c r="B48" s="36"/>
      <c r="C48" s="36" t="s">
        <v>142</v>
      </c>
    </row>
    <row r="49" spans="1:3" x14ac:dyDescent="0.3">
      <c r="A49" s="36" t="s">
        <v>143</v>
      </c>
      <c r="B49" s="36" t="s">
        <v>144</v>
      </c>
      <c r="C49" s="36" t="s">
        <v>145</v>
      </c>
    </row>
    <row r="50" spans="1:3" x14ac:dyDescent="0.3">
      <c r="A50" s="40" t="s">
        <v>146</v>
      </c>
      <c r="B50" s="40" t="s">
        <v>147</v>
      </c>
      <c r="C50" s="36" t="s">
        <v>148</v>
      </c>
    </row>
    <row r="51" spans="1:3" x14ac:dyDescent="0.3">
      <c r="A51" s="40" t="s">
        <v>149</v>
      </c>
      <c r="B51" s="40" t="s">
        <v>150</v>
      </c>
      <c r="C51" s="36" t="s">
        <v>151</v>
      </c>
    </row>
    <row r="52" spans="1:3" x14ac:dyDescent="0.3">
      <c r="A52">
        <v>3234</v>
      </c>
    </row>
  </sheetData>
  <hyperlinks>
    <hyperlink ref="AN2" r:id="rId1" display="BACK OFFICE - ORGANISATION\Liste 50 Contrats\50_CONTRATS\0051892D - MERIBEL LES ALLUES 73 - HOTEL ALLODIS\CONTRAT+AVENANT_HOTEL ALLODIS_0051892D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LISTE_CONTRATS</vt:lpstr>
      <vt:lpstr>FEUILLE_CONTRAT</vt:lpstr>
      <vt:lpstr>COMPILDATA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Durand</dc:creator>
  <cp:lastModifiedBy>Dede</cp:lastModifiedBy>
  <dcterms:created xsi:type="dcterms:W3CDTF">2017-05-10T06:51:10Z</dcterms:created>
  <dcterms:modified xsi:type="dcterms:W3CDTF">2017-05-10T14:47:27Z</dcterms:modified>
</cp:coreProperties>
</file>