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120" yWindow="288" windowWidth="9768" windowHeight="2808"/>
  </bookViews>
  <sheets>
    <sheet name="Données" sheetId="4" r:id="rId1"/>
    <sheet name="Récap" sheetId="5" r:id="rId2"/>
    <sheet name="Feuil1" sheetId="6" r:id="rId3"/>
  </sheets>
  <definedNames>
    <definedName name="_xlnm._FilterDatabase" localSheetId="0" hidden="1">Données!$AD$3:$AD$18</definedName>
    <definedName name="Diametre">OFFSET(Données!$AI$3,,,COUNTIF(Données!$AI$3:$AI$18,"&gt;0"))</definedName>
    <definedName name="Epaisseur">OFFSET(Données!$AJ$3,,,COUNTIF(Données!$AJ$3:$AJ$18,"&gt;0"))</definedName>
    <definedName name="Form_Weld">OFFSET(Données!$AK$3,,,COUNTIF(Données!$AK$3:$AK$5,"&lt;&gt;0"))</definedName>
  </definedNames>
  <calcPr calcId="152511"/>
</workbook>
</file>

<file path=xl/calcChain.xml><?xml version="1.0" encoding="utf-8"?>
<calcChain xmlns="http://schemas.openxmlformats.org/spreadsheetml/2006/main">
  <c r="AM2" i="4" l="1"/>
  <c r="AK1" i="4"/>
  <c r="AC4" i="4"/>
  <c r="AC5" i="4"/>
  <c r="AC6" i="4"/>
  <c r="AC7" i="4"/>
  <c r="AC8" i="4"/>
  <c r="AC9" i="4"/>
  <c r="AC10" i="4"/>
  <c r="AC11" i="4"/>
  <c r="AC12" i="4"/>
  <c r="AC13" i="4"/>
  <c r="AC14" i="4"/>
  <c r="AC15" i="4"/>
  <c r="AC16" i="4"/>
  <c r="AC17" i="4"/>
  <c r="AC18" i="4"/>
  <c r="AC3" i="4"/>
  <c r="AI1" i="4"/>
  <c r="AJ1" i="4"/>
  <c r="AK3" i="4" l="1" a="1"/>
  <c r="AK3" i="4" s="1"/>
  <c r="AJ3" i="4" a="1"/>
  <c r="AJ3" i="4" s="1"/>
  <c r="AJ4" i="4" s="1" a="1"/>
  <c r="AJ4" i="4" s="1"/>
  <c r="AJ5" i="4" s="1" a="1"/>
  <c r="AJ5" i="4" s="1"/>
  <c r="AI3" i="4" a="1"/>
  <c r="AI3" i="4" s="1"/>
  <c r="H39" i="4"/>
  <c r="H31" i="4"/>
  <c r="H33" i="4"/>
  <c r="H32" i="4"/>
  <c r="H36" i="4"/>
  <c r="H34" i="4"/>
  <c r="H37" i="4"/>
  <c r="H35" i="4"/>
  <c r="H38" i="4"/>
  <c r="H29" i="4"/>
  <c r="H30" i="4"/>
  <c r="AI4" i="4" l="1" a="1"/>
  <c r="AI4" i="4" s="1"/>
  <c r="AK4" i="4" a="1"/>
  <c r="AK4" i="4" s="1"/>
  <c r="AK5" i="4" s="1" a="1"/>
  <c r="AK5" i="4" s="1"/>
  <c r="AJ6" i="4" a="1"/>
  <c r="AJ6" i="4" s="1"/>
  <c r="AI5" i="4" a="1"/>
  <c r="AI5" i="4" s="1"/>
  <c r="AI6" i="4" s="1" a="1"/>
  <c r="AI6" i="4" s="1"/>
  <c r="AI7" i="4" s="1" a="1"/>
  <c r="AI7" i="4" s="1"/>
  <c r="A2" i="5"/>
  <c r="G31" i="4"/>
  <c r="G33" i="4"/>
  <c r="G32" i="4"/>
  <c r="G36" i="4"/>
  <c r="G34" i="4"/>
  <c r="G37" i="4"/>
  <c r="G35" i="4"/>
  <c r="G38" i="4"/>
  <c r="G29" i="4"/>
  <c r="G39" i="4"/>
  <c r="G30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3" i="4"/>
  <c r="AJ7" i="4" l="1" a="1"/>
  <c r="AJ7" i="4" s="1"/>
  <c r="AI8" i="4" a="1"/>
  <c r="AI8" i="4" s="1"/>
  <c r="AI9" i="4" a="1"/>
  <c r="AI9" i="4" s="1"/>
  <c r="K17" i="5"/>
  <c r="Y34" i="5"/>
  <c r="R17" i="5"/>
  <c r="Y20" i="5"/>
  <c r="AF23" i="5"/>
  <c r="R23" i="5"/>
  <c r="R20" i="5"/>
  <c r="Y23" i="5"/>
  <c r="K20" i="5"/>
  <c r="AF17" i="5"/>
  <c r="K23" i="5"/>
  <c r="Y17" i="5"/>
  <c r="AF20" i="5"/>
  <c r="K31" i="5"/>
  <c r="R28" i="5"/>
  <c r="Y31" i="5"/>
  <c r="R34" i="5"/>
  <c r="K34" i="5"/>
  <c r="Y28" i="5"/>
  <c r="K28" i="5"/>
  <c r="R31" i="5"/>
  <c r="W37" i="5"/>
  <c r="AJ8" i="4" l="1" a="1"/>
  <c r="AJ8" i="4" s="1"/>
  <c r="AJ9" i="4" a="1"/>
  <c r="AJ9" i="4" s="1"/>
  <c r="AJ10" i="4" s="1" a="1"/>
  <c r="AJ10" i="4" s="1"/>
  <c r="AI10" i="4" a="1"/>
  <c r="AI10" i="4" s="1"/>
  <c r="AJ11" i="4" l="1" a="1"/>
  <c r="AJ11" i="4" s="1"/>
  <c r="AJ12" i="4" s="1" a="1"/>
  <c r="AJ12" i="4" s="1"/>
  <c r="AI11" i="4" a="1"/>
  <c r="AI11" i="4" s="1"/>
  <c r="AI12" i="4" s="1" a="1"/>
  <c r="AI12" i="4" s="1"/>
  <c r="AI13" i="4" s="1" a="1"/>
  <c r="AI13" i="4" s="1"/>
  <c r="AJ13" i="4" l="1" a="1"/>
  <c r="AJ13" i="4" s="1"/>
  <c r="AJ14" i="4" s="1" a="1"/>
  <c r="AJ14" i="4" s="1"/>
  <c r="AI14" i="4" a="1"/>
  <c r="AI14" i="4" s="1"/>
  <c r="AJ15" i="4" l="1" a="1"/>
  <c r="AJ15" i="4" s="1"/>
  <c r="AJ16" i="4" s="1" a="1"/>
  <c r="AJ16" i="4" s="1"/>
  <c r="AJ18" i="4" a="1"/>
  <c r="AJ18" i="4" s="1"/>
  <c r="AI15" i="4" a="1"/>
  <c r="AI15" i="4" s="1"/>
  <c r="AI16" i="4" s="1" a="1"/>
  <c r="AI16" i="4" s="1"/>
  <c r="AI17" i="4" s="1" a="1"/>
  <c r="AI17" i="4" s="1"/>
  <c r="AI18" i="4" s="1" a="1"/>
  <c r="AI18" i="4" s="1"/>
  <c r="AJ17" i="4" a="1"/>
  <c r="AJ17" i="4" s="1"/>
</calcChain>
</file>

<file path=xl/sharedStrings.xml><?xml version="1.0" encoding="utf-8"?>
<sst xmlns="http://schemas.openxmlformats.org/spreadsheetml/2006/main" count="167" uniqueCount="43">
  <si>
    <t>Start</t>
  </si>
  <si>
    <t>Passe 1</t>
  </si>
  <si>
    <t>Passe 2</t>
  </si>
  <si>
    <t>Passe 3</t>
  </si>
  <si>
    <t>Ø</t>
  </si>
  <si>
    <t>Form Weld</t>
  </si>
  <si>
    <t>Epaisseur</t>
  </si>
  <si>
    <t>Weld mode</t>
  </si>
  <si>
    <t>A</t>
  </si>
  <si>
    <t>V</t>
  </si>
  <si>
    <t>S</t>
  </si>
  <si>
    <t>T</t>
  </si>
  <si>
    <t>U</t>
  </si>
  <si>
    <t>Hybrid</t>
  </si>
  <si>
    <t>Hard</t>
  </si>
  <si>
    <t>J</t>
  </si>
  <si>
    <t>Baisse des paramètres avant cratère</t>
  </si>
  <si>
    <t>Cratère</t>
  </si>
  <si>
    <t>Nombre de passe</t>
  </si>
  <si>
    <t>concatener</t>
  </si>
  <si>
    <t>ABAQUE DE SOUDURE DES TUBES</t>
  </si>
  <si>
    <t>DIAMETRE</t>
  </si>
  <si>
    <t>EPAISSEUR DE TOILE</t>
  </si>
  <si>
    <t>FORME DU CHANFREIN</t>
  </si>
  <si>
    <t>PASSE 1</t>
  </si>
  <si>
    <t>PASSE 2</t>
  </si>
  <si>
    <t>PASSE 3</t>
  </si>
  <si>
    <t>CRATERE</t>
  </si>
  <si>
    <t>AMPERAGE</t>
  </si>
  <si>
    <t>VOLTAGE</t>
  </si>
  <si>
    <t>VITESSE</t>
  </si>
  <si>
    <t>OBJECTIF TEMPS MACHINE</t>
  </si>
  <si>
    <t>Secondes</t>
  </si>
  <si>
    <t>;</t>
  </si>
  <si>
    <t>Mpm</t>
  </si>
  <si>
    <t>MPM</t>
  </si>
  <si>
    <t>STU</t>
  </si>
  <si>
    <t>VITESSE (S)</t>
  </si>
  <si>
    <t>Choix du poste de travail STU</t>
  </si>
  <si>
    <t>Objectif en sec</t>
  </si>
  <si>
    <t>Poste miller</t>
  </si>
  <si>
    <t>Poste panasonic</t>
  </si>
  <si>
    <t>SELECTION DU TUBE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</si>
</sst>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72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Border="1"/>
    <xf numFmtId="0" fontId="0" fillId="0" borderId="0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3" borderId="7" xfId="0" applyFill="1" applyBorder="1"/>
    <xf numFmtId="0" fontId="0" fillId="3" borderId="8" xfId="0" applyFill="1" applyBorder="1"/>
    <xf numFmtId="0" fontId="0" fillId="4" borderId="1" xfId="0" applyFill="1" applyBorder="1" applyAlignment="1">
      <alignment horizontal="center" vertical="center"/>
    </xf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0" borderId="1" xfId="0" applyFill="1" applyBorder="1" applyAlignment="1">
      <alignment horizontal="center" vertical="center"/>
    </xf>
    <xf numFmtId="0" fontId="3" fillId="0" borderId="0" xfId="0" applyFont="1" applyBorder="1"/>
    <xf numFmtId="0" fontId="3" fillId="5" borderId="4" xfId="0" applyFont="1" applyFill="1" applyBorder="1"/>
    <xf numFmtId="0" fontId="3" fillId="5" borderId="5" xfId="0" applyFont="1" applyFill="1" applyBorder="1"/>
    <xf numFmtId="0" fontId="3" fillId="5" borderId="0" xfId="0" applyFont="1" applyFill="1" applyBorder="1"/>
    <xf numFmtId="0" fontId="3" fillId="5" borderId="10" xfId="0" applyFont="1" applyFill="1" applyBorder="1"/>
    <xf numFmtId="0" fontId="3" fillId="0" borderId="0" xfId="0" applyFont="1" applyFill="1" applyBorder="1"/>
    <xf numFmtId="0" fontId="3" fillId="0" borderId="10" xfId="0" applyFont="1" applyFill="1" applyBorder="1"/>
    <xf numFmtId="0" fontId="6" fillId="0" borderId="0" xfId="0" applyFont="1" applyBorder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0" xfId="0" applyFont="1" applyBorder="1"/>
    <xf numFmtId="0" fontId="3" fillId="0" borderId="4" xfId="0" applyFont="1" applyFill="1" applyBorder="1"/>
    <xf numFmtId="0" fontId="3" fillId="0" borderId="4" xfId="0" applyFont="1" applyBorder="1"/>
    <xf numFmtId="0" fontId="5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3" fillId="0" borderId="7" xfId="0" applyFont="1" applyFill="1" applyBorder="1"/>
    <xf numFmtId="0" fontId="3" fillId="0" borderId="7" xfId="0" applyFont="1" applyBorder="1"/>
    <xf numFmtId="0" fontId="3" fillId="0" borderId="2" xfId="0" applyFont="1" applyBorder="1"/>
    <xf numFmtId="0" fontId="3" fillId="0" borderId="12" xfId="0" applyFont="1" applyBorder="1"/>
    <xf numFmtId="0" fontId="3" fillId="5" borderId="3" xfId="0" applyFont="1" applyFill="1" applyBorder="1"/>
    <xf numFmtId="0" fontId="3" fillId="0" borderId="13" xfId="0" applyFont="1" applyFill="1" applyBorder="1" applyAlignment="1"/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3" xfId="0" applyFill="1" applyBorder="1"/>
    <xf numFmtId="0" fontId="8" fillId="0" borderId="0" xfId="0" applyFont="1" applyFill="1" applyBorder="1"/>
    <xf numFmtId="0" fontId="9" fillId="5" borderId="9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2" fillId="3" borderId="2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textRotation="90"/>
    </xf>
    <xf numFmtId="0" fontId="7" fillId="6" borderId="5" xfId="0" applyFont="1" applyFill="1" applyBorder="1" applyAlignment="1">
      <alignment horizontal="center" vertical="center" textRotation="90"/>
    </xf>
    <xf numFmtId="0" fontId="7" fillId="6" borderId="9" xfId="0" applyFont="1" applyFill="1" applyBorder="1" applyAlignment="1">
      <alignment horizontal="center" vertical="center" textRotation="90"/>
    </xf>
    <xf numFmtId="0" fontId="7" fillId="6" borderId="10" xfId="0" applyFont="1" applyFill="1" applyBorder="1" applyAlignment="1">
      <alignment horizontal="center" vertical="center" textRotation="90"/>
    </xf>
    <xf numFmtId="0" fontId="7" fillId="6" borderId="11" xfId="0" applyFont="1" applyFill="1" applyBorder="1" applyAlignment="1">
      <alignment horizontal="center" vertical="center" textRotation="90"/>
    </xf>
    <xf numFmtId="0" fontId="7" fillId="6" borderId="12" xfId="0" applyFont="1" applyFill="1" applyBorder="1" applyAlignment="1">
      <alignment horizontal="center" vertical="center" textRotation="90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7" borderId="0" xfId="0" applyFill="1"/>
    <xf numFmtId="0" fontId="0" fillId="8" borderId="1" xfId="0" applyFill="1" applyBorder="1"/>
    <xf numFmtId="0" fontId="11" fillId="9" borderId="0" xfId="2" applyFont="1" applyFill="1" applyAlignment="1">
      <alignment horizontal="center"/>
    </xf>
  </cellXfs>
  <cellStyles count="3">
    <cellStyle name="Lien hypertexte" xfId="2" builtinId="8"/>
    <cellStyle name="Milliers 2" xfId="1"/>
    <cellStyle name="Normal" xfId="0" builtinId="0"/>
  </cellStyles>
  <dxfs count="11">
    <dxf>
      <fill>
        <patternFill>
          <bgColor theme="1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312420</xdr:colOff>
      <xdr:row>21</xdr:row>
      <xdr:rowOff>129540</xdr:rowOff>
    </xdr:from>
    <xdr:to>
      <xdr:col>38</xdr:col>
      <xdr:colOff>236220</xdr:colOff>
      <xdr:row>27</xdr:row>
      <xdr:rowOff>45720</xdr:rowOff>
    </xdr:to>
    <xdr:sp macro="" textlink="">
      <xdr:nvSpPr>
        <xdr:cNvPr id="2" name="Bulle ronde 1"/>
        <xdr:cNvSpPr/>
      </xdr:nvSpPr>
      <xdr:spPr>
        <a:xfrm>
          <a:off x="15285720" y="4160520"/>
          <a:ext cx="4678680" cy="1013460"/>
        </a:xfrm>
        <a:prstGeom prst="wedgeEllipseCallout">
          <a:avLst>
            <a:gd name="adj1" fmla="val -2592"/>
            <a:gd name="adj2" fmla="val -9313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Formules matricielles</a:t>
          </a:r>
        </a:p>
        <a:p>
          <a:pPr algn="l"/>
          <a:r>
            <a:rPr lang="fr-FR" sz="1100"/>
            <a:t>Validation avec les 3 touches Ctrl+Maj+entrée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167269</xdr:colOff>
      <xdr:row>5</xdr:row>
      <xdr:rowOff>111513</xdr:rowOff>
    </xdr:from>
    <xdr:to>
      <xdr:col>18</xdr:col>
      <xdr:colOff>148683</xdr:colOff>
      <xdr:row>5</xdr:row>
      <xdr:rowOff>111513</xdr:rowOff>
    </xdr:to>
    <xdr:cxnSp macro="">
      <xdr:nvCxnSpPr>
        <xdr:cNvPr id="3" name="Connecteur droit avec flèche 2"/>
        <xdr:cNvCxnSpPr/>
      </xdr:nvCxnSpPr>
      <xdr:spPr>
        <a:xfrm>
          <a:off x="4355171" y="941659"/>
          <a:ext cx="1592146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99123</xdr:colOff>
      <xdr:row>5</xdr:row>
      <xdr:rowOff>167269</xdr:rowOff>
    </xdr:from>
    <xdr:to>
      <xdr:col>18</xdr:col>
      <xdr:colOff>223025</xdr:colOff>
      <xdr:row>8</xdr:row>
      <xdr:rowOff>74341</xdr:rowOff>
    </xdr:to>
    <xdr:cxnSp macro="">
      <xdr:nvCxnSpPr>
        <xdr:cNvPr id="6" name="Connecteur droit avec flèche 5"/>
        <xdr:cNvCxnSpPr/>
      </xdr:nvCxnSpPr>
      <xdr:spPr>
        <a:xfrm flipH="1">
          <a:off x="4287025" y="997415"/>
          <a:ext cx="1734634" cy="3407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161074</xdr:colOff>
      <xdr:row>8</xdr:row>
      <xdr:rowOff>111512</xdr:rowOff>
    </xdr:from>
    <xdr:to>
      <xdr:col>18</xdr:col>
      <xdr:colOff>204439</xdr:colOff>
      <xdr:row>8</xdr:row>
      <xdr:rowOff>123902</xdr:rowOff>
    </xdr:to>
    <xdr:cxnSp macro="">
      <xdr:nvCxnSpPr>
        <xdr:cNvPr id="9" name="Connecteur droit avec flèche 8"/>
        <xdr:cNvCxnSpPr/>
      </xdr:nvCxnSpPr>
      <xdr:spPr>
        <a:xfrm flipV="1">
          <a:off x="4348976" y="1375317"/>
          <a:ext cx="1654097" cy="1239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Q39"/>
  <sheetViews>
    <sheetView tabSelected="1" topLeftCell="AD1" workbookViewId="0">
      <selection activeCell="AQ20" sqref="AQ20"/>
    </sheetView>
  </sheetViews>
  <sheetFormatPr baseColWidth="10" defaultRowHeight="14.4" x14ac:dyDescent="0.3"/>
  <cols>
    <col min="1" max="1" width="3" bestFit="1" customWidth="1"/>
    <col min="2" max="2" width="5.33203125" style="22" bestFit="1" customWidth="1"/>
    <col min="3" max="3" width="3" style="22" customWidth="1"/>
    <col min="4" max="4" width="6" bestFit="1" customWidth="1"/>
    <col min="5" max="5" width="10.6640625" bestFit="1" customWidth="1"/>
    <col min="6" max="6" width="9.44140625" bestFit="1" customWidth="1"/>
    <col min="7" max="7" width="16.5546875" style="1" bestFit="1" customWidth="1"/>
    <col min="8" max="8" width="8.109375" bestFit="1" customWidth="1"/>
    <col min="9" max="9" width="11" bestFit="1" customWidth="1"/>
    <col min="10" max="10" width="11.33203125" bestFit="1" customWidth="1"/>
    <col min="11" max="11" width="4" bestFit="1" customWidth="1"/>
    <col min="12" max="13" width="5" bestFit="1" customWidth="1"/>
    <col min="14" max="14" width="5.5546875" bestFit="1" customWidth="1"/>
    <col min="15" max="16" width="5" bestFit="1" customWidth="1"/>
    <col min="17" max="17" width="5.5546875" bestFit="1" customWidth="1"/>
    <col min="18" max="19" width="5" bestFit="1" customWidth="1"/>
    <col min="20" max="20" width="5.5546875" bestFit="1" customWidth="1"/>
    <col min="21" max="22" width="5" bestFit="1" customWidth="1"/>
    <col min="23" max="23" width="4" bestFit="1" customWidth="1"/>
    <col min="24" max="25" width="5" bestFit="1" customWidth="1"/>
    <col min="26" max="26" width="4" bestFit="1" customWidth="1"/>
    <col min="27" max="27" width="5" bestFit="1" customWidth="1"/>
    <col min="28" max="28" width="4" bestFit="1" customWidth="1"/>
  </cols>
  <sheetData>
    <row r="1" spans="1:43" ht="15" x14ac:dyDescent="0.3">
      <c r="A1" s="1"/>
      <c r="D1" s="4"/>
      <c r="E1" s="4"/>
      <c r="F1" s="4"/>
      <c r="G1" s="4"/>
      <c r="H1" s="4"/>
      <c r="I1" s="4"/>
      <c r="J1" s="4"/>
      <c r="K1" s="55" t="s">
        <v>0</v>
      </c>
      <c r="L1" s="55"/>
      <c r="M1" s="55"/>
      <c r="N1" s="54" t="s">
        <v>1</v>
      </c>
      <c r="O1" s="54"/>
      <c r="P1" s="54"/>
      <c r="Q1" s="54" t="s">
        <v>2</v>
      </c>
      <c r="R1" s="54"/>
      <c r="S1" s="54"/>
      <c r="T1" s="54" t="s">
        <v>3</v>
      </c>
      <c r="U1" s="54"/>
      <c r="V1" s="54"/>
      <c r="W1" s="56" t="s">
        <v>16</v>
      </c>
      <c r="X1" s="56"/>
      <c r="Y1" s="56"/>
      <c r="Z1" s="54" t="s">
        <v>17</v>
      </c>
      <c r="AA1" s="54"/>
      <c r="AB1" s="54"/>
      <c r="AI1" s="117">
        <f>Récap!$H$5</f>
        <v>1</v>
      </c>
      <c r="AJ1" s="117">
        <f>Récap!AC5</f>
        <v>127</v>
      </c>
      <c r="AK1" s="117">
        <f>Récap!H8</f>
        <v>9.1</v>
      </c>
    </row>
    <row r="2" spans="1:43" ht="28.8" x14ac:dyDescent="0.3">
      <c r="A2" s="1"/>
      <c r="B2" s="22" t="s">
        <v>36</v>
      </c>
      <c r="D2" s="2" t="s">
        <v>4</v>
      </c>
      <c r="E2" s="2" t="s">
        <v>5</v>
      </c>
      <c r="F2" s="2" t="s">
        <v>6</v>
      </c>
      <c r="G2" s="2" t="s">
        <v>19</v>
      </c>
      <c r="H2" s="2" t="s">
        <v>39</v>
      </c>
      <c r="I2" s="2" t="s">
        <v>18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8</v>
      </c>
      <c r="O2" s="2" t="s">
        <v>9</v>
      </c>
      <c r="P2" s="2" t="s">
        <v>10</v>
      </c>
      <c r="Q2" s="2" t="s">
        <v>8</v>
      </c>
      <c r="R2" s="2" t="s">
        <v>9</v>
      </c>
      <c r="S2" s="2" t="s">
        <v>10</v>
      </c>
      <c r="T2" s="2" t="s">
        <v>8</v>
      </c>
      <c r="U2" s="2" t="s">
        <v>9</v>
      </c>
      <c r="V2" s="2" t="s">
        <v>10</v>
      </c>
      <c r="W2" s="2" t="s">
        <v>8</v>
      </c>
      <c r="X2" s="2" t="s">
        <v>9</v>
      </c>
      <c r="Y2" s="2" t="s">
        <v>11</v>
      </c>
      <c r="Z2" s="2" t="s">
        <v>8</v>
      </c>
      <c r="AA2" s="2" t="s">
        <v>9</v>
      </c>
      <c r="AB2" s="2" t="s">
        <v>11</v>
      </c>
      <c r="AL2" s="22"/>
      <c r="AM2" s="119" t="str">
        <f>HYPERLINK("https://forum.excel-pratique.com/excel/liste-conditionnelle-avec-recuperation-de-donnees-t92119.html","Nannek")</f>
        <v>Nannek</v>
      </c>
    </row>
    <row r="3" spans="1:43" x14ac:dyDescent="0.3">
      <c r="A3" s="1"/>
      <c r="B3" s="22">
        <v>1</v>
      </c>
      <c r="C3" s="22" t="s">
        <v>33</v>
      </c>
      <c r="D3" s="3">
        <v>63.5</v>
      </c>
      <c r="E3" s="3" t="s">
        <v>9</v>
      </c>
      <c r="F3" s="3">
        <v>6.7</v>
      </c>
      <c r="G3" s="3" t="str">
        <f>CONCATENATE(B3,C3,D3,C3,E3,C3,F3)</f>
        <v>1;63,5;V;6,7</v>
      </c>
      <c r="H3" s="3">
        <v>66</v>
      </c>
      <c r="I3" s="3">
        <v>1</v>
      </c>
      <c r="J3" s="5"/>
      <c r="K3" s="6">
        <v>330</v>
      </c>
      <c r="L3" s="7">
        <v>33</v>
      </c>
      <c r="M3" s="8">
        <v>0.45</v>
      </c>
      <c r="N3" s="9">
        <v>330</v>
      </c>
      <c r="O3" s="9">
        <v>33</v>
      </c>
      <c r="P3" s="10">
        <v>0.45</v>
      </c>
      <c r="Q3" s="11"/>
      <c r="R3" s="11"/>
      <c r="S3" s="10"/>
      <c r="T3" s="11"/>
      <c r="U3" s="11"/>
      <c r="V3" s="10"/>
      <c r="W3" s="11"/>
      <c r="X3" s="11"/>
      <c r="Y3" s="10"/>
      <c r="Z3" s="11">
        <v>180</v>
      </c>
      <c r="AA3" s="11">
        <v>26.6</v>
      </c>
      <c r="AB3" s="10">
        <v>1</v>
      </c>
      <c r="AC3" s="22">
        <f>COUNTIF($D$29:$D$39,AD3)</f>
        <v>0</v>
      </c>
      <c r="AD3" s="3">
        <v>63.5</v>
      </c>
      <c r="AE3" s="3" t="s">
        <v>9</v>
      </c>
      <c r="AF3" s="3">
        <v>5.2</v>
      </c>
      <c r="AG3" s="23">
        <v>1</v>
      </c>
      <c r="AI3" s="118">
        <f t="array" ref="AI3">INDEX($D$1:$D$39,MIN(IF(($B$3:$B$39=$AI$1)*(COUNTIF($AI$2:AI2,$D$3:$D$39)=0),ROW($D$3:$D$39))))</f>
        <v>63.5</v>
      </c>
      <c r="AJ3" s="118">
        <f t="array" ref="AJ3">IFERROR(INDEX($F$1:$F$39,MIN(IF(($D$3:$D$39=$AJ$1)*($B$3:$B$39=$AI$1)*(COUNTIF($AJ$2:AJ2,$F$3:$F$39)=0),ROW($F$3:$F$39)))),"")</f>
        <v>9.6999999999999993</v>
      </c>
      <c r="AK3" s="118" t="str">
        <f t="array" ref="AK3">IFERROR(INDEX($E$1:$E$39,MIN(IF(($D$3:$D$39=$AJ$1)*($B$3:$B$39=$AI$1)*($F$3:$F$39=$AK$1)*(COUNTIF($AK$2:AK2,$E$3:$E$39)=0),ROW($E$3:$E$39)))),"")</f>
        <v>U</v>
      </c>
      <c r="AL3" s="22"/>
      <c r="AM3" s="22"/>
      <c r="AN3" s="22"/>
      <c r="AO3" s="22"/>
    </row>
    <row r="4" spans="1:43" x14ac:dyDescent="0.3">
      <c r="A4" s="1"/>
      <c r="B4" s="22">
        <v>1</v>
      </c>
      <c r="C4" s="22" t="s">
        <v>33</v>
      </c>
      <c r="D4" s="3">
        <v>76.2</v>
      </c>
      <c r="E4" s="3" t="s">
        <v>12</v>
      </c>
      <c r="F4" s="3">
        <v>6.7</v>
      </c>
      <c r="G4" s="3" t="str">
        <f t="shared" ref="G4:G39" si="0">CONCATENATE(B4,C4,D4,C4,E4,C4,F4)</f>
        <v>1;76,2;U;6,7</v>
      </c>
      <c r="H4" s="3">
        <v>67</v>
      </c>
      <c r="I4" s="3">
        <v>1</v>
      </c>
      <c r="J4" s="12"/>
      <c r="K4" s="12">
        <v>350</v>
      </c>
      <c r="L4" s="13">
        <v>33.200000000000003</v>
      </c>
      <c r="M4" s="14">
        <v>0.4</v>
      </c>
      <c r="N4" s="15">
        <v>350</v>
      </c>
      <c r="O4" s="15">
        <v>33.200000000000003</v>
      </c>
      <c r="P4" s="16">
        <v>0.4</v>
      </c>
      <c r="Q4" s="17"/>
      <c r="R4" s="17"/>
      <c r="S4" s="18"/>
      <c r="T4" s="17"/>
      <c r="U4" s="17"/>
      <c r="V4" s="18"/>
      <c r="W4" s="17"/>
      <c r="X4" s="17"/>
      <c r="Y4" s="18"/>
      <c r="Z4" s="17">
        <v>180</v>
      </c>
      <c r="AA4" s="17">
        <v>26.6</v>
      </c>
      <c r="AB4" s="18">
        <v>1</v>
      </c>
      <c r="AC4" s="22">
        <f t="shared" ref="AC4:AC18" si="1">COUNTIF($D$29:$D$39,AD4)</f>
        <v>0</v>
      </c>
      <c r="AD4" s="3">
        <v>76.2</v>
      </c>
      <c r="AE4" s="3" t="s">
        <v>12</v>
      </c>
      <c r="AF4" s="3">
        <v>6.2</v>
      </c>
      <c r="AG4" s="23">
        <v>6</v>
      </c>
      <c r="AI4" s="118">
        <f t="array" ref="AI4">INDEX($D$1:$D$39,MIN(IF(($B$3:$B$39=$AI$1)*(COUNTIF($AI$2:AI3,$D$3:$D$39)=0),ROW($D$3:$D$39))))</f>
        <v>76.2</v>
      </c>
      <c r="AJ4" s="118">
        <f t="array" ref="AJ4">IFERROR(INDEX($F$1:$F$39,MIN(IF(($D$3:$D$39=$AJ$1)*($B$3:$B$39=$AI$1)*(COUNTIF($AJ$2:AJ3,$F$3:$F$39)=0),ROW($F$3:$F$39)))),"")</f>
        <v>9.1</v>
      </c>
      <c r="AK4" s="118">
        <f t="array" ref="AK4">IFERROR(INDEX($E$1:$E$39,MIN(IF(($D$3:$D$39=$AJ$1)*($B$3:$B$39=$AI$1)*($F$3:$F$39=$AK$1)*(COUNTIF($AK$2:AK3,$E$3:$E$39)=0),ROW($E$3:$E$39)))),"")</f>
        <v>0</v>
      </c>
      <c r="AL4" s="22"/>
      <c r="AM4" s="22"/>
      <c r="AN4" s="22"/>
      <c r="AO4" s="22"/>
    </row>
    <row r="5" spans="1:43" x14ac:dyDescent="0.3">
      <c r="A5" s="1"/>
      <c r="B5" s="22">
        <v>1</v>
      </c>
      <c r="C5" s="22" t="s">
        <v>33</v>
      </c>
      <c r="D5" s="3">
        <v>76.2</v>
      </c>
      <c r="E5" s="3" t="s">
        <v>9</v>
      </c>
      <c r="F5" s="3">
        <v>6.7</v>
      </c>
      <c r="G5" s="3" t="str">
        <f t="shared" si="0"/>
        <v>1;76,2;V;6,7</v>
      </c>
      <c r="H5" s="3">
        <v>65</v>
      </c>
      <c r="I5" s="3">
        <v>2</v>
      </c>
      <c r="J5" s="12" t="s">
        <v>13</v>
      </c>
      <c r="K5" s="12">
        <v>350</v>
      </c>
      <c r="L5" s="13">
        <v>34</v>
      </c>
      <c r="M5" s="14">
        <v>0.4</v>
      </c>
      <c r="N5" s="13">
        <v>340</v>
      </c>
      <c r="O5" s="13">
        <v>31.5</v>
      </c>
      <c r="P5" s="14">
        <v>0.55000000000000004</v>
      </c>
      <c r="Q5" s="15">
        <v>270</v>
      </c>
      <c r="R5" s="15">
        <v>31.5</v>
      </c>
      <c r="S5" s="16">
        <v>0.47</v>
      </c>
      <c r="T5" s="17"/>
      <c r="U5" s="17"/>
      <c r="V5" s="18"/>
      <c r="W5" s="17">
        <v>220</v>
      </c>
      <c r="X5" s="17">
        <v>30.2</v>
      </c>
      <c r="Y5" s="18">
        <v>0.55000000000000004</v>
      </c>
      <c r="Z5" s="17">
        <v>170</v>
      </c>
      <c r="AA5" s="17">
        <v>29.1</v>
      </c>
      <c r="AB5" s="18">
        <v>1</v>
      </c>
      <c r="AC5" s="22">
        <f t="shared" si="1"/>
        <v>0</v>
      </c>
      <c r="AD5" s="3">
        <v>80</v>
      </c>
      <c r="AE5" s="3" t="s">
        <v>15</v>
      </c>
      <c r="AF5" s="3">
        <v>6.7</v>
      </c>
      <c r="AI5" s="118">
        <f t="array" ref="AI5">INDEX($D$1:$D$39,MIN(IF(($B$3:$B$39=$AI$1)*(COUNTIF($AI$2:AI4,$D$3:$D$39)=0),ROW($D$3:$D$39))))</f>
        <v>80</v>
      </c>
      <c r="AJ5" s="118">
        <f t="array" ref="AJ5">IFERROR(INDEX($F$1:$F$39,MIN(IF(($D$3:$D$39=$AJ$1)*($B$3:$B$39=$AI$1)*(COUNTIF($AJ$2:AJ4,$F$3:$F$39)=0),ROW($F$3:$F$39)))),"")</f>
        <v>0</v>
      </c>
      <c r="AK5" s="118">
        <f t="array" ref="AK5">IFERROR(INDEX($E$1:$E$39,MIN(IF(($D$3:$D$39=$AJ$1)*($B$3:$B$39=$AI$1)*($F$3:$F$39=$AK$1)*(COUNTIF($AK$2:AK4,$E$3:$E$39)=0),ROW($E$3:$E$39)))),"")</f>
        <v>0</v>
      </c>
      <c r="AL5" s="22"/>
      <c r="AM5" s="22"/>
      <c r="AN5" s="22"/>
      <c r="AO5" s="22"/>
    </row>
    <row r="6" spans="1:43" x14ac:dyDescent="0.3">
      <c r="A6" s="1"/>
      <c r="B6" s="22">
        <v>1</v>
      </c>
      <c r="C6" s="22" t="s">
        <v>33</v>
      </c>
      <c r="D6" s="3">
        <v>76.2</v>
      </c>
      <c r="E6" s="3" t="s">
        <v>9</v>
      </c>
      <c r="F6" s="3">
        <v>8.3000000000000007</v>
      </c>
      <c r="G6" s="3" t="str">
        <f t="shared" si="0"/>
        <v>1;76,2;V;8,3</v>
      </c>
      <c r="H6" s="3">
        <v>78</v>
      </c>
      <c r="I6" s="3">
        <v>2</v>
      </c>
      <c r="J6" s="12" t="s">
        <v>14</v>
      </c>
      <c r="K6" s="12">
        <v>320</v>
      </c>
      <c r="L6" s="13">
        <v>32</v>
      </c>
      <c r="M6" s="14">
        <v>0.55000000000000004</v>
      </c>
      <c r="N6" s="13">
        <v>320</v>
      </c>
      <c r="O6" s="13">
        <v>32</v>
      </c>
      <c r="P6" s="14">
        <v>0.55000000000000004</v>
      </c>
      <c r="Q6" s="15">
        <v>320</v>
      </c>
      <c r="R6" s="15">
        <v>32</v>
      </c>
      <c r="S6" s="16">
        <v>0.45</v>
      </c>
      <c r="T6" s="17"/>
      <c r="U6" s="17"/>
      <c r="V6" s="18"/>
      <c r="W6" s="17">
        <v>280</v>
      </c>
      <c r="X6" s="17">
        <v>32</v>
      </c>
      <c r="Y6" s="18">
        <v>0.55000000000000004</v>
      </c>
      <c r="Z6" s="17">
        <v>180</v>
      </c>
      <c r="AA6" s="17">
        <v>26.6</v>
      </c>
      <c r="AB6" s="18">
        <v>0.2</v>
      </c>
      <c r="AC6" s="22">
        <f t="shared" si="1"/>
        <v>0</v>
      </c>
      <c r="AD6" s="3">
        <v>82.6</v>
      </c>
      <c r="AF6" s="3">
        <v>6.8</v>
      </c>
      <c r="AI6" s="118">
        <f t="array" ref="AI6">INDEX($D$1:$D$39,MIN(IF(($B$3:$B$39=$AI$1)*(COUNTIF($AI$2:AI5,$D$3:$D$39)=0),ROW($D$3:$D$39))))</f>
        <v>82.6</v>
      </c>
      <c r="AJ6" s="118">
        <f t="array" ref="AJ6">IFERROR(INDEX($F$1:$F$39,MIN(IF(($D$3:$D$39=$AJ$1)*($B$3:$B$39=$AI$1)*(COUNTIF($AJ$2:AJ5,$F$3:$F$39)=0),ROW($F$3:$F$39)))),"")</f>
        <v>0</v>
      </c>
      <c r="AK6" s="118"/>
      <c r="AL6" s="22"/>
      <c r="AM6" s="22"/>
      <c r="AN6" s="22"/>
      <c r="AO6" s="22"/>
      <c r="AP6" s="22"/>
      <c r="AQ6" s="22"/>
    </row>
    <row r="7" spans="1:43" x14ac:dyDescent="0.3">
      <c r="A7" s="1"/>
      <c r="B7" s="22">
        <v>1</v>
      </c>
      <c r="C7" s="22" t="s">
        <v>33</v>
      </c>
      <c r="D7" s="3">
        <v>80</v>
      </c>
      <c r="E7" s="3" t="s">
        <v>15</v>
      </c>
      <c r="F7" s="3">
        <v>5.2</v>
      </c>
      <c r="G7" s="3" t="str">
        <f t="shared" si="0"/>
        <v>1;80;J;5,2</v>
      </c>
      <c r="H7" s="3">
        <v>36</v>
      </c>
      <c r="I7" s="3">
        <v>1</v>
      </c>
      <c r="J7" s="12" t="s">
        <v>13</v>
      </c>
      <c r="K7" s="12">
        <v>330</v>
      </c>
      <c r="L7" s="13">
        <v>36</v>
      </c>
      <c r="M7" s="14">
        <v>0.4</v>
      </c>
      <c r="N7" s="17">
        <v>275</v>
      </c>
      <c r="O7" s="15">
        <v>31</v>
      </c>
      <c r="P7" s="16">
        <v>0.47</v>
      </c>
      <c r="Q7" s="17"/>
      <c r="R7" s="17"/>
      <c r="S7" s="18"/>
      <c r="T7" s="17"/>
      <c r="U7" s="17"/>
      <c r="V7" s="18"/>
      <c r="W7" s="19">
        <v>200</v>
      </c>
      <c r="X7" s="19">
        <v>27.8</v>
      </c>
      <c r="Y7" s="20">
        <v>0.6</v>
      </c>
      <c r="Z7" s="17">
        <v>160</v>
      </c>
      <c r="AA7" s="17">
        <v>25.4</v>
      </c>
      <c r="AB7" s="18">
        <v>1</v>
      </c>
      <c r="AC7" s="22">
        <f t="shared" si="1"/>
        <v>0</v>
      </c>
      <c r="AD7" s="3">
        <v>88.9</v>
      </c>
      <c r="AF7" s="3">
        <v>6.9</v>
      </c>
      <c r="AI7" s="118">
        <f t="array" ref="AI7">INDEX($D$1:$D$39,MIN(IF(($B$3:$B$39=$AI$1)*(COUNTIF($AI$2:AI6,$D$3:$D$39)=0),ROW($D$3:$D$39))))</f>
        <v>88.9</v>
      </c>
      <c r="AJ7" s="118">
        <f t="array" ref="AJ7">IFERROR(INDEX($F$1:$F$39,MIN(IF(($D$3:$D$39=$AJ$1)*($B$3:$B$39=$AI$1)*(COUNTIF($AJ$2:AJ6,$F$3:$F$39)=0),ROW($F$3:$F$39)))),"")</f>
        <v>0</v>
      </c>
      <c r="AK7" s="118"/>
      <c r="AL7" s="22"/>
      <c r="AM7" s="22"/>
      <c r="AN7" s="22"/>
      <c r="AO7" s="22"/>
      <c r="AP7" s="22"/>
      <c r="AQ7" s="22"/>
    </row>
    <row r="8" spans="1:43" x14ac:dyDescent="0.3">
      <c r="A8" s="1"/>
      <c r="B8" s="22">
        <v>1</v>
      </c>
      <c r="C8" s="22" t="s">
        <v>33</v>
      </c>
      <c r="D8" s="3">
        <v>80</v>
      </c>
      <c r="E8" s="3" t="s">
        <v>12</v>
      </c>
      <c r="F8" s="3">
        <v>5.2</v>
      </c>
      <c r="G8" s="3" t="str">
        <f t="shared" si="0"/>
        <v>1;80;U;5,2</v>
      </c>
      <c r="H8" s="3">
        <v>36</v>
      </c>
      <c r="I8" s="3">
        <v>1</v>
      </c>
      <c r="J8" s="12" t="s">
        <v>13</v>
      </c>
      <c r="K8" s="12">
        <v>360</v>
      </c>
      <c r="L8" s="13">
        <v>36</v>
      </c>
      <c r="M8" s="14">
        <v>0.3</v>
      </c>
      <c r="N8" s="15">
        <v>275</v>
      </c>
      <c r="O8" s="15">
        <v>31</v>
      </c>
      <c r="P8" s="16">
        <v>0.47</v>
      </c>
      <c r="Q8" s="17"/>
      <c r="R8" s="17"/>
      <c r="S8" s="18"/>
      <c r="T8" s="17"/>
      <c r="U8" s="17"/>
      <c r="V8" s="18"/>
      <c r="W8" s="19">
        <v>200</v>
      </c>
      <c r="X8" s="19">
        <v>27.8</v>
      </c>
      <c r="Y8" s="20">
        <v>0.6</v>
      </c>
      <c r="Z8" s="17">
        <v>160</v>
      </c>
      <c r="AA8" s="17">
        <v>25.4</v>
      </c>
      <c r="AB8" s="18">
        <v>1</v>
      </c>
      <c r="AC8" s="22">
        <f t="shared" si="1"/>
        <v>0</v>
      </c>
      <c r="AD8" s="3">
        <v>90</v>
      </c>
      <c r="AF8" s="3">
        <v>7</v>
      </c>
      <c r="AI8" s="118">
        <f t="array" ref="AI8">INDEX($D$1:$D$39,MIN(IF(($B$3:$B$39=$AI$1)*(COUNTIF($AI$2:AI7,$D$3:$D$39)=0),ROW($D$3:$D$39))))</f>
        <v>90</v>
      </c>
      <c r="AJ8" s="118">
        <f t="array" ref="AJ8">IFERROR(INDEX($F$1:$F$39,MIN(IF(($D$3:$D$39=$AJ$1)*($B$3:$B$39=$AI$1)*(COUNTIF($AJ$2:AJ7,$F$3:$F$39)=0),ROW($F$3:$F$39)))),"")</f>
        <v>0</v>
      </c>
      <c r="AK8" s="118"/>
      <c r="AL8" s="22"/>
      <c r="AM8" s="22"/>
      <c r="AN8" s="22"/>
      <c r="AO8" s="22"/>
      <c r="AP8" s="22"/>
      <c r="AQ8" s="22"/>
    </row>
    <row r="9" spans="1:43" x14ac:dyDescent="0.3">
      <c r="A9" s="1"/>
      <c r="B9" s="22">
        <v>1</v>
      </c>
      <c r="C9" s="22" t="s">
        <v>33</v>
      </c>
      <c r="D9" s="3">
        <v>82.6</v>
      </c>
      <c r="E9" s="3" t="s">
        <v>9</v>
      </c>
      <c r="F9" s="3">
        <v>6.2</v>
      </c>
      <c r="G9" s="3" t="str">
        <f t="shared" si="0"/>
        <v>1;82,6;V;6,2</v>
      </c>
      <c r="H9" s="21">
        <v>70</v>
      </c>
      <c r="I9" s="3">
        <v>2</v>
      </c>
      <c r="J9" s="12" t="s">
        <v>14</v>
      </c>
      <c r="K9" s="12">
        <v>350</v>
      </c>
      <c r="L9" s="13">
        <v>34.200000000000003</v>
      </c>
      <c r="M9" s="14">
        <v>0.35</v>
      </c>
      <c r="N9" s="15">
        <v>330</v>
      </c>
      <c r="O9" s="15">
        <v>32.700000000000003</v>
      </c>
      <c r="P9" s="16">
        <v>0.5</v>
      </c>
      <c r="Q9" s="15">
        <v>250</v>
      </c>
      <c r="R9" s="15">
        <v>29.9</v>
      </c>
      <c r="S9" s="16">
        <v>0.52</v>
      </c>
      <c r="T9" s="17"/>
      <c r="U9" s="17"/>
      <c r="V9" s="18"/>
      <c r="W9" s="17"/>
      <c r="X9" s="17"/>
      <c r="Y9" s="18"/>
      <c r="Z9" s="17">
        <v>180</v>
      </c>
      <c r="AA9" s="17">
        <v>27.8</v>
      </c>
      <c r="AB9" s="18">
        <v>0.5</v>
      </c>
      <c r="AC9" s="22">
        <f t="shared" si="1"/>
        <v>0</v>
      </c>
      <c r="AD9" s="3">
        <v>95.2</v>
      </c>
      <c r="AF9" s="3">
        <v>7.9</v>
      </c>
      <c r="AI9" s="118">
        <f t="array" ref="AI9">INDEX($D$1:$D$39,MIN(IF(($B$3:$B$39=$AI$1)*(COUNTIF($AI$2:AI8,$D$3:$D$39)=0),ROW($D$3:$D$39))))</f>
        <v>95.2</v>
      </c>
      <c r="AJ9" s="118">
        <f t="array" ref="AJ9">IFERROR(INDEX($F$1:$F$39,MIN(IF(($D$3:$D$39=$AJ$1)*($B$3:$B$39=$AI$1)*(COUNTIF($AJ$2:AJ8,$F$3:$F$39)=0),ROW($F$3:$F$39)))),"")</f>
        <v>0</v>
      </c>
      <c r="AK9" s="118"/>
      <c r="AL9" s="22"/>
      <c r="AM9" s="22"/>
      <c r="AN9" s="22"/>
      <c r="AO9" s="22"/>
      <c r="AP9" s="22"/>
      <c r="AQ9" s="22"/>
    </row>
    <row r="10" spans="1:43" x14ac:dyDescent="0.3">
      <c r="A10" s="1"/>
      <c r="B10" s="22">
        <v>1</v>
      </c>
      <c r="C10" s="22" t="s">
        <v>33</v>
      </c>
      <c r="D10" s="3">
        <v>82.6</v>
      </c>
      <c r="E10" s="3" t="s">
        <v>9</v>
      </c>
      <c r="F10" s="3">
        <v>8.3000000000000007</v>
      </c>
      <c r="G10" s="3" t="str">
        <f t="shared" si="0"/>
        <v>1;82,6;V;8,3</v>
      </c>
      <c r="H10" s="3">
        <v>81</v>
      </c>
      <c r="I10" s="3">
        <v>2</v>
      </c>
      <c r="J10" s="12" t="s">
        <v>13</v>
      </c>
      <c r="K10" s="12">
        <v>320</v>
      </c>
      <c r="L10" s="13">
        <v>33.4</v>
      </c>
      <c r="M10" s="14">
        <v>0.5</v>
      </c>
      <c r="N10" s="13">
        <v>320</v>
      </c>
      <c r="O10" s="13">
        <v>33.4</v>
      </c>
      <c r="P10" s="14">
        <v>0.5</v>
      </c>
      <c r="Q10" s="15">
        <v>320</v>
      </c>
      <c r="R10" s="15">
        <v>33.4</v>
      </c>
      <c r="S10" s="16">
        <v>0.4</v>
      </c>
      <c r="T10" s="17"/>
      <c r="U10" s="17"/>
      <c r="V10" s="18"/>
      <c r="W10" s="17">
        <v>280</v>
      </c>
      <c r="X10" s="17">
        <v>33.4</v>
      </c>
      <c r="Y10" s="18">
        <v>0.4</v>
      </c>
      <c r="Z10" s="17">
        <v>180</v>
      </c>
      <c r="AA10" s="17">
        <v>26.6</v>
      </c>
      <c r="AB10" s="18">
        <v>0.3</v>
      </c>
      <c r="AC10" s="22">
        <f t="shared" si="1"/>
        <v>0</v>
      </c>
      <c r="AD10" s="3">
        <v>100</v>
      </c>
      <c r="AF10" s="3">
        <v>8.1</v>
      </c>
      <c r="AI10" s="118">
        <f t="array" ref="AI10">INDEX($D$1:$D$39,MIN(IF(($B$3:$B$39=$AI$1)*(COUNTIF($AI$2:AI9,$D$3:$D$39)=0),ROW($D$3:$D$39))))</f>
        <v>100</v>
      </c>
      <c r="AJ10" s="118">
        <f t="array" ref="AJ10">IFERROR(INDEX($F$1:$F$39,MIN(IF(($D$3:$D$39=$AJ$1)*($B$3:$B$39=$AI$1)*(COUNTIF($AJ$2:AJ9,$F$3:$F$39)=0),ROW($F$3:$F$39)))),"")</f>
        <v>0</v>
      </c>
      <c r="AK10" s="118"/>
      <c r="AL10" s="22"/>
      <c r="AM10" s="22"/>
      <c r="AN10" s="22"/>
      <c r="AO10" s="22"/>
      <c r="AP10" s="22"/>
      <c r="AQ10" s="22"/>
    </row>
    <row r="11" spans="1:43" x14ac:dyDescent="0.3">
      <c r="A11" s="1"/>
      <c r="B11" s="22">
        <v>1</v>
      </c>
      <c r="C11" s="22" t="s">
        <v>33</v>
      </c>
      <c r="D11" s="3">
        <v>88.9</v>
      </c>
      <c r="E11" s="3" t="s">
        <v>12</v>
      </c>
      <c r="F11" s="3">
        <v>6.9</v>
      </c>
      <c r="G11" s="3" t="str">
        <f t="shared" si="0"/>
        <v>1;88,9;U;6,9</v>
      </c>
      <c r="H11" s="3">
        <v>79</v>
      </c>
      <c r="I11" s="3">
        <v>2</v>
      </c>
      <c r="J11" s="12" t="s">
        <v>14</v>
      </c>
      <c r="K11" s="12">
        <v>320</v>
      </c>
      <c r="L11" s="13">
        <v>31.8</v>
      </c>
      <c r="M11" s="14">
        <v>0.55000000000000004</v>
      </c>
      <c r="N11" s="13">
        <v>320</v>
      </c>
      <c r="O11" s="13">
        <v>31.8</v>
      </c>
      <c r="P11" s="14">
        <v>0.55000000000000004</v>
      </c>
      <c r="Q11" s="15">
        <v>310</v>
      </c>
      <c r="R11" s="15">
        <v>32</v>
      </c>
      <c r="S11" s="16">
        <v>0.52</v>
      </c>
      <c r="T11" s="17"/>
      <c r="U11" s="17"/>
      <c r="V11" s="18"/>
      <c r="W11" s="17"/>
      <c r="X11" s="17"/>
      <c r="Y11" s="18"/>
      <c r="Z11" s="17">
        <v>180</v>
      </c>
      <c r="AA11" s="17">
        <v>16.600000000000001</v>
      </c>
      <c r="AB11" s="18">
        <v>1</v>
      </c>
      <c r="AC11" s="22">
        <f t="shared" si="1"/>
        <v>0</v>
      </c>
      <c r="AD11" s="3">
        <v>101.6</v>
      </c>
      <c r="AF11" s="3">
        <v>8.3000000000000007</v>
      </c>
      <c r="AI11" s="118">
        <f t="array" ref="AI11">INDEX($D$1:$D$39,MIN(IF(($B$3:$B$39=$AI$1)*(COUNTIF($AI$2:AI10,$D$3:$D$39)=0),ROW($D$3:$D$39))))</f>
        <v>101.6</v>
      </c>
      <c r="AJ11" s="118">
        <f t="array" ref="AJ11">IFERROR(INDEX($F$1:$F$39,MIN(IF(($D$3:$D$39=$AJ$1)*($B$3:$B$39=$AI$1)*(COUNTIF($AJ$2:AJ10,$F$3:$F$39)=0),ROW($F$3:$F$39)))),"")</f>
        <v>0</v>
      </c>
      <c r="AK11" s="118"/>
      <c r="AL11" s="22"/>
      <c r="AM11" s="22"/>
      <c r="AN11" s="22"/>
      <c r="AO11" s="22"/>
      <c r="AP11" s="22"/>
      <c r="AQ11" s="22"/>
    </row>
    <row r="12" spans="1:43" x14ac:dyDescent="0.3">
      <c r="A12" s="1"/>
      <c r="B12" s="22">
        <v>1</v>
      </c>
      <c r="C12" s="22" t="s">
        <v>33</v>
      </c>
      <c r="D12" s="3">
        <v>88.9</v>
      </c>
      <c r="E12" s="3" t="s">
        <v>9</v>
      </c>
      <c r="F12" s="3">
        <v>7</v>
      </c>
      <c r="G12" s="3" t="str">
        <f t="shared" si="0"/>
        <v>1;88,9;V;7</v>
      </c>
      <c r="H12" s="3">
        <v>79</v>
      </c>
      <c r="I12" s="3">
        <v>2</v>
      </c>
      <c r="J12" s="12" t="s">
        <v>13</v>
      </c>
      <c r="K12" s="12">
        <v>330</v>
      </c>
      <c r="L12" s="13">
        <v>33.200000000000003</v>
      </c>
      <c r="M12" s="14">
        <v>0.6</v>
      </c>
      <c r="N12" s="13">
        <v>330</v>
      </c>
      <c r="O12" s="13">
        <v>33.200000000000003</v>
      </c>
      <c r="P12" s="14">
        <v>0.6</v>
      </c>
      <c r="Q12" s="15">
        <v>290</v>
      </c>
      <c r="R12" s="15">
        <v>31.5</v>
      </c>
      <c r="S12" s="16">
        <v>0.6</v>
      </c>
      <c r="T12" s="17"/>
      <c r="U12" s="17"/>
      <c r="V12" s="18"/>
      <c r="W12" s="17"/>
      <c r="X12" s="17"/>
      <c r="Y12" s="18"/>
      <c r="Z12" s="17">
        <v>180</v>
      </c>
      <c r="AA12" s="17">
        <v>26.6</v>
      </c>
      <c r="AB12" s="18">
        <v>0.3</v>
      </c>
      <c r="AC12" s="22">
        <f t="shared" si="1"/>
        <v>0</v>
      </c>
      <c r="AD12" s="3">
        <v>108</v>
      </c>
      <c r="AF12" s="3">
        <v>9.1</v>
      </c>
      <c r="AI12" s="118">
        <f t="array" ref="AI12">INDEX($D$1:$D$39,MIN(IF(($B$3:$B$39=$AI$1)*(COUNTIF($AI$2:AI11,$D$3:$D$39)=0),ROW($D$3:$D$39))))</f>
        <v>108</v>
      </c>
      <c r="AJ12" s="118">
        <f t="array" ref="AJ12">IFERROR(INDEX($F$1:$F$39,MIN(IF(($D$3:$D$39=$AJ$1)*($B$3:$B$39=$AI$1)*(COUNTIF($AJ$2:AJ11,$F$3:$F$39)=0),ROW($F$3:$F$39)))),"")</f>
        <v>0</v>
      </c>
      <c r="AK12" s="118"/>
      <c r="AL12" s="22"/>
      <c r="AM12" s="22"/>
      <c r="AN12" s="22"/>
      <c r="AO12" s="22"/>
      <c r="AP12" s="22"/>
      <c r="AQ12" s="22"/>
    </row>
    <row r="13" spans="1:43" x14ac:dyDescent="0.3">
      <c r="A13" s="1"/>
      <c r="B13" s="22">
        <v>1</v>
      </c>
      <c r="C13" s="22" t="s">
        <v>33</v>
      </c>
      <c r="D13" s="3">
        <v>88.9</v>
      </c>
      <c r="E13" s="3" t="s">
        <v>9</v>
      </c>
      <c r="F13" s="3">
        <v>8.1</v>
      </c>
      <c r="G13" s="3" t="str">
        <f t="shared" si="0"/>
        <v>1;88,9;V;8,1</v>
      </c>
      <c r="H13" s="3">
        <v>79</v>
      </c>
      <c r="I13" s="3">
        <v>2</v>
      </c>
      <c r="J13" s="12"/>
      <c r="K13" s="12">
        <v>320</v>
      </c>
      <c r="L13" s="13">
        <v>32</v>
      </c>
      <c r="M13" s="14">
        <v>0.65</v>
      </c>
      <c r="N13" s="13">
        <v>320</v>
      </c>
      <c r="O13" s="13">
        <v>32</v>
      </c>
      <c r="P13" s="14">
        <v>0.65</v>
      </c>
      <c r="Q13" s="15">
        <v>310</v>
      </c>
      <c r="R13" s="15">
        <v>32.1</v>
      </c>
      <c r="S13" s="16">
        <v>0.45</v>
      </c>
      <c r="T13" s="17"/>
      <c r="U13" s="17"/>
      <c r="V13" s="18"/>
      <c r="W13" s="17">
        <v>290</v>
      </c>
      <c r="X13" s="17">
        <v>31.5</v>
      </c>
      <c r="Y13" s="18">
        <v>0.55000000000000004</v>
      </c>
      <c r="Z13" s="17">
        <v>140</v>
      </c>
      <c r="AA13" s="17">
        <v>24.2</v>
      </c>
      <c r="AB13" s="18">
        <v>0</v>
      </c>
      <c r="AC13" s="22">
        <f t="shared" si="1"/>
        <v>0</v>
      </c>
      <c r="AD13" s="3">
        <v>114.3</v>
      </c>
      <c r="AF13" s="3">
        <v>9.6999999999999993</v>
      </c>
      <c r="AI13" s="118">
        <f t="array" ref="AI13">INDEX($D$1:$D$39,MIN(IF(($B$3:$B$39=$AI$1)*(COUNTIF($AI$2:AI12,$D$3:$D$39)=0),ROW($D$3:$D$39))))</f>
        <v>114.3</v>
      </c>
      <c r="AJ13" s="118">
        <f t="array" ref="AJ13">IFERROR(INDEX($F$1:$F$39,MIN(IF(($D$3:$D$39=$AJ$1)*($B$3:$B$39=$AI$1)*(COUNTIF($AJ$2:AJ12,$F$3:$F$39)=0),ROW($F$3:$F$39)))),"")</f>
        <v>0</v>
      </c>
      <c r="AK13" s="118"/>
      <c r="AL13" s="22"/>
      <c r="AM13" s="22"/>
      <c r="AN13" s="22"/>
      <c r="AO13" s="22"/>
      <c r="AP13" s="22"/>
      <c r="AQ13" s="22"/>
    </row>
    <row r="14" spans="1:43" x14ac:dyDescent="0.3">
      <c r="A14" s="1"/>
      <c r="B14" s="22">
        <v>1</v>
      </c>
      <c r="C14" s="22" t="s">
        <v>33</v>
      </c>
      <c r="D14" s="3">
        <v>88.9</v>
      </c>
      <c r="E14" s="3" t="s">
        <v>9</v>
      </c>
      <c r="F14" s="3">
        <v>7.9</v>
      </c>
      <c r="G14" s="3" t="str">
        <f t="shared" si="0"/>
        <v>1;88,9;V;7,9</v>
      </c>
      <c r="H14" s="3">
        <v>88</v>
      </c>
      <c r="I14" s="3">
        <v>2</v>
      </c>
      <c r="J14" s="12"/>
      <c r="K14" s="12">
        <v>320</v>
      </c>
      <c r="L14" s="13">
        <v>32</v>
      </c>
      <c r="M14" s="14">
        <v>0.55000000000000004</v>
      </c>
      <c r="N14" s="15">
        <v>320</v>
      </c>
      <c r="O14" s="15">
        <v>32</v>
      </c>
      <c r="P14" s="16">
        <v>0.55000000000000004</v>
      </c>
      <c r="Q14" s="15">
        <v>330</v>
      </c>
      <c r="R14" s="15">
        <v>34</v>
      </c>
      <c r="S14" s="16">
        <v>0.45</v>
      </c>
      <c r="T14" s="17"/>
      <c r="U14" s="17"/>
      <c r="V14" s="18"/>
      <c r="W14" s="17"/>
      <c r="X14" s="17"/>
      <c r="Y14" s="18"/>
      <c r="Z14" s="17">
        <v>180</v>
      </c>
      <c r="AA14" s="17">
        <v>26.6</v>
      </c>
      <c r="AB14" s="18">
        <v>0</v>
      </c>
      <c r="AC14" s="22">
        <f t="shared" si="1"/>
        <v>1</v>
      </c>
      <c r="AD14" s="25">
        <v>120.6</v>
      </c>
      <c r="AF14" s="3">
        <v>10</v>
      </c>
      <c r="AI14" s="118">
        <f t="array" ref="AI14">INDEX($D$1:$D$39,MIN(IF(($B$3:$B$39=$AI$1)*(COUNTIF($AI$2:AI13,$D$3:$D$39)=0),ROW($D$3:$D$39))))</f>
        <v>120.7</v>
      </c>
      <c r="AJ14" s="118">
        <f t="array" ref="AJ14">IFERROR(INDEX($F$1:$F$39,MIN(IF(($D$3:$D$39=$AJ$1)*($B$3:$B$39=$AI$1)*(COUNTIF($AJ$2:AJ13,$F$3:$F$39)=0),ROW($F$3:$F$39)))),"")</f>
        <v>0</v>
      </c>
      <c r="AK14" s="118"/>
      <c r="AL14" s="22"/>
      <c r="AM14" s="22"/>
      <c r="AN14" s="22"/>
      <c r="AO14" s="22"/>
      <c r="AP14" s="22"/>
      <c r="AQ14" s="22"/>
    </row>
    <row r="15" spans="1:43" x14ac:dyDescent="0.3">
      <c r="A15" s="1"/>
      <c r="B15" s="22">
        <v>1</v>
      </c>
      <c r="C15" s="22" t="s">
        <v>33</v>
      </c>
      <c r="D15" s="3">
        <v>88.9</v>
      </c>
      <c r="E15" s="3" t="s">
        <v>9</v>
      </c>
      <c r="F15" s="3">
        <v>10</v>
      </c>
      <c r="G15" s="3" t="str">
        <f t="shared" si="0"/>
        <v>1;88,9;V;10</v>
      </c>
      <c r="H15" s="3">
        <v>129</v>
      </c>
      <c r="I15" s="3">
        <v>3</v>
      </c>
      <c r="J15" s="12" t="s">
        <v>13</v>
      </c>
      <c r="K15" s="12">
        <v>350</v>
      </c>
      <c r="L15" s="13">
        <v>34</v>
      </c>
      <c r="M15" s="14">
        <v>0.35</v>
      </c>
      <c r="N15" s="15">
        <v>320</v>
      </c>
      <c r="O15" s="15">
        <v>32.4</v>
      </c>
      <c r="P15" s="16">
        <v>0.55000000000000004</v>
      </c>
      <c r="Q15" s="15">
        <v>320</v>
      </c>
      <c r="R15" s="15">
        <v>32.4</v>
      </c>
      <c r="S15" s="16">
        <v>0.45</v>
      </c>
      <c r="T15" s="15">
        <v>350</v>
      </c>
      <c r="U15" s="15">
        <v>33.200000000000003</v>
      </c>
      <c r="V15" s="16">
        <v>0.4</v>
      </c>
      <c r="W15" s="17"/>
      <c r="X15" s="17"/>
      <c r="Y15" s="18"/>
      <c r="Z15" s="17">
        <v>220</v>
      </c>
      <c r="AA15" s="17">
        <v>28.6</v>
      </c>
      <c r="AB15" s="18">
        <v>0.8</v>
      </c>
      <c r="AC15" s="22">
        <f t="shared" si="1"/>
        <v>3</v>
      </c>
      <c r="AD15" s="3">
        <v>120.7</v>
      </c>
      <c r="AF15" s="3">
        <v>11.3</v>
      </c>
      <c r="AI15" s="118">
        <f t="array" ref="AI15">INDEX($D$1:$D$39,MIN(IF(($B$3:$B$39=$AI$1)*(COUNTIF($AI$2:AI14,$D$3:$D$39)=0),ROW($D$3:$D$39))))</f>
        <v>127</v>
      </c>
      <c r="AJ15" s="118">
        <f t="array" ref="AJ15">IFERROR(INDEX($F$1:$F$39,MIN(IF(($D$3:$D$39=$AJ$1)*($B$3:$B$39=$AI$1)*(COUNTIF($AJ$2:AJ14,$F$3:$F$39)=0),ROW($F$3:$F$39)))),"")</f>
        <v>0</v>
      </c>
      <c r="AK15" s="118"/>
      <c r="AL15" s="22"/>
      <c r="AM15" s="22"/>
      <c r="AN15" s="22"/>
      <c r="AO15" s="22"/>
    </row>
    <row r="16" spans="1:43" x14ac:dyDescent="0.3">
      <c r="A16" s="1"/>
      <c r="B16" s="22">
        <v>1</v>
      </c>
      <c r="C16" s="22" t="s">
        <v>33</v>
      </c>
      <c r="D16" s="3">
        <v>90</v>
      </c>
      <c r="E16" s="3" t="s">
        <v>15</v>
      </c>
      <c r="F16" s="3">
        <v>6.8</v>
      </c>
      <c r="G16" s="3" t="str">
        <f t="shared" si="0"/>
        <v>1;90;J;6,8</v>
      </c>
      <c r="H16" s="3">
        <v>53</v>
      </c>
      <c r="I16" s="3">
        <v>1</v>
      </c>
      <c r="J16" s="12" t="s">
        <v>14</v>
      </c>
      <c r="K16" s="12">
        <v>350</v>
      </c>
      <c r="L16" s="13">
        <v>36</v>
      </c>
      <c r="M16" s="14">
        <v>0.4</v>
      </c>
      <c r="N16" s="15">
        <v>350</v>
      </c>
      <c r="O16" s="15">
        <v>36</v>
      </c>
      <c r="P16" s="16">
        <v>0.4</v>
      </c>
      <c r="Q16" s="17"/>
      <c r="R16" s="17"/>
      <c r="S16" s="18"/>
      <c r="T16" s="17"/>
      <c r="U16" s="17"/>
      <c r="V16" s="18"/>
      <c r="W16" s="19">
        <v>260</v>
      </c>
      <c r="X16" s="19">
        <v>36</v>
      </c>
      <c r="Y16" s="20">
        <v>0.4</v>
      </c>
      <c r="Z16" s="17">
        <v>180</v>
      </c>
      <c r="AA16" s="17">
        <v>26.6</v>
      </c>
      <c r="AB16" s="18">
        <v>0.2</v>
      </c>
      <c r="AC16" s="22">
        <f t="shared" si="1"/>
        <v>3</v>
      </c>
      <c r="AD16" s="3">
        <v>127</v>
      </c>
      <c r="AF16" s="3">
        <v>11.4</v>
      </c>
      <c r="AI16" s="118">
        <f t="array" ref="AI16">INDEX($D$1:$D$39,MIN(IF(($B$3:$B$39=$AI$1)*(COUNTIF($AI$2:AI15,$D$3:$D$39)=0),ROW($D$3:$D$39))))</f>
        <v>133.4</v>
      </c>
      <c r="AJ16" s="118">
        <f t="array" ref="AJ16">IFERROR(INDEX($F$1:$F$39,MIN(IF(($D$3:$D$39=$AJ$1)*($B$3:$B$39=$AI$1)*(COUNTIF($AJ$2:AJ15,$F$3:$F$39)=0),ROW($F$3:$F$39)))),"")</f>
        <v>0</v>
      </c>
      <c r="AK16" s="118"/>
      <c r="AL16" s="22"/>
      <c r="AM16" s="22"/>
      <c r="AN16" s="22"/>
      <c r="AO16" s="22"/>
    </row>
    <row r="17" spans="1:41" x14ac:dyDescent="0.3">
      <c r="A17" s="1"/>
      <c r="B17" s="22">
        <v>1</v>
      </c>
      <c r="C17" s="22" t="s">
        <v>33</v>
      </c>
      <c r="D17" s="3">
        <v>95.2</v>
      </c>
      <c r="E17" s="3" t="s">
        <v>9</v>
      </c>
      <c r="F17" s="3">
        <v>7.9</v>
      </c>
      <c r="G17" s="3" t="str">
        <f t="shared" si="0"/>
        <v>1;95,2;V;7,9</v>
      </c>
      <c r="H17" s="21">
        <v>94</v>
      </c>
      <c r="I17" s="3">
        <v>2</v>
      </c>
      <c r="J17" s="12" t="s">
        <v>14</v>
      </c>
      <c r="K17" s="12">
        <v>350</v>
      </c>
      <c r="L17" s="13">
        <v>34</v>
      </c>
      <c r="M17" s="14">
        <v>0.4</v>
      </c>
      <c r="N17" s="15">
        <v>320</v>
      </c>
      <c r="O17" s="15">
        <v>31</v>
      </c>
      <c r="P17" s="16">
        <v>0.42</v>
      </c>
      <c r="Q17" s="15">
        <v>280</v>
      </c>
      <c r="R17" s="15">
        <v>32</v>
      </c>
      <c r="S17" s="16">
        <v>0.45</v>
      </c>
      <c r="T17" s="17"/>
      <c r="U17" s="17"/>
      <c r="V17" s="18"/>
      <c r="W17" s="17">
        <v>220</v>
      </c>
      <c r="X17" s="17">
        <v>28.1</v>
      </c>
      <c r="Y17" s="18">
        <v>0.5</v>
      </c>
      <c r="Z17" s="17">
        <v>180</v>
      </c>
      <c r="AA17" s="17">
        <v>26.6</v>
      </c>
      <c r="AB17" s="18">
        <v>1</v>
      </c>
      <c r="AC17" s="22">
        <f t="shared" si="1"/>
        <v>3</v>
      </c>
      <c r="AD17" s="3">
        <v>133.4</v>
      </c>
      <c r="AF17" s="25">
        <v>11.9</v>
      </c>
      <c r="AI17" s="118">
        <f t="array" ref="AI17">INDEX($D$1:$D$39,MIN(IF(($B$3:$B$39=$AI$1)*(COUNTIF($AI$2:AI16,$D$3:$D$39)=0),ROW($D$3:$D$39))))</f>
        <v>0</v>
      </c>
      <c r="AJ17" s="118">
        <f t="array" ref="AJ17">IFERROR(INDEX($F$1:$F$39,MIN(IF(($D$3:$D$39=$AJ$1)*($B$3:$B$39=$AI$1)*(COUNTIF($AJ$2:AJ16,$F$3:$F$39)=0),ROW($F$3:$F$39)))),"")</f>
        <v>0</v>
      </c>
      <c r="AK17" s="118"/>
      <c r="AL17" s="22"/>
      <c r="AM17" s="22"/>
      <c r="AN17" s="22"/>
      <c r="AO17" s="22"/>
    </row>
    <row r="18" spans="1:41" x14ac:dyDescent="0.3">
      <c r="A18" s="1"/>
      <c r="B18" s="22">
        <v>1</v>
      </c>
      <c r="C18" s="22" t="s">
        <v>33</v>
      </c>
      <c r="D18" s="3">
        <v>95.2</v>
      </c>
      <c r="E18" s="3" t="s">
        <v>9</v>
      </c>
      <c r="F18" s="3">
        <v>8.1</v>
      </c>
      <c r="G18" s="3" t="str">
        <f t="shared" si="0"/>
        <v>1;95,2;V;8,1</v>
      </c>
      <c r="H18" s="21">
        <v>94</v>
      </c>
      <c r="I18" s="3">
        <v>2</v>
      </c>
      <c r="J18" s="12" t="s">
        <v>13</v>
      </c>
      <c r="K18" s="12">
        <v>350</v>
      </c>
      <c r="L18" s="13">
        <v>34</v>
      </c>
      <c r="M18" s="14">
        <v>0.4</v>
      </c>
      <c r="N18" s="15">
        <v>320</v>
      </c>
      <c r="O18" s="15">
        <v>31</v>
      </c>
      <c r="P18" s="16">
        <v>0.42</v>
      </c>
      <c r="Q18" s="15">
        <v>280</v>
      </c>
      <c r="R18" s="15">
        <v>32</v>
      </c>
      <c r="S18" s="16">
        <v>0.45</v>
      </c>
      <c r="T18" s="17"/>
      <c r="U18" s="17"/>
      <c r="V18" s="18"/>
      <c r="W18" s="17">
        <v>230</v>
      </c>
      <c r="X18" s="17">
        <v>29.4</v>
      </c>
      <c r="Y18" s="18">
        <v>0.6</v>
      </c>
      <c r="Z18" s="17">
        <v>180</v>
      </c>
      <c r="AA18" s="17">
        <v>27.6</v>
      </c>
      <c r="AB18" s="18">
        <v>1</v>
      </c>
      <c r="AC18" s="22">
        <f t="shared" si="1"/>
        <v>1</v>
      </c>
      <c r="AD18" s="25">
        <v>139.69999999999999</v>
      </c>
      <c r="AF18" s="25">
        <v>12.7</v>
      </c>
      <c r="AI18" s="118">
        <f t="array" ref="AI18">INDEX($D$1:$D$39,MIN(IF(($B$3:$B$39=$AI$1)*(COUNTIF($AI$2:AI17,$D$3:$D$39)=0),ROW($D$3:$D$39))))</f>
        <v>0</v>
      </c>
      <c r="AJ18" s="118">
        <f t="array" ref="AJ18">IFERROR(INDEX($F$1:$F$39,MIN(IF(($D$3:$D$39=$AJ$1)*($B$3:$B$39=$AI$1)*(COUNTIF($AJ$2:AJ17,$F$3:$F$39)=0),ROW($F$3:$F$39)))),"")</f>
        <v>0</v>
      </c>
      <c r="AK18" s="118"/>
      <c r="AL18" s="22"/>
      <c r="AM18" s="22"/>
      <c r="AN18" s="22"/>
      <c r="AO18" s="22"/>
    </row>
    <row r="19" spans="1:41" x14ac:dyDescent="0.3">
      <c r="A19" s="1"/>
      <c r="B19" s="22">
        <v>1</v>
      </c>
      <c r="C19" s="22" t="s">
        <v>33</v>
      </c>
      <c r="D19" s="3">
        <v>100</v>
      </c>
      <c r="E19" s="3" t="s">
        <v>15</v>
      </c>
      <c r="F19" s="3">
        <v>6.8</v>
      </c>
      <c r="G19" s="3" t="str">
        <f t="shared" si="0"/>
        <v>1;100;J;6,8</v>
      </c>
      <c r="H19" s="3">
        <v>80</v>
      </c>
      <c r="I19" s="3">
        <v>2</v>
      </c>
      <c r="J19" s="12" t="s">
        <v>13</v>
      </c>
      <c r="K19" s="12">
        <v>320</v>
      </c>
      <c r="L19" s="13">
        <v>32</v>
      </c>
      <c r="M19" s="14">
        <v>0.65</v>
      </c>
      <c r="N19" s="13">
        <v>320</v>
      </c>
      <c r="O19" s="13">
        <v>32</v>
      </c>
      <c r="P19" s="14">
        <v>0.65</v>
      </c>
      <c r="Q19" s="15">
        <v>290</v>
      </c>
      <c r="R19" s="15">
        <v>31.5</v>
      </c>
      <c r="S19" s="16">
        <v>0.55000000000000004</v>
      </c>
      <c r="T19" s="17"/>
      <c r="U19" s="17"/>
      <c r="V19" s="18"/>
      <c r="W19" s="17"/>
      <c r="X19" s="17"/>
      <c r="Y19" s="18"/>
      <c r="Z19" s="17">
        <v>180</v>
      </c>
      <c r="AA19" s="17">
        <v>26.6</v>
      </c>
      <c r="AB19" s="18">
        <v>1</v>
      </c>
      <c r="AC19" s="22"/>
    </row>
    <row r="20" spans="1:41" x14ac:dyDescent="0.3">
      <c r="A20" s="1"/>
      <c r="B20" s="22">
        <v>1</v>
      </c>
      <c r="C20" s="22" t="s">
        <v>33</v>
      </c>
      <c r="D20" s="3">
        <v>101.6</v>
      </c>
      <c r="E20" s="3" t="s">
        <v>9</v>
      </c>
      <c r="F20" s="3">
        <v>7.9</v>
      </c>
      <c r="G20" s="3" t="str">
        <f t="shared" si="0"/>
        <v>1;101,6;V;7,9</v>
      </c>
      <c r="H20" s="3">
        <v>92</v>
      </c>
      <c r="I20" s="3">
        <v>2</v>
      </c>
      <c r="J20" s="12" t="s">
        <v>14</v>
      </c>
      <c r="K20" s="12">
        <v>330</v>
      </c>
      <c r="L20" s="13">
        <v>33.700000000000003</v>
      </c>
      <c r="M20" s="14">
        <v>0.55000000000000004</v>
      </c>
      <c r="N20" s="15">
        <v>330</v>
      </c>
      <c r="O20" s="15">
        <v>33.700000000000003</v>
      </c>
      <c r="P20" s="16">
        <v>0.55000000000000004</v>
      </c>
      <c r="Q20" s="15">
        <v>300</v>
      </c>
      <c r="R20" s="15">
        <v>32.799999999999997</v>
      </c>
      <c r="S20" s="16">
        <v>0.55000000000000004</v>
      </c>
      <c r="T20" s="17"/>
      <c r="U20" s="17"/>
      <c r="V20" s="18"/>
      <c r="W20" s="17"/>
      <c r="X20" s="17"/>
      <c r="Y20" s="18"/>
      <c r="Z20" s="17">
        <v>180</v>
      </c>
      <c r="AA20" s="17">
        <v>26.6</v>
      </c>
      <c r="AB20" s="18">
        <v>1</v>
      </c>
      <c r="AC20" s="22"/>
    </row>
    <row r="21" spans="1:41" x14ac:dyDescent="0.3">
      <c r="A21" s="1"/>
      <c r="B21" s="22">
        <v>1</v>
      </c>
      <c r="C21" s="22" t="s">
        <v>33</v>
      </c>
      <c r="D21" s="3">
        <v>101.6</v>
      </c>
      <c r="E21" s="3" t="s">
        <v>12</v>
      </c>
      <c r="F21" s="3">
        <v>11.3</v>
      </c>
      <c r="G21" s="3" t="str">
        <f t="shared" si="0"/>
        <v>1;101,6;U;11,3</v>
      </c>
      <c r="H21" s="3">
        <v>170</v>
      </c>
      <c r="I21" s="3">
        <v>2</v>
      </c>
      <c r="J21" s="12"/>
      <c r="K21" s="12">
        <v>320</v>
      </c>
      <c r="L21" s="13">
        <v>32.700000000000003</v>
      </c>
      <c r="M21" s="14">
        <v>0.35</v>
      </c>
      <c r="N21" s="15">
        <v>330</v>
      </c>
      <c r="O21" s="15">
        <v>33</v>
      </c>
      <c r="P21" s="16">
        <v>0.25</v>
      </c>
      <c r="Q21" s="15">
        <v>330</v>
      </c>
      <c r="R21" s="15">
        <v>33</v>
      </c>
      <c r="S21" s="16">
        <v>0.25</v>
      </c>
      <c r="T21" s="17"/>
      <c r="U21" s="17"/>
      <c r="V21" s="18"/>
      <c r="W21" s="17"/>
      <c r="X21" s="17"/>
      <c r="Y21" s="18"/>
      <c r="Z21" s="17">
        <v>180</v>
      </c>
      <c r="AA21" s="17">
        <v>26.6</v>
      </c>
      <c r="AB21" s="18">
        <v>0.3</v>
      </c>
      <c r="AC21" s="22"/>
    </row>
    <row r="22" spans="1:41" x14ac:dyDescent="0.3">
      <c r="A22" s="1"/>
      <c r="B22" s="22">
        <v>1</v>
      </c>
      <c r="C22" s="22" t="s">
        <v>33</v>
      </c>
      <c r="D22" s="3">
        <v>108</v>
      </c>
      <c r="E22" s="3" t="s">
        <v>9</v>
      </c>
      <c r="F22" s="3">
        <v>9.6999999999999993</v>
      </c>
      <c r="G22" s="3" t="str">
        <f t="shared" si="0"/>
        <v>1;108;V;9,7</v>
      </c>
      <c r="H22" s="21">
        <v>154</v>
      </c>
      <c r="I22" s="3">
        <v>2</v>
      </c>
      <c r="J22" s="12" t="s">
        <v>13</v>
      </c>
      <c r="K22" s="12">
        <v>350</v>
      </c>
      <c r="L22" s="13">
        <v>36</v>
      </c>
      <c r="M22" s="14">
        <v>0.4</v>
      </c>
      <c r="N22" s="15">
        <v>340</v>
      </c>
      <c r="O22" s="15">
        <v>33</v>
      </c>
      <c r="P22" s="16">
        <v>0.3</v>
      </c>
      <c r="Q22" s="15">
        <v>320</v>
      </c>
      <c r="R22" s="15">
        <v>32.6</v>
      </c>
      <c r="S22" s="16">
        <v>0.28000000000000003</v>
      </c>
      <c r="T22" s="17"/>
      <c r="U22" s="17"/>
      <c r="V22" s="18"/>
      <c r="W22" s="17">
        <v>270</v>
      </c>
      <c r="X22" s="17">
        <v>29.4</v>
      </c>
      <c r="Y22" s="18">
        <v>0.3</v>
      </c>
      <c r="Z22" s="17">
        <v>180</v>
      </c>
      <c r="AA22" s="17">
        <v>27.6</v>
      </c>
      <c r="AB22" s="18">
        <v>1</v>
      </c>
      <c r="AC22" s="22"/>
    </row>
    <row r="23" spans="1:41" x14ac:dyDescent="0.3">
      <c r="A23" s="1"/>
      <c r="B23" s="22">
        <v>1</v>
      </c>
      <c r="C23" s="22" t="s">
        <v>33</v>
      </c>
      <c r="D23" s="3">
        <v>114.3</v>
      </c>
      <c r="E23" s="3" t="s">
        <v>9</v>
      </c>
      <c r="F23" s="3">
        <v>10</v>
      </c>
      <c r="G23" s="3" t="str">
        <f t="shared" si="0"/>
        <v>1;114,3;V;10</v>
      </c>
      <c r="H23" s="21">
        <v>140</v>
      </c>
      <c r="I23" s="3">
        <v>2</v>
      </c>
      <c r="J23" s="12" t="s">
        <v>13</v>
      </c>
      <c r="K23" s="12">
        <v>370</v>
      </c>
      <c r="L23" s="13">
        <v>36</v>
      </c>
      <c r="M23" s="14">
        <v>0.35</v>
      </c>
      <c r="N23" s="15">
        <v>370</v>
      </c>
      <c r="O23" s="15">
        <v>33</v>
      </c>
      <c r="P23" s="16">
        <v>0.4</v>
      </c>
      <c r="Q23" s="15">
        <v>330</v>
      </c>
      <c r="R23" s="15">
        <v>32.700000000000003</v>
      </c>
      <c r="S23" s="16">
        <v>0.35</v>
      </c>
      <c r="T23" s="17"/>
      <c r="U23" s="17"/>
      <c r="V23" s="18"/>
      <c r="W23" s="17">
        <v>200</v>
      </c>
      <c r="X23" s="17">
        <v>30.5</v>
      </c>
      <c r="Y23" s="18">
        <v>0.45</v>
      </c>
      <c r="Z23" s="17">
        <v>180</v>
      </c>
      <c r="AA23" s="17">
        <v>27.6</v>
      </c>
      <c r="AB23" s="18">
        <v>1</v>
      </c>
      <c r="AC23" s="22"/>
    </row>
    <row r="24" spans="1:41" x14ac:dyDescent="0.3">
      <c r="A24" s="1"/>
      <c r="B24" s="22">
        <v>1</v>
      </c>
      <c r="C24" s="22" t="s">
        <v>33</v>
      </c>
      <c r="D24" s="3">
        <v>120.7</v>
      </c>
      <c r="E24" s="3" t="s">
        <v>12</v>
      </c>
      <c r="F24" s="3">
        <v>9.6999999999999993</v>
      </c>
      <c r="G24" s="3" t="str">
        <f t="shared" si="0"/>
        <v>1;120,7;U;9,7</v>
      </c>
      <c r="H24" s="3">
        <v>136</v>
      </c>
      <c r="I24" s="3">
        <v>2</v>
      </c>
      <c r="J24" s="12"/>
      <c r="K24" s="12">
        <v>320</v>
      </c>
      <c r="L24" s="13">
        <v>33.4</v>
      </c>
      <c r="M24" s="14">
        <v>0.43</v>
      </c>
      <c r="N24" s="15">
        <v>320</v>
      </c>
      <c r="O24" s="15">
        <v>33.4</v>
      </c>
      <c r="P24" s="16">
        <v>0.43</v>
      </c>
      <c r="Q24" s="15">
        <v>320</v>
      </c>
      <c r="R24" s="15">
        <v>33.4</v>
      </c>
      <c r="S24" s="16">
        <v>0.38</v>
      </c>
      <c r="T24" s="17"/>
      <c r="U24" s="17"/>
      <c r="V24" s="18"/>
      <c r="W24" s="17"/>
      <c r="X24" s="17"/>
      <c r="Y24" s="18"/>
      <c r="Z24" s="17">
        <v>180</v>
      </c>
      <c r="AA24" s="17">
        <v>26.6</v>
      </c>
      <c r="AB24" s="18">
        <v>0.3</v>
      </c>
      <c r="AC24" s="22"/>
    </row>
    <row r="25" spans="1:41" x14ac:dyDescent="0.3">
      <c r="A25" s="1"/>
      <c r="B25" s="22">
        <v>1</v>
      </c>
      <c r="C25" s="22" t="s">
        <v>33</v>
      </c>
      <c r="D25" s="3">
        <v>127</v>
      </c>
      <c r="E25" s="3" t="s">
        <v>12</v>
      </c>
      <c r="F25" s="3">
        <v>9.6999999999999993</v>
      </c>
      <c r="G25" s="3" t="str">
        <f t="shared" si="0"/>
        <v>1;127;U;9,7</v>
      </c>
      <c r="H25" s="3">
        <v>129</v>
      </c>
      <c r="I25" s="3">
        <v>2</v>
      </c>
      <c r="J25" s="12"/>
      <c r="K25" s="12">
        <v>340</v>
      </c>
      <c r="L25" s="13">
        <v>32.5</v>
      </c>
      <c r="M25" s="14">
        <v>0.45</v>
      </c>
      <c r="N25" s="13">
        <v>340</v>
      </c>
      <c r="O25" s="13">
        <v>32.5</v>
      </c>
      <c r="P25" s="14">
        <v>0.45</v>
      </c>
      <c r="Q25" s="15">
        <v>340</v>
      </c>
      <c r="R25" s="15">
        <v>32.5</v>
      </c>
      <c r="S25" s="16">
        <v>0.45</v>
      </c>
      <c r="T25" s="17"/>
      <c r="U25" s="17"/>
      <c r="V25" s="18"/>
      <c r="W25" s="17"/>
      <c r="X25" s="17"/>
      <c r="Y25" s="18"/>
      <c r="Z25" s="17">
        <v>180</v>
      </c>
      <c r="AA25" s="17">
        <v>26.6</v>
      </c>
      <c r="AB25" s="18">
        <v>1</v>
      </c>
      <c r="AC25" s="22"/>
    </row>
    <row r="26" spans="1:41" x14ac:dyDescent="0.3">
      <c r="A26" s="1"/>
      <c r="B26" s="22">
        <v>1</v>
      </c>
      <c r="C26" s="22" t="s">
        <v>33</v>
      </c>
      <c r="D26" s="3">
        <v>127</v>
      </c>
      <c r="E26" s="3" t="s">
        <v>12</v>
      </c>
      <c r="F26" s="3">
        <v>9.1</v>
      </c>
      <c r="G26" s="3" t="str">
        <f t="shared" si="0"/>
        <v>1;127;U;9,1</v>
      </c>
      <c r="H26" s="21">
        <v>152</v>
      </c>
      <c r="I26" s="3">
        <v>2</v>
      </c>
      <c r="J26" s="12" t="s">
        <v>14</v>
      </c>
      <c r="K26" s="12">
        <v>350</v>
      </c>
      <c r="L26" s="13">
        <v>36</v>
      </c>
      <c r="M26" s="14">
        <v>0.4</v>
      </c>
      <c r="N26" s="15">
        <v>285</v>
      </c>
      <c r="O26" s="15">
        <v>31.2</v>
      </c>
      <c r="P26" s="16">
        <v>0.38</v>
      </c>
      <c r="Q26" s="15">
        <v>330</v>
      </c>
      <c r="R26" s="15">
        <v>32.6</v>
      </c>
      <c r="S26" s="16">
        <v>0.35</v>
      </c>
      <c r="T26" s="17"/>
      <c r="U26" s="17"/>
      <c r="V26" s="18"/>
      <c r="W26" s="17">
        <v>250</v>
      </c>
      <c r="X26" s="17">
        <v>30.3</v>
      </c>
      <c r="Y26" s="18">
        <v>0.62</v>
      </c>
      <c r="Z26" s="17">
        <v>200</v>
      </c>
      <c r="AA26" s="17">
        <v>28.4</v>
      </c>
      <c r="AB26" s="18">
        <v>1</v>
      </c>
      <c r="AC26" s="22"/>
    </row>
    <row r="27" spans="1:41" x14ac:dyDescent="0.3">
      <c r="A27" s="1"/>
      <c r="B27" s="22">
        <v>1</v>
      </c>
      <c r="C27" s="22" t="s">
        <v>33</v>
      </c>
      <c r="D27" s="3">
        <v>133.4</v>
      </c>
      <c r="E27" s="3" t="s">
        <v>12</v>
      </c>
      <c r="F27" s="3">
        <v>11.4</v>
      </c>
      <c r="G27" s="3" t="str">
        <f t="shared" si="0"/>
        <v>1;133,4;U;11,4</v>
      </c>
      <c r="H27" s="3">
        <v>192</v>
      </c>
      <c r="I27" s="3">
        <v>3</v>
      </c>
      <c r="J27" s="12" t="s">
        <v>14</v>
      </c>
      <c r="K27" s="12">
        <v>320</v>
      </c>
      <c r="L27" s="13">
        <v>36</v>
      </c>
      <c r="M27" s="14">
        <v>0.4</v>
      </c>
      <c r="N27" s="15">
        <v>300</v>
      </c>
      <c r="O27" s="15">
        <v>29.4</v>
      </c>
      <c r="P27" s="16">
        <v>0.42</v>
      </c>
      <c r="Q27" s="15">
        <v>320</v>
      </c>
      <c r="R27" s="15">
        <v>29.4</v>
      </c>
      <c r="S27" s="16">
        <v>0.43</v>
      </c>
      <c r="T27" s="15">
        <v>275</v>
      </c>
      <c r="U27" s="15">
        <v>31.5</v>
      </c>
      <c r="V27" s="16">
        <v>0.43</v>
      </c>
      <c r="W27" s="15">
        <v>235</v>
      </c>
      <c r="X27" s="15">
        <v>29.4</v>
      </c>
      <c r="Y27" s="16">
        <v>0.6</v>
      </c>
      <c r="Z27" s="15">
        <v>180</v>
      </c>
      <c r="AA27" s="15">
        <v>27.6</v>
      </c>
      <c r="AB27" s="16">
        <v>1</v>
      </c>
      <c r="AC27" s="22"/>
    </row>
    <row r="28" spans="1:41" ht="28.8" x14ac:dyDescent="0.3">
      <c r="D28" s="2" t="s">
        <v>4</v>
      </c>
      <c r="E28" s="2" t="s">
        <v>5</v>
      </c>
      <c r="F28" s="2" t="s">
        <v>6</v>
      </c>
      <c r="G28" s="2" t="s">
        <v>19</v>
      </c>
      <c r="H28" s="2" t="s">
        <v>39</v>
      </c>
      <c r="I28" s="2" t="s">
        <v>18</v>
      </c>
      <c r="J28" s="2" t="s">
        <v>7</v>
      </c>
      <c r="K28" s="2"/>
      <c r="L28" s="2"/>
      <c r="M28" s="2"/>
      <c r="N28" s="2" t="s">
        <v>34</v>
      </c>
      <c r="O28" s="2" t="s">
        <v>9</v>
      </c>
      <c r="P28" s="2" t="s">
        <v>10</v>
      </c>
      <c r="Q28" s="2" t="s">
        <v>34</v>
      </c>
      <c r="R28" s="2" t="s">
        <v>9</v>
      </c>
      <c r="S28" s="2" t="s">
        <v>10</v>
      </c>
      <c r="T28" s="2" t="s">
        <v>34</v>
      </c>
      <c r="U28" s="2" t="s">
        <v>9</v>
      </c>
      <c r="V28" s="2" t="s">
        <v>10</v>
      </c>
      <c r="W28" s="2"/>
      <c r="X28" s="2"/>
      <c r="Y28" s="2"/>
      <c r="Z28" s="2"/>
      <c r="AA28" s="2"/>
      <c r="AB28" s="2"/>
      <c r="AC28" s="22"/>
    </row>
    <row r="29" spans="1:41" x14ac:dyDescent="0.3">
      <c r="B29" s="22">
        <v>6</v>
      </c>
      <c r="C29" s="24" t="s">
        <v>33</v>
      </c>
      <c r="D29" s="25">
        <v>120.6</v>
      </c>
      <c r="E29" s="25" t="s">
        <v>12</v>
      </c>
      <c r="F29" s="25">
        <v>11.9</v>
      </c>
      <c r="G29" s="3" t="str">
        <f>CONCATENATE(B29,C29,D29,C29,E29,C29,F29)</f>
        <v>6;120,6;U;11,9</v>
      </c>
      <c r="H29" s="23">
        <f>Données!P39+Données!S39+Données!V39</f>
        <v>275</v>
      </c>
      <c r="I29" s="25">
        <v>3</v>
      </c>
      <c r="J29" s="23"/>
      <c r="K29" s="23"/>
      <c r="L29" s="23"/>
      <c r="M29" s="23"/>
      <c r="N29" s="25">
        <v>9.6</v>
      </c>
      <c r="O29" s="25">
        <v>30</v>
      </c>
      <c r="P29" s="25">
        <v>80</v>
      </c>
      <c r="Q29" s="25">
        <v>9</v>
      </c>
      <c r="R29" s="25">
        <v>29</v>
      </c>
      <c r="S29" s="25">
        <v>90</v>
      </c>
      <c r="T29" s="25">
        <v>9</v>
      </c>
      <c r="U29" s="25">
        <v>28.5</v>
      </c>
      <c r="V29" s="25">
        <v>90</v>
      </c>
      <c r="W29" s="23"/>
      <c r="X29" s="23"/>
      <c r="Y29" s="23"/>
      <c r="Z29" s="23"/>
      <c r="AA29" s="23"/>
      <c r="AB29" s="23"/>
      <c r="AC29" s="22"/>
    </row>
    <row r="30" spans="1:41" x14ac:dyDescent="0.3">
      <c r="B30" s="22">
        <v>6</v>
      </c>
      <c r="C30" s="24" t="s">
        <v>33</v>
      </c>
      <c r="D30" s="25">
        <v>120.7</v>
      </c>
      <c r="E30" s="25" t="s">
        <v>12</v>
      </c>
      <c r="F30" s="25">
        <v>11.9</v>
      </c>
      <c r="G30" s="3" t="str">
        <f>CONCATENATE(B30,C30,D30,C30,E30,C30,F30)</f>
        <v>6;120,7;U;11,9</v>
      </c>
      <c r="H30" s="23">
        <f>Données!P29+Données!S29+Données!V29</f>
        <v>260</v>
      </c>
      <c r="I30" s="25">
        <v>3</v>
      </c>
      <c r="J30" s="23"/>
      <c r="K30" s="23"/>
      <c r="L30" s="23"/>
      <c r="M30" s="23"/>
      <c r="N30" s="25">
        <v>9.6</v>
      </c>
      <c r="O30" s="25">
        <v>30</v>
      </c>
      <c r="P30" s="25">
        <v>80</v>
      </c>
      <c r="Q30" s="25">
        <v>9</v>
      </c>
      <c r="R30" s="25">
        <v>29</v>
      </c>
      <c r="S30" s="25">
        <v>90</v>
      </c>
      <c r="T30" s="25">
        <v>9</v>
      </c>
      <c r="U30" s="25">
        <v>28.5</v>
      </c>
      <c r="V30" s="25">
        <v>90</v>
      </c>
      <c r="W30" s="23"/>
      <c r="X30" s="23"/>
      <c r="Y30" s="23"/>
      <c r="Z30" s="23"/>
      <c r="AA30" s="23"/>
      <c r="AB30" s="23"/>
      <c r="AC30" s="22"/>
    </row>
    <row r="31" spans="1:41" x14ac:dyDescent="0.3">
      <c r="B31" s="22">
        <v>6</v>
      </c>
      <c r="C31" s="24" t="s">
        <v>33</v>
      </c>
      <c r="D31" s="25">
        <v>120.7</v>
      </c>
      <c r="E31" s="25" t="s">
        <v>12</v>
      </c>
      <c r="F31" s="25">
        <v>9.1</v>
      </c>
      <c r="G31" s="3" t="str">
        <f>CONCATENATE(B31,C31,D31,C31,E31,C31,F31)</f>
        <v>6;120,7;U;9,1</v>
      </c>
      <c r="H31" s="23">
        <f>Données!P31+Données!S31+Données!V31</f>
        <v>185</v>
      </c>
      <c r="I31" s="25">
        <v>2</v>
      </c>
      <c r="J31" s="23"/>
      <c r="K31" s="23"/>
      <c r="L31" s="23"/>
      <c r="M31" s="23"/>
      <c r="N31" s="25">
        <v>9.6</v>
      </c>
      <c r="O31" s="25">
        <v>30</v>
      </c>
      <c r="P31" s="25">
        <v>95</v>
      </c>
      <c r="Q31" s="25">
        <v>9.5</v>
      </c>
      <c r="R31" s="25">
        <v>29</v>
      </c>
      <c r="S31" s="25">
        <v>90</v>
      </c>
      <c r="T31" s="23"/>
      <c r="U31" s="23"/>
      <c r="V31" s="23"/>
      <c r="W31" s="23"/>
      <c r="X31" s="23"/>
      <c r="Y31" s="23"/>
      <c r="Z31" s="23"/>
      <c r="AA31" s="23"/>
      <c r="AB31" s="23"/>
      <c r="AC31" s="22"/>
    </row>
    <row r="32" spans="1:41" x14ac:dyDescent="0.3">
      <c r="B32" s="22">
        <v>6</v>
      </c>
      <c r="C32" s="24" t="s">
        <v>33</v>
      </c>
      <c r="D32" s="25">
        <v>120.7</v>
      </c>
      <c r="E32" s="25" t="s">
        <v>12</v>
      </c>
      <c r="F32" s="25">
        <v>9.1</v>
      </c>
      <c r="G32" s="3" t="str">
        <f>CONCATENATE(B32,C32,D32,C32,E32,C32,F32)</f>
        <v>6;120,7;U;9,1</v>
      </c>
      <c r="H32" s="23">
        <f>Données!P33+Données!S33+Données!V33</f>
        <v>175</v>
      </c>
      <c r="I32" s="25">
        <v>2</v>
      </c>
      <c r="J32" s="23"/>
      <c r="K32" s="23"/>
      <c r="L32" s="23"/>
      <c r="M32" s="23"/>
      <c r="N32" s="25">
        <v>9.6</v>
      </c>
      <c r="O32" s="25">
        <v>30</v>
      </c>
      <c r="P32" s="25">
        <v>80</v>
      </c>
      <c r="Q32" s="25">
        <v>9.5</v>
      </c>
      <c r="R32" s="25">
        <v>29</v>
      </c>
      <c r="S32" s="25">
        <v>95</v>
      </c>
      <c r="T32" s="23"/>
      <c r="U32" s="23"/>
      <c r="V32" s="23"/>
      <c r="W32" s="23"/>
      <c r="X32" s="23"/>
      <c r="Y32" s="23"/>
      <c r="Z32" s="23"/>
      <c r="AA32" s="23"/>
      <c r="AB32" s="23"/>
      <c r="AC32" s="22"/>
    </row>
    <row r="33" spans="2:29" x14ac:dyDescent="0.3">
      <c r="B33" s="22">
        <v>6</v>
      </c>
      <c r="C33" s="24" t="s">
        <v>33</v>
      </c>
      <c r="D33" s="25">
        <v>127</v>
      </c>
      <c r="E33" s="25" t="s">
        <v>12</v>
      </c>
      <c r="F33" s="25">
        <v>9.1</v>
      </c>
      <c r="G33" s="3" t="str">
        <f>CONCATENATE(B33,C33,D33,C33,E33,C33,F33)</f>
        <v>6;127;U;9,1</v>
      </c>
      <c r="H33" s="23">
        <f>Données!P32+Données!S32+Données!V32</f>
        <v>175</v>
      </c>
      <c r="I33" s="25">
        <v>2</v>
      </c>
      <c r="J33" s="23"/>
      <c r="K33" s="23"/>
      <c r="L33" s="23"/>
      <c r="M33" s="23"/>
      <c r="N33" s="25">
        <v>9.6</v>
      </c>
      <c r="O33" s="25">
        <v>30</v>
      </c>
      <c r="P33" s="25">
        <v>80</v>
      </c>
      <c r="Q33" s="25">
        <v>9.5</v>
      </c>
      <c r="R33" s="25">
        <v>29</v>
      </c>
      <c r="S33" s="25">
        <v>95</v>
      </c>
      <c r="T33" s="23"/>
      <c r="U33" s="23"/>
      <c r="V33" s="23"/>
      <c r="W33" s="23"/>
      <c r="X33" s="23"/>
      <c r="Y33" s="23"/>
      <c r="Z33" s="23"/>
      <c r="AA33" s="23"/>
      <c r="AB33" s="23"/>
      <c r="AC33" s="22"/>
    </row>
    <row r="34" spans="2:29" x14ac:dyDescent="0.3">
      <c r="B34" s="22">
        <v>6</v>
      </c>
      <c r="C34" s="24" t="s">
        <v>33</v>
      </c>
      <c r="D34" s="25">
        <v>127</v>
      </c>
      <c r="E34" s="25" t="s">
        <v>12</v>
      </c>
      <c r="F34" s="25">
        <v>9.1</v>
      </c>
      <c r="G34" s="3" t="str">
        <f>CONCATENATE(B34,C34,D34,C34,E34,C34,F34)</f>
        <v>6;127;U;9,1</v>
      </c>
      <c r="H34" s="23">
        <f>Données!P35+Données!S35+Données!V35</f>
        <v>255</v>
      </c>
      <c r="I34" s="25">
        <v>2</v>
      </c>
      <c r="J34" s="23"/>
      <c r="K34" s="23"/>
      <c r="L34" s="23"/>
      <c r="M34" s="23"/>
      <c r="N34" s="25">
        <v>9.6</v>
      </c>
      <c r="O34" s="25">
        <v>30</v>
      </c>
      <c r="P34" s="25">
        <v>80</v>
      </c>
      <c r="Q34" s="25">
        <v>10</v>
      </c>
      <c r="R34" s="25">
        <v>29</v>
      </c>
      <c r="S34" s="25">
        <v>95</v>
      </c>
      <c r="T34" s="23"/>
      <c r="U34" s="23"/>
      <c r="V34" s="23"/>
      <c r="W34" s="23"/>
      <c r="X34" s="23"/>
      <c r="Y34" s="23"/>
      <c r="Z34" s="23"/>
      <c r="AA34" s="23"/>
      <c r="AB34" s="23"/>
      <c r="AC34" s="22"/>
    </row>
    <row r="35" spans="2:29" x14ac:dyDescent="0.3">
      <c r="B35" s="22">
        <v>6</v>
      </c>
      <c r="C35" s="24" t="s">
        <v>33</v>
      </c>
      <c r="D35" s="25">
        <v>127</v>
      </c>
      <c r="E35" s="25" t="s">
        <v>12</v>
      </c>
      <c r="F35" s="25">
        <v>9.6999999999999993</v>
      </c>
      <c r="G35" s="3" t="str">
        <f>CONCATENATE(B35,C35,D35,C35,E35,C35,F35)</f>
        <v>6;127;U;9,7</v>
      </c>
      <c r="H35" s="23">
        <f>Données!P37+Données!S37+Données!V37</f>
        <v>270</v>
      </c>
      <c r="I35" s="25">
        <v>3</v>
      </c>
      <c r="J35" s="23"/>
      <c r="K35" s="23"/>
      <c r="L35" s="23"/>
      <c r="M35" s="23"/>
      <c r="N35" s="25">
        <v>9.6</v>
      </c>
      <c r="O35" s="25">
        <v>30</v>
      </c>
      <c r="P35" s="25">
        <v>80</v>
      </c>
      <c r="Q35" s="25">
        <v>9</v>
      </c>
      <c r="R35" s="25">
        <v>29</v>
      </c>
      <c r="S35" s="25">
        <v>80</v>
      </c>
      <c r="T35" s="25">
        <v>9</v>
      </c>
      <c r="U35" s="25">
        <v>28.5</v>
      </c>
      <c r="V35" s="25">
        <v>95</v>
      </c>
      <c r="W35" s="23"/>
      <c r="X35" s="23"/>
      <c r="Y35" s="23"/>
      <c r="Z35" s="23"/>
      <c r="AA35" s="23"/>
      <c r="AB35" s="23"/>
      <c r="AC35" s="22"/>
    </row>
    <row r="36" spans="2:29" x14ac:dyDescent="0.3">
      <c r="B36" s="22">
        <v>6</v>
      </c>
      <c r="C36" s="24" t="s">
        <v>33</v>
      </c>
      <c r="D36" s="25">
        <v>133.4</v>
      </c>
      <c r="E36" s="25" t="s">
        <v>12</v>
      </c>
      <c r="F36" s="25">
        <v>11.4</v>
      </c>
      <c r="G36" s="3" t="str">
        <f>CONCATENATE(B36,C36,D36,C36,E36,C36,F36)</f>
        <v>6;133,4;U;11,4</v>
      </c>
      <c r="H36" s="23">
        <f>Données!P34+Données!S34+Données!V34</f>
        <v>175</v>
      </c>
      <c r="I36" s="25">
        <v>3</v>
      </c>
      <c r="J36" s="23"/>
      <c r="K36" s="23"/>
      <c r="L36" s="23"/>
      <c r="M36" s="23"/>
      <c r="N36" s="25">
        <v>9.6</v>
      </c>
      <c r="O36" s="25">
        <v>30</v>
      </c>
      <c r="P36" s="25">
        <v>80</v>
      </c>
      <c r="Q36" s="25">
        <v>9</v>
      </c>
      <c r="R36" s="25">
        <v>29</v>
      </c>
      <c r="S36" s="25">
        <v>80</v>
      </c>
      <c r="T36" s="25">
        <v>10</v>
      </c>
      <c r="U36" s="25">
        <v>28.5</v>
      </c>
      <c r="V36" s="25">
        <v>85</v>
      </c>
      <c r="W36" s="23"/>
      <c r="X36" s="23"/>
      <c r="Y36" s="23"/>
      <c r="Z36" s="23"/>
      <c r="AA36" s="23"/>
      <c r="AB36" s="23"/>
      <c r="AC36" s="22"/>
    </row>
    <row r="37" spans="2:29" x14ac:dyDescent="0.3">
      <c r="B37" s="22">
        <v>6</v>
      </c>
      <c r="C37" s="24" t="s">
        <v>33</v>
      </c>
      <c r="D37" s="25">
        <v>133.4</v>
      </c>
      <c r="E37" s="25" t="s">
        <v>12</v>
      </c>
      <c r="F37" s="25">
        <v>11.4</v>
      </c>
      <c r="G37" s="3" t="str">
        <f>CONCATENATE(B37,C37,D37,C37,E37,C37,F37)</f>
        <v>6;133,4;U;11,4</v>
      </c>
      <c r="H37" s="23">
        <f>Données!P36+Données!S36+Données!V36</f>
        <v>245</v>
      </c>
      <c r="I37" s="25">
        <v>3</v>
      </c>
      <c r="J37" s="23"/>
      <c r="K37" s="23"/>
      <c r="L37" s="23"/>
      <c r="M37" s="23"/>
      <c r="N37" s="25">
        <v>9.5</v>
      </c>
      <c r="O37" s="25">
        <v>30</v>
      </c>
      <c r="P37" s="25">
        <v>80</v>
      </c>
      <c r="Q37" s="25">
        <v>9.6</v>
      </c>
      <c r="R37" s="25">
        <v>28.5</v>
      </c>
      <c r="S37" s="25">
        <v>95</v>
      </c>
      <c r="T37" s="25">
        <v>10.5</v>
      </c>
      <c r="U37" s="25">
        <v>28.5</v>
      </c>
      <c r="V37" s="25">
        <v>95</v>
      </c>
      <c r="W37" s="23"/>
      <c r="X37" s="23"/>
      <c r="Y37" s="23"/>
      <c r="Z37" s="23"/>
      <c r="AA37" s="23"/>
      <c r="AB37" s="23"/>
      <c r="AC37" s="22"/>
    </row>
    <row r="38" spans="2:29" x14ac:dyDescent="0.3">
      <c r="B38" s="22">
        <v>6</v>
      </c>
      <c r="C38" s="24" t="s">
        <v>33</v>
      </c>
      <c r="D38" s="25">
        <v>133.4</v>
      </c>
      <c r="E38" s="25" t="s">
        <v>9</v>
      </c>
      <c r="F38" s="25">
        <v>9.6999999999999993</v>
      </c>
      <c r="G38" s="3" t="str">
        <f>CONCATENATE(B38,C38,D38,C38,E38,C38,F38)</f>
        <v>6;133,4;V;9,7</v>
      </c>
      <c r="H38" s="23">
        <f>Données!P38+Données!S38+Données!V38</f>
        <v>245</v>
      </c>
      <c r="I38" s="25">
        <v>3</v>
      </c>
      <c r="J38" s="23"/>
      <c r="K38" s="23"/>
      <c r="L38" s="23"/>
      <c r="M38" s="23"/>
      <c r="N38" s="25">
        <v>10</v>
      </c>
      <c r="O38" s="25">
        <v>29.5</v>
      </c>
      <c r="P38" s="25">
        <v>80</v>
      </c>
      <c r="Q38" s="25">
        <v>8.6999999999999993</v>
      </c>
      <c r="R38" s="25">
        <v>28.5</v>
      </c>
      <c r="S38" s="25">
        <v>85</v>
      </c>
      <c r="T38" s="25">
        <v>9</v>
      </c>
      <c r="U38" s="25">
        <v>30</v>
      </c>
      <c r="V38" s="25">
        <v>80</v>
      </c>
      <c r="W38" s="23"/>
      <c r="X38" s="23"/>
      <c r="Y38" s="23"/>
      <c r="Z38" s="23"/>
      <c r="AA38" s="23"/>
      <c r="AB38" s="23"/>
      <c r="AC38" s="22"/>
    </row>
    <row r="39" spans="2:29" x14ac:dyDescent="0.3">
      <c r="B39" s="22">
        <v>6</v>
      </c>
      <c r="C39" s="24" t="s">
        <v>33</v>
      </c>
      <c r="D39" s="25">
        <v>139.69999999999999</v>
      </c>
      <c r="E39" s="25" t="s">
        <v>12</v>
      </c>
      <c r="F39" s="25">
        <v>12.7</v>
      </c>
      <c r="G39" s="3" t="str">
        <f>CONCATENATE(B39,C39,D39,C39,E39,C39,F39)</f>
        <v>6;139,7;U;12,7</v>
      </c>
      <c r="H39" s="23">
        <f>Données!P30+Données!S30+Données!V30</f>
        <v>260</v>
      </c>
      <c r="I39" s="25">
        <v>3</v>
      </c>
      <c r="J39" s="23"/>
      <c r="K39" s="23"/>
      <c r="L39" s="23"/>
      <c r="M39" s="23"/>
      <c r="N39" s="25">
        <v>10</v>
      </c>
      <c r="O39" s="25">
        <v>29.5</v>
      </c>
      <c r="P39" s="25">
        <v>85</v>
      </c>
      <c r="Q39" s="25">
        <v>9.5</v>
      </c>
      <c r="R39" s="25">
        <v>28.5</v>
      </c>
      <c r="S39" s="25">
        <v>95</v>
      </c>
      <c r="T39" s="25">
        <v>10</v>
      </c>
      <c r="U39" s="25">
        <v>28.5</v>
      </c>
      <c r="V39" s="25">
        <v>95</v>
      </c>
      <c r="W39" s="23"/>
      <c r="X39" s="23"/>
      <c r="Y39" s="23"/>
      <c r="Z39" s="23"/>
      <c r="AA39" s="23"/>
      <c r="AB39" s="23"/>
      <c r="AC39" s="22"/>
    </row>
  </sheetData>
  <sortState ref="A29:AM39">
    <sortCondition ref="D29:D39"/>
  </sortState>
  <mergeCells count="6">
    <mergeCell ref="Z1:AB1"/>
    <mergeCell ref="K1:M1"/>
    <mergeCell ref="N1:P1"/>
    <mergeCell ref="Q1:S1"/>
    <mergeCell ref="T1:V1"/>
    <mergeCell ref="W1:Y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39"/>
  <sheetViews>
    <sheetView showGridLines="0" zoomScale="123" zoomScaleNormal="123" workbookViewId="0">
      <selection activeCell="T8" sqref="T8"/>
    </sheetView>
  </sheetViews>
  <sheetFormatPr baseColWidth="10" defaultRowHeight="14.4" x14ac:dyDescent="0.3"/>
  <cols>
    <col min="1" max="38" width="4.6640625" customWidth="1"/>
  </cols>
  <sheetData>
    <row r="1" spans="1:38" ht="15" customHeight="1" x14ac:dyDescent="0.3">
      <c r="A1" s="46"/>
      <c r="B1" s="27"/>
      <c r="C1" s="69" t="s">
        <v>20</v>
      </c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27"/>
      <c r="AL1" s="28"/>
    </row>
    <row r="2" spans="1:38" ht="15" customHeight="1" x14ac:dyDescent="0.3">
      <c r="A2" s="53" t="str">
        <f>CONCATENATE(H5,M5,AC5,M5,AC8,M5,H8)</f>
        <v>1;127;U;9,1</v>
      </c>
      <c r="B2" s="2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29"/>
      <c r="AL2" s="30"/>
    </row>
    <row r="3" spans="1:38" ht="15" customHeight="1" x14ac:dyDescent="0.3">
      <c r="A3" s="51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9"/>
      <c r="Q3" s="95" t="s">
        <v>42</v>
      </c>
      <c r="R3" s="96"/>
      <c r="S3" s="96"/>
      <c r="T3" s="97"/>
      <c r="U3" s="50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  <c r="AK3" s="48"/>
      <c r="AL3" s="49"/>
    </row>
    <row r="4" spans="1:38" ht="5.0999999999999996" customHeight="1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37"/>
    </row>
    <row r="5" spans="1:38" ht="15" customHeight="1" x14ac:dyDescent="0.3">
      <c r="A5" s="104" t="s">
        <v>38</v>
      </c>
      <c r="B5" s="105"/>
      <c r="C5" s="105"/>
      <c r="D5" s="105"/>
      <c r="E5" s="105"/>
      <c r="F5" s="105"/>
      <c r="G5" s="106"/>
      <c r="H5" s="110">
        <v>1</v>
      </c>
      <c r="I5" s="111"/>
      <c r="J5" s="111"/>
      <c r="K5" s="112"/>
      <c r="L5" s="26"/>
      <c r="M5" s="33" t="s">
        <v>33</v>
      </c>
      <c r="N5" s="26"/>
      <c r="O5" s="26"/>
      <c r="P5" s="26"/>
      <c r="Q5" s="26"/>
      <c r="R5" s="26"/>
      <c r="S5" s="26"/>
      <c r="T5" s="26"/>
      <c r="U5" s="104" t="s">
        <v>21</v>
      </c>
      <c r="V5" s="105"/>
      <c r="W5" s="105"/>
      <c r="X5" s="105"/>
      <c r="Y5" s="105"/>
      <c r="Z5" s="105"/>
      <c r="AA5" s="105"/>
      <c r="AB5" s="106"/>
      <c r="AC5" s="63">
        <v>127</v>
      </c>
      <c r="AD5" s="64"/>
      <c r="AE5" s="64"/>
      <c r="AF5" s="65"/>
      <c r="AG5" s="26"/>
      <c r="AH5" s="26"/>
      <c r="AI5" s="26"/>
      <c r="AJ5" s="26"/>
      <c r="AK5" s="26"/>
      <c r="AL5" s="37"/>
    </row>
    <row r="6" spans="1:38" x14ac:dyDescent="0.3">
      <c r="A6" s="107"/>
      <c r="B6" s="108"/>
      <c r="C6" s="108"/>
      <c r="D6" s="108"/>
      <c r="E6" s="108"/>
      <c r="F6" s="108"/>
      <c r="G6" s="109"/>
      <c r="H6" s="113"/>
      <c r="I6" s="114"/>
      <c r="J6" s="114"/>
      <c r="K6" s="115"/>
      <c r="L6" s="31"/>
      <c r="M6" s="31">
        <v>1</v>
      </c>
      <c r="N6" s="31"/>
      <c r="O6" s="31"/>
      <c r="P6" s="31"/>
      <c r="Q6" s="31"/>
      <c r="R6" s="31"/>
      <c r="S6" s="31">
        <v>2</v>
      </c>
      <c r="T6" s="31"/>
      <c r="U6" s="107"/>
      <c r="V6" s="108"/>
      <c r="W6" s="108"/>
      <c r="X6" s="108"/>
      <c r="Y6" s="108"/>
      <c r="Z6" s="108"/>
      <c r="AA6" s="108"/>
      <c r="AB6" s="109"/>
      <c r="AC6" s="66"/>
      <c r="AD6" s="67"/>
      <c r="AE6" s="67"/>
      <c r="AF6" s="68"/>
      <c r="AG6" s="26"/>
      <c r="AH6" s="26"/>
      <c r="AI6" s="26"/>
      <c r="AJ6" s="26"/>
      <c r="AK6" s="31"/>
      <c r="AL6" s="32"/>
    </row>
    <row r="7" spans="1:38" ht="5.0999999999999996" customHeight="1" x14ac:dyDescent="0.3">
      <c r="A7" s="31"/>
      <c r="B7" s="31"/>
      <c r="C7" s="31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37"/>
    </row>
    <row r="8" spans="1:38" x14ac:dyDescent="0.3">
      <c r="A8" s="98" t="s">
        <v>22</v>
      </c>
      <c r="B8" s="99"/>
      <c r="C8" s="99"/>
      <c r="D8" s="99"/>
      <c r="E8" s="99"/>
      <c r="F8" s="99"/>
      <c r="G8" s="100"/>
      <c r="H8" s="63">
        <v>9.1</v>
      </c>
      <c r="I8" s="64"/>
      <c r="J8" s="64"/>
      <c r="K8" s="65"/>
      <c r="L8" s="34"/>
      <c r="M8" s="26"/>
      <c r="N8" s="26"/>
      <c r="O8" s="26"/>
      <c r="P8" s="26"/>
      <c r="Q8" s="26"/>
      <c r="R8" s="26"/>
      <c r="S8" s="26"/>
      <c r="T8" s="26"/>
      <c r="U8" s="98" t="s">
        <v>23</v>
      </c>
      <c r="V8" s="99"/>
      <c r="W8" s="99"/>
      <c r="X8" s="99"/>
      <c r="Y8" s="99"/>
      <c r="Z8" s="99"/>
      <c r="AA8" s="99"/>
      <c r="AB8" s="100"/>
      <c r="AC8" s="64" t="s">
        <v>12</v>
      </c>
      <c r="AD8" s="64"/>
      <c r="AE8" s="64"/>
      <c r="AF8" s="65"/>
      <c r="AG8" s="26"/>
      <c r="AH8" s="26"/>
      <c r="AI8" s="26"/>
      <c r="AJ8" s="26"/>
      <c r="AK8" s="26"/>
      <c r="AL8" s="37"/>
    </row>
    <row r="9" spans="1:38" x14ac:dyDescent="0.3">
      <c r="A9" s="101"/>
      <c r="B9" s="102"/>
      <c r="C9" s="102"/>
      <c r="D9" s="102"/>
      <c r="E9" s="102"/>
      <c r="F9" s="102"/>
      <c r="G9" s="103"/>
      <c r="H9" s="66"/>
      <c r="I9" s="67"/>
      <c r="J9" s="67"/>
      <c r="K9" s="68"/>
      <c r="L9" s="34"/>
      <c r="M9" s="26">
        <v>3</v>
      </c>
      <c r="N9" s="26"/>
      <c r="O9" s="26"/>
      <c r="P9" s="26"/>
      <c r="Q9" s="26"/>
      <c r="R9" s="26"/>
      <c r="S9" s="26">
        <v>4</v>
      </c>
      <c r="T9" s="26"/>
      <c r="U9" s="101"/>
      <c r="V9" s="102"/>
      <c r="W9" s="102"/>
      <c r="X9" s="102"/>
      <c r="Y9" s="102"/>
      <c r="Z9" s="102"/>
      <c r="AA9" s="102"/>
      <c r="AB9" s="103"/>
      <c r="AC9" s="67"/>
      <c r="AD9" s="67"/>
      <c r="AE9" s="67"/>
      <c r="AF9" s="68"/>
      <c r="AG9" s="26"/>
      <c r="AH9" s="26"/>
      <c r="AI9" s="26"/>
      <c r="AJ9" s="26"/>
      <c r="AK9" s="26"/>
      <c r="AL9" s="37"/>
    </row>
    <row r="10" spans="1:38" ht="5.0999999999999996" customHeight="1" x14ac:dyDescent="0.3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2"/>
    </row>
    <row r="11" spans="1:38" x14ac:dyDescent="0.3">
      <c r="A11" s="83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5"/>
    </row>
    <row r="12" spans="1:38" x14ac:dyDescent="0.3">
      <c r="A12" s="86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8"/>
    </row>
    <row r="13" spans="1:38" ht="5.0999999999999996" customHeight="1" x14ac:dyDescent="0.3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2"/>
    </row>
    <row r="14" spans="1:38" x14ac:dyDescent="0.3">
      <c r="A14" s="89" t="s">
        <v>41</v>
      </c>
      <c r="B14" s="90"/>
      <c r="C14" s="31"/>
      <c r="D14" s="31"/>
      <c r="E14" s="31"/>
      <c r="F14" s="31"/>
      <c r="G14" s="31"/>
      <c r="H14" s="31"/>
      <c r="I14" s="31"/>
      <c r="J14" s="31"/>
      <c r="K14" s="63" t="s">
        <v>24</v>
      </c>
      <c r="L14" s="64"/>
      <c r="M14" s="64"/>
      <c r="N14" s="64"/>
      <c r="O14" s="64"/>
      <c r="P14" s="65"/>
      <c r="Q14" s="35"/>
      <c r="R14" s="63" t="s">
        <v>25</v>
      </c>
      <c r="S14" s="64"/>
      <c r="T14" s="64"/>
      <c r="U14" s="64"/>
      <c r="V14" s="64"/>
      <c r="W14" s="65"/>
      <c r="X14" s="36"/>
      <c r="Y14" s="63" t="s">
        <v>26</v>
      </c>
      <c r="Z14" s="64"/>
      <c r="AA14" s="64"/>
      <c r="AB14" s="64"/>
      <c r="AC14" s="64"/>
      <c r="AD14" s="65"/>
      <c r="AE14" s="36"/>
      <c r="AF14" s="63" t="s">
        <v>27</v>
      </c>
      <c r="AG14" s="64"/>
      <c r="AH14" s="64"/>
      <c r="AI14" s="64"/>
      <c r="AJ14" s="64"/>
      <c r="AK14" s="65"/>
      <c r="AL14" s="37"/>
    </row>
    <row r="15" spans="1:38" x14ac:dyDescent="0.3">
      <c r="A15" s="91"/>
      <c r="B15" s="92"/>
      <c r="C15" s="31"/>
      <c r="D15" s="31"/>
      <c r="E15" s="31"/>
      <c r="F15" s="31"/>
      <c r="G15" s="31"/>
      <c r="H15" s="31"/>
      <c r="I15" s="31"/>
      <c r="J15" s="31"/>
      <c r="K15" s="66"/>
      <c r="L15" s="67"/>
      <c r="M15" s="67"/>
      <c r="N15" s="67"/>
      <c r="O15" s="67"/>
      <c r="P15" s="68"/>
      <c r="Q15" s="35"/>
      <c r="R15" s="66"/>
      <c r="S15" s="67"/>
      <c r="T15" s="67"/>
      <c r="U15" s="67"/>
      <c r="V15" s="67"/>
      <c r="W15" s="68"/>
      <c r="X15" s="36"/>
      <c r="Y15" s="66"/>
      <c r="Z15" s="67"/>
      <c r="AA15" s="67"/>
      <c r="AB15" s="67"/>
      <c r="AC15" s="67"/>
      <c r="AD15" s="68"/>
      <c r="AE15" s="36"/>
      <c r="AF15" s="66"/>
      <c r="AG15" s="67"/>
      <c r="AH15" s="67"/>
      <c r="AI15" s="67"/>
      <c r="AJ15" s="67"/>
      <c r="AK15" s="68"/>
      <c r="AL15" s="37"/>
    </row>
    <row r="16" spans="1:38" ht="5.0999999999999996" customHeight="1" x14ac:dyDescent="0.3">
      <c r="A16" s="91"/>
      <c r="B16" s="92"/>
      <c r="C16" s="31"/>
      <c r="D16" s="26"/>
      <c r="E16" s="26"/>
      <c r="F16" s="26"/>
      <c r="G16" s="26"/>
      <c r="H16" s="26"/>
      <c r="I16" s="26"/>
      <c r="J16" s="31"/>
      <c r="K16" s="38"/>
      <c r="L16" s="38"/>
      <c r="M16" s="38"/>
      <c r="N16" s="38"/>
      <c r="O16" s="38"/>
      <c r="P16" s="38"/>
      <c r="Q16" s="31"/>
      <c r="R16" s="39"/>
      <c r="S16" s="39"/>
      <c r="T16" s="39"/>
      <c r="U16" s="39"/>
      <c r="V16" s="39"/>
      <c r="W16" s="39"/>
      <c r="X16" s="31"/>
      <c r="Y16" s="39"/>
      <c r="Z16" s="39"/>
      <c r="AA16" s="39"/>
      <c r="AB16" s="39"/>
      <c r="AC16" s="39"/>
      <c r="AD16" s="39"/>
      <c r="AE16" s="31"/>
      <c r="AF16" s="39"/>
      <c r="AG16" s="39"/>
      <c r="AH16" s="39"/>
      <c r="AI16" s="39"/>
      <c r="AJ16" s="39"/>
      <c r="AK16" s="39"/>
      <c r="AL16" s="32"/>
    </row>
    <row r="17" spans="1:38" x14ac:dyDescent="0.3">
      <c r="A17" s="91"/>
      <c r="B17" s="92"/>
      <c r="C17" s="31"/>
      <c r="D17" s="63" t="s">
        <v>28</v>
      </c>
      <c r="E17" s="64"/>
      <c r="F17" s="64"/>
      <c r="G17" s="64"/>
      <c r="H17" s="64"/>
      <c r="I17" s="65"/>
      <c r="J17" s="31"/>
      <c r="K17" s="77">
        <f>IF(H5=1,VLOOKUP($A$2,Données!G3:AB27,8,"faux"))</f>
        <v>285</v>
      </c>
      <c r="L17" s="78"/>
      <c r="M17" s="78"/>
      <c r="N17" s="78"/>
      <c r="O17" s="78"/>
      <c r="P17" s="79"/>
      <c r="Q17" s="40"/>
      <c r="R17" s="77">
        <f>IF(H5=1,VLOOKUP($A$2,Données!$G$3:$AB$27,11,FALSE))</f>
        <v>330</v>
      </c>
      <c r="S17" s="78"/>
      <c r="T17" s="78"/>
      <c r="U17" s="78"/>
      <c r="V17" s="78"/>
      <c r="W17" s="79"/>
      <c r="X17" s="40"/>
      <c r="Y17" s="77">
        <f>IF(H5=1,VLOOKUP($A$2,Données!$G$3:$AB$27,14,FALSE))</f>
        <v>0</v>
      </c>
      <c r="Z17" s="78"/>
      <c r="AA17" s="78"/>
      <c r="AB17" s="78"/>
      <c r="AC17" s="78"/>
      <c r="AD17" s="79"/>
      <c r="AE17" s="40"/>
      <c r="AF17" s="77">
        <f>IF(H5=1,VLOOKUP($A$2,Données!$G$3:$AB$27,20,FALSE))</f>
        <v>200</v>
      </c>
      <c r="AG17" s="78"/>
      <c r="AH17" s="78"/>
      <c r="AI17" s="78"/>
      <c r="AJ17" s="78"/>
      <c r="AK17" s="79"/>
      <c r="AL17" s="32"/>
    </row>
    <row r="18" spans="1:38" x14ac:dyDescent="0.3">
      <c r="A18" s="91"/>
      <c r="B18" s="92"/>
      <c r="C18" s="31"/>
      <c r="D18" s="66"/>
      <c r="E18" s="67"/>
      <c r="F18" s="67"/>
      <c r="G18" s="67"/>
      <c r="H18" s="67"/>
      <c r="I18" s="68"/>
      <c r="J18" s="31"/>
      <c r="K18" s="80"/>
      <c r="L18" s="81"/>
      <c r="M18" s="81"/>
      <c r="N18" s="81"/>
      <c r="O18" s="81"/>
      <c r="P18" s="82"/>
      <c r="Q18" s="40"/>
      <c r="R18" s="80"/>
      <c r="S18" s="81"/>
      <c r="T18" s="81"/>
      <c r="U18" s="81"/>
      <c r="V18" s="81"/>
      <c r="W18" s="82"/>
      <c r="X18" s="40"/>
      <c r="Y18" s="80"/>
      <c r="Z18" s="81"/>
      <c r="AA18" s="81"/>
      <c r="AB18" s="81"/>
      <c r="AC18" s="81"/>
      <c r="AD18" s="82"/>
      <c r="AE18" s="40"/>
      <c r="AF18" s="80"/>
      <c r="AG18" s="81"/>
      <c r="AH18" s="81"/>
      <c r="AI18" s="81"/>
      <c r="AJ18" s="81"/>
      <c r="AK18" s="82"/>
      <c r="AL18" s="32"/>
    </row>
    <row r="19" spans="1:38" ht="5.0999999999999996" customHeight="1" x14ac:dyDescent="0.3">
      <c r="A19" s="91"/>
      <c r="B19" s="92"/>
      <c r="C19" s="31"/>
      <c r="D19" s="36"/>
      <c r="E19" s="36"/>
      <c r="F19" s="36"/>
      <c r="G19" s="36"/>
      <c r="H19" s="36"/>
      <c r="I19" s="36"/>
      <c r="J19" s="31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32"/>
    </row>
    <row r="20" spans="1:38" x14ac:dyDescent="0.3">
      <c r="A20" s="91"/>
      <c r="B20" s="92"/>
      <c r="C20" s="31"/>
      <c r="D20" s="63" t="s">
        <v>29</v>
      </c>
      <c r="E20" s="64"/>
      <c r="F20" s="64"/>
      <c r="G20" s="64"/>
      <c r="H20" s="64"/>
      <c r="I20" s="65"/>
      <c r="J20" s="31"/>
      <c r="K20" s="77">
        <f>IF(H5=1,VLOOKUP($A$2,Données!$G$3:$AB$27,9,FALSE))</f>
        <v>31.2</v>
      </c>
      <c r="L20" s="78"/>
      <c r="M20" s="78"/>
      <c r="N20" s="78"/>
      <c r="O20" s="78"/>
      <c r="P20" s="79"/>
      <c r="Q20" s="40"/>
      <c r="R20" s="77">
        <f>IF(H5=1,VLOOKUP($A$2,Données!$G$3:$AB$27,12,FALSE))</f>
        <v>32.6</v>
      </c>
      <c r="S20" s="78"/>
      <c r="T20" s="78"/>
      <c r="U20" s="78"/>
      <c r="V20" s="78"/>
      <c r="W20" s="79"/>
      <c r="X20" s="40"/>
      <c r="Y20" s="77">
        <f>IF(H5=1,VLOOKUP($A$2,Données!$G$3:$AB$27,15,FALSE))</f>
        <v>0</v>
      </c>
      <c r="Z20" s="78"/>
      <c r="AA20" s="78"/>
      <c r="AB20" s="78"/>
      <c r="AC20" s="78"/>
      <c r="AD20" s="79"/>
      <c r="AE20" s="40"/>
      <c r="AF20" s="77">
        <f>IF(H5=1,VLOOKUP($A$2,Données!$G$3:$AB$27,21,FALSE))</f>
        <v>28.4</v>
      </c>
      <c r="AG20" s="78"/>
      <c r="AH20" s="78"/>
      <c r="AI20" s="78"/>
      <c r="AJ20" s="78"/>
      <c r="AK20" s="79"/>
      <c r="AL20" s="32"/>
    </row>
    <row r="21" spans="1:38" x14ac:dyDescent="0.3">
      <c r="A21" s="91"/>
      <c r="B21" s="92"/>
      <c r="C21" s="31"/>
      <c r="D21" s="66"/>
      <c r="E21" s="67"/>
      <c r="F21" s="67"/>
      <c r="G21" s="67"/>
      <c r="H21" s="67"/>
      <c r="I21" s="68"/>
      <c r="J21" s="31"/>
      <c r="K21" s="80"/>
      <c r="L21" s="81"/>
      <c r="M21" s="81"/>
      <c r="N21" s="81"/>
      <c r="O21" s="81"/>
      <c r="P21" s="82"/>
      <c r="Q21" s="40"/>
      <c r="R21" s="80"/>
      <c r="S21" s="81"/>
      <c r="T21" s="81"/>
      <c r="U21" s="81"/>
      <c r="V21" s="81"/>
      <c r="W21" s="82"/>
      <c r="X21" s="40"/>
      <c r="Y21" s="80"/>
      <c r="Z21" s="81"/>
      <c r="AA21" s="81"/>
      <c r="AB21" s="81"/>
      <c r="AC21" s="81"/>
      <c r="AD21" s="82"/>
      <c r="AE21" s="40"/>
      <c r="AF21" s="80"/>
      <c r="AG21" s="81"/>
      <c r="AH21" s="81"/>
      <c r="AI21" s="81"/>
      <c r="AJ21" s="81"/>
      <c r="AK21" s="82"/>
      <c r="AL21" s="32"/>
    </row>
    <row r="22" spans="1:38" ht="5.0999999999999996" customHeight="1" x14ac:dyDescent="0.3">
      <c r="A22" s="91"/>
      <c r="B22" s="92"/>
      <c r="C22" s="31"/>
      <c r="D22" s="36"/>
      <c r="E22" s="36"/>
      <c r="F22" s="36"/>
      <c r="G22" s="36"/>
      <c r="H22" s="36"/>
      <c r="I22" s="36"/>
      <c r="J22" s="31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32"/>
    </row>
    <row r="23" spans="1:38" x14ac:dyDescent="0.3">
      <c r="A23" s="91"/>
      <c r="B23" s="92"/>
      <c r="C23" s="31"/>
      <c r="D23" s="63" t="s">
        <v>30</v>
      </c>
      <c r="E23" s="64"/>
      <c r="F23" s="64"/>
      <c r="G23" s="64"/>
      <c r="H23" s="64"/>
      <c r="I23" s="65"/>
      <c r="J23" s="31"/>
      <c r="K23" s="77">
        <f>IF(H5=1,VLOOKUP($A$2,Données!$G$3:$AB$27,10,FALSE))</f>
        <v>0.38</v>
      </c>
      <c r="L23" s="78"/>
      <c r="M23" s="78"/>
      <c r="N23" s="78"/>
      <c r="O23" s="78"/>
      <c r="P23" s="79"/>
      <c r="Q23" s="40"/>
      <c r="R23" s="77">
        <f>IF(H5=1,VLOOKUP($A$2,Données!$G$3:$AB$27,13,FALSE))</f>
        <v>0.35</v>
      </c>
      <c r="S23" s="78"/>
      <c r="T23" s="78"/>
      <c r="U23" s="78"/>
      <c r="V23" s="78"/>
      <c r="W23" s="79"/>
      <c r="X23" s="40"/>
      <c r="Y23" s="77">
        <f>IF(H5=1,VLOOKUP($A$2,Données!$G$3:$AB$27,16,FALSE))</f>
        <v>0</v>
      </c>
      <c r="Z23" s="78"/>
      <c r="AA23" s="78"/>
      <c r="AB23" s="78"/>
      <c r="AC23" s="78"/>
      <c r="AD23" s="79"/>
      <c r="AE23" s="40"/>
      <c r="AF23" s="116">
        <f>IF(H5=1,VLOOKUP($A$2,Données!$G$3:$AB$27,22,FALSE))</f>
        <v>1</v>
      </c>
      <c r="AG23" s="116"/>
      <c r="AH23" s="116"/>
      <c r="AI23" s="116"/>
      <c r="AJ23" s="116"/>
      <c r="AK23" s="116"/>
      <c r="AL23" s="47"/>
    </row>
    <row r="24" spans="1:38" x14ac:dyDescent="0.3">
      <c r="A24" s="93"/>
      <c r="B24" s="94"/>
      <c r="C24" s="31"/>
      <c r="D24" s="66"/>
      <c r="E24" s="67"/>
      <c r="F24" s="67"/>
      <c r="G24" s="67"/>
      <c r="H24" s="67"/>
      <c r="I24" s="68"/>
      <c r="J24" s="31"/>
      <c r="K24" s="80"/>
      <c r="L24" s="81"/>
      <c r="M24" s="81"/>
      <c r="N24" s="81"/>
      <c r="O24" s="81"/>
      <c r="P24" s="82"/>
      <c r="Q24" s="40"/>
      <c r="R24" s="80"/>
      <c r="S24" s="81"/>
      <c r="T24" s="81"/>
      <c r="U24" s="81"/>
      <c r="V24" s="81"/>
      <c r="W24" s="82"/>
      <c r="X24" s="40"/>
      <c r="Y24" s="80"/>
      <c r="Z24" s="81"/>
      <c r="AA24" s="81"/>
      <c r="AB24" s="81"/>
      <c r="AC24" s="81"/>
      <c r="AD24" s="82"/>
      <c r="AE24" s="40"/>
      <c r="AF24" s="116"/>
      <c r="AG24" s="116"/>
      <c r="AH24" s="116"/>
      <c r="AI24" s="116"/>
      <c r="AJ24" s="116"/>
      <c r="AK24" s="116"/>
      <c r="AL24" s="47"/>
    </row>
    <row r="25" spans="1:38" ht="5.0999999999999996" customHeight="1" x14ac:dyDescent="0.3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2"/>
    </row>
    <row r="26" spans="1:38" x14ac:dyDescent="0.3">
      <c r="A26" s="89" t="s">
        <v>40</v>
      </c>
      <c r="B26" s="90"/>
      <c r="C26" s="31"/>
      <c r="D26" s="31"/>
      <c r="E26" s="31"/>
      <c r="F26" s="31"/>
      <c r="G26" s="31"/>
      <c r="H26" s="31"/>
      <c r="I26" s="31"/>
      <c r="J26" s="31"/>
      <c r="K26" s="63" t="s">
        <v>24</v>
      </c>
      <c r="L26" s="64"/>
      <c r="M26" s="64"/>
      <c r="N26" s="64"/>
      <c r="O26" s="64"/>
      <c r="P26" s="65"/>
      <c r="Q26" s="35"/>
      <c r="R26" s="63" t="s">
        <v>25</v>
      </c>
      <c r="S26" s="64"/>
      <c r="T26" s="64"/>
      <c r="U26" s="64"/>
      <c r="V26" s="64"/>
      <c r="W26" s="65"/>
      <c r="X26" s="36"/>
      <c r="Y26" s="63" t="s">
        <v>26</v>
      </c>
      <c r="Z26" s="64"/>
      <c r="AA26" s="64"/>
      <c r="AB26" s="64"/>
      <c r="AC26" s="64"/>
      <c r="AD26" s="65"/>
      <c r="AE26" s="36"/>
      <c r="AF26" s="63" t="s">
        <v>27</v>
      </c>
      <c r="AG26" s="64"/>
      <c r="AH26" s="64"/>
      <c r="AI26" s="64"/>
      <c r="AJ26" s="64"/>
      <c r="AK26" s="65"/>
      <c r="AL26" s="32"/>
    </row>
    <row r="27" spans="1:38" ht="5.0999999999999996" customHeight="1" x14ac:dyDescent="0.3">
      <c r="A27" s="91"/>
      <c r="B27" s="92"/>
      <c r="C27" s="31"/>
      <c r="D27" s="26"/>
      <c r="E27" s="26"/>
      <c r="F27" s="26"/>
      <c r="G27" s="26"/>
      <c r="H27" s="26"/>
      <c r="I27" s="26"/>
      <c r="J27" s="31"/>
      <c r="K27" s="38"/>
      <c r="L27" s="38"/>
      <c r="M27" s="38"/>
      <c r="N27" s="38"/>
      <c r="O27" s="38"/>
      <c r="P27" s="42"/>
      <c r="Q27" s="31"/>
      <c r="R27" s="39"/>
      <c r="S27" s="39"/>
      <c r="T27" s="39"/>
      <c r="U27" s="39"/>
      <c r="V27" s="39"/>
      <c r="W27" s="43"/>
      <c r="X27" s="31"/>
      <c r="Y27" s="39"/>
      <c r="Z27" s="39"/>
      <c r="AA27" s="39"/>
      <c r="AB27" s="39"/>
      <c r="AC27" s="39"/>
      <c r="AD27" s="43"/>
      <c r="AE27" s="31"/>
      <c r="AF27" s="39"/>
      <c r="AG27" s="39"/>
      <c r="AH27" s="39"/>
      <c r="AI27" s="39"/>
      <c r="AJ27" s="39"/>
      <c r="AK27" s="39"/>
      <c r="AL27" s="32"/>
    </row>
    <row r="28" spans="1:38" x14ac:dyDescent="0.3">
      <c r="A28" s="91"/>
      <c r="B28" s="92"/>
      <c r="C28" s="31"/>
      <c r="D28" s="63" t="s">
        <v>35</v>
      </c>
      <c r="E28" s="64"/>
      <c r="F28" s="64"/>
      <c r="G28" s="64"/>
      <c r="H28" s="64"/>
      <c r="I28" s="65"/>
      <c r="J28" s="31"/>
      <c r="K28" s="63" t="b">
        <f>IF(H5=6,VLOOKUP($A$2,Données!G29:AB39,8,FALSE))</f>
        <v>0</v>
      </c>
      <c r="L28" s="64"/>
      <c r="M28" s="64"/>
      <c r="N28" s="64"/>
      <c r="O28" s="64"/>
      <c r="P28" s="65"/>
      <c r="Q28" s="31"/>
      <c r="R28" s="63" t="b">
        <f>IF(H5=6,VLOOKUP($A$2,Données!G29:AB39,11,FALSE))</f>
        <v>0</v>
      </c>
      <c r="S28" s="64"/>
      <c r="T28" s="64"/>
      <c r="U28" s="64"/>
      <c r="V28" s="64"/>
      <c r="W28" s="65"/>
      <c r="X28" s="31"/>
      <c r="Y28" s="63" t="b">
        <f>IF(H5=6,VLOOKUP($A$2,Données!G29:AB39,14,FALSE))</f>
        <v>0</v>
      </c>
      <c r="Z28" s="64"/>
      <c r="AA28" s="64"/>
      <c r="AB28" s="64"/>
      <c r="AC28" s="64"/>
      <c r="AD28" s="65"/>
      <c r="AE28" s="31"/>
      <c r="AF28" s="41"/>
      <c r="AG28" s="41"/>
      <c r="AH28" s="41"/>
      <c r="AI28" s="41"/>
      <c r="AJ28" s="41"/>
      <c r="AK28" s="41"/>
      <c r="AL28" s="32"/>
    </row>
    <row r="29" spans="1:38" x14ac:dyDescent="0.3">
      <c r="A29" s="91"/>
      <c r="B29" s="92"/>
      <c r="C29" s="31"/>
      <c r="D29" s="66"/>
      <c r="E29" s="67"/>
      <c r="F29" s="67"/>
      <c r="G29" s="67"/>
      <c r="H29" s="67"/>
      <c r="I29" s="68"/>
      <c r="J29" s="31"/>
      <c r="K29" s="66"/>
      <c r="L29" s="67"/>
      <c r="M29" s="67"/>
      <c r="N29" s="67"/>
      <c r="O29" s="67"/>
      <c r="P29" s="68"/>
      <c r="Q29" s="31"/>
      <c r="R29" s="66"/>
      <c r="S29" s="67"/>
      <c r="T29" s="67"/>
      <c r="U29" s="67"/>
      <c r="V29" s="67"/>
      <c r="W29" s="68"/>
      <c r="X29" s="31"/>
      <c r="Y29" s="66"/>
      <c r="Z29" s="67"/>
      <c r="AA29" s="67"/>
      <c r="AB29" s="67"/>
      <c r="AC29" s="67"/>
      <c r="AD29" s="68"/>
      <c r="AE29" s="31"/>
      <c r="AF29" s="41"/>
      <c r="AG29" s="41"/>
      <c r="AH29" s="41"/>
      <c r="AI29" s="41"/>
      <c r="AJ29" s="41"/>
      <c r="AK29" s="41"/>
      <c r="AL29" s="32"/>
    </row>
    <row r="30" spans="1:38" ht="5.0999999999999996" customHeight="1" x14ac:dyDescent="1.65">
      <c r="A30" s="91"/>
      <c r="B30" s="92"/>
      <c r="C30" s="31"/>
      <c r="D30" s="36"/>
      <c r="E30" s="36"/>
      <c r="F30" s="36"/>
      <c r="G30" s="36"/>
      <c r="H30" s="36"/>
      <c r="I30" s="36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52"/>
      <c r="AI30" s="31"/>
      <c r="AJ30" s="31"/>
      <c r="AK30" s="31"/>
      <c r="AL30" s="32"/>
    </row>
    <row r="31" spans="1:38" x14ac:dyDescent="0.3">
      <c r="A31" s="91"/>
      <c r="B31" s="92"/>
      <c r="C31" s="31"/>
      <c r="D31" s="63" t="s">
        <v>29</v>
      </c>
      <c r="E31" s="64"/>
      <c r="F31" s="64"/>
      <c r="G31" s="64"/>
      <c r="H31" s="64"/>
      <c r="I31" s="65"/>
      <c r="J31" s="31"/>
      <c r="K31" s="63" t="b">
        <f>IF(H5=6,VLOOKUP($A$2,Données!G29:AB39,9,FALSE))</f>
        <v>0</v>
      </c>
      <c r="L31" s="64"/>
      <c r="M31" s="64"/>
      <c r="N31" s="64"/>
      <c r="O31" s="64"/>
      <c r="P31" s="65"/>
      <c r="Q31" s="31"/>
      <c r="R31" s="63" t="b">
        <f>IF(H5=6,VLOOKUP($A$2,Données!G29:AB39,12,FALSE))</f>
        <v>0</v>
      </c>
      <c r="S31" s="64"/>
      <c r="T31" s="64"/>
      <c r="U31" s="64"/>
      <c r="V31" s="64"/>
      <c r="W31" s="65"/>
      <c r="X31" s="31"/>
      <c r="Y31" s="63" t="b">
        <f>IF(H5=6,VLOOKUP($A$2,Données!G29:AB39,15,FALSE))</f>
        <v>0</v>
      </c>
      <c r="Z31" s="64"/>
      <c r="AA31" s="64"/>
      <c r="AB31" s="64"/>
      <c r="AC31" s="64"/>
      <c r="AD31" s="65"/>
      <c r="AE31" s="31"/>
      <c r="AF31" s="41"/>
      <c r="AG31" s="41"/>
      <c r="AH31" s="41"/>
      <c r="AI31" s="41"/>
      <c r="AJ31" s="41"/>
      <c r="AK31" s="41"/>
      <c r="AL31" s="32"/>
    </row>
    <row r="32" spans="1:38" x14ac:dyDescent="0.3">
      <c r="A32" s="91"/>
      <c r="B32" s="92"/>
      <c r="C32" s="31"/>
      <c r="D32" s="66"/>
      <c r="E32" s="67"/>
      <c r="F32" s="67"/>
      <c r="G32" s="67"/>
      <c r="H32" s="67"/>
      <c r="I32" s="68"/>
      <c r="J32" s="31"/>
      <c r="K32" s="66"/>
      <c r="L32" s="67"/>
      <c r="M32" s="67"/>
      <c r="N32" s="67"/>
      <c r="O32" s="67"/>
      <c r="P32" s="68"/>
      <c r="Q32" s="31"/>
      <c r="R32" s="66"/>
      <c r="S32" s="67"/>
      <c r="T32" s="67"/>
      <c r="U32" s="67"/>
      <c r="V32" s="67"/>
      <c r="W32" s="68"/>
      <c r="X32" s="31"/>
      <c r="Y32" s="66"/>
      <c r="Z32" s="67"/>
      <c r="AA32" s="67"/>
      <c r="AB32" s="67"/>
      <c r="AC32" s="67"/>
      <c r="AD32" s="68"/>
      <c r="AE32" s="31"/>
      <c r="AF32" s="41"/>
      <c r="AG32" s="41"/>
      <c r="AH32" s="41"/>
      <c r="AI32" s="41"/>
      <c r="AJ32" s="41"/>
      <c r="AK32" s="41"/>
      <c r="AL32" s="32"/>
    </row>
    <row r="33" spans="1:38" ht="5.0999999999999996" customHeight="1" x14ac:dyDescent="0.3">
      <c r="A33" s="91"/>
      <c r="B33" s="92"/>
      <c r="C33" s="31"/>
      <c r="D33" s="36"/>
      <c r="E33" s="36"/>
      <c r="F33" s="36"/>
      <c r="G33" s="36"/>
      <c r="H33" s="36"/>
      <c r="I33" s="36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2"/>
    </row>
    <row r="34" spans="1:38" x14ac:dyDescent="0.3">
      <c r="A34" s="91"/>
      <c r="B34" s="92"/>
      <c r="C34" s="26"/>
      <c r="D34" s="71" t="s">
        <v>37</v>
      </c>
      <c r="E34" s="64"/>
      <c r="F34" s="64"/>
      <c r="G34" s="64"/>
      <c r="H34" s="64"/>
      <c r="I34" s="65"/>
      <c r="J34" s="31"/>
      <c r="K34" s="63" t="b">
        <f>IF(H5=6,VLOOKUP($A$2,Données!G29:AB39,10,FALSE))</f>
        <v>0</v>
      </c>
      <c r="L34" s="64"/>
      <c r="M34" s="64"/>
      <c r="N34" s="64"/>
      <c r="O34" s="64"/>
      <c r="P34" s="65"/>
      <c r="Q34" s="31"/>
      <c r="R34" s="63" t="b">
        <f>IF(H5=6,VLOOKUP($A$2,Données!G29:AB39,13,FALSE))</f>
        <v>0</v>
      </c>
      <c r="S34" s="64"/>
      <c r="T34" s="64"/>
      <c r="U34" s="64"/>
      <c r="V34" s="64"/>
      <c r="W34" s="65"/>
      <c r="X34" s="31"/>
      <c r="Y34" s="63" t="b">
        <f>IF(H5=6,VLOOKUP($A$2,Données!G29:AB39,16,FALSE))</f>
        <v>0</v>
      </c>
      <c r="Z34" s="64"/>
      <c r="AA34" s="64"/>
      <c r="AB34" s="64"/>
      <c r="AC34" s="64"/>
      <c r="AD34" s="65"/>
      <c r="AE34" s="31"/>
      <c r="AF34" s="41"/>
      <c r="AG34" s="41"/>
      <c r="AH34" s="41"/>
      <c r="AI34" s="41"/>
      <c r="AJ34" s="41"/>
      <c r="AK34" s="41"/>
      <c r="AL34" s="32"/>
    </row>
    <row r="35" spans="1:38" x14ac:dyDescent="0.3">
      <c r="A35" s="93"/>
      <c r="B35" s="94"/>
      <c r="C35" s="26"/>
      <c r="D35" s="66"/>
      <c r="E35" s="67"/>
      <c r="F35" s="67"/>
      <c r="G35" s="67"/>
      <c r="H35" s="67"/>
      <c r="I35" s="68"/>
      <c r="J35" s="31"/>
      <c r="K35" s="66"/>
      <c r="L35" s="67"/>
      <c r="M35" s="67"/>
      <c r="N35" s="67"/>
      <c r="O35" s="67"/>
      <c r="P35" s="68"/>
      <c r="Q35" s="31"/>
      <c r="R35" s="66"/>
      <c r="S35" s="67"/>
      <c r="T35" s="67"/>
      <c r="U35" s="67"/>
      <c r="V35" s="67"/>
      <c r="W35" s="68"/>
      <c r="X35" s="31"/>
      <c r="Y35" s="66"/>
      <c r="Z35" s="67"/>
      <c r="AA35" s="67"/>
      <c r="AB35" s="67"/>
      <c r="AC35" s="67"/>
      <c r="AD35" s="68"/>
      <c r="AE35" s="31"/>
      <c r="AF35" s="41"/>
      <c r="AG35" s="41"/>
      <c r="AH35" s="41"/>
      <c r="AI35" s="41"/>
      <c r="AJ35" s="41"/>
      <c r="AK35" s="41"/>
      <c r="AL35" s="37"/>
    </row>
    <row r="36" spans="1:38" ht="5.0999999999999996" customHeight="1" x14ac:dyDescent="0.3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37"/>
    </row>
    <row r="37" spans="1:38" x14ac:dyDescent="0.3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71" t="s">
        <v>31</v>
      </c>
      <c r="M37" s="72"/>
      <c r="N37" s="72"/>
      <c r="O37" s="72"/>
      <c r="P37" s="72"/>
      <c r="Q37" s="72"/>
      <c r="R37" s="72"/>
      <c r="S37" s="72"/>
      <c r="T37" s="73"/>
      <c r="U37" s="31"/>
      <c r="V37" s="31"/>
      <c r="W37" s="77">
        <f>VLOOKUP(A2,Données!G3:AB27,2,FALSE)</f>
        <v>152</v>
      </c>
      <c r="X37" s="78"/>
      <c r="Y37" s="78"/>
      <c r="Z37" s="78"/>
      <c r="AA37" s="78"/>
      <c r="AB37" s="79"/>
      <c r="AC37" s="57" t="s">
        <v>32</v>
      </c>
      <c r="AD37" s="58"/>
      <c r="AE37" s="59"/>
      <c r="AF37" s="26"/>
      <c r="AG37" s="26"/>
      <c r="AH37" s="26"/>
      <c r="AI37" s="26"/>
      <c r="AJ37" s="26"/>
      <c r="AK37" s="26"/>
      <c r="AL37" s="37"/>
    </row>
    <row r="38" spans="1:38" x14ac:dyDescent="0.3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74"/>
      <c r="M38" s="75"/>
      <c r="N38" s="75"/>
      <c r="O38" s="75"/>
      <c r="P38" s="75"/>
      <c r="Q38" s="75"/>
      <c r="R38" s="75"/>
      <c r="S38" s="75"/>
      <c r="T38" s="76"/>
      <c r="U38" s="31"/>
      <c r="V38" s="31"/>
      <c r="W38" s="80"/>
      <c r="X38" s="81"/>
      <c r="Y38" s="81"/>
      <c r="Z38" s="81"/>
      <c r="AA38" s="81"/>
      <c r="AB38" s="82"/>
      <c r="AC38" s="60"/>
      <c r="AD38" s="61"/>
      <c r="AE38" s="62"/>
      <c r="AF38" s="26"/>
      <c r="AG38" s="26"/>
      <c r="AH38" s="26"/>
      <c r="AI38" s="26"/>
      <c r="AJ38" s="26"/>
      <c r="AK38" s="26"/>
      <c r="AL38" s="37"/>
    </row>
    <row r="39" spans="1:38" ht="5.0999999999999996" customHeight="1" x14ac:dyDescent="0.3">
      <c r="A39" s="44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5"/>
    </row>
  </sheetData>
  <sheetProtection formatCells="0" formatColumns="0" formatRows="0" insertColumns="0" insertRows="0" insertHyperlinks="0" deleteColumns="0" deleteRows="0" sort="0" autoFilter="0" pivotTables="0"/>
  <mergeCells count="51">
    <mergeCell ref="K23:P24"/>
    <mergeCell ref="R23:W24"/>
    <mergeCell ref="Y23:AD24"/>
    <mergeCell ref="AF23:AK24"/>
    <mergeCell ref="D34:I35"/>
    <mergeCell ref="AF26:AK26"/>
    <mergeCell ref="AF17:AK18"/>
    <mergeCell ref="K20:P21"/>
    <mergeCell ref="R20:W21"/>
    <mergeCell ref="Y20:AD21"/>
    <mergeCell ref="AF20:AK21"/>
    <mergeCell ref="K17:P18"/>
    <mergeCell ref="R17:W18"/>
    <mergeCell ref="Y17:AD18"/>
    <mergeCell ref="H8:K9"/>
    <mergeCell ref="A8:G9"/>
    <mergeCell ref="AC8:AF9"/>
    <mergeCell ref="U8:AB9"/>
    <mergeCell ref="AC5:AF6"/>
    <mergeCell ref="U5:AB6"/>
    <mergeCell ref="A5:G6"/>
    <mergeCell ref="H5:K6"/>
    <mergeCell ref="C1:AJ2"/>
    <mergeCell ref="L37:T38"/>
    <mergeCell ref="W37:AB38"/>
    <mergeCell ref="A11:AL12"/>
    <mergeCell ref="A14:B24"/>
    <mergeCell ref="A26:B35"/>
    <mergeCell ref="D17:I18"/>
    <mergeCell ref="D20:I21"/>
    <mergeCell ref="D23:I24"/>
    <mergeCell ref="K14:P15"/>
    <mergeCell ref="R14:W15"/>
    <mergeCell ref="Y14:AD15"/>
    <mergeCell ref="AF14:AK15"/>
    <mergeCell ref="D28:I29"/>
    <mergeCell ref="D31:I32"/>
    <mergeCell ref="Q3:T3"/>
    <mergeCell ref="AC37:AE38"/>
    <mergeCell ref="K26:P26"/>
    <mergeCell ref="R26:W26"/>
    <mergeCell ref="Y26:AD26"/>
    <mergeCell ref="K34:P35"/>
    <mergeCell ref="R34:W35"/>
    <mergeCell ref="Y34:AD35"/>
    <mergeCell ref="R31:W32"/>
    <mergeCell ref="Y31:AD32"/>
    <mergeCell ref="K31:P32"/>
    <mergeCell ref="K28:P29"/>
    <mergeCell ref="R28:W29"/>
    <mergeCell ref="Y28:AD29"/>
  </mergeCells>
  <conditionalFormatting sqref="Y17:AD18 AF17:AK18 K17:P18 R17:W18">
    <cfRule type="cellIs" dxfId="10" priority="2" operator="equal">
      <formula>IF(ISNUMBER(XEQ1048568)=6,"")</formula>
    </cfRule>
  </conditionalFormatting>
  <conditionalFormatting sqref="R28:W29 Y28:AD29 K28:P29">
    <cfRule type="cellIs" dxfId="9" priority="1" operator="equal">
      <formula>IF(ISNUMBER(XEX1048568)=1,"")</formula>
    </cfRule>
  </conditionalFormatting>
  <conditionalFormatting sqref="K23:P24 R23:W24">
    <cfRule type="cellIs" dxfId="8" priority="4" operator="equal">
      <formula>IF(ISNUMBER(XEO5)=6,"")</formula>
    </cfRule>
  </conditionalFormatting>
  <conditionalFormatting sqref="K34:P35">
    <cfRule type="cellIs" dxfId="7" priority="8" operator="equal">
      <formula>IF(ISNUMBER(XEV5)=1,"")</formula>
    </cfRule>
  </conditionalFormatting>
  <conditionalFormatting sqref="Y20:AD21 AF20:AK21">
    <cfRule type="cellIs" dxfId="6" priority="9" operator="equal">
      <formula>IF(ISNUMBER(#REF!)=6,"")</formula>
    </cfRule>
  </conditionalFormatting>
  <conditionalFormatting sqref="R31:W32 Y31:AD32">
    <cfRule type="cellIs" dxfId="5" priority="11" operator="equal">
      <formula>IF(ISNUMBER(#REF!)=1,"")</formula>
    </cfRule>
  </conditionalFormatting>
  <conditionalFormatting sqref="K20:P21 R20:W21">
    <cfRule type="cellIs" dxfId="4" priority="13" operator="equal">
      <formula>IF(ISNUMBER(#REF!)=6,"")</formula>
    </cfRule>
  </conditionalFormatting>
  <conditionalFormatting sqref="K31:P32">
    <cfRule type="cellIs" dxfId="3" priority="15" operator="equal">
      <formula>IF(ISNUMBER(#REF!)=1,"")</formula>
    </cfRule>
  </conditionalFormatting>
  <conditionalFormatting sqref="Y23:AD24 AF23:AK24">
    <cfRule type="cellIs" dxfId="2" priority="18" operator="equal">
      <formula>IF(ISNUMBER(A5)=6,"")</formula>
    </cfRule>
  </conditionalFormatting>
  <conditionalFormatting sqref="Y34:AD35 R34:W35">
    <cfRule type="cellIs" dxfId="1" priority="21" operator="equal">
      <formula>IF(ISNUMBER(A5)=1,"")</formula>
    </cfRule>
  </conditionalFormatting>
  <dataValidations count="13">
    <dataValidation showInputMessage="1" showErrorMessage="1" error="Lire Case 480" sqref="K17:P18"/>
    <dataValidation type="custom" allowBlank="1" showInputMessage="1" showErrorMessage="1" error="Lire les valeurs à la 480" sqref="R34:W34 K34:P34">
      <formula1>H5=#REF!</formula1>
    </dataValidation>
    <dataValidation type="custom" allowBlank="1" showInputMessage="1" showErrorMessage="1" error="Lire les valeurs à la 480" sqref="Y34:AD34">
      <formula1>#REF!=#REF!</formula1>
    </dataValidation>
    <dataValidation type="custom" allowBlank="1" showInputMessage="1" showErrorMessage="1" error="Lire les valeurs à la 480" sqref="Y35:AD35">
      <formula1>#REF!=STX1</formula1>
    </dataValidation>
    <dataValidation allowBlank="1" showInputMessage="1" showErrorMessage="1" sqref="A10:AL12 AN10:AQ11"/>
    <dataValidation type="custom" allowBlank="1" showInputMessage="1" showErrorMessage="1" error="Lire les valeurs à la 480" sqref="K31:P32 R31:W32 Y31:AD32">
      <formula1>#REF!=STJ1048543</formula1>
    </dataValidation>
    <dataValidation type="custom" allowBlank="1" showInputMessage="1" showErrorMessage="1" error="Lire les valeurs à la 480" sqref="Y28:AD29 K28:P29 R28:W29">
      <formula1>H1=STJ1048539</formula1>
    </dataValidation>
    <dataValidation type="custom" allowBlank="1" showInputMessage="1" showErrorMessage="1" error="Lire les valeurs à la 480" sqref="K35:P35 R35:W35">
      <formula1>H6=STJ1</formula1>
    </dataValidation>
    <dataValidation type="list" allowBlank="1" showInputMessage="1" showErrorMessage="1" sqref="M8">
      <formula1>Diametre</formula1>
    </dataValidation>
    <dataValidation type="list" allowBlank="1" showInputMessage="1" showErrorMessage="1" sqref="N8">
      <formula1>OFFSET(Diametre,,1,1,1)</formula1>
    </dataValidation>
    <dataValidation type="list" allowBlank="1" showInputMessage="1" showErrorMessage="1" sqref="AC8:AF9">
      <formula1>Form_Weld</formula1>
    </dataValidation>
    <dataValidation type="list" allowBlank="1" showInputMessage="1" showErrorMessage="1" sqref="AC5:AF6">
      <formula1>Diametre</formula1>
    </dataValidation>
    <dataValidation type="list" allowBlank="1" showInputMessage="1" showErrorMessage="1" sqref="H8:K9">
      <formula1>Epaisseur</formula1>
    </dataValidation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29D1E749-D77A-4F92-B664-F51FC002BCAC}">
            <xm:f>NOT(ISERROR(SEARCH($H$5,K28)))</xm:f>
            <xm:f>$H$5</xm:f>
            <x14:dxf>
              <fill>
                <patternFill>
                  <bgColor theme="1"/>
                </patternFill>
              </fill>
            </x14:dxf>
          </x14:cfRule>
          <xm:sqref>K28:P29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Données!$AG$3:$AG$4</xm:f>
          </x14:formula1>
          <xm:sqref>H5:K6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>
  <element uid="1239ecc3-00e0-482b-a8a4-82e46943bfcc" value=""/>
</sisl>
</file>

<file path=customXml/itemProps1.xml><?xml version="1.0" encoding="utf-8"?>
<ds:datastoreItem xmlns:ds="http://schemas.openxmlformats.org/officeDocument/2006/customXml" ds:itemID="{57E49170-971B-44D5-A98C-530FC210903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Récap</vt:lpstr>
      <vt:lpstr>Feuil1</vt:lpstr>
    </vt:vector>
  </TitlesOfParts>
  <Company>FIATGROUP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Avot</dc:creator>
  <cp:lastModifiedBy>Dede</cp:lastModifiedBy>
  <dcterms:created xsi:type="dcterms:W3CDTF">2017-04-06T08:01:01Z</dcterms:created>
  <dcterms:modified xsi:type="dcterms:W3CDTF">2017-04-20T08:58:14Z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3129955e-dadd-4564-8fd4-0feefde01fcf</vt:lpwstr>
  </property>
  <property fmtid="{D5CDD505-2E9C-101B-9397-08002B2CF9AE}" pid="3" name="bjSaver">
    <vt:lpwstr>AaxHgS8wLCOTxw1DGE0ACMRqibqVPa/p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xmlns="http://www.boldonjames.com/2008/01/sie/i</vt:lpwstr>
  </property>
  <property fmtid="{D5CDD505-2E9C-101B-9397-08002B2CF9AE}" pid="5" name="bjDocumentLabelXML-0">
    <vt:lpwstr>nternal/label"&gt;&lt;element uid="1239ecc3-00e0-482b-a8a4-82e46943bfcc" value="" /&gt;&lt;/sisl&gt;</vt:lpwstr>
  </property>
  <property fmtid="{D5CDD505-2E9C-101B-9397-08002B2CF9AE}" pid="6" name="bjDocumentSecurityLabel">
    <vt:lpwstr>CNH Industrial: PUBLIC [No prejudice to Company from disclosure.]</vt:lpwstr>
  </property>
  <property fmtid="{D5CDD505-2E9C-101B-9397-08002B2CF9AE}" pid="7" name="CNH-LabelledBy:">
    <vt:lpwstr>WY742,13/04/2017 11:50:31,PUBLIC</vt:lpwstr>
  </property>
  <property fmtid="{D5CDD505-2E9C-101B-9397-08002B2CF9AE}" pid="8" name="CNH-Classification">
    <vt:lpwstr>[PUBLIC]</vt:lpwstr>
  </property>
</Properties>
</file>