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micka\Downloads\"/>
    </mc:Choice>
  </mc:AlternateContent>
  <xr:revisionPtr revIDLastSave="0" documentId="13_ncr:1_{F29EFFF9-EA1C-4329-88BF-00DB64F7C1D2}" xr6:coauthVersionLast="47" xr6:coauthVersionMax="47" xr10:uidLastSave="{00000000-0000-0000-0000-000000000000}"/>
  <bookViews>
    <workbookView minimized="1" xWindow="6108" yWindow="3624" windowWidth="17280" windowHeight="8964" xr2:uid="{00000000-000D-0000-FFFF-FFFF00000000}"/>
  </bookViews>
  <sheets>
    <sheet name="EDT" sheetId="1" r:id="rId1"/>
    <sheet name="Heures jeunes tableau mars" sheetId="2" r:id="rId2"/>
    <sheet name="NVScriptsProperties" sheetId="3" state="hidden" r:id="rId3"/>
    <sheet name="Recap Accompagnement" sheetId="4" state="hidden" r:id="rId4"/>
    <sheet name="salariés" sheetId="5" r:id="rId5"/>
    <sheet name="DO NOT DELETE - AutoCrat Job Se" sheetId="6" state="hidden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" i="5" l="1"/>
  <c r="N17" i="5" s="1"/>
  <c r="Q17" i="5" s="1"/>
  <c r="C16" i="5"/>
  <c r="F16" i="5" s="1"/>
  <c r="C15" i="5"/>
  <c r="D15" i="5" s="1"/>
  <c r="N14" i="5"/>
  <c r="Q14" i="5" s="1"/>
  <c r="F14" i="5"/>
  <c r="E14" i="5"/>
  <c r="D14" i="5"/>
  <c r="F13" i="5"/>
  <c r="C13" i="5"/>
  <c r="N13" i="5" s="1"/>
  <c r="Q13" i="5" s="1"/>
  <c r="D12" i="5"/>
  <c r="C12" i="5"/>
  <c r="E12" i="5" s="1"/>
  <c r="N11" i="5"/>
  <c r="Q11" i="5" s="1"/>
  <c r="F11" i="5"/>
  <c r="E11" i="5"/>
  <c r="D11" i="5"/>
  <c r="N10" i="5"/>
  <c r="Q10" i="5" s="1"/>
  <c r="F10" i="5"/>
  <c r="E10" i="5"/>
  <c r="D10" i="5"/>
  <c r="C10" i="5"/>
  <c r="E9" i="5"/>
  <c r="D9" i="5"/>
  <c r="C9" i="5"/>
  <c r="F9" i="5" s="1"/>
  <c r="P8" i="5"/>
  <c r="B8" i="5"/>
  <c r="C8" i="5" s="1"/>
  <c r="P7" i="5"/>
  <c r="Q7" i="5" s="1"/>
  <c r="N7" i="5"/>
  <c r="B7" i="5"/>
  <c r="P6" i="5"/>
  <c r="N6" i="5"/>
  <c r="D6" i="5"/>
  <c r="B6" i="5"/>
  <c r="P5" i="5"/>
  <c r="B5" i="5"/>
  <c r="C5" i="5" s="1"/>
  <c r="Q4" i="5"/>
  <c r="N4" i="5"/>
  <c r="F4" i="5"/>
  <c r="E4" i="5"/>
  <c r="D4" i="5"/>
  <c r="B4" i="5"/>
  <c r="P3" i="5"/>
  <c r="C3" i="5"/>
  <c r="N3" i="5" s="1"/>
  <c r="Q3" i="5" s="1"/>
  <c r="B2" i="5"/>
  <c r="H101" i="4"/>
  <c r="J101" i="4" s="1"/>
  <c r="G101" i="4"/>
  <c r="F101" i="4"/>
  <c r="E101" i="4"/>
  <c r="D101" i="4"/>
  <c r="C101" i="4" s="1"/>
  <c r="H100" i="4"/>
  <c r="J100" i="4" s="1"/>
  <c r="G100" i="4"/>
  <c r="F100" i="4" s="1"/>
  <c r="E100" i="4"/>
  <c r="D100" i="4"/>
  <c r="C100" i="4" s="1"/>
  <c r="H99" i="4"/>
  <c r="J99" i="4" s="1"/>
  <c r="G99" i="4"/>
  <c r="F99" i="4" s="1"/>
  <c r="E99" i="4"/>
  <c r="D99" i="4"/>
  <c r="C99" i="4" s="1"/>
  <c r="J98" i="4"/>
  <c r="H98" i="4"/>
  <c r="G98" i="4"/>
  <c r="F98" i="4"/>
  <c r="E98" i="4"/>
  <c r="D98" i="4"/>
  <c r="C98" i="4"/>
  <c r="J97" i="4"/>
  <c r="H97" i="4"/>
  <c r="G97" i="4"/>
  <c r="F97" i="4"/>
  <c r="E97" i="4"/>
  <c r="D97" i="4"/>
  <c r="C97" i="4" s="1"/>
  <c r="J96" i="4"/>
  <c r="H96" i="4"/>
  <c r="G96" i="4"/>
  <c r="F96" i="4" s="1"/>
  <c r="E96" i="4"/>
  <c r="D96" i="4"/>
  <c r="C96" i="4"/>
  <c r="H95" i="4"/>
  <c r="J95" i="4" s="1"/>
  <c r="G95" i="4"/>
  <c r="F95" i="4" s="1"/>
  <c r="E95" i="4"/>
  <c r="D95" i="4"/>
  <c r="C95" i="4"/>
  <c r="J94" i="4"/>
  <c r="H94" i="4"/>
  <c r="G94" i="4"/>
  <c r="F94" i="4" s="1"/>
  <c r="E94" i="4"/>
  <c r="D94" i="4"/>
  <c r="C94" i="4"/>
  <c r="H93" i="4"/>
  <c r="J93" i="4" s="1"/>
  <c r="G93" i="4"/>
  <c r="F93" i="4"/>
  <c r="E93" i="4"/>
  <c r="D93" i="4"/>
  <c r="C93" i="4" s="1"/>
  <c r="H92" i="4"/>
  <c r="J92" i="4" s="1"/>
  <c r="G92" i="4"/>
  <c r="F92" i="4" s="1"/>
  <c r="E92" i="4"/>
  <c r="D92" i="4"/>
  <c r="C92" i="4" s="1"/>
  <c r="H91" i="4"/>
  <c r="J91" i="4" s="1"/>
  <c r="G91" i="4"/>
  <c r="F91" i="4" s="1"/>
  <c r="E91" i="4"/>
  <c r="D91" i="4"/>
  <c r="C91" i="4" s="1"/>
  <c r="J90" i="4"/>
  <c r="H90" i="4"/>
  <c r="G90" i="4"/>
  <c r="F90" i="4"/>
  <c r="E90" i="4"/>
  <c r="D90" i="4"/>
  <c r="C90" i="4"/>
  <c r="J89" i="4"/>
  <c r="H89" i="4"/>
  <c r="G89" i="4"/>
  <c r="F89" i="4"/>
  <c r="E89" i="4"/>
  <c r="D89" i="4"/>
  <c r="C89" i="4" s="1"/>
  <c r="J88" i="4"/>
  <c r="H88" i="4"/>
  <c r="G88" i="4"/>
  <c r="F88" i="4" s="1"/>
  <c r="E88" i="4"/>
  <c r="D88" i="4"/>
  <c r="C88" i="4"/>
  <c r="H87" i="4"/>
  <c r="J87" i="4" s="1"/>
  <c r="G87" i="4"/>
  <c r="F87" i="4" s="1"/>
  <c r="E87" i="4"/>
  <c r="D87" i="4"/>
  <c r="C87" i="4"/>
  <c r="J86" i="4"/>
  <c r="H86" i="4"/>
  <c r="G86" i="4"/>
  <c r="F86" i="4" s="1"/>
  <c r="E86" i="4"/>
  <c r="D86" i="4"/>
  <c r="C86" i="4"/>
  <c r="H85" i="4"/>
  <c r="J85" i="4" s="1"/>
  <c r="G85" i="4"/>
  <c r="F85" i="4"/>
  <c r="E85" i="4"/>
  <c r="D85" i="4"/>
  <c r="C85" i="4"/>
  <c r="H84" i="4"/>
  <c r="J84" i="4" s="1"/>
  <c r="G84" i="4"/>
  <c r="F84" i="4" s="1"/>
  <c r="E84" i="4"/>
  <c r="D84" i="4"/>
  <c r="C84" i="4" s="1"/>
  <c r="H83" i="4"/>
  <c r="J83" i="4" s="1"/>
  <c r="G83" i="4"/>
  <c r="F83" i="4" s="1"/>
  <c r="E83" i="4"/>
  <c r="D83" i="4"/>
  <c r="C83" i="4" s="1"/>
  <c r="H82" i="4"/>
  <c r="J82" i="4" s="1"/>
  <c r="G82" i="4"/>
  <c r="F82" i="4"/>
  <c r="E82" i="4"/>
  <c r="D82" i="4"/>
  <c r="C82" i="4"/>
  <c r="J81" i="4"/>
  <c r="H81" i="4"/>
  <c r="G81" i="4"/>
  <c r="F81" i="4"/>
  <c r="E81" i="4"/>
  <c r="D81" i="4"/>
  <c r="C81" i="4" s="1"/>
  <c r="J80" i="4"/>
  <c r="H80" i="4"/>
  <c r="G80" i="4"/>
  <c r="F80" i="4"/>
  <c r="E80" i="4"/>
  <c r="D80" i="4"/>
  <c r="C80" i="4" s="1"/>
  <c r="H79" i="4"/>
  <c r="J79" i="4" s="1"/>
  <c r="G79" i="4"/>
  <c r="F79" i="4" s="1"/>
  <c r="E79" i="4"/>
  <c r="D79" i="4"/>
  <c r="C79" i="4"/>
  <c r="J78" i="4"/>
  <c r="H78" i="4"/>
  <c r="G78" i="4"/>
  <c r="F78" i="4" s="1"/>
  <c r="E78" i="4"/>
  <c r="D78" i="4"/>
  <c r="C78" i="4"/>
  <c r="J77" i="4"/>
  <c r="H77" i="4"/>
  <c r="G77" i="4"/>
  <c r="F77" i="4"/>
  <c r="E77" i="4"/>
  <c r="D77" i="4"/>
  <c r="C77" i="4"/>
  <c r="H76" i="4"/>
  <c r="J76" i="4" s="1"/>
  <c r="G76" i="4"/>
  <c r="F76" i="4" s="1"/>
  <c r="E76" i="4"/>
  <c r="D76" i="4"/>
  <c r="C76" i="4" s="1"/>
  <c r="H75" i="4"/>
  <c r="J75" i="4" s="1"/>
  <c r="G75" i="4"/>
  <c r="F75" i="4"/>
  <c r="E75" i="4"/>
  <c r="D75" i="4"/>
  <c r="C75" i="4" s="1"/>
  <c r="H74" i="4"/>
  <c r="J74" i="4" s="1"/>
  <c r="G74" i="4"/>
  <c r="F74" i="4"/>
  <c r="E74" i="4"/>
  <c r="D74" i="4"/>
  <c r="C74" i="4"/>
  <c r="J73" i="4"/>
  <c r="H73" i="4"/>
  <c r="G73" i="4"/>
  <c r="F73" i="4"/>
  <c r="E73" i="4"/>
  <c r="D73" i="4"/>
  <c r="C73" i="4" s="1"/>
  <c r="J72" i="4"/>
  <c r="H72" i="4"/>
  <c r="G72" i="4"/>
  <c r="F72" i="4"/>
  <c r="E72" i="4"/>
  <c r="D72" i="4"/>
  <c r="C72" i="4" s="1"/>
  <c r="H71" i="4"/>
  <c r="J71" i="4" s="1"/>
  <c r="G71" i="4"/>
  <c r="F71" i="4" s="1"/>
  <c r="E71" i="4"/>
  <c r="D71" i="4"/>
  <c r="C71" i="4"/>
  <c r="J70" i="4"/>
  <c r="H70" i="4"/>
  <c r="G70" i="4"/>
  <c r="F70" i="4" s="1"/>
  <c r="E70" i="4"/>
  <c r="D70" i="4"/>
  <c r="C70" i="4"/>
  <c r="J69" i="4"/>
  <c r="H69" i="4"/>
  <c r="G69" i="4"/>
  <c r="F69" i="4"/>
  <c r="E69" i="4"/>
  <c r="D69" i="4"/>
  <c r="C69" i="4"/>
  <c r="H68" i="4"/>
  <c r="J68" i="4" s="1"/>
  <c r="G68" i="4"/>
  <c r="F68" i="4" s="1"/>
  <c r="E68" i="4"/>
  <c r="D68" i="4"/>
  <c r="C68" i="4" s="1"/>
  <c r="H67" i="4"/>
  <c r="J67" i="4" s="1"/>
  <c r="G67" i="4"/>
  <c r="F67" i="4"/>
  <c r="E67" i="4"/>
  <c r="D67" i="4"/>
  <c r="C67" i="4"/>
  <c r="H66" i="4"/>
  <c r="J66" i="4" s="1"/>
  <c r="G66" i="4"/>
  <c r="F66" i="4"/>
  <c r="E66" i="4"/>
  <c r="D66" i="4"/>
  <c r="C66" i="4"/>
  <c r="J65" i="4"/>
  <c r="H65" i="4"/>
  <c r="G65" i="4"/>
  <c r="F65" i="4"/>
  <c r="E65" i="4"/>
  <c r="D65" i="4"/>
  <c r="C65" i="4" s="1"/>
  <c r="J64" i="4"/>
  <c r="G64" i="4"/>
  <c r="F64" i="4" s="1"/>
  <c r="E64" i="4"/>
  <c r="D64" i="4"/>
  <c r="C64" i="4"/>
  <c r="J63" i="4"/>
  <c r="G63" i="4"/>
  <c r="F63" i="4"/>
  <c r="E63" i="4"/>
  <c r="D63" i="4"/>
  <c r="C63" i="4"/>
  <c r="J62" i="4"/>
  <c r="G62" i="4"/>
  <c r="F62" i="4"/>
  <c r="E62" i="4"/>
  <c r="D62" i="4"/>
  <c r="C62" i="4"/>
  <c r="H61" i="4"/>
  <c r="J61" i="4" s="1"/>
  <c r="G61" i="4"/>
  <c r="F61" i="4"/>
  <c r="E61" i="4"/>
  <c r="D61" i="4"/>
  <c r="C61" i="4"/>
  <c r="K60" i="4"/>
  <c r="H60" i="4"/>
  <c r="J60" i="4" s="1"/>
  <c r="G60" i="4"/>
  <c r="F60" i="4"/>
  <c r="E60" i="4"/>
  <c r="D60" i="4"/>
  <c r="C60" i="4"/>
  <c r="K59" i="4"/>
  <c r="H59" i="4"/>
  <c r="J59" i="4" s="1"/>
  <c r="G59" i="4"/>
  <c r="F59" i="4"/>
  <c r="E59" i="4"/>
  <c r="D59" i="4"/>
  <c r="C59" i="4"/>
  <c r="K58" i="4"/>
  <c r="J58" i="4"/>
  <c r="G58" i="4"/>
  <c r="F58" i="4"/>
  <c r="E58" i="4"/>
  <c r="D58" i="4"/>
  <c r="C58" i="4" s="1"/>
  <c r="K57" i="4"/>
  <c r="J57" i="4"/>
  <c r="G57" i="4"/>
  <c r="F57" i="4"/>
  <c r="E57" i="4"/>
  <c r="D57" i="4"/>
  <c r="C57" i="4" s="1"/>
  <c r="H56" i="4"/>
  <c r="K56" i="4" s="1"/>
  <c r="G56" i="4"/>
  <c r="F56" i="4"/>
  <c r="E56" i="4"/>
  <c r="D56" i="4"/>
  <c r="C56" i="4"/>
  <c r="H55" i="4"/>
  <c r="K55" i="4" s="1"/>
  <c r="G55" i="4"/>
  <c r="F55" i="4"/>
  <c r="E55" i="4"/>
  <c r="D55" i="4"/>
  <c r="C55" i="4"/>
  <c r="J54" i="4"/>
  <c r="H54" i="4"/>
  <c r="K54" i="4" s="1"/>
  <c r="G54" i="4"/>
  <c r="F54" i="4"/>
  <c r="E54" i="4"/>
  <c r="D54" i="4"/>
  <c r="C54" i="4"/>
  <c r="H53" i="4"/>
  <c r="K53" i="4" s="1"/>
  <c r="G53" i="4"/>
  <c r="F53" i="4"/>
  <c r="E53" i="4"/>
  <c r="D53" i="4"/>
  <c r="C53" i="4"/>
  <c r="H52" i="4"/>
  <c r="K52" i="4" s="1"/>
  <c r="G52" i="4"/>
  <c r="F52" i="4" s="1"/>
  <c r="E52" i="4"/>
  <c r="D52" i="4"/>
  <c r="C52" i="4"/>
  <c r="K51" i="4"/>
  <c r="J51" i="4"/>
  <c r="G51" i="4"/>
  <c r="F51" i="4" s="1"/>
  <c r="E51" i="4"/>
  <c r="D51" i="4"/>
  <c r="C51" i="4"/>
  <c r="K50" i="4"/>
  <c r="J50" i="4"/>
  <c r="G50" i="4"/>
  <c r="F50" i="4" s="1"/>
  <c r="E50" i="4"/>
  <c r="D50" i="4"/>
  <c r="C50" i="4"/>
  <c r="K49" i="4"/>
  <c r="J49" i="4"/>
  <c r="G49" i="4"/>
  <c r="F49" i="4"/>
  <c r="E49" i="4"/>
  <c r="D49" i="4"/>
  <c r="C49" i="4"/>
  <c r="K48" i="4"/>
  <c r="J48" i="4"/>
  <c r="G48" i="4"/>
  <c r="F48" i="4" s="1"/>
  <c r="E48" i="4"/>
  <c r="D48" i="4"/>
  <c r="C48" i="4" s="1"/>
  <c r="K47" i="4"/>
  <c r="J47" i="4"/>
  <c r="G47" i="4"/>
  <c r="F47" i="4"/>
  <c r="E47" i="4"/>
  <c r="D47" i="4"/>
  <c r="C47" i="4"/>
  <c r="H46" i="4"/>
  <c r="K46" i="4" s="1"/>
  <c r="G46" i="4"/>
  <c r="F46" i="4" s="1"/>
  <c r="E46" i="4"/>
  <c r="D46" i="4"/>
  <c r="C46" i="4" s="1"/>
  <c r="K45" i="4"/>
  <c r="J45" i="4"/>
  <c r="G45" i="4"/>
  <c r="F45" i="4"/>
  <c r="E45" i="4"/>
  <c r="D45" i="4"/>
  <c r="C45" i="4"/>
  <c r="K44" i="4"/>
  <c r="H44" i="4"/>
  <c r="J44" i="4" s="1"/>
  <c r="G44" i="4"/>
  <c r="F44" i="4"/>
  <c r="E44" i="4"/>
  <c r="D44" i="4"/>
  <c r="C44" i="4"/>
  <c r="K43" i="4"/>
  <c r="J43" i="4"/>
  <c r="G43" i="4"/>
  <c r="F43" i="4"/>
  <c r="E43" i="4"/>
  <c r="D43" i="4"/>
  <c r="C43" i="4"/>
  <c r="K42" i="4"/>
  <c r="J42" i="4"/>
  <c r="H42" i="4"/>
  <c r="G42" i="4"/>
  <c r="F42" i="4"/>
  <c r="E42" i="4"/>
  <c r="D42" i="4"/>
  <c r="C42" i="4"/>
  <c r="M41" i="4"/>
  <c r="L41" i="4"/>
  <c r="K41" i="4"/>
  <c r="I41" i="4"/>
  <c r="J41" i="4" s="1"/>
  <c r="G41" i="4"/>
  <c r="F41" i="4" s="1"/>
  <c r="E41" i="4"/>
  <c r="B41" i="4"/>
  <c r="D41" i="4" s="1"/>
  <c r="C41" i="4" s="1"/>
  <c r="A41" i="4"/>
  <c r="M40" i="4"/>
  <c r="L40" i="4"/>
  <c r="I40" i="4"/>
  <c r="B40" i="4"/>
  <c r="A40" i="4"/>
  <c r="M39" i="4"/>
  <c r="L39" i="4"/>
  <c r="K39" i="4"/>
  <c r="I39" i="4"/>
  <c r="J39" i="4" s="1"/>
  <c r="B39" i="4"/>
  <c r="G39" i="4" s="1"/>
  <c r="F39" i="4" s="1"/>
  <c r="A39" i="4"/>
  <c r="M38" i="4"/>
  <c r="L38" i="4"/>
  <c r="K38" i="4"/>
  <c r="I38" i="4"/>
  <c r="J38" i="4" s="1"/>
  <c r="B38" i="4"/>
  <c r="D38" i="4" s="1"/>
  <c r="C38" i="4" s="1"/>
  <c r="A38" i="4"/>
  <c r="M37" i="4"/>
  <c r="L37" i="4"/>
  <c r="I37" i="4"/>
  <c r="B37" i="4"/>
  <c r="D37" i="4" s="1"/>
  <c r="C37" i="4" s="1"/>
  <c r="A37" i="4"/>
  <c r="M36" i="4"/>
  <c r="L36" i="4"/>
  <c r="K36" i="4"/>
  <c r="I36" i="4"/>
  <c r="J36" i="4" s="1"/>
  <c r="B36" i="4"/>
  <c r="G36" i="4" s="1"/>
  <c r="F36" i="4" s="1"/>
  <c r="A36" i="4"/>
  <c r="M35" i="4"/>
  <c r="I35" i="4"/>
  <c r="B35" i="4"/>
  <c r="D35" i="4" s="1"/>
  <c r="C35" i="4" s="1"/>
  <c r="A35" i="4"/>
  <c r="M34" i="4"/>
  <c r="L34" i="4"/>
  <c r="K34" i="4"/>
  <c r="I34" i="4"/>
  <c r="J34" i="4" s="1"/>
  <c r="B34" i="4"/>
  <c r="G34" i="4" s="1"/>
  <c r="F34" i="4" s="1"/>
  <c r="A34" i="4"/>
  <c r="M33" i="4"/>
  <c r="L33" i="4"/>
  <c r="K33" i="4"/>
  <c r="I33" i="4"/>
  <c r="J33" i="4" s="1"/>
  <c r="B33" i="4"/>
  <c r="D33" i="4" s="1"/>
  <c r="C33" i="4" s="1"/>
  <c r="A33" i="4"/>
  <c r="M32" i="4"/>
  <c r="L32" i="4"/>
  <c r="I32" i="4"/>
  <c r="B32" i="4"/>
  <c r="E32" i="4" s="1"/>
  <c r="A32" i="4"/>
  <c r="M31" i="4"/>
  <c r="L31" i="4"/>
  <c r="K31" i="4"/>
  <c r="I31" i="4"/>
  <c r="J31" i="4" s="1"/>
  <c r="B31" i="4"/>
  <c r="G31" i="4" s="1"/>
  <c r="F31" i="4" s="1"/>
  <c r="A31" i="4"/>
  <c r="M30" i="4"/>
  <c r="L30" i="4"/>
  <c r="K30" i="4"/>
  <c r="I30" i="4"/>
  <c r="J30" i="4" s="1"/>
  <c r="B30" i="4"/>
  <c r="G30" i="4" s="1"/>
  <c r="F30" i="4" s="1"/>
  <c r="A30" i="4"/>
  <c r="M29" i="4"/>
  <c r="L29" i="4"/>
  <c r="I29" i="4"/>
  <c r="B29" i="4"/>
  <c r="H29" i="4" s="1"/>
  <c r="K29" i="4" s="1"/>
  <c r="A29" i="4"/>
  <c r="M28" i="4"/>
  <c r="L28" i="4"/>
  <c r="K28" i="4"/>
  <c r="I28" i="4"/>
  <c r="J28" i="4" s="1"/>
  <c r="G28" i="4"/>
  <c r="F28" i="4"/>
  <c r="E28" i="4"/>
  <c r="B28" i="4"/>
  <c r="D28" i="4" s="1"/>
  <c r="C28" i="4" s="1"/>
  <c r="A28" i="4"/>
  <c r="M27" i="4"/>
  <c r="L27" i="4"/>
  <c r="I27" i="4"/>
  <c r="H27" i="4"/>
  <c r="K27" i="4" s="1"/>
  <c r="D27" i="4"/>
  <c r="C27" i="4" s="1"/>
  <c r="B27" i="4"/>
  <c r="A27" i="4"/>
  <c r="M26" i="4"/>
  <c r="L26" i="4"/>
  <c r="K26" i="4"/>
  <c r="I26" i="4"/>
  <c r="J26" i="4" s="1"/>
  <c r="G26" i="4"/>
  <c r="F26" i="4" s="1"/>
  <c r="E26" i="4"/>
  <c r="B26" i="4"/>
  <c r="D26" i="4" s="1"/>
  <c r="C26" i="4" s="1"/>
  <c r="A26" i="4"/>
  <c r="M25" i="4"/>
  <c r="L25" i="4"/>
  <c r="K25" i="4"/>
  <c r="I25" i="4"/>
  <c r="J25" i="4" s="1"/>
  <c r="D25" i="4"/>
  <c r="C25" i="4" s="1"/>
  <c r="B25" i="4"/>
  <c r="A25" i="4"/>
  <c r="M24" i="4"/>
  <c r="I24" i="4"/>
  <c r="B24" i="4"/>
  <c r="H24" i="4" s="1"/>
  <c r="K24" i="4" s="1"/>
  <c r="A24" i="4"/>
  <c r="M23" i="4"/>
  <c r="L23" i="4"/>
  <c r="I23" i="4"/>
  <c r="B23" i="4"/>
  <c r="A23" i="4"/>
  <c r="M22" i="4"/>
  <c r="L22" i="4"/>
  <c r="I22" i="4"/>
  <c r="B22" i="4"/>
  <c r="H22" i="4" s="1"/>
  <c r="A22" i="4"/>
  <c r="M21" i="4"/>
  <c r="L21" i="4"/>
  <c r="I21" i="4"/>
  <c r="H21" i="4"/>
  <c r="K21" i="4" s="1"/>
  <c r="G21" i="4"/>
  <c r="F21" i="4" s="1"/>
  <c r="E21" i="4"/>
  <c r="D21" i="4"/>
  <c r="C21" i="4"/>
  <c r="B21" i="4"/>
  <c r="A21" i="4"/>
  <c r="M20" i="4"/>
  <c r="L20" i="4"/>
  <c r="I20" i="4"/>
  <c r="B20" i="4"/>
  <c r="D20" i="4" s="1"/>
  <c r="C20" i="4" s="1"/>
  <c r="A20" i="4"/>
  <c r="M19" i="4"/>
  <c r="L19" i="4"/>
  <c r="I19" i="4"/>
  <c r="B19" i="4"/>
  <c r="D19" i="4" s="1"/>
  <c r="C19" i="4" s="1"/>
  <c r="A19" i="4"/>
  <c r="M18" i="4"/>
  <c r="L18" i="4"/>
  <c r="I18" i="4"/>
  <c r="B18" i="4"/>
  <c r="A18" i="4"/>
  <c r="M17" i="4"/>
  <c r="L17" i="4"/>
  <c r="K17" i="4"/>
  <c r="I17" i="4"/>
  <c r="J17" i="4" s="1"/>
  <c r="B17" i="4"/>
  <c r="G17" i="4" s="1"/>
  <c r="F17" i="4" s="1"/>
  <c r="A17" i="4"/>
  <c r="M16" i="4"/>
  <c r="L16" i="4"/>
  <c r="I16" i="4"/>
  <c r="B16" i="4"/>
  <c r="H16" i="4" s="1"/>
  <c r="K16" i="4" s="1"/>
  <c r="A16" i="4"/>
  <c r="M15" i="4"/>
  <c r="L15" i="4"/>
  <c r="K15" i="4"/>
  <c r="I15" i="4"/>
  <c r="J15" i="4" s="1"/>
  <c r="B15" i="4"/>
  <c r="G15" i="4" s="1"/>
  <c r="F15" i="4" s="1"/>
  <c r="A15" i="4"/>
  <c r="M14" i="4"/>
  <c r="L14" i="4"/>
  <c r="K14" i="4"/>
  <c r="I14" i="4"/>
  <c r="J14" i="4" s="1"/>
  <c r="B14" i="4"/>
  <c r="E14" i="4" s="1"/>
  <c r="A14" i="4"/>
  <c r="M13" i="4"/>
  <c r="L13" i="4"/>
  <c r="I13" i="4"/>
  <c r="B13" i="4"/>
  <c r="D13" i="4" s="1"/>
  <c r="C13" i="4" s="1"/>
  <c r="A13" i="4"/>
  <c r="M12" i="4"/>
  <c r="L12" i="4"/>
  <c r="I12" i="4"/>
  <c r="B12" i="4"/>
  <c r="D12" i="4" s="1"/>
  <c r="C12" i="4" s="1"/>
  <c r="A12" i="4"/>
  <c r="M11" i="4"/>
  <c r="L11" i="4"/>
  <c r="I11" i="4"/>
  <c r="B11" i="4"/>
  <c r="E11" i="4" s="1"/>
  <c r="A11" i="4"/>
  <c r="M10" i="4"/>
  <c r="L10" i="4"/>
  <c r="I10" i="4"/>
  <c r="B10" i="4"/>
  <c r="H10" i="4" s="1"/>
  <c r="K10" i="4" s="1"/>
  <c r="A10" i="4"/>
  <c r="M9" i="4"/>
  <c r="L9" i="4"/>
  <c r="I9" i="4"/>
  <c r="B9" i="4"/>
  <c r="H9" i="4" s="1"/>
  <c r="K9" i="4" s="1"/>
  <c r="A9" i="4"/>
  <c r="M8" i="4"/>
  <c r="L8" i="4"/>
  <c r="I8" i="4"/>
  <c r="B8" i="4"/>
  <c r="E8" i="4" s="1"/>
  <c r="A8" i="4"/>
  <c r="M7" i="4"/>
  <c r="L7" i="4"/>
  <c r="I7" i="4"/>
  <c r="B7" i="4"/>
  <c r="G7" i="4" s="1"/>
  <c r="F7" i="4" s="1"/>
  <c r="A7" i="4"/>
  <c r="M6" i="4"/>
  <c r="L6" i="4"/>
  <c r="K6" i="4"/>
  <c r="I6" i="4"/>
  <c r="J6" i="4" s="1"/>
  <c r="B6" i="4"/>
  <c r="G6" i="4" s="1"/>
  <c r="F6" i="4" s="1"/>
  <c r="A6" i="4"/>
  <c r="M5" i="4"/>
  <c r="I5" i="4"/>
  <c r="B5" i="4"/>
  <c r="A5" i="4"/>
  <c r="M4" i="4"/>
  <c r="I4" i="4"/>
  <c r="E4" i="4"/>
  <c r="B4" i="4"/>
  <c r="D4" i="4" s="1"/>
  <c r="C4" i="4" s="1"/>
  <c r="A4" i="4"/>
  <c r="M3" i="4"/>
  <c r="L3" i="4"/>
  <c r="I3" i="4"/>
  <c r="B3" i="4"/>
  <c r="H3" i="4" s="1"/>
  <c r="H102" i="4" s="1"/>
  <c r="A3" i="4"/>
  <c r="C27" i="2"/>
  <c r="B27" i="2"/>
  <c r="D25" i="2"/>
  <c r="F25" i="2" s="1"/>
  <c r="D24" i="2"/>
  <c r="F24" i="2" s="1"/>
  <c r="D23" i="2"/>
  <c r="F23" i="2" s="1"/>
  <c r="F22" i="2"/>
  <c r="D22" i="2"/>
  <c r="D21" i="2"/>
  <c r="F21" i="2" s="1"/>
  <c r="F20" i="2"/>
  <c r="D20" i="2"/>
  <c r="D19" i="2"/>
  <c r="F19" i="2" s="1"/>
  <c r="F18" i="2"/>
  <c r="D18" i="2"/>
  <c r="D17" i="2"/>
  <c r="F17" i="2" s="1"/>
  <c r="D16" i="2"/>
  <c r="F16" i="2" s="1"/>
  <c r="D15" i="2"/>
  <c r="F15" i="2" s="1"/>
  <c r="F14" i="2"/>
  <c r="D14" i="2"/>
  <c r="D13" i="2"/>
  <c r="F13" i="2" s="1"/>
  <c r="D12" i="2"/>
  <c r="F12" i="2" s="1"/>
  <c r="F11" i="2"/>
  <c r="D11" i="2"/>
  <c r="F10" i="2"/>
  <c r="D10" i="2"/>
  <c r="D9" i="2"/>
  <c r="F9" i="2" s="1"/>
  <c r="D8" i="2"/>
  <c r="F8" i="2" s="1"/>
  <c r="D7" i="2"/>
  <c r="F7" i="2" s="1"/>
  <c r="F6" i="2"/>
  <c r="D6" i="2"/>
  <c r="D5" i="2"/>
  <c r="F5" i="2" s="1"/>
  <c r="D4" i="2"/>
  <c r="F4" i="2" s="1"/>
  <c r="D3" i="2"/>
  <c r="D27" i="2" s="1"/>
  <c r="F2" i="2"/>
  <c r="D2" i="2"/>
  <c r="E202" i="1"/>
  <c r="B172" i="1"/>
  <c r="B171" i="1"/>
  <c r="B170" i="1"/>
  <c r="B169" i="1"/>
  <c r="B168" i="1"/>
  <c r="B167" i="1"/>
  <c r="B140" i="1"/>
  <c r="B139" i="1"/>
  <c r="B138" i="1"/>
  <c r="B137" i="1"/>
  <c r="B136" i="1"/>
  <c r="B135" i="1"/>
  <c r="B104" i="1"/>
  <c r="B103" i="1"/>
  <c r="B102" i="1"/>
  <c r="B101" i="1"/>
  <c r="B100" i="1"/>
  <c r="B99" i="1"/>
  <c r="B71" i="1"/>
  <c r="B70" i="1"/>
  <c r="B69" i="1"/>
  <c r="B68" i="1"/>
  <c r="B67" i="1"/>
  <c r="B66" i="1"/>
  <c r="B10" i="1"/>
  <c r="B9" i="1"/>
  <c r="B8" i="1"/>
  <c r="B7" i="1"/>
  <c r="B6" i="1"/>
  <c r="B5" i="1"/>
  <c r="G9" i="4" l="1"/>
  <c r="F9" i="4" s="1"/>
  <c r="G12" i="4"/>
  <c r="F12" i="4" s="1"/>
  <c r="H12" i="4"/>
  <c r="K12" i="4" s="1"/>
  <c r="D16" i="4"/>
  <c r="C16" i="4" s="1"/>
  <c r="D39" i="4"/>
  <c r="C39" i="4" s="1"/>
  <c r="E16" i="4"/>
  <c r="H19" i="4"/>
  <c r="K19" i="4" s="1"/>
  <c r="G35" i="4"/>
  <c r="F35" i="4" s="1"/>
  <c r="G33" i="4"/>
  <c r="F33" i="4" s="1"/>
  <c r="H13" i="4"/>
  <c r="K13" i="4" s="1"/>
  <c r="E5" i="5"/>
  <c r="D5" i="5"/>
  <c r="E8" i="5"/>
  <c r="D8" i="5"/>
  <c r="G14" i="4"/>
  <c r="F14" i="4" s="1"/>
  <c r="J27" i="4"/>
  <c r="G29" i="4"/>
  <c r="F29" i="4" s="1"/>
  <c r="E37" i="4"/>
  <c r="E39" i="4"/>
  <c r="J3" i="4"/>
  <c r="J102" i="4" s="1"/>
  <c r="D9" i="4"/>
  <c r="C9" i="4" s="1"/>
  <c r="G16" i="4"/>
  <c r="F16" i="4" s="1"/>
  <c r="J21" i="4"/>
  <c r="D24" i="4"/>
  <c r="C24" i="4" s="1"/>
  <c r="E33" i="4"/>
  <c r="E35" i="4"/>
  <c r="G37" i="4"/>
  <c r="F37" i="4" s="1"/>
  <c r="E9" i="4"/>
  <c r="E24" i="4"/>
  <c r="J29" i="4"/>
  <c r="H37" i="4"/>
  <c r="K37" i="4" s="1"/>
  <c r="E19" i="4"/>
  <c r="J16" i="4"/>
  <c r="G24" i="4"/>
  <c r="F24" i="4" s="1"/>
  <c r="H35" i="4"/>
  <c r="K35" i="4" s="1"/>
  <c r="E12" i="4"/>
  <c r="D14" i="4"/>
  <c r="C14" i="4" s="1"/>
  <c r="H20" i="4"/>
  <c r="K20" i="4" s="1"/>
  <c r="G19" i="4"/>
  <c r="F19" i="4" s="1"/>
  <c r="J10" i="4"/>
  <c r="K22" i="4"/>
  <c r="J22" i="4"/>
  <c r="G40" i="4"/>
  <c r="F40" i="4" s="1"/>
  <c r="E40" i="4"/>
  <c r="H23" i="4"/>
  <c r="K23" i="4" s="1"/>
  <c r="G23" i="4"/>
  <c r="F23" i="4" s="1"/>
  <c r="D3" i="4"/>
  <c r="E3" i="4"/>
  <c r="E102" i="4" s="1"/>
  <c r="G13" i="4"/>
  <c r="F13" i="4" s="1"/>
  <c r="E13" i="4"/>
  <c r="D23" i="4"/>
  <c r="C23" i="4" s="1"/>
  <c r="E36" i="4"/>
  <c r="G3" i="4"/>
  <c r="G4" i="4"/>
  <c r="F4" i="4" s="1"/>
  <c r="H4" i="4"/>
  <c r="E23" i="4"/>
  <c r="G25" i="4"/>
  <c r="F25" i="4" s="1"/>
  <c r="E25" i="4"/>
  <c r="D29" i="4"/>
  <c r="C29" i="4" s="1"/>
  <c r="E29" i="4"/>
  <c r="G10" i="4"/>
  <c r="F10" i="4" s="1"/>
  <c r="G11" i="4"/>
  <c r="F11" i="4" s="1"/>
  <c r="H11" i="4"/>
  <c r="G27" i="4"/>
  <c r="F27" i="4" s="1"/>
  <c r="E27" i="4"/>
  <c r="J55" i="4"/>
  <c r="G18" i="4"/>
  <c r="F18" i="4" s="1"/>
  <c r="H18" i="4"/>
  <c r="E17" i="4"/>
  <c r="D17" i="4"/>
  <c r="C17" i="4" s="1"/>
  <c r="E5" i="4"/>
  <c r="D5" i="4"/>
  <c r="C5" i="4" s="1"/>
  <c r="D40" i="4"/>
  <c r="C40" i="4" s="1"/>
  <c r="D11" i="4"/>
  <c r="C11" i="4" s="1"/>
  <c r="E30" i="4"/>
  <c r="G32" i="4"/>
  <c r="F32" i="4" s="1"/>
  <c r="H32" i="4"/>
  <c r="E34" i="4"/>
  <c r="H40" i="4"/>
  <c r="K40" i="4" s="1"/>
  <c r="J53" i="4"/>
  <c r="D10" i="4"/>
  <c r="C10" i="4" s="1"/>
  <c r="E10" i="4"/>
  <c r="F3" i="2"/>
  <c r="K3" i="4"/>
  <c r="G5" i="4"/>
  <c r="F5" i="4" s="1"/>
  <c r="D6" i="4"/>
  <c r="C6" i="4" s="1"/>
  <c r="E7" i="4"/>
  <c r="D7" i="4"/>
  <c r="C7" i="4" s="1"/>
  <c r="H5" i="4"/>
  <c r="K5" i="4" s="1"/>
  <c r="E6" i="4"/>
  <c r="H8" i="4"/>
  <c r="K8" i="4" s="1"/>
  <c r="G8" i="4"/>
  <c r="F8" i="4" s="1"/>
  <c r="J9" i="4"/>
  <c r="E18" i="4"/>
  <c r="D36" i="4"/>
  <c r="C36" i="4" s="1"/>
  <c r="J52" i="4"/>
  <c r="J56" i="4"/>
  <c r="D15" i="4"/>
  <c r="C15" i="4" s="1"/>
  <c r="E15" i="4"/>
  <c r="D18" i="4"/>
  <c r="C18" i="4" s="1"/>
  <c r="E22" i="4"/>
  <c r="D22" i="4"/>
  <c r="C22" i="4" s="1"/>
  <c r="D30" i="4"/>
  <c r="C30" i="4" s="1"/>
  <c r="E31" i="4"/>
  <c r="D31" i="4"/>
  <c r="C31" i="4" s="1"/>
  <c r="D34" i="4"/>
  <c r="C34" i="4" s="1"/>
  <c r="J24" i="4"/>
  <c r="G20" i="4"/>
  <c r="F20" i="4" s="1"/>
  <c r="E20" i="4"/>
  <c r="G22" i="4"/>
  <c r="F22" i="4" s="1"/>
  <c r="H7" i="4"/>
  <c r="D8" i="4"/>
  <c r="C8" i="4" s="1"/>
  <c r="D32" i="4"/>
  <c r="C32" i="4" s="1"/>
  <c r="G38" i="4"/>
  <c r="F38" i="4" s="1"/>
  <c r="E38" i="4"/>
  <c r="J46" i="4"/>
  <c r="D3" i="5"/>
  <c r="F5" i="5"/>
  <c r="F8" i="5"/>
  <c r="N9" i="5"/>
  <c r="Q9" i="5" s="1"/>
  <c r="F12" i="5"/>
  <c r="E15" i="5"/>
  <c r="N16" i="5"/>
  <c r="Q16" i="5" s="1"/>
  <c r="E3" i="5"/>
  <c r="N5" i="5"/>
  <c r="Q5" i="5" s="1"/>
  <c r="N8" i="5"/>
  <c r="Q8" i="5" s="1"/>
  <c r="N12" i="5"/>
  <c r="Q12" i="5" s="1"/>
  <c r="F15" i="5"/>
  <c r="F3" i="5"/>
  <c r="N15" i="5"/>
  <c r="Q15" i="5" s="1"/>
  <c r="D17" i="5"/>
  <c r="D13" i="5"/>
  <c r="E17" i="5"/>
  <c r="E13" i="5"/>
  <c r="D16" i="5"/>
  <c r="F17" i="5"/>
  <c r="E16" i="5"/>
  <c r="J37" i="4" l="1"/>
  <c r="J12" i="4"/>
  <c r="J23" i="4"/>
  <c r="J13" i="4"/>
  <c r="J19" i="4"/>
  <c r="J20" i="4"/>
  <c r="J35" i="4"/>
  <c r="K7" i="4"/>
  <c r="J7" i="4"/>
  <c r="K32" i="4"/>
  <c r="J32" i="4"/>
  <c r="J5" i="4"/>
  <c r="K4" i="4"/>
  <c r="J4" i="4"/>
  <c r="K18" i="4"/>
  <c r="J18" i="4"/>
  <c r="J8" i="4"/>
  <c r="D102" i="4"/>
  <c r="C3" i="4"/>
  <c r="C102" i="4" s="1"/>
  <c r="G102" i="4"/>
  <c r="F3" i="4"/>
  <c r="F102" i="4" s="1"/>
  <c r="K11" i="4"/>
  <c r="J11" i="4"/>
  <c r="J40" i="4"/>
</calcChain>
</file>

<file path=xl/sharedStrings.xml><?xml version="1.0" encoding="utf-8"?>
<sst xmlns="http://schemas.openxmlformats.org/spreadsheetml/2006/main" count="974" uniqueCount="187">
  <si>
    <t>vacances</t>
  </si>
  <si>
    <t>Infos complémentaires</t>
  </si>
  <si>
    <t>Matin</t>
  </si>
  <si>
    <t>Sanah</t>
  </si>
  <si>
    <t>ACM</t>
  </si>
  <si>
    <t>Elia</t>
  </si>
  <si>
    <r>
      <rPr>
        <b/>
        <sz val="10"/>
        <color rgb="FFFF0000"/>
        <rFont val="Verdana"/>
      </rPr>
      <t>Vacances scolaires</t>
    </r>
    <r>
      <rPr>
        <b/>
        <sz val="11"/>
        <color rgb="FFFF0000"/>
        <rFont val="Verdana"/>
      </rPr>
      <t xml:space="preserve"> jusqu'au dimanche 9 mars</t>
    </r>
    <r>
      <rPr>
        <sz val="11"/>
        <color theme="1"/>
        <rFont val="Verdana"/>
      </rPr>
      <t xml:space="preserve">
</t>
    </r>
    <r>
      <rPr>
        <b/>
        <sz val="11"/>
        <color rgb="FFFF0000"/>
        <rFont val="Verdana"/>
      </rPr>
      <t xml:space="preserve">Vacances des salariés
</t>
    </r>
    <r>
      <rPr>
        <sz val="11"/>
        <color theme="1"/>
        <rFont val="Verdana"/>
      </rPr>
      <t xml:space="preserve">Océane du 10 au 15 mars 
Florine du 3 au 9 mars 
</t>
    </r>
    <r>
      <rPr>
        <b/>
        <sz val="11"/>
        <color rgb="FFFF0000"/>
        <rFont val="Verdana"/>
      </rPr>
      <t>Café des parents</t>
    </r>
    <r>
      <rPr>
        <sz val="11"/>
        <color theme="1"/>
        <rFont val="Verdana"/>
      </rPr>
      <t xml:space="preserve">
</t>
    </r>
    <r>
      <rPr>
        <b/>
        <sz val="11"/>
        <color rgb="FFFF0000"/>
        <rFont val="Verdana"/>
      </rPr>
      <t>Loisirs famille</t>
    </r>
  </si>
  <si>
    <t>ne pas mettre Sethi en accompagnement toujours pas d'adhésion</t>
  </si>
  <si>
    <t>Rebecca</t>
  </si>
  <si>
    <t>Sethi</t>
  </si>
  <si>
    <t>Antonio</t>
  </si>
  <si>
    <t>Fahad</t>
  </si>
  <si>
    <t>Répit</t>
  </si>
  <si>
    <t>Océane</t>
  </si>
  <si>
    <t>Elijah</t>
  </si>
  <si>
    <t>Axel V.</t>
  </si>
  <si>
    <t>Faycal</t>
  </si>
  <si>
    <t xml:space="preserve">Elijah </t>
  </si>
  <si>
    <t>Adel</t>
  </si>
  <si>
    <t>Valentin G.</t>
  </si>
  <si>
    <t>Anissa</t>
  </si>
  <si>
    <t>Augustin</t>
  </si>
  <si>
    <t>Florine</t>
  </si>
  <si>
    <r>
      <rPr>
        <b/>
        <sz val="10"/>
        <color theme="1"/>
        <rFont val="Verdana"/>
      </rPr>
      <t xml:space="preserve">Informations stagiaires: 
</t>
    </r>
    <r>
      <rPr>
        <sz val="10"/>
        <color theme="1"/>
        <rFont val="Verdana"/>
      </rPr>
      <t xml:space="preserve">Antonio présent  du 3 au 7 </t>
    </r>
  </si>
  <si>
    <t>Midi</t>
  </si>
  <si>
    <t>Midi - repas</t>
  </si>
  <si>
    <t>Marie</t>
  </si>
  <si>
    <t>Après-midi</t>
  </si>
  <si>
    <r>
      <rPr>
        <b/>
        <sz val="10"/>
        <color theme="1"/>
        <rFont val="Verdana"/>
      </rPr>
      <t xml:space="preserve">Mathilde C semaine impaire et la récupérer derrière intermarché elle est accompagnée jusqu'à 17h30
Jean est à la MAS de séguran à Pont du Casse 
Noah annulé car maman pensait mercredi AM </t>
    </r>
    <r>
      <rPr>
        <b/>
        <sz val="10"/>
        <color rgb="FFFF0000"/>
        <rFont val="Verdana"/>
      </rPr>
      <t xml:space="preserve">mail envoyé pour les vacances le 24 février </t>
    </r>
    <r>
      <rPr>
        <b/>
        <sz val="10"/>
        <color theme="1"/>
        <rFont val="Verdana"/>
      </rPr>
      <t xml:space="preserve">
Killian message pas envoyé </t>
    </r>
    <r>
      <rPr>
        <b/>
        <sz val="10"/>
        <color rgb="FFFF0000"/>
        <rFont val="Verdana"/>
      </rPr>
      <t>mail envoyé pour les vcances le 24 janvier</t>
    </r>
    <r>
      <rPr>
        <b/>
        <sz val="10"/>
        <color theme="1"/>
        <rFont val="Verdana"/>
      </rPr>
      <t xml:space="preserve"> 
adam pris a la crèche prévenu par mail </t>
    </r>
    <r>
      <rPr>
        <b/>
        <sz val="10"/>
        <color rgb="FFFF0000"/>
        <rFont val="Verdana"/>
      </rPr>
      <t xml:space="preserve">quelle date stp? </t>
    </r>
  </si>
  <si>
    <t>Mohamed 
Haddad</t>
  </si>
  <si>
    <t>Mohamed Haddad</t>
  </si>
  <si>
    <t>Mohamed 
HADJEBA</t>
  </si>
  <si>
    <t>Killian</t>
  </si>
  <si>
    <t>Mohamed HADJEBA</t>
  </si>
  <si>
    <t>Noah H.</t>
  </si>
  <si>
    <t>Iman</t>
  </si>
  <si>
    <t>Adam</t>
  </si>
  <si>
    <t>RÉUNION de 17h30 à 18h30</t>
  </si>
  <si>
    <t xml:space="preserve">Infos importantes à lire </t>
  </si>
  <si>
    <t xml:space="preserve">RÉUNION 
de 9h à 11h 
puis préap activités
</t>
  </si>
  <si>
    <t>Nollan</t>
  </si>
  <si>
    <t xml:space="preserve">Mathilde C semaine impaire et la récupérer derrière intermarché elle est accompagnée jusqu'à 17h30
Aldo aller le récupérer à domcile
Faris aller le récupérer à domicile 
Jean est à la MAS de Séguran à Pont du Casse </t>
  </si>
  <si>
    <t>Simon</t>
  </si>
  <si>
    <t>Sohan</t>
  </si>
  <si>
    <t xml:space="preserve">Océane en vacances </t>
  </si>
  <si>
    <t>iman</t>
  </si>
  <si>
    <t>jean</t>
  </si>
  <si>
    <t>Anouk</t>
  </si>
  <si>
    <t>Jean</t>
  </si>
  <si>
    <t>killian</t>
  </si>
  <si>
    <t>Faris</t>
  </si>
  <si>
    <t>anissa</t>
  </si>
  <si>
    <t>Aldo</t>
  </si>
  <si>
    <t>Kévin</t>
  </si>
  <si>
    <t>adam</t>
  </si>
  <si>
    <t>Mathilde C. P</t>
  </si>
  <si>
    <t xml:space="preserve">SAMEDI 15 MARS CAFÉ DES PARENTS AVEC ÉLIA ET LAURENCE </t>
  </si>
  <si>
    <t>antoine</t>
  </si>
  <si>
    <t xml:space="preserve">Nicolas </t>
  </si>
  <si>
    <t>samedi 29 MARS ASSEMBLÉE GÉNÉRALE TOUT LE MONDE</t>
  </si>
  <si>
    <t>TOTAL ACM</t>
  </si>
  <si>
    <t>TOTAL LOISIRS</t>
  </si>
  <si>
    <t>Colonne 1</t>
  </si>
  <si>
    <t>Heures déjà effectuées jusqu'au 28 fev</t>
  </si>
  <si>
    <t>NB HR mars</t>
  </si>
  <si>
    <t>NB TOT</t>
  </si>
  <si>
    <t>Colonne 2</t>
  </si>
  <si>
    <t>18/30</t>
  </si>
  <si>
    <t>3/30</t>
  </si>
  <si>
    <t>27/30</t>
  </si>
  <si>
    <t>15e</t>
  </si>
  <si>
    <t>Axel V</t>
  </si>
  <si>
    <t>5/30</t>
  </si>
  <si>
    <t>126/432</t>
  </si>
  <si>
    <t>25e</t>
  </si>
  <si>
    <t>21/30</t>
  </si>
  <si>
    <t>Fayçal</t>
  </si>
  <si>
    <t>39/30</t>
  </si>
  <si>
    <t>25e quand?</t>
  </si>
  <si>
    <t xml:space="preserve">Iman </t>
  </si>
  <si>
    <t>Jenna</t>
  </si>
  <si>
    <t>30/30+9/192</t>
  </si>
  <si>
    <t>Lucas F</t>
  </si>
  <si>
    <t>Mathilde C</t>
  </si>
  <si>
    <t>15/30</t>
  </si>
  <si>
    <t>Mohamed Hadjeba</t>
  </si>
  <si>
    <t>33/30</t>
  </si>
  <si>
    <t xml:space="preserve">Marie </t>
  </si>
  <si>
    <t>Nicolas</t>
  </si>
  <si>
    <t>Noah H</t>
  </si>
  <si>
    <t xml:space="preserve">Nollan </t>
  </si>
  <si>
    <t>9/264</t>
  </si>
  <si>
    <t>25e direct?</t>
  </si>
  <si>
    <t xml:space="preserve">Simon </t>
  </si>
  <si>
    <t>12/30</t>
  </si>
  <si>
    <t>Valentin</t>
  </si>
  <si>
    <t>19/30</t>
  </si>
  <si>
    <t>Heures déjà effectuées sur les mois écoulés</t>
  </si>
  <si>
    <t xml:space="preserve">Heures de ce mois-ci </t>
  </si>
  <si>
    <t xml:space="preserve">Total heures </t>
  </si>
  <si>
    <t xml:space="preserve">Nb heures totales accordées </t>
  </si>
  <si>
    <t xml:space="preserve">Solde </t>
  </si>
  <si>
    <t>25e/h</t>
  </si>
  <si>
    <t>plus d'accompagnement sur les 30h comment je calcule??</t>
  </si>
  <si>
    <t>25e/h direct?</t>
  </si>
  <si>
    <t>Totaux</t>
  </si>
  <si>
    <t>autocratn</t>
  </si>
  <si>
    <t>autocratp</t>
  </si>
  <si>
    <t>dataSheetName</t>
  </si>
  <si>
    <t>"EDT"</t>
  </si>
  <si>
    <t>v</t>
  </si>
  <si>
    <t>"5.1"</t>
  </si>
  <si>
    <t>dataSheetId</t>
  </si>
  <si>
    <t>"1.6238244E9"</t>
  </si>
  <si>
    <t>updateTime</t>
  </si>
  <si>
    <t>"1.742822979937E12"</t>
  </si>
  <si>
    <t>vp</t>
  </si>
  <si>
    <t>ssId</t>
  </si>
  <si>
    <t>"18qkAJDshAOe_0mAj1rdBRqzWFRs4VYNkTQzN3wNIatg"</t>
  </si>
  <si>
    <t>NOM</t>
  </si>
  <si>
    <t>Prénom</t>
  </si>
  <si>
    <t>Souhaité global</t>
  </si>
  <si>
    <t>Souhaité ACM</t>
  </si>
  <si>
    <t>Souhaité Répit</t>
  </si>
  <si>
    <t>Réalisé Global</t>
  </si>
  <si>
    <t>Réalisé ACM</t>
  </si>
  <si>
    <t>Réalisé Répit</t>
  </si>
  <si>
    <t>Tarification</t>
  </si>
  <si>
    <t>Facturation</t>
  </si>
  <si>
    <t>Pour édition facture</t>
  </si>
  <si>
    <t>Nom sur facture</t>
  </si>
  <si>
    <t>Adresse de facturation</t>
  </si>
  <si>
    <t>Num_facture</t>
  </si>
  <si>
    <t>Total</t>
  </si>
  <si>
    <t>Accompagnement</t>
  </si>
  <si>
    <t>Bilan/écoute parent</t>
  </si>
  <si>
    <t>Temps Trajet</t>
  </si>
  <si>
    <t>Prépa sur moment</t>
  </si>
  <si>
    <t>Réunion</t>
  </si>
  <si>
    <t>Rencontre ACM</t>
  </si>
  <si>
    <t>Café parents</t>
  </si>
  <si>
    <t>Coordo</t>
  </si>
  <si>
    <t>Création/maintenance outil</t>
  </si>
  <si>
    <t>Congé payé formation</t>
  </si>
  <si>
    <t>TOTAL</t>
  </si>
  <si>
    <t>Report du mois précédent</t>
  </si>
  <si>
    <t>Heures contrat</t>
  </si>
  <si>
    <t>Report pour mois suivant</t>
  </si>
  <si>
    <t>Job ID</t>
  </si>
  <si>
    <t>Job Name</t>
  </si>
  <si>
    <t>Template ID</t>
  </si>
  <si>
    <t>Data Sheet ID</t>
  </si>
  <si>
    <t>Header Row</t>
  </si>
  <si>
    <t>First Data Row</t>
  </si>
  <si>
    <t>File Name</t>
  </si>
  <si>
    <t>File Type</t>
  </si>
  <si>
    <t>Share As</t>
  </si>
  <si>
    <t>Folders</t>
  </si>
  <si>
    <t>Dynamic Folder Reference</t>
  </si>
  <si>
    <t>Conditionals</t>
  </si>
  <si>
    <t>Mode</t>
  </si>
  <si>
    <t>Append Breaks</t>
  </si>
  <si>
    <t>Tags</t>
  </si>
  <si>
    <t>Run On Time Trigger</t>
  </si>
  <si>
    <t>Time Trigger Frequency</t>
  </si>
  <si>
    <t>Run On Form Trigger</t>
  </si>
  <si>
    <t>Send Email And Share</t>
  </si>
  <si>
    <t>Email To</t>
  </si>
  <si>
    <t>Email CC</t>
  </si>
  <si>
    <t>Email BCC</t>
  </si>
  <si>
    <t>Email Reply To</t>
  </si>
  <si>
    <t>Email No Reply</t>
  </si>
  <si>
    <t>Email Subject</t>
  </si>
  <si>
    <t>Email Body</t>
  </si>
  <si>
    <t>Prevent Resharing</t>
  </si>
  <si>
    <t>Time Trigger Timestamp</t>
  </si>
  <si>
    <t>Form Trigger Timestamp</t>
  </si>
  <si>
    <t>_1617952061236</t>
  </si>
  <si>
    <t>Facturation 2</t>
  </si>
  <si>
    <t>1t_i4S9Bf4hg9H2-axD9Qt7GunCbgPy0Sy_XG-wM4q2s</t>
  </si>
  <si>
    <t>Facturation &lt;&lt;Prénom&gt;&gt;</t>
  </si>
  <si>
    <t>PDF</t>
  </si>
  <si>
    <t>["1AcA6ZouCePjPoIhtQOKt4zPx6dKLhqGz"]</t>
  </si>
  <si>
    <t>[]</t>
  </si>
  <si>
    <t>[{"headerMap":"Pour édition facture","value":"NOT NULL"}]</t>
  </si>
  <si>
    <t>MULTIPLE_OUTPUT</t>
  </si>
  <si>
    <t>[{"tag":"Nom sur facture","type":"STANDARD","details":{"headerMap":"Nom sur facture","isUnmapped":false}},{"tag":"Num_facture","type":"STANDARD","details":{"headerMap":"Num_facture","isUnmapped":false}},{"tag":"prénom","type":"STANDARD","details":{"isUnmapped":false,"headerMap":"Prénom"}},{"tag":"Réalisé","type":"STANDARD","details":{"isUnmapped":false,"headerMap":"Réalisé Répit"}},{"tag":"Tarification","type":"STANDARD","details":{"headerMap":"Tarification","isUnmapped":false}},{"tag":"Facturation","type":"STANDARD","details":{"isUnmapped":false,"headerMap":"Facturation"}}]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</si>
</sst>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mmmm\ yyyy"/>
    <numFmt numFmtId="165" formatCode="dddd&quot; &quot;d&quot; &quot;mmmm&quot; &quot;"/>
    <numFmt numFmtId="166" formatCode="#,##0.00&quot;€&quot;"/>
  </numFmts>
  <fonts count="26">
    <font>
      <sz val="10"/>
      <color rgb="FF000000"/>
      <name val="Verdana"/>
      <scheme val="minor"/>
    </font>
    <font>
      <sz val="10"/>
      <color theme="1"/>
      <name val="Verdana"/>
      <scheme val="minor"/>
    </font>
    <font>
      <sz val="11"/>
      <color rgb="FF7E3794"/>
      <name val="Verdana"/>
      <scheme val="minor"/>
    </font>
    <font>
      <b/>
      <sz val="12"/>
      <color theme="1"/>
      <name val="Verdana"/>
      <scheme val="minor"/>
    </font>
    <font>
      <sz val="10"/>
      <name val="Verdana"/>
    </font>
    <font>
      <b/>
      <sz val="14"/>
      <color theme="1"/>
      <name val="Verdana"/>
      <scheme val="minor"/>
    </font>
    <font>
      <sz val="10"/>
      <color theme="1"/>
      <name val="Verdana"/>
    </font>
    <font>
      <sz val="11"/>
      <color rgb="FF000000"/>
      <name val="Inconsolata"/>
    </font>
    <font>
      <b/>
      <sz val="10"/>
      <color theme="1"/>
      <name val="Verdana"/>
      <scheme val="minor"/>
    </font>
    <font>
      <sz val="10"/>
      <color rgb="FF000000"/>
      <name val="Arial"/>
    </font>
    <font>
      <sz val="11"/>
      <color theme="1"/>
      <name val="Verdana"/>
    </font>
    <font>
      <sz val="12"/>
      <color theme="1"/>
      <name val="Verdana"/>
      <scheme val="minor"/>
    </font>
    <font>
      <sz val="10"/>
      <color rgb="FF000000"/>
      <name val="&quot;Arial&quot;"/>
    </font>
    <font>
      <b/>
      <sz val="11"/>
      <color theme="1"/>
      <name val="Verdana"/>
      <scheme val="minor"/>
    </font>
    <font>
      <b/>
      <sz val="10"/>
      <color rgb="FF000000"/>
      <name val="Arial"/>
    </font>
    <font>
      <b/>
      <sz val="13"/>
      <color rgb="FF000000"/>
      <name val="Arial"/>
    </font>
    <font>
      <sz val="10"/>
      <color rgb="FF000000"/>
      <name val="Verdana"/>
      <scheme val="minor"/>
    </font>
    <font>
      <sz val="10"/>
      <color rgb="FF434343"/>
      <name val="Roboto"/>
    </font>
    <font>
      <sz val="10"/>
      <color theme="1"/>
      <name val="Verdana"/>
      <scheme val="minor"/>
    </font>
    <font>
      <sz val="11"/>
      <color rgb="FF000000"/>
      <name val="Verdana"/>
    </font>
    <font>
      <sz val="10"/>
      <color theme="1"/>
      <name val="Verdana"/>
    </font>
    <font>
      <b/>
      <sz val="11"/>
      <color rgb="FF000000"/>
      <name val="Arial"/>
    </font>
    <font>
      <sz val="11"/>
      <color theme="1"/>
      <name val="Verdana"/>
      <scheme val="minor"/>
    </font>
    <font>
      <b/>
      <sz val="10"/>
      <color rgb="FFFF0000"/>
      <name val="Verdana"/>
    </font>
    <font>
      <b/>
      <sz val="11"/>
      <color rgb="FFFF0000"/>
      <name val="Verdana"/>
    </font>
    <font>
      <b/>
      <sz val="10"/>
      <color theme="1"/>
      <name val="Verdana"/>
    </font>
  </fonts>
  <fills count="25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FFFFFF"/>
        <bgColor rgb="FFFFFFFF"/>
      </patternFill>
    </fill>
    <fill>
      <patternFill patternType="solid">
        <fgColor rgb="FF4A86E8"/>
        <bgColor rgb="FF4A86E8"/>
      </patternFill>
    </fill>
    <fill>
      <patternFill patternType="solid">
        <fgColor rgb="FFFF0000"/>
        <bgColor rgb="FFFF0000"/>
      </patternFill>
    </fill>
    <fill>
      <patternFill patternType="solid">
        <fgColor rgb="FFEAD1DC"/>
        <bgColor rgb="FFEAD1DC"/>
      </patternFill>
    </fill>
    <fill>
      <patternFill patternType="solid">
        <fgColor rgb="FF93C47D"/>
        <bgColor rgb="FF93C47D"/>
      </patternFill>
    </fill>
    <fill>
      <patternFill patternType="solid">
        <fgColor rgb="FF00FFFF"/>
        <bgColor rgb="FF00FFFF"/>
      </patternFill>
    </fill>
    <fill>
      <patternFill patternType="solid">
        <fgColor rgb="FFF4CCCC"/>
        <bgColor rgb="FFF4CCCC"/>
      </patternFill>
    </fill>
    <fill>
      <patternFill patternType="solid">
        <fgColor rgb="FF6AA84F"/>
        <bgColor rgb="FF6AA84F"/>
      </patternFill>
    </fill>
    <fill>
      <patternFill patternType="solid">
        <fgColor rgb="FF999999"/>
        <bgColor rgb="FF999999"/>
      </patternFill>
    </fill>
    <fill>
      <patternFill patternType="solid">
        <fgColor rgb="FFFFFF00"/>
        <bgColor rgb="FFFFFF00"/>
      </patternFill>
    </fill>
    <fill>
      <patternFill patternType="solid">
        <fgColor rgb="FFFFE599"/>
        <bgColor rgb="FFFFE599"/>
      </patternFill>
    </fill>
    <fill>
      <patternFill patternType="solid">
        <fgColor rgb="FFB6D7A8"/>
        <bgColor rgb="FFB6D7A8"/>
      </patternFill>
    </fill>
    <fill>
      <patternFill patternType="solid">
        <fgColor rgb="FFFFF2CC"/>
        <bgColor rgb="FFFFF2CC"/>
      </patternFill>
    </fill>
    <fill>
      <patternFill patternType="solid">
        <fgColor rgb="FFF8F9FA"/>
        <bgColor rgb="FFF8F9FA"/>
      </patternFill>
    </fill>
    <fill>
      <patternFill patternType="solid">
        <fgColor rgb="FF9FC5E8"/>
        <bgColor rgb="FF9FC5E8"/>
      </patternFill>
    </fill>
    <fill>
      <patternFill patternType="solid">
        <fgColor rgb="FFC9DAF8"/>
        <bgColor rgb="FFC9DAF8"/>
      </patternFill>
    </fill>
    <fill>
      <patternFill patternType="solid">
        <fgColor rgb="FF00FF00"/>
        <bgColor rgb="FF00FF00"/>
      </patternFill>
    </fill>
    <fill>
      <patternFill patternType="solid">
        <fgColor rgb="FFFF00FF"/>
        <bgColor rgb="FFFF00FF"/>
      </patternFill>
    </fill>
    <fill>
      <patternFill patternType="solid">
        <fgColor rgb="FFD9D2E9"/>
        <bgColor rgb="FFD9D2E9"/>
      </patternFill>
    </fill>
    <fill>
      <patternFill patternType="solid">
        <fgColor rgb="FFD9D9D9"/>
        <bgColor rgb="FFD9D9D9"/>
      </patternFill>
    </fill>
    <fill>
      <patternFill patternType="solid">
        <fgColor rgb="FFF9CB9C"/>
        <bgColor rgb="FFF9CB9C"/>
      </patternFill>
    </fill>
    <fill>
      <patternFill patternType="solid">
        <fgColor rgb="FFFCE5CD"/>
        <bgColor rgb="FFFCE5CD"/>
      </patternFill>
    </fill>
  </fills>
  <borders count="7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ck">
        <color rgb="FF000000"/>
      </bottom>
      <diagonal/>
    </border>
    <border>
      <left/>
      <right/>
      <top style="medium">
        <color rgb="FF000000"/>
      </top>
      <bottom style="thick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/>
      <right/>
      <top style="thick">
        <color rgb="FF000000"/>
      </top>
      <bottom/>
      <diagonal/>
    </border>
    <border>
      <left/>
      <right style="thin">
        <color rgb="FF000000"/>
      </right>
      <top style="thick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284E3F"/>
      </left>
      <right style="thin">
        <color rgb="FFFFFFFF"/>
      </right>
      <top style="thin">
        <color rgb="FF284E3F"/>
      </top>
      <bottom style="thin">
        <color rgb="FF284E3F"/>
      </bottom>
      <diagonal/>
    </border>
    <border>
      <left style="thin">
        <color rgb="FFFFFF00"/>
      </left>
      <right style="thin">
        <color rgb="FFFFFF00"/>
      </right>
      <top style="thin">
        <color rgb="FF284E3F"/>
      </top>
      <bottom style="thin">
        <color rgb="FF284E3F"/>
      </bottom>
      <diagonal/>
    </border>
    <border>
      <left style="thin">
        <color rgb="FFFFE599"/>
      </left>
      <right style="thin">
        <color rgb="FFFFE599"/>
      </right>
      <top style="thin">
        <color rgb="FF284E3F"/>
      </top>
      <bottom style="thin">
        <color rgb="FF284E3F"/>
      </bottom>
      <diagonal/>
    </border>
    <border>
      <left style="thin">
        <color rgb="FFB6D7A8"/>
      </left>
      <right style="thin">
        <color rgb="FFB6D7A8"/>
      </right>
      <top style="thin">
        <color rgb="FF284E3F"/>
      </top>
      <bottom style="thin">
        <color rgb="FF284E3F"/>
      </bottom>
      <diagonal/>
    </border>
    <border>
      <left style="thin">
        <color rgb="FF356854"/>
      </left>
      <right style="thin">
        <color rgb="FF284E3F"/>
      </right>
      <top style="thin">
        <color rgb="FF284E3F"/>
      </top>
      <bottom style="thin">
        <color rgb="FF284E3F"/>
      </bottom>
      <diagonal/>
    </border>
    <border>
      <left style="thin">
        <color rgb="FF284E3F"/>
      </left>
      <right style="thin">
        <color rgb="FFFFF2CC"/>
      </right>
      <top style="thin">
        <color rgb="FFFFF2CC"/>
      </top>
      <bottom style="thin">
        <color rgb="FFFFF2CC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284E3F"/>
      </right>
      <top style="thin">
        <color rgb="FFFFFFFF"/>
      </top>
      <bottom style="thin">
        <color rgb="FFFFFFFF"/>
      </bottom>
      <diagonal/>
    </border>
    <border>
      <left style="thin">
        <color rgb="FFF8F9FA"/>
      </left>
      <right style="thin">
        <color rgb="FFF8F9FA"/>
      </right>
      <top style="thin">
        <color rgb="FFF8F9FA"/>
      </top>
      <bottom style="thin">
        <color rgb="FFF8F9FA"/>
      </bottom>
      <diagonal/>
    </border>
    <border>
      <left style="thin">
        <color rgb="FFF8F9FA"/>
      </left>
      <right style="thin">
        <color rgb="FF284E3F"/>
      </right>
      <top style="thin">
        <color rgb="FFF8F9FA"/>
      </top>
      <bottom style="thin">
        <color rgb="FFF8F9FA"/>
      </bottom>
      <diagonal/>
    </border>
    <border>
      <left style="thin">
        <color rgb="FF284E3F"/>
      </left>
      <right style="thin">
        <color rgb="FF9FC5E8"/>
      </right>
      <top style="thin">
        <color rgb="FF9FC5E8"/>
      </top>
      <bottom style="thin">
        <color rgb="FF9FC5E8"/>
      </bottom>
      <diagonal/>
    </border>
    <border>
      <left style="thin">
        <color rgb="FF9FC5E8"/>
      </left>
      <right style="thin">
        <color rgb="FF9FC5E8"/>
      </right>
      <top style="thin">
        <color rgb="FF9FC5E8"/>
      </top>
      <bottom style="thin">
        <color rgb="FF9FC5E8"/>
      </bottom>
      <diagonal/>
    </border>
    <border>
      <left style="thin">
        <color rgb="FF284E3F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284E3F"/>
      </left>
      <right style="thin">
        <color rgb="FFFFF2CC"/>
      </right>
      <top style="thin">
        <color rgb="FFFFF2CC"/>
      </top>
      <bottom style="thin">
        <color rgb="FF284E3F"/>
      </bottom>
      <diagonal/>
    </border>
    <border>
      <left style="thin">
        <color rgb="FFF8F9FA"/>
      </left>
      <right style="thin">
        <color rgb="FFF8F9FA"/>
      </right>
      <top style="thin">
        <color rgb="FFF8F9FA"/>
      </top>
      <bottom style="thin">
        <color rgb="FF284E3F"/>
      </bottom>
      <diagonal/>
    </border>
    <border>
      <left style="thin">
        <color rgb="FFF8F9FA"/>
      </left>
      <right style="thin">
        <color rgb="FF284E3F"/>
      </right>
      <top style="thin">
        <color rgb="FFF8F9FA"/>
      </top>
      <bottom style="thin">
        <color rgb="FF284E3F"/>
      </bottom>
      <diagonal/>
    </border>
    <border>
      <left style="thin">
        <color rgb="FF00FF00"/>
      </left>
      <right style="thin">
        <color rgb="FF00FF00"/>
      </right>
      <top style="thin">
        <color rgb="FF284E3F"/>
      </top>
      <bottom style="thin">
        <color rgb="FF284E3F"/>
      </bottom>
      <diagonal/>
    </border>
    <border>
      <left style="thin">
        <color rgb="FF00FFFF"/>
      </left>
      <right style="thin">
        <color rgb="FF00FFFF"/>
      </right>
      <top style="thin">
        <color rgb="FF284E3F"/>
      </top>
      <bottom style="thin">
        <color rgb="FF284E3F"/>
      </bottom>
      <diagonal/>
    </border>
    <border>
      <left style="thin">
        <color rgb="FFFF9900"/>
      </left>
      <right style="thin">
        <color rgb="FFFF9900"/>
      </right>
      <top style="thin">
        <color rgb="FF284E3F"/>
      </top>
      <bottom style="thin">
        <color rgb="FF284E3F"/>
      </bottom>
      <diagonal/>
    </border>
    <border>
      <left style="thin">
        <color rgb="FFFF00FF"/>
      </left>
      <right style="thin">
        <color rgb="FF284E3F"/>
      </right>
      <top style="thin">
        <color rgb="FF284E3F"/>
      </top>
      <bottom style="thin">
        <color rgb="FF284E3F"/>
      </bottom>
      <diagonal/>
    </border>
    <border>
      <left style="thin">
        <color rgb="FFFF9900"/>
      </left>
      <right style="thin">
        <color rgb="FFFF9900"/>
      </right>
      <top style="thin">
        <color rgb="FFFF9900"/>
      </top>
      <bottom style="thin">
        <color rgb="FFFF9900"/>
      </bottom>
      <diagonal/>
    </border>
    <border>
      <left style="thin">
        <color rgb="FF9FC5E8"/>
      </left>
      <right style="thin">
        <color rgb="FF284E3F"/>
      </right>
      <top style="thin">
        <color rgb="FF9FC5E8"/>
      </top>
      <bottom style="thin">
        <color rgb="FF9FC5E8"/>
      </bottom>
      <diagonal/>
    </border>
    <border>
      <left style="thin">
        <color rgb="FFFF0000"/>
      </left>
      <right style="thin">
        <color rgb="FF284E3F"/>
      </right>
      <top style="thin">
        <color rgb="FFFF0000"/>
      </top>
      <bottom style="thin">
        <color rgb="FFFF0000"/>
      </bottom>
      <diagonal/>
    </border>
    <border>
      <left style="thin">
        <color rgb="FFFF9900"/>
      </left>
      <right style="thin">
        <color rgb="FFFF9900"/>
      </right>
      <top style="thin">
        <color rgb="FFFF9900"/>
      </top>
      <bottom style="thin">
        <color rgb="FF284E3F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top"/>
    </xf>
    <xf numFmtId="0" fontId="2" fillId="0" borderId="0" xfId="0" applyFont="1"/>
    <xf numFmtId="0" fontId="6" fillId="0" borderId="8" xfId="0" applyFont="1" applyBorder="1" applyAlignment="1">
      <alignment vertical="top"/>
    </xf>
    <xf numFmtId="0" fontId="1" fillId="3" borderId="8" xfId="0" applyFont="1" applyFill="1" applyBorder="1"/>
    <xf numFmtId="0" fontId="7" fillId="3" borderId="9" xfId="0" applyFont="1" applyFill="1" applyBorder="1"/>
    <xf numFmtId="0" fontId="9" fillId="3" borderId="11" xfId="0" applyFont="1" applyFill="1" applyBorder="1" applyAlignment="1">
      <alignment horizontal="left" wrapText="1"/>
    </xf>
    <xf numFmtId="0" fontId="1" fillId="3" borderId="11" xfId="0" applyFont="1" applyFill="1" applyBorder="1"/>
    <xf numFmtId="0" fontId="9" fillId="3" borderId="11" xfId="0" applyFont="1" applyFill="1" applyBorder="1" applyAlignment="1">
      <alignment wrapText="1"/>
    </xf>
    <xf numFmtId="0" fontId="9" fillId="3" borderId="12" xfId="0" applyFont="1" applyFill="1" applyBorder="1" applyAlignment="1">
      <alignment wrapText="1"/>
    </xf>
    <xf numFmtId="0" fontId="1" fillId="0" borderId="11" xfId="0" applyFont="1" applyBorder="1"/>
    <xf numFmtId="0" fontId="1" fillId="3" borderId="12" xfId="0" applyFont="1" applyFill="1" applyBorder="1"/>
    <xf numFmtId="0" fontId="11" fillId="0" borderId="0" xfId="0" applyFont="1"/>
    <xf numFmtId="0" fontId="1" fillId="3" borderId="9" xfId="0" applyFont="1" applyFill="1" applyBorder="1"/>
    <xf numFmtId="0" fontId="12" fillId="3" borderId="8" xfId="0" applyFont="1" applyFill="1" applyBorder="1"/>
    <xf numFmtId="0" fontId="6" fillId="3" borderId="8" xfId="0" applyFont="1" applyFill="1" applyBorder="1"/>
    <xf numFmtId="0" fontId="1" fillId="0" borderId="8" xfId="0" applyFont="1" applyBorder="1"/>
    <xf numFmtId="0" fontId="6" fillId="3" borderId="12" xfId="0" applyFont="1" applyFill="1" applyBorder="1"/>
    <xf numFmtId="0" fontId="12" fillId="0" borderId="8" xfId="0" applyFont="1" applyBorder="1"/>
    <xf numFmtId="0" fontId="9" fillId="3" borderId="8" xfId="0" applyFont="1" applyFill="1" applyBorder="1"/>
    <xf numFmtId="0" fontId="9" fillId="0" borderId="8" xfId="0" applyFont="1" applyBorder="1"/>
    <xf numFmtId="0" fontId="12" fillId="4" borderId="8" xfId="0" applyFont="1" applyFill="1" applyBorder="1"/>
    <xf numFmtId="0" fontId="9" fillId="5" borderId="8" xfId="0" applyFont="1" applyFill="1" applyBorder="1"/>
    <xf numFmtId="0" fontId="6" fillId="0" borderId="8" xfId="0" applyFont="1" applyBorder="1"/>
    <xf numFmtId="0" fontId="12" fillId="3" borderId="18" xfId="0" applyFont="1" applyFill="1" applyBorder="1"/>
    <xf numFmtId="0" fontId="1" fillId="3" borderId="18" xfId="0" applyFont="1" applyFill="1" applyBorder="1"/>
    <xf numFmtId="0" fontId="6" fillId="3" borderId="18" xfId="0" applyFont="1" applyFill="1" applyBorder="1"/>
    <xf numFmtId="0" fontId="9" fillId="3" borderId="18" xfId="0" applyFont="1" applyFill="1" applyBorder="1"/>
    <xf numFmtId="0" fontId="6" fillId="0" borderId="18" xfId="0" applyFont="1" applyBorder="1"/>
    <xf numFmtId="0" fontId="1" fillId="0" borderId="18" xfId="0" applyFont="1" applyBorder="1"/>
    <xf numFmtId="0" fontId="12" fillId="0" borderId="18" xfId="0" applyFont="1" applyBorder="1"/>
    <xf numFmtId="0" fontId="12" fillId="3" borderId="12" xfId="0" applyFont="1" applyFill="1" applyBorder="1"/>
    <xf numFmtId="0" fontId="9" fillId="3" borderId="12" xfId="0" applyFont="1" applyFill="1" applyBorder="1"/>
    <xf numFmtId="0" fontId="6" fillId="0" borderId="12" xfId="0" applyFont="1" applyBorder="1"/>
    <xf numFmtId="0" fontId="1" fillId="0" borderId="12" xfId="0" applyFont="1" applyBorder="1"/>
    <xf numFmtId="0" fontId="12" fillId="0" borderId="12" xfId="0" applyFont="1" applyBorder="1"/>
    <xf numFmtId="0" fontId="1" fillId="3" borderId="20" xfId="0" applyFont="1" applyFill="1" applyBorder="1"/>
    <xf numFmtId="0" fontId="1" fillId="6" borderId="14" xfId="0" applyFont="1" applyFill="1" applyBorder="1" applyAlignment="1">
      <alignment horizontal="center" vertical="center"/>
    </xf>
    <xf numFmtId="0" fontId="9" fillId="6" borderId="12" xfId="0" applyFont="1" applyFill="1" applyBorder="1"/>
    <xf numFmtId="0" fontId="1" fillId="6" borderId="12" xfId="0" applyFont="1" applyFill="1" applyBorder="1"/>
    <xf numFmtId="0" fontId="9" fillId="6" borderId="8" xfId="0" applyFont="1" applyFill="1" applyBorder="1"/>
    <xf numFmtId="0" fontId="1" fillId="6" borderId="8" xfId="0" applyFont="1" applyFill="1" applyBorder="1"/>
    <xf numFmtId="0" fontId="6" fillId="3" borderId="20" xfId="0" applyFont="1" applyFill="1" applyBorder="1"/>
    <xf numFmtId="0" fontId="9" fillId="6" borderId="20" xfId="0" applyFont="1" applyFill="1" applyBorder="1"/>
    <xf numFmtId="0" fontId="1" fillId="6" borderId="20" xfId="0" applyFont="1" applyFill="1" applyBorder="1"/>
    <xf numFmtId="0" fontId="9" fillId="6" borderId="24" xfId="0" applyFont="1" applyFill="1" applyBorder="1"/>
    <xf numFmtId="0" fontId="1" fillId="6" borderId="9" xfId="0" applyFont="1" applyFill="1" applyBorder="1"/>
    <xf numFmtId="0" fontId="9" fillId="6" borderId="12" xfId="0" applyFont="1" applyFill="1" applyBorder="1" applyAlignment="1">
      <alignment wrapText="1"/>
    </xf>
    <xf numFmtId="0" fontId="1" fillId="6" borderId="25" xfId="0" applyFont="1" applyFill="1" applyBorder="1"/>
    <xf numFmtId="0" fontId="1" fillId="6" borderId="11" xfId="0" applyFont="1" applyFill="1" applyBorder="1"/>
    <xf numFmtId="0" fontId="1" fillId="6" borderId="21" xfId="0" applyFont="1" applyFill="1" applyBorder="1"/>
    <xf numFmtId="0" fontId="9" fillId="7" borderId="24" xfId="0" applyFont="1" applyFill="1" applyBorder="1"/>
    <xf numFmtId="0" fontId="6" fillId="6" borderId="12" xfId="0" applyFont="1" applyFill="1" applyBorder="1"/>
    <xf numFmtId="0" fontId="1" fillId="6" borderId="28" xfId="0" applyFont="1" applyFill="1" applyBorder="1"/>
    <xf numFmtId="0" fontId="1" fillId="6" borderId="18" xfId="0" applyFont="1" applyFill="1" applyBorder="1"/>
    <xf numFmtId="0" fontId="6" fillId="6" borderId="18" xfId="0" applyFont="1" applyFill="1" applyBorder="1"/>
    <xf numFmtId="0" fontId="1" fillId="6" borderId="16" xfId="0" applyFont="1" applyFill="1" applyBorder="1"/>
    <xf numFmtId="0" fontId="9" fillId="6" borderId="18" xfId="0" applyFont="1" applyFill="1" applyBorder="1"/>
    <xf numFmtId="0" fontId="1" fillId="6" borderId="29" xfId="0" applyFont="1" applyFill="1" applyBorder="1"/>
    <xf numFmtId="0" fontId="9" fillId="3" borderId="11" xfId="0" applyFont="1" applyFill="1" applyBorder="1"/>
    <xf numFmtId="0" fontId="9" fillId="8" borderId="8" xfId="0" applyFont="1" applyFill="1" applyBorder="1"/>
    <xf numFmtId="0" fontId="9" fillId="5" borderId="12" xfId="0" applyFont="1" applyFill="1" applyBorder="1" applyAlignment="1">
      <alignment wrapText="1"/>
    </xf>
    <xf numFmtId="0" fontId="9" fillId="4" borderId="8" xfId="0" applyFont="1" applyFill="1" applyBorder="1"/>
    <xf numFmtId="0" fontId="9" fillId="3" borderId="20" xfId="0" applyFont="1" applyFill="1" applyBorder="1"/>
    <xf numFmtId="0" fontId="1" fillId="0" borderId="20" xfId="0" applyFont="1" applyBorder="1"/>
    <xf numFmtId="0" fontId="1" fillId="3" borderId="14" xfId="0" applyFont="1" applyFill="1" applyBorder="1"/>
    <xf numFmtId="0" fontId="6" fillId="9" borderId="8" xfId="0" applyFont="1" applyFill="1" applyBorder="1" applyAlignment="1">
      <alignment horizontal="center" vertical="top"/>
    </xf>
    <xf numFmtId="0" fontId="9" fillId="0" borderId="12" xfId="0" applyFont="1" applyBorder="1" applyAlignment="1">
      <alignment wrapText="1"/>
    </xf>
    <xf numFmtId="0" fontId="1" fillId="0" borderId="0" xfId="0" applyFont="1"/>
    <xf numFmtId="0" fontId="1" fillId="6" borderId="7" xfId="0" applyFont="1" applyFill="1" applyBorder="1"/>
    <xf numFmtId="0" fontId="6" fillId="6" borderId="20" xfId="0" applyFont="1" applyFill="1" applyBorder="1"/>
    <xf numFmtId="0" fontId="9" fillId="6" borderId="14" xfId="0" applyFont="1" applyFill="1" applyBorder="1"/>
    <xf numFmtId="0" fontId="1" fillId="6" borderId="17" xfId="0" applyFont="1" applyFill="1" applyBorder="1"/>
    <xf numFmtId="0" fontId="1" fillId="5" borderId="18" xfId="0" applyFont="1" applyFill="1" applyBorder="1"/>
    <xf numFmtId="0" fontId="9" fillId="5" borderId="18" xfId="0" applyFont="1" applyFill="1" applyBorder="1"/>
    <xf numFmtId="0" fontId="12" fillId="5" borderId="18" xfId="0" applyFont="1" applyFill="1" applyBorder="1"/>
    <xf numFmtId="0" fontId="9" fillId="4" borderId="11" xfId="0" applyFont="1" applyFill="1" applyBorder="1"/>
    <xf numFmtId="0" fontId="9" fillId="5" borderId="11" xfId="0" applyFont="1" applyFill="1" applyBorder="1"/>
    <xf numFmtId="0" fontId="9" fillId="10" borderId="8" xfId="0" applyFont="1" applyFill="1" applyBorder="1"/>
    <xf numFmtId="0" fontId="9" fillId="4" borderId="12" xfId="0" applyFont="1" applyFill="1" applyBorder="1" applyAlignment="1">
      <alignment wrapText="1"/>
    </xf>
    <xf numFmtId="0" fontId="9" fillId="5" borderId="11" xfId="0" applyFont="1" applyFill="1" applyBorder="1" applyAlignment="1">
      <alignment horizontal="left" wrapText="1"/>
    </xf>
    <xf numFmtId="0" fontId="9" fillId="11" borderId="11" xfId="0" applyFont="1" applyFill="1" applyBorder="1" applyAlignment="1">
      <alignment wrapText="1"/>
    </xf>
    <xf numFmtId="0" fontId="1" fillId="11" borderId="11" xfId="0" applyFont="1" applyFill="1" applyBorder="1"/>
    <xf numFmtId="0" fontId="9" fillId="11" borderId="12" xfId="0" applyFont="1" applyFill="1" applyBorder="1" applyAlignment="1">
      <alignment wrapText="1"/>
    </xf>
    <xf numFmtId="0" fontId="1" fillId="11" borderId="12" xfId="0" applyFont="1" applyFill="1" applyBorder="1"/>
    <xf numFmtId="0" fontId="6" fillId="11" borderId="8" xfId="0" applyFont="1" applyFill="1" applyBorder="1"/>
    <xf numFmtId="0" fontId="1" fillId="11" borderId="8" xfId="0" applyFont="1" applyFill="1" applyBorder="1"/>
    <xf numFmtId="0" fontId="6" fillId="11" borderId="12" xfId="0" applyFont="1" applyFill="1" applyBorder="1"/>
    <xf numFmtId="0" fontId="12" fillId="11" borderId="8" xfId="0" applyFont="1" applyFill="1" applyBorder="1"/>
    <xf numFmtId="0" fontId="9" fillId="11" borderId="8" xfId="0" applyFont="1" applyFill="1" applyBorder="1"/>
    <xf numFmtId="0" fontId="12" fillId="5" borderId="8" xfId="0" applyFont="1" applyFill="1" applyBorder="1"/>
    <xf numFmtId="0" fontId="6" fillId="11" borderId="18" xfId="0" applyFont="1" applyFill="1" applyBorder="1"/>
    <xf numFmtId="0" fontId="1" fillId="11" borderId="18" xfId="0" applyFont="1" applyFill="1" applyBorder="1"/>
    <xf numFmtId="0" fontId="9" fillId="11" borderId="18" xfId="0" applyFont="1" applyFill="1" applyBorder="1"/>
    <xf numFmtId="0" fontId="12" fillId="11" borderId="18" xfId="0" applyFont="1" applyFill="1" applyBorder="1"/>
    <xf numFmtId="0" fontId="9" fillId="5" borderId="24" xfId="0" applyFont="1" applyFill="1" applyBorder="1"/>
    <xf numFmtId="0" fontId="1" fillId="11" borderId="9" xfId="0" applyFont="1" applyFill="1" applyBorder="1"/>
    <xf numFmtId="0" fontId="1" fillId="11" borderId="25" xfId="0" applyFont="1" applyFill="1" applyBorder="1"/>
    <xf numFmtId="0" fontId="1" fillId="11" borderId="21" xfId="0" applyFont="1" applyFill="1" applyBorder="1"/>
    <xf numFmtId="0" fontId="9" fillId="11" borderId="12" xfId="0" applyFont="1" applyFill="1" applyBorder="1"/>
    <xf numFmtId="0" fontId="1" fillId="11" borderId="16" xfId="0" applyFont="1" applyFill="1" applyBorder="1"/>
    <xf numFmtId="0" fontId="1" fillId="11" borderId="29" xfId="0" applyFont="1" applyFill="1" applyBorder="1"/>
    <xf numFmtId="0" fontId="9" fillId="11" borderId="11" xfId="0" applyFont="1" applyFill="1" applyBorder="1"/>
    <xf numFmtId="0" fontId="1" fillId="11" borderId="20" xfId="0" applyFont="1" applyFill="1" applyBorder="1"/>
    <xf numFmtId="0" fontId="9" fillId="11" borderId="20" xfId="0" applyFont="1" applyFill="1" applyBorder="1"/>
    <xf numFmtId="0" fontId="1" fillId="5" borderId="20" xfId="0" applyFont="1" applyFill="1" applyBorder="1"/>
    <xf numFmtId="0" fontId="6" fillId="0" borderId="0" xfId="0" applyFont="1"/>
    <xf numFmtId="0" fontId="1" fillId="3" borderId="41" xfId="0" applyFont="1" applyFill="1" applyBorder="1" applyAlignment="1">
      <alignment horizontal="left" vertical="center"/>
    </xf>
    <xf numFmtId="0" fontId="16" fillId="12" borderId="42" xfId="0" applyFont="1" applyFill="1" applyBorder="1" applyAlignment="1">
      <alignment horizontal="left" vertical="center" wrapText="1"/>
    </xf>
    <xf numFmtId="0" fontId="16" fillId="13" borderId="43" xfId="0" applyFont="1" applyFill="1" applyBorder="1" applyAlignment="1">
      <alignment horizontal="left" vertical="center" wrapText="1"/>
    </xf>
    <xf numFmtId="0" fontId="16" fillId="14" borderId="44" xfId="0" applyFont="1" applyFill="1" applyBorder="1" applyAlignment="1">
      <alignment horizontal="left" vertical="center" wrapText="1"/>
    </xf>
    <xf numFmtId="0" fontId="16" fillId="14" borderId="45" xfId="0" applyFont="1" applyFill="1" applyBorder="1" applyAlignment="1">
      <alignment horizontal="left" vertical="center" wrapText="1"/>
    </xf>
    <xf numFmtId="0" fontId="1" fillId="15" borderId="46" xfId="0" applyFont="1" applyFill="1" applyBorder="1" applyAlignment="1">
      <alignment vertical="center"/>
    </xf>
    <xf numFmtId="3" fontId="17" fillId="3" borderId="47" xfId="0" applyNumberFormat="1" applyFont="1" applyFill="1" applyBorder="1" applyAlignment="1">
      <alignment horizontal="right" vertical="center" wrapText="1"/>
    </xf>
    <xf numFmtId="0" fontId="17" fillId="3" borderId="47" xfId="0" applyFont="1" applyFill="1" applyBorder="1" applyAlignment="1">
      <alignment horizontal="right" vertical="center" wrapText="1"/>
    </xf>
    <xf numFmtId="0" fontId="17" fillId="3" borderId="48" xfId="0" applyFont="1" applyFill="1" applyBorder="1" applyAlignment="1">
      <alignment horizontal="right" vertical="center" wrapText="1"/>
    </xf>
    <xf numFmtId="3" fontId="17" fillId="16" borderId="49" xfId="0" applyNumberFormat="1" applyFont="1" applyFill="1" applyBorder="1" applyAlignment="1">
      <alignment horizontal="right" vertical="center" wrapText="1"/>
    </xf>
    <xf numFmtId="0" fontId="17" fillId="16" borderId="49" xfId="0" applyFont="1" applyFill="1" applyBorder="1" applyAlignment="1">
      <alignment horizontal="right" vertical="center" wrapText="1"/>
    </xf>
    <xf numFmtId="0" fontId="17" fillId="16" borderId="50" xfId="0" applyFont="1" applyFill="1" applyBorder="1" applyAlignment="1">
      <alignment horizontal="right" vertical="center" wrapText="1"/>
    </xf>
    <xf numFmtId="3" fontId="17" fillId="16" borderId="49" xfId="0" applyNumberFormat="1" applyFont="1" applyFill="1" applyBorder="1" applyAlignment="1">
      <alignment horizontal="right" vertical="center"/>
    </xf>
    <xf numFmtId="0" fontId="17" fillId="16" borderId="49" xfId="0" applyFont="1" applyFill="1" applyBorder="1" applyAlignment="1">
      <alignment horizontal="right" vertical="center"/>
    </xf>
    <xf numFmtId="0" fontId="17" fillId="16" borderId="50" xfId="0" applyFont="1" applyFill="1" applyBorder="1" applyAlignment="1">
      <alignment horizontal="right" vertical="center"/>
    </xf>
    <xf numFmtId="3" fontId="17" fillId="3" borderId="47" xfId="0" applyNumberFormat="1" applyFont="1" applyFill="1" applyBorder="1" applyAlignment="1">
      <alignment horizontal="right" vertical="center"/>
    </xf>
    <xf numFmtId="0" fontId="17" fillId="3" borderId="47" xfId="0" applyFont="1" applyFill="1" applyBorder="1" applyAlignment="1">
      <alignment horizontal="right" vertical="center"/>
    </xf>
    <xf numFmtId="0" fontId="17" fillId="3" borderId="48" xfId="0" applyFont="1" applyFill="1" applyBorder="1" applyAlignment="1">
      <alignment horizontal="right" vertical="center"/>
    </xf>
    <xf numFmtId="0" fontId="1" fillId="17" borderId="51" xfId="0" applyFont="1" applyFill="1" applyBorder="1" applyAlignment="1">
      <alignment vertical="center"/>
    </xf>
    <xf numFmtId="3" fontId="17" fillId="18" borderId="52" xfId="0" applyNumberFormat="1" applyFont="1" applyFill="1" applyBorder="1" applyAlignment="1">
      <alignment horizontal="right" vertical="center"/>
    </xf>
    <xf numFmtId="0" fontId="17" fillId="18" borderId="47" xfId="0" applyFont="1" applyFill="1" applyBorder="1" applyAlignment="1">
      <alignment horizontal="right" vertical="center"/>
    </xf>
    <xf numFmtId="0" fontId="17" fillId="18" borderId="48" xfId="0" applyFont="1" applyFill="1" applyBorder="1" applyAlignment="1">
      <alignment horizontal="right" vertical="center"/>
    </xf>
    <xf numFmtId="0" fontId="1" fillId="5" borderId="53" xfId="0" applyFont="1" applyFill="1" applyBorder="1" applyAlignment="1">
      <alignment vertical="center"/>
    </xf>
    <xf numFmtId="3" fontId="17" fillId="5" borderId="47" xfId="0" applyNumberFormat="1" applyFont="1" applyFill="1" applyBorder="1" applyAlignment="1">
      <alignment horizontal="right" vertical="center"/>
    </xf>
    <xf numFmtId="0" fontId="17" fillId="5" borderId="47" xfId="0" applyFont="1" applyFill="1" applyBorder="1" applyAlignment="1">
      <alignment horizontal="right" vertical="center"/>
    </xf>
    <xf numFmtId="0" fontId="17" fillId="5" borderId="54" xfId="0" applyFont="1" applyFill="1" applyBorder="1" applyAlignment="1">
      <alignment horizontal="right" vertical="center"/>
    </xf>
    <xf numFmtId="0" fontId="17" fillId="5" borderId="48" xfId="0" applyFont="1" applyFill="1" applyBorder="1" applyAlignment="1">
      <alignment horizontal="right" vertical="center"/>
    </xf>
    <xf numFmtId="0" fontId="17" fillId="5" borderId="50" xfId="0" applyFont="1" applyFill="1" applyBorder="1" applyAlignment="1">
      <alignment horizontal="right" vertical="center"/>
    </xf>
    <xf numFmtId="0" fontId="1" fillId="15" borderId="55" xfId="0" applyFont="1" applyFill="1" applyBorder="1" applyAlignment="1">
      <alignment vertical="center"/>
    </xf>
    <xf numFmtId="3" fontId="17" fillId="16" borderId="56" xfId="0" applyNumberFormat="1" applyFont="1" applyFill="1" applyBorder="1" applyAlignment="1">
      <alignment horizontal="right" vertical="center"/>
    </xf>
    <xf numFmtId="0" fontId="17" fillId="16" borderId="56" xfId="0" applyFont="1" applyFill="1" applyBorder="1" applyAlignment="1">
      <alignment horizontal="right" vertical="center"/>
    </xf>
    <xf numFmtId="0" fontId="17" fillId="16" borderId="57" xfId="0" applyFont="1" applyFill="1" applyBorder="1" applyAlignment="1">
      <alignment horizontal="right" vertical="center"/>
    </xf>
    <xf numFmtId="0" fontId="16" fillId="19" borderId="58" xfId="0" applyFont="1" applyFill="1" applyBorder="1" applyAlignment="1">
      <alignment horizontal="left" vertical="center" wrapText="1"/>
    </xf>
    <xf numFmtId="49" fontId="16" fillId="8" borderId="59" xfId="0" applyNumberFormat="1" applyFont="1" applyFill="1" applyBorder="1" applyAlignment="1">
      <alignment horizontal="left" vertical="center" wrapText="1"/>
    </xf>
    <xf numFmtId="0" fontId="16" fillId="2" borderId="60" xfId="0" applyFont="1" applyFill="1" applyBorder="1" applyAlignment="1">
      <alignment horizontal="left" vertical="center" wrapText="1"/>
    </xf>
    <xf numFmtId="0" fontId="16" fillId="20" borderId="61" xfId="0" applyFont="1" applyFill="1" applyBorder="1" applyAlignment="1">
      <alignment horizontal="left" vertical="center"/>
    </xf>
    <xf numFmtId="3" fontId="1" fillId="0" borderId="47" xfId="0" applyNumberFormat="1" applyFont="1" applyBorder="1" applyAlignment="1">
      <alignment vertical="center" wrapText="1"/>
    </xf>
    <xf numFmtId="0" fontId="1" fillId="0" borderId="47" xfId="0" applyFont="1" applyBorder="1" applyAlignment="1">
      <alignment vertical="center"/>
    </xf>
    <xf numFmtId="3" fontId="1" fillId="0" borderId="47" xfId="0" applyNumberFormat="1" applyFont="1" applyBorder="1" applyAlignment="1">
      <alignment vertical="center"/>
    </xf>
    <xf numFmtId="0" fontId="1" fillId="2" borderId="62" xfId="0" applyFont="1" applyFill="1" applyBorder="1" applyAlignment="1">
      <alignment vertical="center"/>
    </xf>
    <xf numFmtId="3" fontId="1" fillId="0" borderId="48" xfId="0" applyNumberFormat="1" applyFont="1" applyBorder="1" applyAlignment="1">
      <alignment vertical="center"/>
    </xf>
    <xf numFmtId="3" fontId="1" fillId="0" borderId="49" xfId="0" applyNumberFormat="1" applyFont="1" applyBorder="1" applyAlignment="1">
      <alignment vertical="center" wrapText="1"/>
    </xf>
    <xf numFmtId="0" fontId="1" fillId="0" borderId="49" xfId="0" applyFont="1" applyBorder="1" applyAlignment="1">
      <alignment vertical="center"/>
    </xf>
    <xf numFmtId="3" fontId="1" fillId="0" borderId="49" xfId="0" applyNumberFormat="1" applyFont="1" applyBorder="1" applyAlignment="1">
      <alignment vertical="center"/>
    </xf>
    <xf numFmtId="3" fontId="1" fillId="0" borderId="50" xfId="0" applyNumberFormat="1" applyFont="1" applyBorder="1" applyAlignment="1">
      <alignment vertical="center"/>
    </xf>
    <xf numFmtId="3" fontId="1" fillId="17" borderId="52" xfId="0" applyNumberFormat="1" applyFont="1" applyFill="1" applyBorder="1" applyAlignment="1">
      <alignment vertical="center"/>
    </xf>
    <xf numFmtId="0" fontId="1" fillId="17" borderId="52" xfId="0" applyFont="1" applyFill="1" applyBorder="1" applyAlignment="1">
      <alignment vertical="center"/>
    </xf>
    <xf numFmtId="3" fontId="1" fillId="17" borderId="63" xfId="0" applyNumberFormat="1" applyFont="1" applyFill="1" applyBorder="1" applyAlignment="1">
      <alignment vertical="center"/>
    </xf>
    <xf numFmtId="3" fontId="1" fillId="5" borderId="54" xfId="0" applyNumberFormat="1" applyFont="1" applyFill="1" applyBorder="1" applyAlignment="1">
      <alignment vertical="center"/>
    </xf>
    <xf numFmtId="0" fontId="1" fillId="5" borderId="54" xfId="0" applyFont="1" applyFill="1" applyBorder="1" applyAlignment="1">
      <alignment vertical="center"/>
    </xf>
    <xf numFmtId="3" fontId="1" fillId="5" borderId="64" xfId="0" applyNumberFormat="1" applyFont="1" applyFill="1" applyBorder="1" applyAlignment="1">
      <alignment vertical="center"/>
    </xf>
    <xf numFmtId="0" fontId="6" fillId="5" borderId="0" xfId="0" applyFont="1" applyFill="1"/>
    <xf numFmtId="3" fontId="1" fillId="0" borderId="56" xfId="0" applyNumberFormat="1" applyFont="1" applyBorder="1" applyAlignment="1">
      <alignment vertical="center"/>
    </xf>
    <xf numFmtId="0" fontId="1" fillId="0" borderId="56" xfId="0" applyFont="1" applyBorder="1" applyAlignment="1">
      <alignment vertical="center"/>
    </xf>
    <xf numFmtId="0" fontId="1" fillId="2" borderId="65" xfId="0" applyFont="1" applyFill="1" applyBorder="1" applyAlignment="1">
      <alignment vertical="center"/>
    </xf>
    <xf numFmtId="3" fontId="1" fillId="0" borderId="57" xfId="0" applyNumberFormat="1" applyFont="1" applyBorder="1" applyAlignment="1">
      <alignment vertical="center"/>
    </xf>
    <xf numFmtId="3" fontId="6" fillId="0" borderId="0" xfId="0" applyNumberFormat="1" applyFont="1"/>
    <xf numFmtId="0" fontId="6" fillId="21" borderId="0" xfId="0" applyFont="1" applyFill="1"/>
    <xf numFmtId="3" fontId="6" fillId="12" borderId="0" xfId="0" applyNumberFormat="1" applyFont="1" applyFill="1" applyAlignment="1">
      <alignment horizontal="right"/>
    </xf>
    <xf numFmtId="3" fontId="6" fillId="19" borderId="0" xfId="0" applyNumberFormat="1" applyFont="1" applyFill="1" applyAlignment="1">
      <alignment horizontal="right"/>
    </xf>
    <xf numFmtId="3" fontId="6" fillId="8" borderId="0" xfId="0" applyNumberFormat="1" applyFont="1" applyFill="1" applyAlignment="1">
      <alignment horizontal="right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22" borderId="66" xfId="0" applyFont="1" applyFill="1" applyBorder="1" applyAlignment="1">
      <alignment horizontal="center" vertical="center" wrapText="1"/>
    </xf>
    <xf numFmtId="0" fontId="8" fillId="22" borderId="67" xfId="0" applyFont="1" applyFill="1" applyBorder="1" applyAlignment="1">
      <alignment horizontal="center" vertical="center" wrapText="1"/>
    </xf>
    <xf numFmtId="0" fontId="8" fillId="22" borderId="68" xfId="0" applyFont="1" applyFill="1" applyBorder="1" applyAlignment="1">
      <alignment horizontal="center" vertical="center" wrapText="1"/>
    </xf>
    <xf numFmtId="0" fontId="8" fillId="23" borderId="66" xfId="0" applyFont="1" applyFill="1" applyBorder="1" applyAlignment="1">
      <alignment horizontal="center" vertical="center" wrapText="1"/>
    </xf>
    <xf numFmtId="0" fontId="8" fillId="23" borderId="67" xfId="0" applyFont="1" applyFill="1" applyBorder="1" applyAlignment="1">
      <alignment horizontal="center" vertical="center" wrapText="1"/>
    </xf>
    <xf numFmtId="0" fontId="8" fillId="23" borderId="69" xfId="0" applyFont="1" applyFill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0" borderId="9" xfId="0" applyFont="1" applyBorder="1"/>
    <xf numFmtId="0" fontId="1" fillId="0" borderId="70" xfId="0" applyFont="1" applyBorder="1"/>
    <xf numFmtId="0" fontId="8" fillId="0" borderId="70" xfId="0" applyFont="1" applyBorder="1"/>
    <xf numFmtId="0" fontId="1" fillId="0" borderId="71" xfId="0" applyFont="1" applyBorder="1"/>
    <xf numFmtId="0" fontId="1" fillId="0" borderId="24" xfId="0" applyFont="1" applyBorder="1"/>
    <xf numFmtId="0" fontId="1" fillId="0" borderId="8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3" borderId="8" xfId="0" applyFill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7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8" fillId="0" borderId="70" xfId="0" applyFont="1" applyBorder="1" applyAlignment="1">
      <alignment horizontal="center"/>
    </xf>
    <xf numFmtId="0" fontId="1" fillId="0" borderId="71" xfId="0" applyFont="1" applyBorder="1" applyAlignment="1">
      <alignment horizontal="center"/>
    </xf>
    <xf numFmtId="166" fontId="18" fillId="0" borderId="24" xfId="0" applyNumberFormat="1" applyFont="1" applyBorder="1" applyAlignment="1">
      <alignment horizontal="center"/>
    </xf>
    <xf numFmtId="166" fontId="18" fillId="0" borderId="9" xfId="0" applyNumberFormat="1" applyFont="1" applyBorder="1" applyAlignment="1">
      <alignment horizontal="center"/>
    </xf>
    <xf numFmtId="0" fontId="18" fillId="0" borderId="8" xfId="0" applyFont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19" fillId="3" borderId="8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1" fillId="0" borderId="8" xfId="0" applyFont="1" applyBorder="1" applyAlignment="1">
      <alignment vertical="center"/>
    </xf>
    <xf numFmtId="0" fontId="20" fillId="0" borderId="8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/>
    </xf>
    <xf numFmtId="0" fontId="18" fillId="0" borderId="9" xfId="0" applyFont="1" applyBorder="1" applyAlignment="1">
      <alignment horizontal="center"/>
    </xf>
    <xf numFmtId="0" fontId="18" fillId="0" borderId="7" xfId="0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1" fillId="0" borderId="9" xfId="0" applyFont="1" applyBorder="1" applyAlignment="1">
      <alignment horizontal="left" vertical="center"/>
    </xf>
    <xf numFmtId="0" fontId="18" fillId="0" borderId="73" xfId="0" applyFont="1" applyBorder="1" applyAlignment="1">
      <alignment horizontal="center"/>
    </xf>
    <xf numFmtId="0" fontId="18" fillId="0" borderId="22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1" fillId="0" borderId="74" xfId="0" applyFont="1" applyBorder="1" applyAlignment="1">
      <alignment horizontal="center"/>
    </xf>
    <xf numFmtId="0" fontId="8" fillId="0" borderId="74" xfId="0" applyFont="1" applyBorder="1" applyAlignment="1">
      <alignment horizontal="center"/>
    </xf>
    <xf numFmtId="0" fontId="8" fillId="0" borderId="0" xfId="0" applyFont="1"/>
    <xf numFmtId="0" fontId="1" fillId="0" borderId="0" xfId="0" applyFont="1" applyAlignment="1">
      <alignment horizontal="center" vertical="center" wrapText="1"/>
    </xf>
    <xf numFmtId="0" fontId="21" fillId="3" borderId="8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22" fillId="0" borderId="0" xfId="0" applyFont="1" applyAlignment="1">
      <alignment horizontal="center"/>
    </xf>
    <xf numFmtId="0" fontId="8" fillId="0" borderId="8" xfId="0" applyFont="1" applyBorder="1" applyAlignment="1">
      <alignment horizontal="center"/>
    </xf>
    <xf numFmtId="0" fontId="1" fillId="15" borderId="8" xfId="0" applyFont="1" applyFill="1" applyBorder="1"/>
    <xf numFmtId="0" fontId="1" fillId="15" borderId="9" xfId="0" applyFont="1" applyFill="1" applyBorder="1"/>
    <xf numFmtId="0" fontId="8" fillId="15" borderId="9" xfId="0" applyFont="1" applyFill="1" applyBorder="1" applyAlignment="1">
      <alignment horizontal="center"/>
    </xf>
    <xf numFmtId="0" fontId="1" fillId="15" borderId="9" xfId="0" applyFont="1" applyFill="1" applyBorder="1" applyAlignment="1">
      <alignment horizontal="center"/>
    </xf>
    <xf numFmtId="0" fontId="1" fillId="15" borderId="8" xfId="0" applyFont="1" applyFill="1" applyBorder="1" applyAlignment="1">
      <alignment horizontal="center"/>
    </xf>
    <xf numFmtId="0" fontId="8" fillId="19" borderId="8" xfId="0" applyFont="1" applyFill="1" applyBorder="1" applyAlignment="1">
      <alignment horizontal="center"/>
    </xf>
    <xf numFmtId="0" fontId="1" fillId="24" borderId="8" xfId="0" applyFont="1" applyFill="1" applyBorder="1"/>
    <xf numFmtId="0" fontId="1" fillId="24" borderId="9" xfId="0" applyFont="1" applyFill="1" applyBorder="1"/>
    <xf numFmtId="0" fontId="8" fillId="24" borderId="9" xfId="0" applyFont="1" applyFill="1" applyBorder="1" applyAlignment="1">
      <alignment horizontal="center"/>
    </xf>
    <xf numFmtId="0" fontId="1" fillId="24" borderId="9" xfId="0" applyFont="1" applyFill="1" applyBorder="1" applyAlignment="1">
      <alignment horizontal="center"/>
    </xf>
    <xf numFmtId="0" fontId="1" fillId="24" borderId="8" xfId="0" applyFont="1" applyFill="1" applyBorder="1" applyAlignment="1">
      <alignment horizontal="center"/>
    </xf>
    <xf numFmtId="0" fontId="13" fillId="6" borderId="23" xfId="0" applyFont="1" applyFill="1" applyBorder="1" applyAlignment="1">
      <alignment horizontal="center" vertical="center" textRotation="90"/>
    </xf>
    <xf numFmtId="0" fontId="4" fillId="0" borderId="26" xfId="0" applyFont="1" applyBorder="1"/>
    <xf numFmtId="0" fontId="4" fillId="0" borderId="27" xfId="0" applyFont="1" applyBorder="1"/>
    <xf numFmtId="0" fontId="8" fillId="0" borderId="10" xfId="0" applyFont="1" applyBorder="1" applyAlignment="1">
      <alignment horizontal="center" vertical="center" textRotation="90"/>
    </xf>
    <xf numFmtId="0" fontId="4" fillId="0" borderId="15" xfId="0" applyFont="1" applyBorder="1"/>
    <xf numFmtId="0" fontId="4" fillId="0" borderId="19" xfId="0" applyFont="1" applyBorder="1"/>
    <xf numFmtId="165" fontId="6" fillId="3" borderId="4" xfId="0" applyNumberFormat="1" applyFont="1" applyFill="1" applyBorder="1" applyAlignment="1">
      <alignment horizontal="center"/>
    </xf>
    <xf numFmtId="0" fontId="4" fillId="0" borderId="5" xfId="0" applyFont="1" applyBorder="1"/>
    <xf numFmtId="0" fontId="4" fillId="0" borderId="6" xfId="0" applyFont="1" applyBorder="1"/>
    <xf numFmtId="0" fontId="15" fillId="5" borderId="10" xfId="0" applyFont="1" applyFill="1" applyBorder="1" applyAlignment="1">
      <alignment horizontal="center" vertical="center" wrapText="1"/>
    </xf>
    <xf numFmtId="0" fontId="4" fillId="0" borderId="34" xfId="0" applyFont="1" applyBorder="1"/>
    <xf numFmtId="0" fontId="4" fillId="0" borderId="35" xfId="0" applyFont="1" applyBorder="1"/>
    <xf numFmtId="0" fontId="0" fillId="0" borderId="0" xfId="0"/>
    <xf numFmtId="0" fontId="4" fillId="0" borderId="13" xfId="0" applyFont="1" applyBorder="1"/>
    <xf numFmtId="0" fontId="4" fillId="0" borderId="32" xfId="0" applyFont="1" applyBorder="1"/>
    <xf numFmtId="0" fontId="4" fillId="0" borderId="33" xfId="0" applyFont="1" applyBorder="1"/>
    <xf numFmtId="0" fontId="1" fillId="3" borderId="16" xfId="0" applyFont="1" applyFill="1" applyBorder="1"/>
    <xf numFmtId="0" fontId="4" fillId="0" borderId="7" xfId="0" applyFont="1" applyBorder="1"/>
    <xf numFmtId="0" fontId="4" fillId="0" borderId="17" xfId="0" applyFont="1" applyBorder="1"/>
    <xf numFmtId="0" fontId="4" fillId="0" borderId="21" xfId="0" applyFont="1" applyBorder="1"/>
    <xf numFmtId="0" fontId="4" fillId="0" borderId="22" xfId="0" applyFont="1" applyBorder="1"/>
    <xf numFmtId="0" fontId="8" fillId="2" borderId="36" xfId="0" applyFont="1" applyFill="1" applyBorder="1" applyAlignment="1">
      <alignment horizontal="center" vertical="center" wrapText="1"/>
    </xf>
    <xf numFmtId="0" fontId="4" fillId="0" borderId="37" xfId="0" applyFont="1" applyBorder="1"/>
    <xf numFmtId="0" fontId="4" fillId="0" borderId="38" xfId="0" applyFont="1" applyBorder="1"/>
    <xf numFmtId="0" fontId="4" fillId="0" borderId="39" xfId="0" applyFont="1" applyBorder="1"/>
    <xf numFmtId="0" fontId="4" fillId="0" borderId="40" xfId="0" applyFont="1" applyBorder="1"/>
    <xf numFmtId="0" fontId="1" fillId="0" borderId="14" xfId="0" applyFont="1" applyBorder="1" applyAlignment="1">
      <alignment vertical="top" wrapText="1"/>
    </xf>
    <xf numFmtId="0" fontId="4" fillId="0" borderId="14" xfId="0" applyFont="1" applyBorder="1"/>
    <xf numFmtId="0" fontId="4" fillId="0" borderId="12" xfId="0" applyFont="1" applyBorder="1"/>
    <xf numFmtId="0" fontId="8" fillId="0" borderId="20" xfId="0" applyFont="1" applyBorder="1" applyAlignment="1">
      <alignment vertical="top" wrapText="1"/>
    </xf>
    <xf numFmtId="164" fontId="3" fillId="2" borderId="1" xfId="0" applyNumberFormat="1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165" fontId="1" fillId="3" borderId="4" xfId="0" applyNumberFormat="1" applyFont="1" applyFill="1" applyBorder="1" applyAlignment="1">
      <alignment horizontal="center"/>
    </xf>
    <xf numFmtId="0" fontId="14" fillId="5" borderId="16" xfId="0" applyFont="1" applyFill="1" applyBorder="1" applyAlignment="1">
      <alignment horizontal="center" vertical="center" wrapText="1"/>
    </xf>
    <xf numFmtId="0" fontId="4" fillId="0" borderId="30" xfId="0" applyFont="1" applyBorder="1"/>
    <xf numFmtId="0" fontId="4" fillId="0" borderId="31" xfId="0" applyFont="1" applyBorder="1"/>
    <xf numFmtId="0" fontId="8" fillId="2" borderId="1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vertical="center" textRotation="90"/>
    </xf>
    <xf numFmtId="0" fontId="10" fillId="3" borderId="14" xfId="0" applyFont="1" applyFill="1" applyBorder="1" applyAlignment="1">
      <alignment vertical="top" wrapText="1"/>
    </xf>
    <xf numFmtId="165" fontId="6" fillId="11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22">
    <dxf>
      <fill>
        <patternFill patternType="solid">
          <fgColor rgb="FFFF0000"/>
          <bgColor rgb="FFFF0000"/>
        </patternFill>
      </fill>
    </dxf>
    <dxf>
      <fill>
        <patternFill patternType="solid">
          <fgColor rgb="FF00FF00"/>
          <bgColor rgb="FF00FF00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00FFFF"/>
          <bgColor rgb="FF00FFFF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4A86E8"/>
          <bgColor rgb="FF4A86E8"/>
        </patternFill>
      </fill>
    </dxf>
    <dxf>
      <fill>
        <patternFill patternType="solid">
          <fgColor rgb="FF6AA84F"/>
          <bgColor rgb="FF6AA84F"/>
        </patternFill>
      </fill>
    </dxf>
    <dxf>
      <fill>
        <patternFill patternType="solid">
          <fgColor rgb="FF9900FF"/>
          <bgColor rgb="FF9900FF"/>
        </patternFill>
      </fill>
    </dxf>
    <dxf>
      <fill>
        <patternFill patternType="solid">
          <fgColor rgb="FFFF00FF"/>
          <bgColor rgb="FFFF00FF"/>
        </patternFill>
      </fill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E8F0FE"/>
          <bgColor rgb="FFE8F0FE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5B95F9"/>
          <bgColor rgb="FF5B95F9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8F9FA"/>
          <bgColor rgb="FFF8F9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  <dxf>
      <fill>
        <patternFill patternType="solid">
          <fgColor rgb="FFF8F9FA"/>
          <bgColor rgb="FFF8F9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</dxfs>
  <tableStyles count="4">
    <tableStyle name="EDT-style" pivot="0" count="3" xr9:uid="{00000000-0011-0000-FFFF-FFFF00000000}">
      <tableStyleElement type="headerRow" dxfId="21"/>
      <tableStyleElement type="firstRowStripe" dxfId="20"/>
      <tableStyleElement type="secondRowStripe" dxfId="19"/>
    </tableStyle>
    <tableStyle name="Heures jeunes tableau mars-style" pivot="0" count="3" xr9:uid="{00000000-0011-0000-FFFF-FFFF01000000}">
      <tableStyleElement type="headerRow" dxfId="18"/>
      <tableStyleElement type="firstRowStripe" dxfId="17"/>
      <tableStyleElement type="secondRowStripe" dxfId="16"/>
    </tableStyle>
    <tableStyle name="Recap Accompagnement-style" pivot="0" count="2" xr9:uid="{00000000-0011-0000-FFFF-FFFF02000000}">
      <tableStyleElement type="firstRowStripe" dxfId="15"/>
      <tableStyleElement type="secondRowStripe" dxfId="14"/>
    </tableStyle>
    <tableStyle name="salariés-style" pivot="0" count="3" xr9:uid="{00000000-0011-0000-FFFF-FFFF03000000}">
      <tableStyleElement type="headerRow" dxfId="13"/>
      <tableStyleElement type="firstRowStripe" dxfId="12"/>
      <tableStyleElement type="second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201:G225">
  <tableColumns count="5">
    <tableColumn id="1" xr3:uid="{00000000-0010-0000-0000-000001000000}" name="Colonne 1"/>
    <tableColumn id="2" xr3:uid="{00000000-0010-0000-0000-000002000000}" name="Heures déjà effectuées jusqu'au 28 fev"/>
    <tableColumn id="3" xr3:uid="{00000000-0010-0000-0000-000003000000}" name="NB HR mars"/>
    <tableColumn id="4" xr3:uid="{00000000-0010-0000-0000-000004000000}" name="NB TOT"/>
    <tableColumn id="5" xr3:uid="{00000000-0010-0000-0000-000005000000}" name="Colonne 2"/>
  </tableColumns>
  <tableStyleInfo name="EDT-style" showFirstColumn="1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_jeunes_mars_" displayName="Tableau_jeunes_mars_" ref="A1:F25">
  <tableColumns count="6">
    <tableColumn id="1" xr3:uid="{00000000-0010-0000-0100-000001000000}" name="Colonne 1"/>
    <tableColumn id="2" xr3:uid="{00000000-0010-0000-0100-000002000000}" name="Heures déjà effectuées sur les mois écoulés"/>
    <tableColumn id="3" xr3:uid="{00000000-0010-0000-0100-000003000000}" name="Heures de ce mois-ci "/>
    <tableColumn id="4" xr3:uid="{00000000-0010-0000-0100-000004000000}" name="Total heures "/>
    <tableColumn id="5" xr3:uid="{00000000-0010-0000-0100-000005000000}" name="Nb heures totales accordées "/>
    <tableColumn id="6" xr3:uid="{00000000-0010-0000-0100-000006000000}" name="Solde "/>
  </tableColumns>
  <tableStyleInfo name="Heures jeunes tableau mars-style" showFirstColumn="1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_1" displayName="Table_1" ref="A3:O102" headerRowCount="0">
  <tableColumns count="15">
    <tableColumn id="1" xr3:uid="{00000000-0010-0000-0200-000001000000}" name="Column1"/>
    <tableColumn id="2" xr3:uid="{00000000-0010-0000-0200-000002000000}" name="Column2"/>
    <tableColumn id="3" xr3:uid="{00000000-0010-0000-0200-000003000000}" name="Column3"/>
    <tableColumn id="4" xr3:uid="{00000000-0010-0000-0200-000004000000}" name="Column4"/>
    <tableColumn id="5" xr3:uid="{00000000-0010-0000-0200-000005000000}" name="Column5"/>
    <tableColumn id="6" xr3:uid="{00000000-0010-0000-0200-000006000000}" name="Column6"/>
    <tableColumn id="7" xr3:uid="{00000000-0010-0000-0200-000007000000}" name="Column7"/>
    <tableColumn id="8" xr3:uid="{00000000-0010-0000-0200-000008000000}" name="Column8"/>
    <tableColumn id="9" xr3:uid="{00000000-0010-0000-0200-000009000000}" name="Column9"/>
    <tableColumn id="10" xr3:uid="{00000000-0010-0000-0200-00000A000000}" name="Column10"/>
    <tableColumn id="11" xr3:uid="{00000000-0010-0000-0200-00000B000000}" name="Column11"/>
    <tableColumn id="12" xr3:uid="{00000000-0010-0000-0200-00000C000000}" name="Column12"/>
    <tableColumn id="13" xr3:uid="{00000000-0010-0000-0200-00000D000000}" name="Column13"/>
    <tableColumn id="14" xr3:uid="{00000000-0010-0000-0200-00000E000000}" name="Column14"/>
    <tableColumn id="15" xr3:uid="{00000000-0010-0000-0200-00000F000000}" name="Column15"/>
  </tableColumns>
  <tableStyleInfo name="Recap Accompagnement-style" showFirstColumn="1" showLastColumn="1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_2" displayName="Table_2" ref="B2:Q17">
  <tableColumns count="16">
    <tableColumn id="1" xr3:uid="{00000000-0010-0000-0300-000001000000}" name="Salarié.es"/>
    <tableColumn id="2" xr3:uid="{00000000-0010-0000-0300-000002000000}" name="Accompagnement"/>
    <tableColumn id="3" xr3:uid="{00000000-0010-0000-0300-000003000000}" name="Bilan/écoute parent"/>
    <tableColumn id="4" xr3:uid="{00000000-0010-0000-0300-000004000000}" name="Temps Trajet"/>
    <tableColumn id="5" xr3:uid="{00000000-0010-0000-0300-000005000000}" name="Prépa sur moment"/>
    <tableColumn id="6" xr3:uid="{00000000-0010-0000-0300-000006000000}" name="Réunion"/>
    <tableColumn id="7" xr3:uid="{00000000-0010-0000-0300-000007000000}" name="Rencontre ACM"/>
    <tableColumn id="8" xr3:uid="{00000000-0010-0000-0300-000008000000}" name="Café parents"/>
    <tableColumn id="9" xr3:uid="{00000000-0010-0000-0300-000009000000}" name="Coordo"/>
    <tableColumn id="10" xr3:uid="{00000000-0010-0000-0300-00000A000000}" name="Création/maintenance outil"/>
    <tableColumn id="11" xr3:uid="{00000000-0010-0000-0300-00000B000000}" name="Facturation"/>
    <tableColumn id="12" xr3:uid="{00000000-0010-0000-0300-00000C000000}" name="Congé payé formation"/>
    <tableColumn id="13" xr3:uid="{00000000-0010-0000-0300-00000D000000}" name="TOTAL"/>
    <tableColumn id="14" xr3:uid="{00000000-0010-0000-0300-00000E000000}" name="Report du mois précédent"/>
    <tableColumn id="15" xr3:uid="{00000000-0010-0000-0300-00000F000000}" name="Heures contrat"/>
    <tableColumn id="16" xr3:uid="{00000000-0010-0000-0300-000010000000}" name="Report pour mois suivant"/>
  </tableColumns>
  <tableStyleInfo name="salariés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1A1A1A"/>
      </a:dk1>
      <a:lt1>
        <a:srgbClr val="EEF1F1"/>
      </a:lt1>
      <a:dk2>
        <a:srgbClr val="1A1A1A"/>
      </a:dk2>
      <a:lt2>
        <a:srgbClr val="EEF1F1"/>
      </a:lt2>
      <a:accent1>
        <a:srgbClr val="1A9988"/>
      </a:accent1>
      <a:accent2>
        <a:srgbClr val="2D729D"/>
      </a:accent2>
      <a:accent3>
        <a:srgbClr val="1F3E78"/>
      </a:accent3>
      <a:accent4>
        <a:srgbClr val="EB5600"/>
      </a:accent4>
      <a:accent5>
        <a:srgbClr val="FF99AC"/>
      </a:accent5>
      <a:accent6>
        <a:srgbClr val="FFD4B8"/>
      </a:accent6>
      <a:hlink>
        <a:srgbClr val="1F3E78"/>
      </a:hlink>
      <a:folHlink>
        <a:srgbClr val="1F3E78"/>
      </a:folHlink>
    </a:clrScheme>
    <a:fontScheme name="Sheets">
      <a:majorFont>
        <a:latin typeface="Verdana"/>
        <a:ea typeface="Verdana"/>
        <a:cs typeface="Verdana"/>
      </a:majorFont>
      <a:minorFont>
        <a:latin typeface="Verdana"/>
        <a:ea typeface="Verdana"/>
        <a:cs typeface="Verdan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V1081"/>
  <sheetViews>
    <sheetView showGridLines="0" tabSelected="1" topLeftCell="B162" workbookViewId="0">
      <selection activeCell="F202" sqref="F202"/>
    </sheetView>
  </sheetViews>
  <sheetFormatPr baseColWidth="10" defaultColWidth="11.1796875" defaultRowHeight="15.75" customHeight="1"/>
  <cols>
    <col min="1" max="1" width="2.6328125" customWidth="1"/>
    <col min="5" max="5" width="5.1796875" customWidth="1"/>
    <col min="6" max="6" width="6.81640625" customWidth="1"/>
    <col min="8" max="9" width="3.6328125" customWidth="1"/>
    <col min="11" max="11" width="6.81640625" bestFit="1" customWidth="1"/>
    <col min="12" max="12" width="4.90625" bestFit="1" customWidth="1"/>
    <col min="14" max="15" width="3.6328125" customWidth="1"/>
    <col min="17" max="18" width="3.6328125" customWidth="1"/>
    <col min="19" max="19" width="2.6328125" customWidth="1"/>
    <col min="20" max="20" width="42.36328125" customWidth="1"/>
    <col min="21" max="21" width="14.36328125" customWidth="1"/>
    <col min="22" max="22" width="8.1796875" customWidth="1"/>
    <col min="23" max="23" width="17.453125" customWidth="1"/>
    <col min="24" max="24" width="7.08984375" customWidth="1"/>
  </cols>
  <sheetData>
    <row r="1" spans="1:22" ht="13.8"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T1" s="2"/>
      <c r="V1" s="3"/>
    </row>
    <row r="2" spans="1:22" ht="16.2">
      <c r="C2" s="260">
        <v>45717</v>
      </c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1"/>
      <c r="P2" s="261"/>
      <c r="Q2" s="261"/>
      <c r="R2" s="262"/>
      <c r="T2" s="2"/>
      <c r="V2" s="3"/>
    </row>
    <row r="3" spans="1:22" ht="13.8"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T3" s="2"/>
      <c r="V3" s="3"/>
    </row>
    <row r="4" spans="1:22" ht="12.6">
      <c r="D4" s="263">
        <v>45719</v>
      </c>
      <c r="E4" s="237"/>
      <c r="F4" s="238"/>
      <c r="G4" s="263">
        <v>45720</v>
      </c>
      <c r="H4" s="237"/>
      <c r="I4" s="238"/>
      <c r="J4" s="263">
        <v>45721</v>
      </c>
      <c r="K4" s="237"/>
      <c r="L4" s="238"/>
      <c r="M4" s="263">
        <v>45722</v>
      </c>
      <c r="N4" s="237"/>
      <c r="O4" s="238"/>
      <c r="P4" s="263">
        <v>45723</v>
      </c>
      <c r="Q4" s="237"/>
      <c r="R4" s="238"/>
      <c r="S4" s="268" t="s">
        <v>0</v>
      </c>
      <c r="T4" s="4" t="s">
        <v>1</v>
      </c>
    </row>
    <row r="5" spans="1:22" ht="15" customHeight="1">
      <c r="A5" s="5"/>
      <c r="B5" s="6" t="str">
        <f ca="1">IFERROR(__xludf.DUMMYFUNCTION("IMPORTRANGE(""https://docs.google.com/spreadsheets/d/1DSyV8tDqZ18nTTyVYUrGOoSmzgfuPJZyajxwAUVpWtY"",""Salarié.es!A3:A16"")"),"")</f>
        <v/>
      </c>
      <c r="C5" s="233" t="s">
        <v>2</v>
      </c>
      <c r="D5" s="7" t="s">
        <v>3</v>
      </c>
      <c r="E5" s="8"/>
      <c r="F5" s="8" t="s">
        <v>4</v>
      </c>
      <c r="G5" s="9"/>
      <c r="H5" s="8"/>
      <c r="I5" s="8"/>
      <c r="J5" s="10" t="s">
        <v>3</v>
      </c>
      <c r="K5" s="8" t="s">
        <v>5</v>
      </c>
      <c r="L5" s="8" t="s">
        <v>4</v>
      </c>
      <c r="M5" s="10" t="s">
        <v>3</v>
      </c>
      <c r="N5" s="11"/>
      <c r="O5" s="12" t="s">
        <v>4</v>
      </c>
      <c r="P5" s="10" t="s">
        <v>3</v>
      </c>
      <c r="Q5" s="8"/>
      <c r="R5" s="12" t="s">
        <v>4</v>
      </c>
      <c r="S5" s="243"/>
      <c r="T5" s="269" t="s">
        <v>6</v>
      </c>
      <c r="U5" s="13" t="s">
        <v>7</v>
      </c>
    </row>
    <row r="6" spans="1:22" ht="13.2">
      <c r="A6" s="5"/>
      <c r="B6" s="14" t="str">
        <f ca="1">IFERROR(__xludf.DUMMYFUNCTION("""COMPUTED_VALUE"""),"Antonio")</f>
        <v>Antonio</v>
      </c>
      <c r="C6" s="234"/>
      <c r="D6" s="15" t="s">
        <v>8</v>
      </c>
      <c r="E6" s="5"/>
      <c r="F6" s="5" t="s">
        <v>4</v>
      </c>
      <c r="G6" s="16" t="s">
        <v>9</v>
      </c>
      <c r="H6" s="5" t="s">
        <v>10</v>
      </c>
      <c r="I6" s="5" t="s">
        <v>4</v>
      </c>
      <c r="J6" s="10" t="s">
        <v>9</v>
      </c>
      <c r="K6" s="5"/>
      <c r="L6" s="5" t="s">
        <v>4</v>
      </c>
      <c r="M6" s="10" t="s">
        <v>9</v>
      </c>
      <c r="N6" s="5"/>
      <c r="O6" s="5" t="s">
        <v>4</v>
      </c>
      <c r="P6" s="10" t="s">
        <v>9</v>
      </c>
      <c r="Q6" s="5"/>
      <c r="R6" s="5" t="s">
        <v>4</v>
      </c>
      <c r="S6" s="243"/>
      <c r="T6" s="257"/>
    </row>
    <row r="7" spans="1:22" ht="13.2">
      <c r="A7" s="5"/>
      <c r="B7" s="14" t="str">
        <f ca="1">IFERROR(__xludf.DUMMYFUNCTION("""COMPUTED_VALUE"""),"Laurence")</f>
        <v>Laurence</v>
      </c>
      <c r="C7" s="234"/>
      <c r="D7" s="15" t="s">
        <v>11</v>
      </c>
      <c r="E7" s="5"/>
      <c r="F7" s="5" t="s">
        <v>12</v>
      </c>
      <c r="G7" s="16" t="s">
        <v>8</v>
      </c>
      <c r="H7" s="5"/>
      <c r="I7" s="5" t="s">
        <v>4</v>
      </c>
      <c r="J7" s="10" t="s">
        <v>8</v>
      </c>
      <c r="K7" s="5" t="s">
        <v>13</v>
      </c>
      <c r="L7" s="5" t="s">
        <v>4</v>
      </c>
      <c r="M7" s="10" t="s">
        <v>8</v>
      </c>
      <c r="N7" s="17"/>
      <c r="O7" s="5" t="s">
        <v>4</v>
      </c>
      <c r="P7" s="10" t="s">
        <v>8</v>
      </c>
      <c r="Q7" s="17"/>
      <c r="R7" s="5" t="s">
        <v>4</v>
      </c>
      <c r="S7" s="243"/>
      <c r="T7" s="257"/>
    </row>
    <row r="8" spans="1:22" ht="13.2">
      <c r="A8" s="5"/>
      <c r="B8" s="14" t="str">
        <f ca="1">IFERROR(__xludf.DUMMYFUNCTION("""COMPUTED_VALUE"""),"Océane")</f>
        <v>Océane</v>
      </c>
      <c r="C8" s="234"/>
      <c r="D8" s="15" t="s">
        <v>14</v>
      </c>
      <c r="E8" s="5"/>
      <c r="F8" s="5" t="s">
        <v>12</v>
      </c>
      <c r="G8" s="16" t="s">
        <v>11</v>
      </c>
      <c r="H8" s="5" t="s">
        <v>13</v>
      </c>
      <c r="I8" s="5" t="s">
        <v>12</v>
      </c>
      <c r="J8" s="10" t="s">
        <v>11</v>
      </c>
      <c r="K8" s="5"/>
      <c r="L8" s="5" t="s">
        <v>12</v>
      </c>
      <c r="M8" s="18" t="s">
        <v>11</v>
      </c>
      <c r="N8" s="17"/>
      <c r="O8" s="5" t="s">
        <v>12</v>
      </c>
      <c r="P8" s="19" t="s">
        <v>11</v>
      </c>
      <c r="Q8" s="17"/>
      <c r="R8" s="5" t="s">
        <v>12</v>
      </c>
      <c r="S8" s="243"/>
      <c r="T8" s="257"/>
    </row>
    <row r="9" spans="1:22" ht="13.2">
      <c r="A9" s="5"/>
      <c r="B9" s="14" t="str">
        <f ca="1">IFERROR(__xludf.DUMMYFUNCTION("""COMPUTED_VALUE"""),"Elia")</f>
        <v>Elia</v>
      </c>
      <c r="C9" s="234"/>
      <c r="D9" s="15" t="s">
        <v>15</v>
      </c>
      <c r="E9" s="5"/>
      <c r="F9" s="5" t="s">
        <v>12</v>
      </c>
      <c r="G9" s="16" t="s">
        <v>14</v>
      </c>
      <c r="H9" s="5"/>
      <c r="I9" s="5" t="s">
        <v>12</v>
      </c>
      <c r="J9" s="10" t="s">
        <v>16</v>
      </c>
      <c r="K9" s="5"/>
      <c r="L9" s="5" t="s">
        <v>12</v>
      </c>
      <c r="M9" s="20" t="s">
        <v>17</v>
      </c>
      <c r="N9" s="17"/>
      <c r="O9" s="5" t="s">
        <v>12</v>
      </c>
      <c r="P9" s="19" t="s">
        <v>14</v>
      </c>
      <c r="Q9" s="17"/>
      <c r="R9" s="5" t="s">
        <v>12</v>
      </c>
      <c r="S9" s="243"/>
      <c r="T9" s="257"/>
    </row>
    <row r="10" spans="1:22" ht="13.2">
      <c r="A10" s="5"/>
      <c r="B10" s="14" t="str">
        <f ca="1">IFERROR(__xludf.DUMMYFUNCTION("""COMPUTED_VALUE"""),"Florine")</f>
        <v>Florine</v>
      </c>
      <c r="C10" s="234"/>
      <c r="D10" s="15" t="s">
        <v>18</v>
      </c>
      <c r="E10" s="5" t="s">
        <v>10</v>
      </c>
      <c r="F10" s="5" t="s">
        <v>4</v>
      </c>
      <c r="G10" s="16" t="s">
        <v>15</v>
      </c>
      <c r="H10" s="5"/>
      <c r="I10" s="5" t="s">
        <v>12</v>
      </c>
      <c r="J10" s="10" t="s">
        <v>14</v>
      </c>
      <c r="K10" s="5"/>
      <c r="L10" s="5" t="s">
        <v>12</v>
      </c>
      <c r="M10" s="21" t="s">
        <v>15</v>
      </c>
      <c r="N10" s="17"/>
      <c r="O10" s="5" t="s">
        <v>12</v>
      </c>
      <c r="P10" s="19" t="s">
        <v>15</v>
      </c>
      <c r="Q10" s="17"/>
      <c r="R10" s="5" t="s">
        <v>12</v>
      </c>
      <c r="S10" s="243"/>
      <c r="T10" s="257"/>
    </row>
    <row r="11" spans="1:22" ht="13.2">
      <c r="A11" s="5"/>
      <c r="B11" s="14"/>
      <c r="C11" s="234"/>
      <c r="D11" s="22" t="s">
        <v>19</v>
      </c>
      <c r="E11" s="5" t="s">
        <v>5</v>
      </c>
      <c r="F11" s="5" t="s">
        <v>12</v>
      </c>
      <c r="G11" s="16" t="s">
        <v>20</v>
      </c>
      <c r="H11" s="5"/>
      <c r="I11" s="5" t="s">
        <v>12</v>
      </c>
      <c r="J11" s="10" t="s">
        <v>15</v>
      </c>
      <c r="K11" s="5"/>
      <c r="L11" s="5" t="s">
        <v>12</v>
      </c>
      <c r="M11" s="21" t="s">
        <v>18</v>
      </c>
      <c r="N11" s="17"/>
      <c r="O11" s="5" t="s">
        <v>4</v>
      </c>
      <c r="P11" s="19" t="s">
        <v>18</v>
      </c>
      <c r="Q11" s="17"/>
      <c r="R11" s="5" t="s">
        <v>4</v>
      </c>
      <c r="S11" s="243"/>
      <c r="T11" s="257"/>
    </row>
    <row r="12" spans="1:22" ht="13.2">
      <c r="A12" s="5"/>
      <c r="B12" s="14"/>
      <c r="C12" s="234"/>
      <c r="D12" s="15" t="s">
        <v>20</v>
      </c>
      <c r="E12" s="5"/>
      <c r="F12" s="5" t="s">
        <v>12</v>
      </c>
      <c r="G12" s="16" t="s">
        <v>21</v>
      </c>
      <c r="H12" s="5" t="s">
        <v>5</v>
      </c>
      <c r="I12" s="5" t="s">
        <v>4</v>
      </c>
      <c r="J12" s="10" t="s">
        <v>18</v>
      </c>
      <c r="K12" s="5" t="s">
        <v>10</v>
      </c>
      <c r="L12" s="5" t="s">
        <v>4</v>
      </c>
      <c r="M12" s="21" t="s">
        <v>20</v>
      </c>
      <c r="N12" s="17"/>
      <c r="O12" s="5" t="s">
        <v>12</v>
      </c>
      <c r="P12" s="19" t="s">
        <v>20</v>
      </c>
      <c r="Q12" s="17" t="s">
        <v>5</v>
      </c>
      <c r="R12" s="5" t="s">
        <v>12</v>
      </c>
      <c r="S12" s="243"/>
      <c r="T12" s="257"/>
    </row>
    <row r="13" spans="1:22" ht="13.2">
      <c r="A13" s="5"/>
      <c r="B13" s="14"/>
      <c r="C13" s="234"/>
      <c r="D13" s="15" t="s">
        <v>21</v>
      </c>
      <c r="E13" s="5"/>
      <c r="F13" s="5" t="s">
        <v>4</v>
      </c>
      <c r="G13" s="16"/>
      <c r="H13" s="5"/>
      <c r="I13" s="5"/>
      <c r="J13" s="10" t="s">
        <v>20</v>
      </c>
      <c r="K13" s="5"/>
      <c r="L13" s="5" t="s">
        <v>12</v>
      </c>
      <c r="M13" s="21" t="s">
        <v>21</v>
      </c>
      <c r="N13" s="17"/>
      <c r="O13" s="5" t="s">
        <v>4</v>
      </c>
      <c r="P13" s="15" t="s">
        <v>21</v>
      </c>
      <c r="Q13" s="17" t="s">
        <v>10</v>
      </c>
      <c r="R13" s="5" t="s">
        <v>4</v>
      </c>
      <c r="S13" s="243"/>
      <c r="T13" s="257"/>
    </row>
    <row r="14" spans="1:22" ht="13.2">
      <c r="A14" s="5"/>
      <c r="B14" s="14"/>
      <c r="C14" s="234"/>
      <c r="D14" s="15"/>
      <c r="E14" s="5"/>
      <c r="F14" s="5"/>
      <c r="G14" s="16"/>
      <c r="H14" s="5"/>
      <c r="I14" s="5"/>
      <c r="J14" s="10" t="s">
        <v>21</v>
      </c>
      <c r="K14" s="5"/>
      <c r="L14" s="5" t="s">
        <v>4</v>
      </c>
      <c r="M14" s="21"/>
      <c r="N14" s="17"/>
      <c r="O14" s="5"/>
      <c r="P14" s="19"/>
      <c r="Q14" s="17"/>
      <c r="R14" s="5"/>
      <c r="S14" s="243"/>
      <c r="T14" s="257"/>
    </row>
    <row r="15" spans="1:22" ht="13.2">
      <c r="A15" s="246"/>
      <c r="B15" s="247"/>
      <c r="C15" s="234"/>
      <c r="D15" s="15"/>
      <c r="E15" s="5"/>
      <c r="F15" s="5"/>
      <c r="G15" s="16"/>
      <c r="H15" s="5"/>
      <c r="I15" s="5"/>
      <c r="J15" s="10"/>
      <c r="K15" s="5"/>
      <c r="L15" s="5"/>
      <c r="M15" s="23"/>
      <c r="N15" s="17" t="s">
        <v>10</v>
      </c>
      <c r="O15" s="5"/>
      <c r="P15" s="19"/>
      <c r="Q15" s="17"/>
      <c r="R15" s="5"/>
      <c r="S15" s="243"/>
      <c r="T15" s="257"/>
    </row>
    <row r="16" spans="1:22" ht="13.2">
      <c r="A16" s="248"/>
      <c r="B16" s="243"/>
      <c r="C16" s="234"/>
      <c r="D16" s="15"/>
      <c r="E16" s="5"/>
      <c r="F16" s="5"/>
      <c r="G16" s="16"/>
      <c r="H16" s="5"/>
      <c r="I16" s="5"/>
      <c r="J16" s="10"/>
      <c r="K16" s="5"/>
      <c r="L16" s="5"/>
      <c r="M16" s="23"/>
      <c r="N16" s="17" t="s">
        <v>13</v>
      </c>
      <c r="O16" s="5"/>
      <c r="P16" s="19"/>
      <c r="Q16" s="17"/>
      <c r="R16" s="5"/>
      <c r="S16" s="243"/>
      <c r="T16" s="257"/>
    </row>
    <row r="17" spans="1:20" ht="13.2">
      <c r="A17" s="248"/>
      <c r="B17" s="243"/>
      <c r="C17" s="234"/>
      <c r="D17" s="15"/>
      <c r="E17" s="5"/>
      <c r="F17" s="5"/>
      <c r="G17" s="16"/>
      <c r="H17" s="5"/>
      <c r="I17" s="5"/>
      <c r="J17" s="18"/>
      <c r="K17" s="5"/>
      <c r="L17" s="5"/>
      <c r="M17" s="23"/>
      <c r="N17" s="17" t="s">
        <v>5</v>
      </c>
      <c r="O17" s="5"/>
      <c r="P17" s="19"/>
      <c r="Q17" s="17"/>
      <c r="R17" s="5"/>
      <c r="S17" s="243"/>
      <c r="T17" s="257"/>
    </row>
    <row r="18" spans="1:20" ht="13.2">
      <c r="A18" s="248"/>
      <c r="B18" s="243"/>
      <c r="C18" s="234"/>
      <c r="D18" s="15"/>
      <c r="E18" s="5"/>
      <c r="F18" s="5"/>
      <c r="G18" s="16"/>
      <c r="H18" s="5"/>
      <c r="I18" s="5"/>
      <c r="J18" s="20"/>
      <c r="K18" s="5"/>
      <c r="L18" s="5"/>
      <c r="M18" s="24"/>
      <c r="N18" s="17"/>
      <c r="O18" s="5"/>
      <c r="P18" s="19"/>
      <c r="Q18" s="17"/>
      <c r="R18" s="5"/>
      <c r="S18" s="243"/>
      <c r="T18" s="257"/>
    </row>
    <row r="19" spans="1:20" ht="13.2">
      <c r="A19" s="248"/>
      <c r="B19" s="243"/>
      <c r="C19" s="234"/>
      <c r="D19" s="25"/>
      <c r="E19" s="26"/>
      <c r="F19" s="26"/>
      <c r="G19" s="27"/>
      <c r="H19" s="26"/>
      <c r="I19" s="26"/>
      <c r="J19" s="28"/>
      <c r="K19" s="26"/>
      <c r="L19" s="26"/>
      <c r="M19" s="29"/>
      <c r="N19" s="30"/>
      <c r="O19" s="26"/>
      <c r="P19" s="31"/>
      <c r="Q19" s="30"/>
      <c r="R19" s="26"/>
      <c r="S19" s="243"/>
      <c r="T19" s="257"/>
    </row>
    <row r="20" spans="1:20" ht="13.2" hidden="1">
      <c r="A20" s="248"/>
      <c r="B20" s="243"/>
      <c r="C20" s="234"/>
      <c r="D20" s="32"/>
      <c r="E20" s="12"/>
      <c r="F20" s="12"/>
      <c r="G20" s="18"/>
      <c r="H20" s="12"/>
      <c r="I20" s="12"/>
      <c r="J20" s="33"/>
      <c r="K20" s="12"/>
      <c r="L20" s="12"/>
      <c r="M20" s="34"/>
      <c r="N20" s="35"/>
      <c r="O20" s="12"/>
      <c r="P20" s="36"/>
      <c r="Q20" s="35"/>
      <c r="R20" s="12"/>
      <c r="S20" s="243"/>
      <c r="T20" s="257"/>
    </row>
    <row r="21" spans="1:20" ht="13.2" hidden="1">
      <c r="A21" s="248"/>
      <c r="B21" s="243"/>
      <c r="C21" s="234"/>
      <c r="D21" s="15"/>
      <c r="E21" s="5"/>
      <c r="F21" s="5"/>
      <c r="G21" s="16"/>
      <c r="H21" s="5"/>
      <c r="I21" s="5"/>
      <c r="J21" s="20"/>
      <c r="K21" s="5"/>
      <c r="L21" s="5"/>
      <c r="M21" s="24"/>
      <c r="N21" s="17"/>
      <c r="O21" s="5"/>
      <c r="P21" s="19"/>
      <c r="Q21" s="17"/>
      <c r="R21" s="5"/>
      <c r="S21" s="243"/>
      <c r="T21" s="257"/>
    </row>
    <row r="22" spans="1:20" ht="13.2" hidden="1">
      <c r="A22" s="248"/>
      <c r="B22" s="243"/>
      <c r="C22" s="234"/>
      <c r="D22" s="15"/>
      <c r="E22" s="5"/>
      <c r="F22" s="5"/>
      <c r="G22" s="16"/>
      <c r="H22" s="5"/>
      <c r="I22" s="5"/>
      <c r="J22" s="20"/>
      <c r="K22" s="5"/>
      <c r="L22" s="5"/>
      <c r="M22" s="24"/>
      <c r="N22" s="17"/>
      <c r="O22" s="5"/>
      <c r="P22" s="19"/>
      <c r="Q22" s="17"/>
      <c r="R22" s="5"/>
      <c r="S22" s="243"/>
      <c r="T22" s="257"/>
    </row>
    <row r="23" spans="1:20" ht="13.2" hidden="1">
      <c r="A23" s="248"/>
      <c r="B23" s="243"/>
      <c r="C23" s="234"/>
      <c r="D23" s="15"/>
      <c r="E23" s="5"/>
      <c r="F23" s="5"/>
      <c r="G23" s="16"/>
      <c r="H23" s="5"/>
      <c r="I23" s="5"/>
      <c r="J23" s="20"/>
      <c r="K23" s="5"/>
      <c r="L23" s="5"/>
      <c r="M23" s="24"/>
      <c r="N23" s="17"/>
      <c r="O23" s="5"/>
      <c r="P23" s="19"/>
      <c r="Q23" s="17"/>
      <c r="R23" s="5"/>
      <c r="S23" s="243"/>
      <c r="T23" s="257"/>
    </row>
    <row r="24" spans="1:20" ht="13.2" hidden="1">
      <c r="A24" s="248"/>
      <c r="B24" s="243"/>
      <c r="C24" s="234"/>
      <c r="D24" s="15"/>
      <c r="E24" s="5"/>
      <c r="F24" s="5"/>
      <c r="G24" s="16"/>
      <c r="H24" s="5"/>
      <c r="I24" s="5"/>
      <c r="J24" s="20"/>
      <c r="K24" s="5"/>
      <c r="L24" s="5" t="s">
        <v>12</v>
      </c>
      <c r="M24" s="24"/>
      <c r="N24" s="17"/>
      <c r="O24" s="5" t="s">
        <v>12</v>
      </c>
      <c r="P24" s="19"/>
      <c r="Q24" s="17"/>
      <c r="R24" s="5" t="s">
        <v>12</v>
      </c>
      <c r="S24" s="243"/>
      <c r="T24" s="257"/>
    </row>
    <row r="25" spans="1:20" ht="13.2" hidden="1">
      <c r="A25" s="248"/>
      <c r="B25" s="243"/>
      <c r="C25" s="235"/>
      <c r="D25" s="25"/>
      <c r="E25" s="26"/>
      <c r="F25" s="37"/>
      <c r="G25" s="27"/>
      <c r="H25" s="26"/>
      <c r="I25" s="37"/>
      <c r="J25" s="28"/>
      <c r="K25" s="26"/>
      <c r="L25" s="5" t="s">
        <v>12</v>
      </c>
      <c r="M25" s="29"/>
      <c r="N25" s="30"/>
      <c r="O25" s="5" t="s">
        <v>12</v>
      </c>
      <c r="P25" s="31"/>
      <c r="Q25" s="30"/>
      <c r="R25" s="5" t="s">
        <v>12</v>
      </c>
      <c r="S25" s="243"/>
      <c r="T25" s="258"/>
    </row>
    <row r="26" spans="1:20" ht="13.2" hidden="1">
      <c r="A26" s="248"/>
      <c r="B26" s="243"/>
      <c r="C26" s="38"/>
      <c r="D26" s="33"/>
      <c r="E26" s="12"/>
      <c r="F26" s="8"/>
      <c r="G26" s="33"/>
      <c r="H26" s="12"/>
      <c r="I26" s="8"/>
      <c r="J26" s="18"/>
      <c r="K26" s="12" t="s">
        <v>22</v>
      </c>
      <c r="L26" s="5" t="s">
        <v>12</v>
      </c>
      <c r="M26" s="39"/>
      <c r="N26" s="40"/>
      <c r="O26" s="5" t="s">
        <v>12</v>
      </c>
      <c r="P26" s="41"/>
      <c r="Q26" s="40"/>
      <c r="R26" s="5" t="s">
        <v>12</v>
      </c>
      <c r="S26" s="243"/>
      <c r="T26" s="256" t="s">
        <v>23</v>
      </c>
    </row>
    <row r="27" spans="1:20" ht="13.2" hidden="1">
      <c r="A27" s="248"/>
      <c r="B27" s="243"/>
      <c r="C27" s="38"/>
      <c r="D27" s="20"/>
      <c r="E27" s="5"/>
      <c r="F27" s="5"/>
      <c r="G27" s="20"/>
      <c r="H27" s="5"/>
      <c r="I27" s="5"/>
      <c r="J27" s="16"/>
      <c r="K27" s="5"/>
      <c r="L27" s="5" t="s">
        <v>12</v>
      </c>
      <c r="M27" s="41"/>
      <c r="N27" s="42"/>
      <c r="O27" s="5" t="s">
        <v>12</v>
      </c>
      <c r="P27" s="41"/>
      <c r="Q27" s="42"/>
      <c r="R27" s="5" t="s">
        <v>12</v>
      </c>
      <c r="S27" s="243"/>
      <c r="T27" s="257"/>
    </row>
    <row r="28" spans="1:20" ht="13.2" hidden="1">
      <c r="A28" s="248"/>
      <c r="B28" s="243"/>
      <c r="C28" s="38"/>
      <c r="D28" s="20"/>
      <c r="E28" s="5"/>
      <c r="F28" s="5"/>
      <c r="G28" s="20"/>
      <c r="H28" s="5"/>
      <c r="I28" s="5"/>
      <c r="J28" s="16"/>
      <c r="K28" s="5"/>
      <c r="L28" s="5" t="s">
        <v>12</v>
      </c>
      <c r="M28" s="41"/>
      <c r="N28" s="42"/>
      <c r="O28" s="5" t="s">
        <v>12</v>
      </c>
      <c r="P28" s="41"/>
      <c r="Q28" s="42"/>
      <c r="R28" s="5" t="s">
        <v>12</v>
      </c>
      <c r="S28" s="243"/>
      <c r="T28" s="257"/>
    </row>
    <row r="29" spans="1:20" ht="13.2" hidden="1">
      <c r="A29" s="248"/>
      <c r="B29" s="243"/>
      <c r="C29" s="38" t="s">
        <v>24</v>
      </c>
      <c r="D29" s="20"/>
      <c r="E29" s="5"/>
      <c r="F29" s="5"/>
      <c r="G29" s="20"/>
      <c r="H29" s="5"/>
      <c r="I29" s="5"/>
      <c r="J29" s="16"/>
      <c r="K29" s="5"/>
      <c r="L29" s="5" t="s">
        <v>12</v>
      </c>
      <c r="M29" s="41"/>
      <c r="N29" s="42"/>
      <c r="O29" s="5" t="s">
        <v>12</v>
      </c>
      <c r="P29" s="41"/>
      <c r="Q29" s="42"/>
      <c r="R29" s="5" t="s">
        <v>12</v>
      </c>
      <c r="S29" s="243"/>
      <c r="T29" s="257"/>
    </row>
    <row r="30" spans="1:20" ht="13.2" hidden="1">
      <c r="A30" s="248"/>
      <c r="B30" s="243"/>
      <c r="C30" s="38"/>
      <c r="D30" s="20"/>
      <c r="E30" s="5"/>
      <c r="F30" s="5"/>
      <c r="G30" s="20"/>
      <c r="H30" s="5"/>
      <c r="I30" s="5"/>
      <c r="J30" s="16"/>
      <c r="K30" s="5"/>
      <c r="L30" s="5" t="s">
        <v>12</v>
      </c>
      <c r="M30" s="41"/>
      <c r="N30" s="42"/>
      <c r="O30" s="5" t="s">
        <v>12</v>
      </c>
      <c r="P30" s="41"/>
      <c r="Q30" s="42"/>
      <c r="R30" s="5" t="s">
        <v>12</v>
      </c>
      <c r="S30" s="243"/>
      <c r="T30" s="257"/>
    </row>
    <row r="31" spans="1:20" ht="13.2" hidden="1">
      <c r="A31" s="248"/>
      <c r="B31" s="243"/>
      <c r="C31" s="38"/>
      <c r="D31" s="20"/>
      <c r="E31" s="5"/>
      <c r="F31" s="5"/>
      <c r="G31" s="20"/>
      <c r="H31" s="5"/>
      <c r="I31" s="5"/>
      <c r="J31" s="16"/>
      <c r="K31" s="5"/>
      <c r="L31" s="5" t="s">
        <v>12</v>
      </c>
      <c r="M31" s="41"/>
      <c r="N31" s="42"/>
      <c r="O31" s="5" t="s">
        <v>12</v>
      </c>
      <c r="P31" s="41"/>
      <c r="Q31" s="42"/>
      <c r="R31" s="5" t="s">
        <v>12</v>
      </c>
      <c r="S31" s="243"/>
      <c r="T31" s="257"/>
    </row>
    <row r="32" spans="1:20" ht="13.2" hidden="1">
      <c r="A32" s="248"/>
      <c r="B32" s="243"/>
      <c r="C32" s="38"/>
      <c r="D32" s="20"/>
      <c r="E32" s="5"/>
      <c r="F32" s="5"/>
      <c r="G32" s="20"/>
      <c r="H32" s="5"/>
      <c r="I32" s="5"/>
      <c r="J32" s="43"/>
      <c r="K32" s="37"/>
      <c r="L32" s="37" t="s">
        <v>12</v>
      </c>
      <c r="M32" s="44"/>
      <c r="N32" s="45"/>
      <c r="O32" s="37" t="s">
        <v>12</v>
      </c>
      <c r="P32" s="44"/>
      <c r="Q32" s="45"/>
      <c r="R32" s="37" t="s">
        <v>12</v>
      </c>
      <c r="S32" s="243"/>
      <c r="T32" s="257"/>
    </row>
    <row r="33" spans="1:20" ht="13.2">
      <c r="A33" s="249"/>
      <c r="B33" s="250"/>
      <c r="C33" s="230" t="s">
        <v>25</v>
      </c>
      <c r="D33" s="46" t="s">
        <v>3</v>
      </c>
      <c r="E33" s="42"/>
      <c r="F33" s="42" t="s">
        <v>4</v>
      </c>
      <c r="G33" s="41" t="s">
        <v>3</v>
      </c>
      <c r="H33" s="42"/>
      <c r="I33" s="47" t="s">
        <v>4</v>
      </c>
      <c r="J33" s="48" t="s">
        <v>3</v>
      </c>
      <c r="K33" s="49" t="s">
        <v>5</v>
      </c>
      <c r="L33" s="50" t="s">
        <v>4</v>
      </c>
      <c r="M33" s="48" t="s">
        <v>3</v>
      </c>
      <c r="N33" s="50"/>
      <c r="O33" s="50" t="s">
        <v>4</v>
      </c>
      <c r="P33" s="48" t="s">
        <v>3</v>
      </c>
      <c r="Q33" s="50"/>
      <c r="R33" s="50" t="s">
        <v>4</v>
      </c>
      <c r="S33" s="243"/>
      <c r="T33" s="257"/>
    </row>
    <row r="34" spans="1:20" ht="13.2">
      <c r="C34" s="231"/>
      <c r="D34" s="46" t="s">
        <v>8</v>
      </c>
      <c r="E34" s="42"/>
      <c r="F34" s="42" t="s">
        <v>4</v>
      </c>
      <c r="G34" s="41" t="s">
        <v>9</v>
      </c>
      <c r="H34" s="42" t="s">
        <v>10</v>
      </c>
      <c r="I34" s="47" t="s">
        <v>4</v>
      </c>
      <c r="J34" s="48" t="s">
        <v>9</v>
      </c>
      <c r="K34" s="51"/>
      <c r="L34" s="42" t="s">
        <v>4</v>
      </c>
      <c r="M34" s="41" t="s">
        <v>9</v>
      </c>
      <c r="N34" s="42"/>
      <c r="O34" s="42" t="s">
        <v>4</v>
      </c>
      <c r="P34" s="41" t="s">
        <v>9</v>
      </c>
      <c r="Q34" s="42"/>
      <c r="R34" s="42" t="s">
        <v>4</v>
      </c>
      <c r="S34" s="243"/>
      <c r="T34" s="257"/>
    </row>
    <row r="35" spans="1:20" ht="13.2">
      <c r="C35" s="231"/>
      <c r="D35" s="46" t="s">
        <v>11</v>
      </c>
      <c r="E35" s="42"/>
      <c r="F35" s="42" t="s">
        <v>12</v>
      </c>
      <c r="G35" s="41" t="s">
        <v>8</v>
      </c>
      <c r="H35" s="42"/>
      <c r="I35" s="47" t="s">
        <v>4</v>
      </c>
      <c r="J35" s="48" t="s">
        <v>8</v>
      </c>
      <c r="K35" s="51" t="s">
        <v>13</v>
      </c>
      <c r="L35" s="42" t="s">
        <v>4</v>
      </c>
      <c r="M35" s="41" t="s">
        <v>8</v>
      </c>
      <c r="N35" s="42"/>
      <c r="O35" s="42" t="s">
        <v>4</v>
      </c>
      <c r="P35" s="41" t="s">
        <v>8</v>
      </c>
      <c r="Q35" s="42"/>
      <c r="R35" s="42" t="s">
        <v>4</v>
      </c>
      <c r="S35" s="243"/>
      <c r="T35" s="257"/>
    </row>
    <row r="36" spans="1:20" ht="13.2">
      <c r="C36" s="231"/>
      <c r="D36" s="46" t="s">
        <v>15</v>
      </c>
      <c r="E36" s="42"/>
      <c r="F36" s="42" t="s">
        <v>12</v>
      </c>
      <c r="G36" s="41" t="s">
        <v>11</v>
      </c>
      <c r="H36" s="42"/>
      <c r="I36" s="47" t="s">
        <v>12</v>
      </c>
      <c r="J36" s="48" t="s">
        <v>11</v>
      </c>
      <c r="K36" s="51"/>
      <c r="L36" s="42" t="s">
        <v>12</v>
      </c>
      <c r="M36" s="41" t="s">
        <v>11</v>
      </c>
      <c r="N36" s="42"/>
      <c r="O36" s="42" t="s">
        <v>12</v>
      </c>
      <c r="P36" s="41" t="s">
        <v>11</v>
      </c>
      <c r="Q36" s="42"/>
      <c r="R36" s="42" t="s">
        <v>12</v>
      </c>
      <c r="S36" s="243"/>
      <c r="T36" s="257"/>
    </row>
    <row r="37" spans="1:20" ht="13.2">
      <c r="C37" s="231"/>
      <c r="D37" s="46" t="s">
        <v>18</v>
      </c>
      <c r="E37" s="42"/>
      <c r="F37" s="42" t="s">
        <v>4</v>
      </c>
      <c r="G37" s="41" t="s">
        <v>15</v>
      </c>
      <c r="H37" s="42"/>
      <c r="I37" s="47" t="s">
        <v>12</v>
      </c>
      <c r="J37" s="48" t="s">
        <v>16</v>
      </c>
      <c r="K37" s="51"/>
      <c r="L37" s="42" t="s">
        <v>12</v>
      </c>
      <c r="M37" s="41" t="s">
        <v>15</v>
      </c>
      <c r="N37" s="42"/>
      <c r="O37" s="42" t="s">
        <v>12</v>
      </c>
      <c r="P37" s="41" t="s">
        <v>15</v>
      </c>
      <c r="Q37" s="42"/>
      <c r="R37" s="42" t="s">
        <v>12</v>
      </c>
      <c r="S37" s="243"/>
      <c r="T37" s="257"/>
    </row>
    <row r="38" spans="1:20" ht="13.2">
      <c r="C38" s="231"/>
      <c r="D38" s="52" t="s">
        <v>19</v>
      </c>
      <c r="E38" s="42" t="s">
        <v>10</v>
      </c>
      <c r="F38" s="42" t="s">
        <v>12</v>
      </c>
      <c r="G38" s="41" t="s">
        <v>20</v>
      </c>
      <c r="H38" s="42"/>
      <c r="I38" s="47" t="s">
        <v>12</v>
      </c>
      <c r="J38" s="48" t="s">
        <v>15</v>
      </c>
      <c r="K38" s="51"/>
      <c r="L38" s="42" t="s">
        <v>12</v>
      </c>
      <c r="M38" s="41" t="s">
        <v>18</v>
      </c>
      <c r="N38" s="42"/>
      <c r="O38" s="42" t="s">
        <v>4</v>
      </c>
      <c r="P38" s="41" t="s">
        <v>18</v>
      </c>
      <c r="Q38" s="42"/>
      <c r="R38" s="42" t="s">
        <v>4</v>
      </c>
      <c r="S38" s="243"/>
      <c r="T38" s="257"/>
    </row>
    <row r="39" spans="1:20" ht="13.2">
      <c r="C39" s="231"/>
      <c r="D39" s="46" t="s">
        <v>20</v>
      </c>
      <c r="E39" s="42"/>
      <c r="F39" s="42" t="s">
        <v>12</v>
      </c>
      <c r="G39" s="41"/>
      <c r="H39" s="42"/>
      <c r="I39" s="47"/>
      <c r="J39" s="48" t="s">
        <v>18</v>
      </c>
      <c r="K39" s="51"/>
      <c r="L39" s="42" t="s">
        <v>4</v>
      </c>
      <c r="M39" s="41" t="s">
        <v>20</v>
      </c>
      <c r="N39" s="42"/>
      <c r="O39" s="42" t="s">
        <v>12</v>
      </c>
      <c r="P39" s="41" t="s">
        <v>26</v>
      </c>
      <c r="Q39" s="42" t="s">
        <v>5</v>
      </c>
      <c r="R39" s="42" t="s">
        <v>12</v>
      </c>
      <c r="S39" s="243"/>
      <c r="T39" s="257"/>
    </row>
    <row r="40" spans="1:20" ht="13.2">
      <c r="C40" s="231"/>
      <c r="D40" s="46"/>
      <c r="E40" s="42"/>
      <c r="F40" s="42"/>
      <c r="G40" s="41"/>
      <c r="H40" s="42"/>
      <c r="I40" s="47"/>
      <c r="J40" s="53" t="s">
        <v>20</v>
      </c>
      <c r="K40" s="51"/>
      <c r="L40" s="42" t="s">
        <v>12</v>
      </c>
      <c r="M40" s="41"/>
      <c r="N40" s="42"/>
      <c r="O40" s="42"/>
      <c r="P40" s="41" t="s">
        <v>20</v>
      </c>
      <c r="Q40" s="42"/>
      <c r="R40" s="42" t="s">
        <v>12</v>
      </c>
      <c r="S40" s="243"/>
      <c r="T40" s="257"/>
    </row>
    <row r="41" spans="1:20" ht="13.2">
      <c r="C41" s="231"/>
      <c r="D41" s="46"/>
      <c r="E41" s="42"/>
      <c r="F41" s="42"/>
      <c r="G41" s="41"/>
      <c r="H41" s="42"/>
      <c r="I41" s="47"/>
      <c r="J41" s="41"/>
      <c r="K41" s="47"/>
      <c r="L41" s="42"/>
      <c r="M41" s="41"/>
      <c r="N41" s="42"/>
      <c r="O41" s="42"/>
      <c r="P41" s="41"/>
      <c r="Q41" s="42"/>
      <c r="R41" s="42"/>
      <c r="S41" s="243"/>
      <c r="T41" s="257"/>
    </row>
    <row r="42" spans="1:20" ht="13.2">
      <c r="C42" s="232"/>
      <c r="D42" s="54"/>
      <c r="E42" s="55"/>
      <c r="F42" s="45"/>
      <c r="G42" s="56"/>
      <c r="H42" s="55"/>
      <c r="I42" s="57"/>
      <c r="J42" s="58"/>
      <c r="K42" s="59"/>
      <c r="L42" s="55"/>
      <c r="M42" s="58"/>
      <c r="N42" s="55"/>
      <c r="O42" s="55"/>
      <c r="P42" s="58"/>
      <c r="Q42" s="55"/>
      <c r="R42" s="55"/>
      <c r="S42" s="243"/>
      <c r="T42" s="258"/>
    </row>
    <row r="43" spans="1:20" ht="13.2">
      <c r="C43" s="233" t="s">
        <v>27</v>
      </c>
      <c r="D43" s="60" t="s">
        <v>3</v>
      </c>
      <c r="E43" s="8"/>
      <c r="F43" s="8" t="s">
        <v>4</v>
      </c>
      <c r="G43" s="60" t="s">
        <v>3</v>
      </c>
      <c r="H43" s="8"/>
      <c r="I43" s="8" t="s">
        <v>4</v>
      </c>
      <c r="J43" s="10" t="s">
        <v>3</v>
      </c>
      <c r="K43" s="8"/>
      <c r="L43" s="12" t="s">
        <v>4</v>
      </c>
      <c r="M43" s="10" t="s">
        <v>3</v>
      </c>
      <c r="N43" s="12"/>
      <c r="O43" s="12" t="s">
        <v>4</v>
      </c>
      <c r="P43" s="10" t="s">
        <v>3</v>
      </c>
      <c r="Q43" s="12"/>
      <c r="R43" s="12" t="s">
        <v>4</v>
      </c>
      <c r="S43" s="243"/>
      <c r="T43" s="259" t="s">
        <v>28</v>
      </c>
    </row>
    <row r="44" spans="1:20" ht="13.2">
      <c r="C44" s="234"/>
      <c r="D44" s="20" t="s">
        <v>8</v>
      </c>
      <c r="E44" s="5"/>
      <c r="F44" s="12" t="s">
        <v>4</v>
      </c>
      <c r="G44" s="20" t="s">
        <v>9</v>
      </c>
      <c r="H44" s="5"/>
      <c r="I44" s="12" t="s">
        <v>4</v>
      </c>
      <c r="J44" s="10" t="s">
        <v>9</v>
      </c>
      <c r="K44" s="5"/>
      <c r="L44" s="5" t="s">
        <v>4</v>
      </c>
      <c r="M44" s="10" t="s">
        <v>9</v>
      </c>
      <c r="N44" s="5"/>
      <c r="O44" s="5" t="s">
        <v>4</v>
      </c>
      <c r="P44" s="10" t="s">
        <v>9</v>
      </c>
      <c r="Q44" s="5"/>
      <c r="R44" s="5" t="s">
        <v>4</v>
      </c>
      <c r="S44" s="243"/>
      <c r="T44" s="257"/>
    </row>
    <row r="45" spans="1:20" ht="13.2">
      <c r="C45" s="234"/>
      <c r="D45" s="20" t="s">
        <v>11</v>
      </c>
      <c r="E45" s="5"/>
      <c r="F45" s="12" t="s">
        <v>12</v>
      </c>
      <c r="G45" s="20" t="s">
        <v>8</v>
      </c>
      <c r="H45" s="5"/>
      <c r="I45" s="12" t="s">
        <v>4</v>
      </c>
      <c r="J45" s="10" t="s">
        <v>8</v>
      </c>
      <c r="K45" s="5"/>
      <c r="L45" s="5" t="s">
        <v>4</v>
      </c>
      <c r="M45" s="10" t="s">
        <v>8</v>
      </c>
      <c r="N45" s="5"/>
      <c r="O45" s="5" t="s">
        <v>4</v>
      </c>
      <c r="P45" s="10" t="s">
        <v>8</v>
      </c>
      <c r="Q45" s="5"/>
      <c r="R45" s="5" t="s">
        <v>4</v>
      </c>
      <c r="S45" s="243"/>
      <c r="T45" s="257"/>
    </row>
    <row r="46" spans="1:20" ht="13.2">
      <c r="C46" s="234"/>
      <c r="D46" s="20" t="s">
        <v>29</v>
      </c>
      <c r="E46" s="5"/>
      <c r="F46" s="12" t="s">
        <v>12</v>
      </c>
      <c r="G46" s="20" t="s">
        <v>11</v>
      </c>
      <c r="H46" s="5"/>
      <c r="I46" s="12" t="s">
        <v>12</v>
      </c>
      <c r="J46" s="10" t="s">
        <v>11</v>
      </c>
      <c r="K46" s="5" t="s">
        <v>5</v>
      </c>
      <c r="L46" s="5" t="s">
        <v>12</v>
      </c>
      <c r="M46" s="10" t="s">
        <v>11</v>
      </c>
      <c r="N46" s="5"/>
      <c r="O46" s="5" t="s">
        <v>12</v>
      </c>
      <c r="P46" s="10" t="s">
        <v>11</v>
      </c>
      <c r="Q46" s="5" t="s">
        <v>10</v>
      </c>
      <c r="R46" s="5" t="s">
        <v>12</v>
      </c>
      <c r="S46" s="243"/>
      <c r="T46" s="257"/>
    </row>
    <row r="47" spans="1:20" ht="26.4">
      <c r="C47" s="234"/>
      <c r="D47" s="20" t="s">
        <v>14</v>
      </c>
      <c r="E47" s="5"/>
      <c r="F47" s="12" t="s">
        <v>12</v>
      </c>
      <c r="G47" s="20" t="s">
        <v>14</v>
      </c>
      <c r="H47" s="5"/>
      <c r="I47" s="12" t="s">
        <v>12</v>
      </c>
      <c r="J47" s="10" t="s">
        <v>16</v>
      </c>
      <c r="K47" s="5" t="s">
        <v>10</v>
      </c>
      <c r="L47" s="5" t="s">
        <v>12</v>
      </c>
      <c r="M47" s="10" t="s">
        <v>30</v>
      </c>
      <c r="N47" s="5" t="s">
        <v>10</v>
      </c>
      <c r="O47" s="5" t="s">
        <v>12</v>
      </c>
      <c r="P47" s="10" t="s">
        <v>14</v>
      </c>
      <c r="Q47" s="5"/>
      <c r="R47" s="5" t="s">
        <v>12</v>
      </c>
      <c r="S47" s="243"/>
      <c r="T47" s="257"/>
    </row>
    <row r="48" spans="1:20" ht="13.2">
      <c r="C48" s="234"/>
      <c r="D48" s="20" t="s">
        <v>15</v>
      </c>
      <c r="E48" s="5"/>
      <c r="F48" s="12" t="s">
        <v>12</v>
      </c>
      <c r="G48" s="20" t="s">
        <v>15</v>
      </c>
      <c r="H48" s="5"/>
      <c r="I48" s="12" t="s">
        <v>12</v>
      </c>
      <c r="J48" s="10" t="s">
        <v>17</v>
      </c>
      <c r="K48" s="5"/>
      <c r="L48" s="5" t="s">
        <v>12</v>
      </c>
      <c r="M48" s="18" t="s">
        <v>14</v>
      </c>
      <c r="N48" s="5"/>
      <c r="O48" s="5" t="s">
        <v>12</v>
      </c>
      <c r="P48" s="10" t="s">
        <v>15</v>
      </c>
      <c r="Q48" s="5"/>
      <c r="R48" s="5"/>
      <c r="S48" s="243"/>
      <c r="T48" s="257"/>
    </row>
    <row r="49" spans="3:21" ht="13.2">
      <c r="C49" s="234"/>
      <c r="D49" s="20" t="s">
        <v>31</v>
      </c>
      <c r="E49" s="5"/>
      <c r="F49" s="12" t="s">
        <v>12</v>
      </c>
      <c r="G49" s="61" t="s">
        <v>31</v>
      </c>
      <c r="H49" s="5" t="s">
        <v>5</v>
      </c>
      <c r="I49" s="12" t="s">
        <v>12</v>
      </c>
      <c r="J49" s="10" t="s">
        <v>15</v>
      </c>
      <c r="K49" s="5"/>
      <c r="L49" s="5" t="s">
        <v>12</v>
      </c>
      <c r="M49" s="10" t="s">
        <v>15</v>
      </c>
      <c r="N49" s="5"/>
      <c r="O49" s="5" t="s">
        <v>12</v>
      </c>
      <c r="P49" s="10" t="s">
        <v>26</v>
      </c>
      <c r="Q49" s="5" t="s">
        <v>5</v>
      </c>
      <c r="R49" s="5" t="s">
        <v>12</v>
      </c>
      <c r="S49" s="243"/>
      <c r="T49" s="257"/>
    </row>
    <row r="50" spans="3:21" ht="26.4">
      <c r="C50" s="234"/>
      <c r="D50" s="20" t="s">
        <v>18</v>
      </c>
      <c r="E50" s="5"/>
      <c r="F50" s="12" t="s">
        <v>4</v>
      </c>
      <c r="G50" s="20" t="s">
        <v>32</v>
      </c>
      <c r="H50" s="5"/>
      <c r="I50" s="12" t="s">
        <v>12</v>
      </c>
      <c r="J50" s="10" t="s">
        <v>33</v>
      </c>
      <c r="K50" s="5"/>
      <c r="L50" s="5" t="s">
        <v>12</v>
      </c>
      <c r="M50" s="10" t="s">
        <v>33</v>
      </c>
      <c r="N50" s="5"/>
      <c r="O50" s="5" t="s">
        <v>12</v>
      </c>
      <c r="P50" s="10" t="s">
        <v>33</v>
      </c>
      <c r="Q50" s="5"/>
      <c r="R50" s="5" t="s">
        <v>12</v>
      </c>
      <c r="S50" s="243"/>
      <c r="T50" s="257"/>
    </row>
    <row r="51" spans="3:21" ht="13.2">
      <c r="C51" s="234"/>
      <c r="D51" s="20" t="s">
        <v>32</v>
      </c>
      <c r="E51" s="5"/>
      <c r="F51" s="12" t="s">
        <v>12</v>
      </c>
      <c r="G51" s="23" t="s">
        <v>34</v>
      </c>
      <c r="H51" s="5" t="s">
        <v>13</v>
      </c>
      <c r="I51" s="12" t="s">
        <v>12</v>
      </c>
      <c r="J51" s="10" t="s">
        <v>18</v>
      </c>
      <c r="K51" s="5"/>
      <c r="L51" s="5" t="s">
        <v>4</v>
      </c>
      <c r="M51" s="10" t="s">
        <v>18</v>
      </c>
      <c r="N51" s="5"/>
      <c r="O51" s="5" t="s">
        <v>4</v>
      </c>
      <c r="P51" s="10" t="s">
        <v>18</v>
      </c>
      <c r="Q51" s="5"/>
      <c r="R51" s="5" t="s">
        <v>4</v>
      </c>
      <c r="S51" s="243"/>
      <c r="T51" s="257"/>
    </row>
    <row r="52" spans="3:21" ht="13.2">
      <c r="C52" s="234"/>
      <c r="D52" s="20" t="s">
        <v>34</v>
      </c>
      <c r="E52" s="5"/>
      <c r="F52" s="12" t="s">
        <v>12</v>
      </c>
      <c r="G52" s="20" t="s">
        <v>35</v>
      </c>
      <c r="H52" s="5"/>
      <c r="I52" s="12" t="s">
        <v>12</v>
      </c>
      <c r="J52" s="62" t="s">
        <v>32</v>
      </c>
      <c r="K52" s="5" t="s">
        <v>13</v>
      </c>
      <c r="L52" s="5" t="s">
        <v>12</v>
      </c>
      <c r="M52" s="20" t="s">
        <v>34</v>
      </c>
      <c r="N52" s="5"/>
      <c r="O52" s="5" t="s">
        <v>12</v>
      </c>
      <c r="P52" s="10" t="s">
        <v>34</v>
      </c>
      <c r="Q52" s="5"/>
      <c r="R52" s="5" t="s">
        <v>12</v>
      </c>
      <c r="S52" s="243"/>
      <c r="T52" s="257"/>
    </row>
    <row r="53" spans="3:21" ht="13.2">
      <c r="C53" s="234"/>
      <c r="D53" s="20" t="s">
        <v>35</v>
      </c>
      <c r="E53" s="5"/>
      <c r="F53" s="12" t="s">
        <v>12</v>
      </c>
      <c r="G53" s="20" t="s">
        <v>20</v>
      </c>
      <c r="H53" s="5"/>
      <c r="I53" s="12" t="s">
        <v>12</v>
      </c>
      <c r="J53" s="10" t="s">
        <v>34</v>
      </c>
      <c r="K53" s="5"/>
      <c r="L53" s="5" t="s">
        <v>12</v>
      </c>
      <c r="M53" s="20" t="s">
        <v>35</v>
      </c>
      <c r="N53" s="5" t="s">
        <v>5</v>
      </c>
      <c r="O53" s="5" t="s">
        <v>12</v>
      </c>
      <c r="P53" s="18" t="s">
        <v>35</v>
      </c>
      <c r="Q53" s="5"/>
      <c r="R53" s="5" t="s">
        <v>12</v>
      </c>
      <c r="S53" s="243"/>
      <c r="T53" s="257"/>
    </row>
    <row r="54" spans="3:21" ht="13.2">
      <c r="C54" s="234"/>
      <c r="D54" s="63" t="s">
        <v>19</v>
      </c>
      <c r="E54" s="5" t="s">
        <v>10</v>
      </c>
      <c r="F54" s="12" t="s">
        <v>12</v>
      </c>
      <c r="G54" s="20" t="s">
        <v>36</v>
      </c>
      <c r="H54" s="5"/>
      <c r="I54" s="12" t="s">
        <v>12</v>
      </c>
      <c r="J54" s="10" t="s">
        <v>35</v>
      </c>
      <c r="K54" s="5"/>
      <c r="L54" s="5" t="s">
        <v>12</v>
      </c>
      <c r="M54" s="20" t="s">
        <v>20</v>
      </c>
      <c r="N54" s="5"/>
      <c r="O54" s="5" t="s">
        <v>12</v>
      </c>
      <c r="P54" s="20" t="s">
        <v>20</v>
      </c>
      <c r="Q54" s="5"/>
      <c r="R54" s="5" t="s">
        <v>12</v>
      </c>
      <c r="S54" s="243"/>
      <c r="T54" s="257"/>
    </row>
    <row r="55" spans="3:21" ht="13.2">
      <c r="C55" s="234"/>
      <c r="D55" s="20" t="s">
        <v>20</v>
      </c>
      <c r="E55" s="5"/>
      <c r="F55" s="12" t="s">
        <v>12</v>
      </c>
      <c r="G55" s="16" t="s">
        <v>21</v>
      </c>
      <c r="H55" s="5"/>
      <c r="I55" s="12" t="s">
        <v>4</v>
      </c>
      <c r="J55" s="10" t="s">
        <v>20</v>
      </c>
      <c r="K55" s="5"/>
      <c r="L55" s="5" t="s">
        <v>12</v>
      </c>
      <c r="M55" s="20" t="s">
        <v>36</v>
      </c>
      <c r="N55" s="5"/>
      <c r="O55" s="5" t="s">
        <v>12</v>
      </c>
      <c r="P55" s="23" t="s">
        <v>36</v>
      </c>
      <c r="Q55" s="5" t="s">
        <v>13</v>
      </c>
      <c r="R55" s="5" t="s">
        <v>12</v>
      </c>
      <c r="S55" s="243"/>
      <c r="T55" s="257"/>
    </row>
    <row r="56" spans="3:21" ht="13.2">
      <c r="C56" s="234"/>
      <c r="D56" s="20" t="s">
        <v>36</v>
      </c>
      <c r="E56" s="5"/>
      <c r="F56" s="12" t="s">
        <v>12</v>
      </c>
      <c r="G56" s="16"/>
      <c r="H56" s="5"/>
      <c r="I56" s="12"/>
      <c r="J56" s="10" t="s">
        <v>36</v>
      </c>
      <c r="K56" s="5"/>
      <c r="L56" s="5" t="s">
        <v>12</v>
      </c>
      <c r="M56" s="20" t="s">
        <v>21</v>
      </c>
      <c r="N56" s="5"/>
      <c r="O56" s="5" t="s">
        <v>4</v>
      </c>
      <c r="P56" s="20" t="s">
        <v>21</v>
      </c>
      <c r="Q56" s="5"/>
      <c r="R56" s="5" t="s">
        <v>4</v>
      </c>
      <c r="S56" s="243"/>
      <c r="T56" s="257"/>
    </row>
    <row r="57" spans="3:21" ht="13.2">
      <c r="C57" s="234"/>
      <c r="D57" s="5" t="s">
        <v>21</v>
      </c>
      <c r="E57" s="5"/>
      <c r="F57" s="12" t="s">
        <v>4</v>
      </c>
      <c r="G57" s="16"/>
      <c r="H57" s="5"/>
      <c r="I57" s="12"/>
      <c r="J57" s="10"/>
      <c r="K57" s="5"/>
      <c r="L57" s="5"/>
      <c r="M57" s="20"/>
      <c r="N57" s="5"/>
      <c r="O57" s="5"/>
      <c r="P57" s="20"/>
      <c r="Q57" s="5"/>
      <c r="R57" s="5"/>
      <c r="S57" s="243"/>
      <c r="T57" s="257"/>
    </row>
    <row r="58" spans="3:21" ht="13.2">
      <c r="C58" s="234"/>
      <c r="D58" s="5"/>
      <c r="E58" s="5"/>
      <c r="F58" s="12"/>
      <c r="G58" s="16"/>
      <c r="H58" s="5"/>
      <c r="I58" s="12"/>
      <c r="J58" s="18"/>
      <c r="K58" s="5"/>
      <c r="L58" s="5"/>
      <c r="M58" s="20"/>
      <c r="N58" s="5"/>
      <c r="O58" s="5"/>
      <c r="P58" s="20"/>
      <c r="Q58" s="5"/>
      <c r="R58" s="5"/>
      <c r="S58" s="243"/>
      <c r="T58" s="257"/>
    </row>
    <row r="59" spans="3:21" ht="13.2">
      <c r="C59" s="234"/>
      <c r="D59" s="37"/>
      <c r="E59" s="37"/>
      <c r="F59" s="12"/>
      <c r="G59" s="37"/>
      <c r="H59" s="37"/>
      <c r="I59" s="12"/>
      <c r="J59" s="264" t="s">
        <v>37</v>
      </c>
      <c r="K59" s="265"/>
      <c r="L59" s="247"/>
      <c r="M59" s="64"/>
      <c r="N59" s="65"/>
      <c r="O59" s="37"/>
      <c r="P59" s="64"/>
      <c r="Q59" s="65"/>
      <c r="R59" s="37"/>
      <c r="S59" s="243"/>
      <c r="T59" s="257"/>
    </row>
    <row r="60" spans="3:21" ht="13.2">
      <c r="C60" s="235"/>
      <c r="D60" s="37"/>
      <c r="E60" s="37"/>
      <c r="F60" s="66"/>
      <c r="G60" s="37"/>
      <c r="H60" s="37"/>
      <c r="I60" s="66"/>
      <c r="J60" s="266"/>
      <c r="K60" s="244"/>
      <c r="L60" s="245"/>
      <c r="M60" s="64"/>
      <c r="N60" s="65"/>
      <c r="O60" s="37"/>
      <c r="P60" s="64"/>
      <c r="Q60" s="65"/>
      <c r="R60" s="37"/>
      <c r="S60" s="243"/>
      <c r="T60" s="258"/>
    </row>
    <row r="61" spans="3:21" ht="13.8">
      <c r="C61" s="267"/>
      <c r="D61" s="261"/>
      <c r="E61" s="261"/>
      <c r="F61" s="261"/>
      <c r="G61" s="261"/>
      <c r="H61" s="261"/>
      <c r="I61" s="261"/>
      <c r="J61" s="261"/>
      <c r="K61" s="261"/>
      <c r="L61" s="261"/>
      <c r="M61" s="261"/>
      <c r="N61" s="261"/>
      <c r="O61" s="261"/>
      <c r="P61" s="261"/>
      <c r="Q61" s="261"/>
      <c r="R61" s="262"/>
      <c r="S61" s="250"/>
      <c r="T61" s="2"/>
      <c r="U61" s="3"/>
    </row>
    <row r="62" spans="3:21" ht="12.6">
      <c r="T62" s="2"/>
    </row>
    <row r="63" spans="3:21" ht="12.6"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T63" s="2"/>
    </row>
    <row r="64" spans="3:21" ht="12.6"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T64" s="2"/>
    </row>
    <row r="65" spans="1:21" ht="16.2">
      <c r="D65" s="236">
        <v>45726</v>
      </c>
      <c r="E65" s="237"/>
      <c r="F65" s="238"/>
      <c r="G65" s="236">
        <v>45727</v>
      </c>
      <c r="H65" s="237"/>
      <c r="I65" s="238"/>
      <c r="J65" s="236">
        <v>45728</v>
      </c>
      <c r="K65" s="237"/>
      <c r="L65" s="238"/>
      <c r="M65" s="236">
        <v>45729</v>
      </c>
      <c r="N65" s="237"/>
      <c r="O65" s="238"/>
      <c r="P65" s="236">
        <v>45730</v>
      </c>
      <c r="Q65" s="237"/>
      <c r="R65" s="238"/>
      <c r="S65" s="268"/>
      <c r="T65" s="67" t="s">
        <v>38</v>
      </c>
      <c r="U65" s="13" t="s">
        <v>7</v>
      </c>
    </row>
    <row r="66" spans="1:21" ht="14.4">
      <c r="A66" s="5"/>
      <c r="B66" s="6" t="str">
        <f ca="1">IFERROR(__xludf.DUMMYFUNCTION("IMPORTRANGE(""https://docs.google.com/spreadsheets/d/1DSyV8tDqZ18nTTyVYUrGOoSmzgfuPJZyajxwAUVpWtY"",""Salarié.es!A3:A16"")"),"")</f>
        <v/>
      </c>
      <c r="C66" s="233" t="s">
        <v>2</v>
      </c>
      <c r="D66" s="7" t="s">
        <v>11</v>
      </c>
      <c r="E66" s="8" t="s">
        <v>5</v>
      </c>
      <c r="F66" s="8" t="s">
        <v>12</v>
      </c>
      <c r="G66" s="239" t="s">
        <v>39</v>
      </c>
      <c r="H66" s="240"/>
      <c r="I66" s="241"/>
      <c r="J66" s="10" t="s">
        <v>40</v>
      </c>
      <c r="K66" s="8" t="s">
        <v>5</v>
      </c>
      <c r="L66" s="8" t="s">
        <v>12</v>
      </c>
      <c r="M66" s="68" t="s">
        <v>11</v>
      </c>
      <c r="N66" s="11" t="s">
        <v>5</v>
      </c>
      <c r="O66" s="12" t="s">
        <v>12</v>
      </c>
      <c r="P66" s="10"/>
      <c r="Q66" s="8"/>
      <c r="R66" s="12"/>
      <c r="S66" s="243"/>
      <c r="T66" s="259" t="s">
        <v>41</v>
      </c>
    </row>
    <row r="67" spans="1:21" ht="13.2">
      <c r="A67" s="5"/>
      <c r="B67" s="14" t="str">
        <f ca="1">IFERROR(__xludf.DUMMYFUNCTION("""COMPUTED_VALUE"""),"Antonio")</f>
        <v>Antonio</v>
      </c>
      <c r="C67" s="234"/>
      <c r="D67" s="15" t="s">
        <v>20</v>
      </c>
      <c r="E67" s="5"/>
      <c r="F67" s="5" t="s">
        <v>12</v>
      </c>
      <c r="G67" s="234"/>
      <c r="H67" s="242"/>
      <c r="I67" s="243"/>
      <c r="J67" s="10" t="s">
        <v>42</v>
      </c>
      <c r="K67" s="5"/>
      <c r="L67" s="5" t="s">
        <v>12</v>
      </c>
      <c r="M67" s="10"/>
      <c r="N67" s="5"/>
      <c r="O67" s="5"/>
      <c r="P67" s="10"/>
      <c r="Q67" s="5"/>
      <c r="R67" s="5"/>
      <c r="S67" s="243"/>
      <c r="T67" s="257"/>
    </row>
    <row r="68" spans="1:21" ht="13.2">
      <c r="A68" s="5"/>
      <c r="B68" s="14" t="str">
        <f ca="1">IFERROR(__xludf.DUMMYFUNCTION("""COMPUTED_VALUE"""),"Laurence")</f>
        <v>Laurence</v>
      </c>
      <c r="C68" s="234"/>
      <c r="D68" s="15"/>
      <c r="E68" s="5"/>
      <c r="F68" s="5"/>
      <c r="G68" s="234"/>
      <c r="H68" s="242"/>
      <c r="I68" s="243"/>
      <c r="J68" s="10" t="s">
        <v>16</v>
      </c>
      <c r="K68" s="5"/>
      <c r="L68" s="5" t="s">
        <v>12</v>
      </c>
      <c r="M68" s="10"/>
      <c r="N68" s="17"/>
      <c r="O68" s="5"/>
      <c r="P68" s="10"/>
      <c r="Q68" s="17"/>
      <c r="R68" s="5"/>
      <c r="S68" s="243"/>
      <c r="T68" s="257"/>
    </row>
    <row r="69" spans="1:21" ht="13.2">
      <c r="A69" s="5"/>
      <c r="B69" s="14" t="str">
        <f ca="1">IFERROR(__xludf.DUMMYFUNCTION("""COMPUTED_VALUE"""),"Océane")</f>
        <v>Océane</v>
      </c>
      <c r="C69" s="234"/>
      <c r="D69" s="15"/>
      <c r="E69" s="5"/>
      <c r="F69" s="5"/>
      <c r="G69" s="234"/>
      <c r="H69" s="242"/>
      <c r="I69" s="243"/>
      <c r="J69" s="10" t="s">
        <v>20</v>
      </c>
      <c r="K69" s="5"/>
      <c r="L69" s="5" t="s">
        <v>12</v>
      </c>
      <c r="M69" s="18"/>
      <c r="N69" s="17"/>
      <c r="O69" s="5"/>
      <c r="P69" s="19"/>
      <c r="Q69" s="17"/>
      <c r="R69" s="5"/>
      <c r="S69" s="243"/>
      <c r="T69" s="257"/>
    </row>
    <row r="70" spans="1:21" ht="13.2">
      <c r="A70" s="5"/>
      <c r="B70" s="14" t="str">
        <f ca="1">IFERROR(__xludf.DUMMYFUNCTION("""COMPUTED_VALUE"""),"Elia")</f>
        <v>Elia</v>
      </c>
      <c r="C70" s="234"/>
      <c r="D70" s="15"/>
      <c r="E70" s="5"/>
      <c r="F70" s="5"/>
      <c r="G70" s="234"/>
      <c r="H70" s="242"/>
      <c r="I70" s="243"/>
      <c r="J70" s="10"/>
      <c r="K70" s="5"/>
      <c r="L70" s="5" t="s">
        <v>4</v>
      </c>
      <c r="M70" s="20"/>
      <c r="N70" s="17"/>
      <c r="O70" s="5"/>
      <c r="P70" s="19"/>
      <c r="Q70" s="17"/>
      <c r="R70" s="5"/>
      <c r="S70" s="243"/>
      <c r="T70" s="257"/>
    </row>
    <row r="71" spans="1:21" ht="13.2">
      <c r="A71" s="5"/>
      <c r="B71" s="14" t="str">
        <f ca="1">IFERROR(__xludf.DUMMYFUNCTION("""COMPUTED_VALUE"""),"Florine")</f>
        <v>Florine</v>
      </c>
      <c r="C71" s="234"/>
      <c r="D71" s="15"/>
      <c r="E71" s="5"/>
      <c r="F71" s="5"/>
      <c r="G71" s="234"/>
      <c r="H71" s="242"/>
      <c r="I71" s="243"/>
      <c r="J71" s="10"/>
      <c r="K71" s="5"/>
      <c r="L71" s="5"/>
      <c r="M71" s="21"/>
      <c r="N71" s="17"/>
      <c r="O71" s="5"/>
      <c r="P71" s="19"/>
      <c r="Q71" s="17"/>
      <c r="R71" s="5"/>
      <c r="S71" s="243"/>
      <c r="T71" s="257"/>
    </row>
    <row r="72" spans="1:21" ht="13.2">
      <c r="A72" s="5"/>
      <c r="B72" s="14"/>
      <c r="C72" s="234"/>
      <c r="D72" s="15"/>
      <c r="E72" s="5"/>
      <c r="F72" s="5"/>
      <c r="G72" s="234"/>
      <c r="H72" s="242"/>
      <c r="I72" s="243"/>
      <c r="J72" s="10" t="s">
        <v>9</v>
      </c>
      <c r="K72" s="5"/>
      <c r="L72" s="5" t="s">
        <v>4</v>
      </c>
      <c r="M72" s="21"/>
      <c r="N72" s="17"/>
      <c r="O72" s="5"/>
      <c r="P72" s="19"/>
      <c r="Q72" s="17"/>
      <c r="R72" s="5"/>
      <c r="S72" s="243"/>
      <c r="T72" s="257"/>
    </row>
    <row r="73" spans="1:21" ht="13.2">
      <c r="A73" s="5"/>
      <c r="B73" s="14"/>
      <c r="C73" s="234"/>
      <c r="D73" s="15"/>
      <c r="E73" s="5"/>
      <c r="F73" s="5"/>
      <c r="G73" s="234"/>
      <c r="H73" s="242"/>
      <c r="I73" s="243"/>
      <c r="J73" s="10" t="s">
        <v>43</v>
      </c>
      <c r="K73" s="5"/>
      <c r="L73" s="5" t="s">
        <v>4</v>
      </c>
      <c r="M73" s="21"/>
      <c r="N73" s="17"/>
      <c r="O73" s="5"/>
      <c r="P73" s="19"/>
      <c r="Q73" s="17"/>
      <c r="R73" s="5"/>
      <c r="S73" s="243"/>
      <c r="T73" s="257"/>
    </row>
    <row r="74" spans="1:21" ht="13.2">
      <c r="A74" s="5"/>
      <c r="B74" s="14"/>
      <c r="C74" s="234"/>
      <c r="D74" s="15"/>
      <c r="E74" s="5"/>
      <c r="F74" s="5"/>
      <c r="G74" s="234"/>
      <c r="H74" s="242"/>
      <c r="I74" s="243"/>
      <c r="J74" s="10"/>
      <c r="K74" s="5"/>
      <c r="L74" s="5"/>
      <c r="M74" s="21"/>
      <c r="N74" s="17"/>
      <c r="O74" s="5"/>
      <c r="P74" s="19"/>
      <c r="Q74" s="17"/>
      <c r="R74" s="5"/>
      <c r="S74" s="243"/>
      <c r="T74" s="257"/>
    </row>
    <row r="75" spans="1:21" ht="13.2">
      <c r="A75" s="246"/>
      <c r="B75" s="247"/>
      <c r="C75" s="235"/>
      <c r="D75" s="25"/>
      <c r="E75" s="26"/>
      <c r="F75" s="26"/>
      <c r="G75" s="235"/>
      <c r="H75" s="244"/>
      <c r="I75" s="245"/>
      <c r="J75" s="28"/>
      <c r="K75" s="26"/>
      <c r="L75" s="26"/>
      <c r="M75" s="27"/>
      <c r="N75" s="30"/>
      <c r="O75" s="26"/>
      <c r="P75" s="25"/>
      <c r="Q75" s="30"/>
      <c r="R75" s="26"/>
      <c r="S75" s="243"/>
      <c r="T75" s="258"/>
    </row>
    <row r="76" spans="1:21" ht="13.2">
      <c r="A76" s="249"/>
      <c r="B76" s="250"/>
      <c r="C76" s="230" t="s">
        <v>25</v>
      </c>
      <c r="D76" s="46" t="s">
        <v>11</v>
      </c>
      <c r="E76" s="42" t="s">
        <v>5</v>
      </c>
      <c r="F76" s="42" t="s">
        <v>12</v>
      </c>
      <c r="G76" s="41"/>
      <c r="H76" s="42"/>
      <c r="I76" s="47"/>
      <c r="J76" s="48"/>
      <c r="K76" s="49"/>
      <c r="L76" s="50" t="s">
        <v>4</v>
      </c>
      <c r="M76" s="48" t="s">
        <v>11</v>
      </c>
      <c r="N76" s="50" t="s">
        <v>5</v>
      </c>
      <c r="O76" s="50" t="s">
        <v>12</v>
      </c>
      <c r="P76" s="48"/>
      <c r="Q76" s="50"/>
      <c r="R76" s="50"/>
      <c r="S76" s="243"/>
      <c r="T76" s="256" t="s">
        <v>44</v>
      </c>
    </row>
    <row r="77" spans="1:21" ht="13.2">
      <c r="B77" s="69"/>
      <c r="C77" s="231"/>
      <c r="D77" s="46"/>
      <c r="E77" s="42"/>
      <c r="F77" s="42"/>
      <c r="G77" s="41"/>
      <c r="H77" s="42"/>
      <c r="I77" s="47"/>
      <c r="J77" s="48" t="s">
        <v>16</v>
      </c>
      <c r="K77" s="51"/>
      <c r="L77" s="42" t="s">
        <v>12</v>
      </c>
      <c r="M77" s="41"/>
      <c r="N77" s="42"/>
      <c r="O77" s="42"/>
      <c r="P77" s="41"/>
      <c r="Q77" s="42"/>
      <c r="R77" s="42"/>
      <c r="S77" s="243"/>
      <c r="T77" s="257"/>
    </row>
    <row r="78" spans="1:21" ht="13.2">
      <c r="B78" s="69"/>
      <c r="C78" s="231"/>
      <c r="D78" s="46"/>
      <c r="E78" s="42"/>
      <c r="F78" s="42"/>
      <c r="G78" s="41"/>
      <c r="H78" s="42"/>
      <c r="I78" s="47"/>
      <c r="J78" s="48" t="s">
        <v>9</v>
      </c>
      <c r="K78" s="51"/>
      <c r="L78" s="42" t="s">
        <v>4</v>
      </c>
      <c r="M78" s="41"/>
      <c r="N78" s="42"/>
      <c r="O78" s="42"/>
      <c r="P78" s="41"/>
      <c r="Q78" s="42"/>
      <c r="R78" s="42"/>
      <c r="S78" s="243"/>
      <c r="T78" s="257"/>
    </row>
    <row r="79" spans="1:21" ht="13.2">
      <c r="B79" s="69"/>
      <c r="C79" s="231"/>
      <c r="D79" s="46"/>
      <c r="E79" s="42"/>
      <c r="F79" s="42"/>
      <c r="G79" s="41"/>
      <c r="H79" s="42"/>
      <c r="I79" s="47"/>
      <c r="J79" s="48" t="s">
        <v>43</v>
      </c>
      <c r="K79" s="51"/>
      <c r="L79" s="42" t="s">
        <v>4</v>
      </c>
      <c r="M79" s="41"/>
      <c r="N79" s="42"/>
      <c r="O79" s="42"/>
      <c r="P79" s="41"/>
      <c r="Q79" s="42"/>
      <c r="R79" s="42"/>
      <c r="S79" s="243"/>
      <c r="T79" s="257"/>
    </row>
    <row r="80" spans="1:21" ht="13.2">
      <c r="C80" s="231"/>
      <c r="D80" s="70"/>
      <c r="E80" s="45"/>
      <c r="F80" s="45"/>
      <c r="G80" s="71"/>
      <c r="H80" s="45"/>
      <c r="I80" s="57"/>
      <c r="J80" s="72"/>
      <c r="K80" s="73"/>
      <c r="L80" s="45"/>
      <c r="M80" s="44"/>
      <c r="N80" s="45"/>
      <c r="O80" s="45"/>
      <c r="P80" s="44"/>
      <c r="Q80" s="45"/>
      <c r="R80" s="45"/>
      <c r="S80" s="243"/>
      <c r="T80" s="257"/>
    </row>
    <row r="81" spans="3:20" ht="13.2">
      <c r="C81" s="232"/>
      <c r="D81" s="54"/>
      <c r="E81" s="55"/>
      <c r="F81" s="45"/>
      <c r="G81" s="56"/>
      <c r="H81" s="55"/>
      <c r="I81" s="57"/>
      <c r="J81" s="58"/>
      <c r="K81" s="59"/>
      <c r="L81" s="55"/>
      <c r="M81" s="58"/>
      <c r="N81" s="55"/>
      <c r="O81" s="55"/>
      <c r="P81" s="58"/>
      <c r="Q81" s="55"/>
      <c r="R81" s="55"/>
      <c r="S81" s="243"/>
      <c r="T81" s="258"/>
    </row>
    <row r="82" spans="3:20" ht="13.2">
      <c r="C82" s="233" t="s">
        <v>27</v>
      </c>
      <c r="D82" s="60" t="s">
        <v>45</v>
      </c>
      <c r="E82" s="8"/>
      <c r="F82" s="8" t="s">
        <v>12</v>
      </c>
      <c r="G82" s="60" t="s">
        <v>46</v>
      </c>
      <c r="H82" s="8"/>
      <c r="I82" s="8" t="s">
        <v>12</v>
      </c>
      <c r="J82" s="10" t="s">
        <v>16</v>
      </c>
      <c r="K82" s="8"/>
      <c r="L82" s="12" t="s">
        <v>12</v>
      </c>
      <c r="M82" s="10" t="s">
        <v>11</v>
      </c>
      <c r="N82" s="12" t="s">
        <v>5</v>
      </c>
      <c r="O82" s="12" t="s">
        <v>12</v>
      </c>
      <c r="P82" s="10" t="s">
        <v>47</v>
      </c>
      <c r="Q82" s="12"/>
      <c r="R82" s="12" t="s">
        <v>12</v>
      </c>
      <c r="S82" s="243"/>
      <c r="T82" s="259"/>
    </row>
    <row r="83" spans="3:20" ht="26.4">
      <c r="C83" s="234"/>
      <c r="D83" s="20" t="s">
        <v>20</v>
      </c>
      <c r="E83" s="5"/>
      <c r="F83" s="12" t="s">
        <v>12</v>
      </c>
      <c r="G83" s="20" t="s">
        <v>31</v>
      </c>
      <c r="H83" s="5" t="s">
        <v>22</v>
      </c>
      <c r="I83" s="12" t="s">
        <v>12</v>
      </c>
      <c r="J83" s="10" t="s">
        <v>33</v>
      </c>
      <c r="K83" s="5"/>
      <c r="L83" s="5" t="s">
        <v>12</v>
      </c>
      <c r="M83" s="10" t="s">
        <v>48</v>
      </c>
      <c r="N83" s="5"/>
      <c r="O83" s="5" t="s">
        <v>12</v>
      </c>
      <c r="P83" s="10" t="s">
        <v>33</v>
      </c>
      <c r="Q83" s="5"/>
      <c r="R83" s="5" t="s">
        <v>12</v>
      </c>
      <c r="S83" s="243"/>
      <c r="T83" s="257"/>
    </row>
    <row r="84" spans="3:20" ht="26.4">
      <c r="C84" s="234"/>
      <c r="D84" s="20" t="s">
        <v>31</v>
      </c>
      <c r="E84" s="5"/>
      <c r="F84" s="12" t="s">
        <v>12</v>
      </c>
      <c r="G84" s="20" t="s">
        <v>49</v>
      </c>
      <c r="H84" s="5" t="s">
        <v>5</v>
      </c>
      <c r="I84" s="12" t="s">
        <v>12</v>
      </c>
      <c r="J84" s="10" t="s">
        <v>32</v>
      </c>
      <c r="K84" s="5"/>
      <c r="L84" s="5" t="s">
        <v>12</v>
      </c>
      <c r="M84" s="10" t="s">
        <v>33</v>
      </c>
      <c r="N84" s="5"/>
      <c r="O84" s="5" t="s">
        <v>12</v>
      </c>
      <c r="P84" s="10" t="s">
        <v>50</v>
      </c>
      <c r="Q84" s="5"/>
      <c r="R84" s="5" t="s">
        <v>12</v>
      </c>
      <c r="S84" s="243"/>
      <c r="T84" s="257"/>
    </row>
    <row r="85" spans="3:20" ht="26.4">
      <c r="C85" s="234"/>
      <c r="D85" s="20" t="s">
        <v>29</v>
      </c>
      <c r="E85" s="5"/>
      <c r="F85" s="12" t="s">
        <v>12</v>
      </c>
      <c r="G85" s="20" t="s">
        <v>51</v>
      </c>
      <c r="H85" s="5"/>
      <c r="I85" s="12" t="s">
        <v>12</v>
      </c>
      <c r="J85" s="10" t="s">
        <v>20</v>
      </c>
      <c r="K85" s="5"/>
      <c r="L85" s="5" t="s">
        <v>12</v>
      </c>
      <c r="M85" s="10" t="s">
        <v>30</v>
      </c>
      <c r="N85" s="5"/>
      <c r="O85" s="5" t="s">
        <v>12</v>
      </c>
      <c r="P85" s="10" t="s">
        <v>20</v>
      </c>
      <c r="Q85" s="5"/>
      <c r="R85" s="5" t="s">
        <v>12</v>
      </c>
      <c r="S85" s="243"/>
      <c r="T85" s="257"/>
    </row>
    <row r="86" spans="3:20" ht="13.2">
      <c r="C86" s="234"/>
      <c r="D86" s="20" t="s">
        <v>36</v>
      </c>
      <c r="E86" s="5"/>
      <c r="F86" s="12" t="s">
        <v>12</v>
      </c>
      <c r="G86" s="20" t="s">
        <v>45</v>
      </c>
      <c r="H86" s="5"/>
      <c r="I86" s="12" t="s">
        <v>12</v>
      </c>
      <c r="J86" s="10" t="s">
        <v>52</v>
      </c>
      <c r="K86" s="5"/>
      <c r="L86" s="5" t="s">
        <v>12</v>
      </c>
      <c r="M86" s="10" t="s">
        <v>50</v>
      </c>
      <c r="N86" s="5"/>
      <c r="O86" s="5" t="s">
        <v>12</v>
      </c>
      <c r="P86" s="10" t="s">
        <v>26</v>
      </c>
      <c r="Q86" s="5"/>
      <c r="R86" s="5" t="s">
        <v>12</v>
      </c>
      <c r="S86" s="243"/>
      <c r="T86" s="257"/>
    </row>
    <row r="87" spans="3:20" ht="13.2">
      <c r="C87" s="234"/>
      <c r="D87" s="20" t="s">
        <v>53</v>
      </c>
      <c r="E87" s="5"/>
      <c r="F87" s="12" t="s">
        <v>12</v>
      </c>
      <c r="G87" s="20" t="s">
        <v>54</v>
      </c>
      <c r="H87" s="5"/>
      <c r="I87" s="12" t="s">
        <v>12</v>
      </c>
      <c r="J87" s="10" t="s">
        <v>34</v>
      </c>
      <c r="K87" s="5"/>
      <c r="L87" s="5" t="s">
        <v>12</v>
      </c>
      <c r="M87" s="18" t="s">
        <v>20</v>
      </c>
      <c r="N87" s="5"/>
      <c r="O87" s="5" t="s">
        <v>12</v>
      </c>
      <c r="P87" s="10" t="s">
        <v>35</v>
      </c>
      <c r="Q87" s="5"/>
      <c r="R87" s="5" t="s">
        <v>12</v>
      </c>
      <c r="S87" s="243"/>
      <c r="T87" s="257"/>
    </row>
    <row r="88" spans="3:20" ht="13.2">
      <c r="C88" s="234"/>
      <c r="D88" s="20"/>
      <c r="E88" s="5"/>
      <c r="F88" s="12"/>
      <c r="G88" s="20"/>
      <c r="H88" s="5"/>
      <c r="I88" s="12"/>
      <c r="J88" s="10" t="s">
        <v>35</v>
      </c>
      <c r="K88" s="5"/>
      <c r="L88" s="5" t="s">
        <v>12</v>
      </c>
      <c r="M88" s="10" t="s">
        <v>53</v>
      </c>
      <c r="N88" s="5"/>
      <c r="O88" s="5" t="s">
        <v>12</v>
      </c>
      <c r="P88" s="10" t="s">
        <v>55</v>
      </c>
      <c r="Q88" s="5"/>
      <c r="R88" s="5" t="s">
        <v>12</v>
      </c>
      <c r="S88" s="243"/>
      <c r="T88" s="257"/>
    </row>
    <row r="89" spans="3:20" ht="13.2">
      <c r="C89" s="234"/>
      <c r="D89" s="20"/>
      <c r="E89" s="5"/>
      <c r="F89" s="12"/>
      <c r="G89" s="20"/>
      <c r="H89" s="5"/>
      <c r="I89" s="12"/>
      <c r="J89" s="10" t="s">
        <v>36</v>
      </c>
      <c r="K89" s="5"/>
      <c r="L89" s="5" t="s">
        <v>12</v>
      </c>
      <c r="M89" s="10" t="s">
        <v>35</v>
      </c>
      <c r="N89" s="5"/>
      <c r="O89" s="5" t="s">
        <v>12</v>
      </c>
      <c r="P89" s="10" t="s">
        <v>36</v>
      </c>
      <c r="Q89" s="5"/>
      <c r="R89" s="5" t="s">
        <v>12</v>
      </c>
      <c r="S89" s="243"/>
      <c r="T89" s="257"/>
    </row>
    <row r="90" spans="3:20" ht="13.2">
      <c r="C90" s="234"/>
      <c r="D90" s="20"/>
      <c r="E90" s="5"/>
      <c r="F90" s="12"/>
      <c r="G90" s="20"/>
      <c r="H90" s="5"/>
      <c r="I90" s="12"/>
      <c r="J90" s="10"/>
      <c r="K90" s="5"/>
      <c r="L90" s="5" t="s">
        <v>4</v>
      </c>
      <c r="M90" s="10" t="s">
        <v>36</v>
      </c>
      <c r="N90" s="5"/>
      <c r="O90" s="5" t="s">
        <v>12</v>
      </c>
      <c r="P90" s="10"/>
      <c r="Q90" s="5"/>
      <c r="R90" s="5"/>
      <c r="S90" s="243"/>
      <c r="T90" s="257"/>
    </row>
    <row r="91" spans="3:20" ht="13.2">
      <c r="C91" s="234"/>
      <c r="D91" s="20"/>
      <c r="E91" s="5"/>
      <c r="F91" s="12"/>
      <c r="G91" s="20"/>
      <c r="H91" s="5"/>
      <c r="I91" s="12"/>
      <c r="J91" s="10" t="s">
        <v>9</v>
      </c>
      <c r="K91" s="5"/>
      <c r="L91" s="5" t="s">
        <v>4</v>
      </c>
      <c r="M91" s="20"/>
      <c r="N91" s="5"/>
      <c r="O91" s="5"/>
      <c r="P91" s="10"/>
      <c r="Q91" s="5"/>
      <c r="R91" s="5"/>
      <c r="S91" s="243"/>
      <c r="T91" s="257"/>
    </row>
    <row r="92" spans="3:20" ht="13.2">
      <c r="C92" s="234"/>
      <c r="D92" s="23"/>
      <c r="E92" s="5" t="s">
        <v>5</v>
      </c>
      <c r="F92" s="12"/>
      <c r="G92" s="20"/>
      <c r="H92" s="5"/>
      <c r="I92" s="12"/>
      <c r="J92" s="10"/>
      <c r="K92" s="5"/>
      <c r="L92" s="5"/>
      <c r="M92" s="20"/>
      <c r="N92" s="5"/>
      <c r="O92" s="5"/>
      <c r="P92" s="18"/>
      <c r="Q92" s="5"/>
      <c r="R92" s="5"/>
      <c r="S92" s="243"/>
      <c r="T92" s="257"/>
    </row>
    <row r="93" spans="3:20" ht="13.2">
      <c r="C93" s="235"/>
      <c r="D93" s="74"/>
      <c r="E93" s="26" t="s">
        <v>13</v>
      </c>
      <c r="F93" s="12"/>
      <c r="G93" s="74"/>
      <c r="H93" s="26" t="s">
        <v>5</v>
      </c>
      <c r="I93" s="12"/>
      <c r="J93" s="26"/>
      <c r="K93" s="26"/>
      <c r="L93" s="26"/>
      <c r="M93" s="28"/>
      <c r="N93" s="30"/>
      <c r="O93" s="26"/>
      <c r="P93" s="75"/>
      <c r="Q93" s="30" t="s">
        <v>5</v>
      </c>
      <c r="R93" s="26"/>
      <c r="S93" s="243"/>
      <c r="T93" s="258"/>
    </row>
    <row r="94" spans="3:20" ht="12.6">
      <c r="C94" s="251" t="s">
        <v>56</v>
      </c>
      <c r="D94" s="242"/>
      <c r="E94" s="242"/>
      <c r="F94" s="242"/>
      <c r="G94" s="242"/>
      <c r="H94" s="242"/>
      <c r="I94" s="242"/>
      <c r="J94" s="242"/>
      <c r="K94" s="242"/>
      <c r="L94" s="242"/>
      <c r="M94" s="242"/>
      <c r="N94" s="242"/>
      <c r="O94" s="242"/>
      <c r="P94" s="242"/>
      <c r="Q94" s="242"/>
      <c r="R94" s="252"/>
      <c r="S94" s="250"/>
      <c r="T94" s="2"/>
    </row>
    <row r="95" spans="3:20" ht="12.6">
      <c r="C95" s="253"/>
      <c r="D95" s="254"/>
      <c r="E95" s="254"/>
      <c r="F95" s="254"/>
      <c r="G95" s="254"/>
      <c r="H95" s="254"/>
      <c r="I95" s="254"/>
      <c r="J95" s="254"/>
      <c r="K95" s="254"/>
      <c r="L95" s="254"/>
      <c r="M95" s="254"/>
      <c r="N95" s="254"/>
      <c r="O95" s="254"/>
      <c r="P95" s="254"/>
      <c r="Q95" s="254"/>
      <c r="R95" s="255"/>
      <c r="T95" s="2"/>
    </row>
    <row r="96" spans="3:20" ht="12.6">
      <c r="T96" s="2"/>
    </row>
    <row r="97" spans="1:21" ht="12.6"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T97" s="2"/>
    </row>
    <row r="98" spans="1:21" ht="16.2">
      <c r="D98" s="236">
        <v>45733</v>
      </c>
      <c r="E98" s="237"/>
      <c r="F98" s="238"/>
      <c r="G98" s="236">
        <v>45734</v>
      </c>
      <c r="H98" s="237"/>
      <c r="I98" s="238"/>
      <c r="J98" s="236">
        <v>45735</v>
      </c>
      <c r="K98" s="237"/>
      <c r="L98" s="238"/>
      <c r="M98" s="236">
        <v>45736</v>
      </c>
      <c r="N98" s="237"/>
      <c r="O98" s="238"/>
      <c r="P98" s="236">
        <v>45737</v>
      </c>
      <c r="Q98" s="237"/>
      <c r="R98" s="238"/>
      <c r="S98" s="268"/>
      <c r="T98" s="67" t="s">
        <v>38</v>
      </c>
      <c r="U98" s="13" t="s">
        <v>7</v>
      </c>
    </row>
    <row r="99" spans="1:21" ht="14.4">
      <c r="A99" s="5"/>
      <c r="B99" s="6" t="str">
        <f ca="1">IFERROR(__xludf.DUMMYFUNCTION("IMPORTRANGE(""https://docs.google.com/spreadsheets/d/1DSyV8tDqZ18nTTyVYUrGOoSmzgfuPJZyajxwAUVpWtY"",""Salarié.es!A3:A16"")"),"")</f>
        <v/>
      </c>
      <c r="C99" s="233" t="s">
        <v>2</v>
      </c>
      <c r="D99" s="7" t="s">
        <v>11</v>
      </c>
      <c r="E99" s="8" t="s">
        <v>13</v>
      </c>
      <c r="F99" s="8" t="s">
        <v>12</v>
      </c>
      <c r="G99" s="239" t="s">
        <v>39</v>
      </c>
      <c r="H99" s="240"/>
      <c r="I99" s="241"/>
      <c r="J99" s="10" t="s">
        <v>40</v>
      </c>
      <c r="K99" s="8" t="s">
        <v>13</v>
      </c>
      <c r="L99" s="8" t="s">
        <v>12</v>
      </c>
      <c r="M99" s="62" t="s">
        <v>11</v>
      </c>
      <c r="N99" s="11" t="s">
        <v>5</v>
      </c>
      <c r="O99" s="12" t="s">
        <v>12</v>
      </c>
      <c r="P99" s="10"/>
      <c r="Q99" s="8"/>
      <c r="R99" s="12"/>
      <c r="S99" s="243"/>
      <c r="T99" s="259" t="s">
        <v>41</v>
      </c>
    </row>
    <row r="100" spans="1:21" ht="13.2">
      <c r="A100" s="5"/>
      <c r="B100" s="14" t="str">
        <f ca="1">IFERROR(__xludf.DUMMYFUNCTION("""COMPUTED_VALUE"""),"Antonio")</f>
        <v>Antonio</v>
      </c>
      <c r="C100" s="234"/>
      <c r="D100" s="15" t="s">
        <v>20</v>
      </c>
      <c r="E100" s="5"/>
      <c r="F100" s="5" t="s">
        <v>12</v>
      </c>
      <c r="G100" s="234"/>
      <c r="H100" s="242"/>
      <c r="I100" s="243"/>
      <c r="J100" s="10" t="s">
        <v>42</v>
      </c>
      <c r="K100" s="5" t="s">
        <v>5</v>
      </c>
      <c r="L100" s="5" t="s">
        <v>12</v>
      </c>
      <c r="M100" s="10"/>
      <c r="N100" s="5"/>
      <c r="O100" s="5"/>
      <c r="P100" s="10"/>
      <c r="Q100" s="5"/>
      <c r="R100" s="5"/>
      <c r="S100" s="243"/>
      <c r="T100" s="257"/>
    </row>
    <row r="101" spans="1:21" ht="13.2">
      <c r="A101" s="5"/>
      <c r="B101" s="14" t="str">
        <f ca="1">IFERROR(__xludf.DUMMYFUNCTION("""COMPUTED_VALUE"""),"Laurence")</f>
        <v>Laurence</v>
      </c>
      <c r="C101" s="234"/>
      <c r="D101" s="15"/>
      <c r="E101" s="5"/>
      <c r="F101" s="5"/>
      <c r="G101" s="234"/>
      <c r="H101" s="242"/>
      <c r="I101" s="243"/>
      <c r="J101" s="10" t="s">
        <v>16</v>
      </c>
      <c r="K101" s="5"/>
      <c r="L101" s="5" t="s">
        <v>12</v>
      </c>
      <c r="M101" s="10"/>
      <c r="N101" s="17"/>
      <c r="O101" s="5"/>
      <c r="P101" s="10"/>
      <c r="Q101" s="17"/>
      <c r="R101" s="5"/>
      <c r="S101" s="243"/>
      <c r="T101" s="257"/>
    </row>
    <row r="102" spans="1:21" ht="13.2">
      <c r="A102" s="5"/>
      <c r="B102" s="14" t="str">
        <f ca="1">IFERROR(__xludf.DUMMYFUNCTION("""COMPUTED_VALUE"""),"Océane")</f>
        <v>Océane</v>
      </c>
      <c r="C102" s="234"/>
      <c r="D102" s="15"/>
      <c r="E102" s="5"/>
      <c r="F102" s="5"/>
      <c r="G102" s="234"/>
      <c r="H102" s="242"/>
      <c r="I102" s="243"/>
      <c r="J102" s="10" t="s">
        <v>20</v>
      </c>
      <c r="K102" s="5"/>
      <c r="L102" s="5" t="s">
        <v>12</v>
      </c>
      <c r="M102" s="18"/>
      <c r="N102" s="17"/>
      <c r="O102" s="5"/>
      <c r="P102" s="19"/>
      <c r="Q102" s="17"/>
      <c r="R102" s="5"/>
      <c r="S102" s="243"/>
      <c r="T102" s="257"/>
    </row>
    <row r="103" spans="1:21" ht="13.2">
      <c r="A103" s="5"/>
      <c r="B103" s="14" t="str">
        <f ca="1">IFERROR(__xludf.DUMMYFUNCTION("""COMPUTED_VALUE"""),"Elia")</f>
        <v>Elia</v>
      </c>
      <c r="C103" s="234"/>
      <c r="D103" s="15"/>
      <c r="E103" s="5"/>
      <c r="F103" s="5"/>
      <c r="G103" s="234"/>
      <c r="H103" s="242"/>
      <c r="I103" s="243"/>
      <c r="J103" s="10"/>
      <c r="K103" s="5"/>
      <c r="L103" s="5" t="s">
        <v>4</v>
      </c>
      <c r="M103" s="20"/>
      <c r="N103" s="17"/>
      <c r="O103" s="5"/>
      <c r="P103" s="19"/>
      <c r="Q103" s="17"/>
      <c r="R103" s="5"/>
      <c r="S103" s="243"/>
      <c r="T103" s="257"/>
    </row>
    <row r="104" spans="1:21" ht="13.2">
      <c r="A104" s="5"/>
      <c r="B104" s="14" t="str">
        <f ca="1">IFERROR(__xludf.DUMMYFUNCTION("""COMPUTED_VALUE"""),"Florine")</f>
        <v>Florine</v>
      </c>
      <c r="C104" s="234"/>
      <c r="D104" s="15"/>
      <c r="E104" s="5"/>
      <c r="F104" s="5"/>
      <c r="G104" s="234"/>
      <c r="H104" s="242"/>
      <c r="I104" s="243"/>
      <c r="J104" s="10"/>
      <c r="K104" s="5"/>
      <c r="L104" s="5"/>
      <c r="M104" s="21"/>
      <c r="N104" s="17"/>
      <c r="O104" s="5"/>
      <c r="P104" s="19"/>
      <c r="Q104" s="17"/>
      <c r="R104" s="5"/>
      <c r="S104" s="243"/>
      <c r="T104" s="257"/>
    </row>
    <row r="105" spans="1:21" ht="13.2">
      <c r="A105" s="5"/>
      <c r="B105" s="14"/>
      <c r="C105" s="234"/>
      <c r="D105" s="15"/>
      <c r="E105" s="5"/>
      <c r="F105" s="5"/>
      <c r="G105" s="234"/>
      <c r="H105" s="242"/>
      <c r="I105" s="243"/>
      <c r="J105" s="10" t="s">
        <v>9</v>
      </c>
      <c r="K105" s="5"/>
      <c r="L105" s="5" t="s">
        <v>4</v>
      </c>
      <c r="M105" s="21"/>
      <c r="N105" s="17"/>
      <c r="O105" s="5"/>
      <c r="P105" s="19"/>
      <c r="Q105" s="17"/>
      <c r="R105" s="5"/>
      <c r="S105" s="243"/>
      <c r="T105" s="257"/>
    </row>
    <row r="106" spans="1:21" ht="13.2">
      <c r="A106" s="5"/>
      <c r="B106" s="14"/>
      <c r="C106" s="234"/>
      <c r="D106" s="15"/>
      <c r="E106" s="5"/>
      <c r="F106" s="5"/>
      <c r="G106" s="234"/>
      <c r="H106" s="242"/>
      <c r="I106" s="243"/>
      <c r="J106" s="10" t="s">
        <v>43</v>
      </c>
      <c r="K106" s="5"/>
      <c r="L106" s="5" t="s">
        <v>4</v>
      </c>
      <c r="M106" s="21"/>
      <c r="N106" s="17"/>
      <c r="O106" s="5"/>
      <c r="P106" s="19"/>
      <c r="Q106" s="17"/>
      <c r="R106" s="5"/>
      <c r="S106" s="243"/>
      <c r="T106" s="257"/>
    </row>
    <row r="107" spans="1:21" ht="13.2">
      <c r="A107" s="5"/>
      <c r="B107" s="14"/>
      <c r="C107" s="234"/>
      <c r="D107" s="15"/>
      <c r="E107" s="5"/>
      <c r="F107" s="5"/>
      <c r="G107" s="234"/>
      <c r="H107" s="242"/>
      <c r="I107" s="243"/>
      <c r="J107" s="10"/>
      <c r="K107" s="5"/>
      <c r="L107" s="5"/>
      <c r="M107" s="21"/>
      <c r="N107" s="17"/>
      <c r="O107" s="5"/>
      <c r="P107" s="19"/>
      <c r="Q107" s="17"/>
      <c r="R107" s="5"/>
      <c r="S107" s="243"/>
      <c r="T107" s="257"/>
    </row>
    <row r="108" spans="1:21" ht="13.2">
      <c r="A108" s="246"/>
      <c r="B108" s="247"/>
      <c r="C108" s="234"/>
      <c r="D108" s="15"/>
      <c r="E108" s="5"/>
      <c r="F108" s="5"/>
      <c r="G108" s="234"/>
      <c r="H108" s="242"/>
      <c r="I108" s="243"/>
      <c r="J108" s="20"/>
      <c r="K108" s="5"/>
      <c r="L108" s="5"/>
      <c r="M108" s="24"/>
      <c r="N108" s="17"/>
      <c r="O108" s="5"/>
      <c r="P108" s="19"/>
      <c r="Q108" s="17"/>
      <c r="R108" s="5"/>
      <c r="S108" s="243"/>
      <c r="T108" s="257"/>
    </row>
    <row r="109" spans="1:21" ht="13.2">
      <c r="A109" s="248"/>
      <c r="B109" s="243"/>
      <c r="C109" s="235"/>
      <c r="D109" s="76"/>
      <c r="E109" s="26" t="s">
        <v>5</v>
      </c>
      <c r="F109" s="26"/>
      <c r="G109" s="235"/>
      <c r="H109" s="244"/>
      <c r="I109" s="245"/>
      <c r="J109" s="28"/>
      <c r="K109" s="26"/>
      <c r="L109" s="26"/>
      <c r="M109" s="29"/>
      <c r="N109" s="30"/>
      <c r="O109" s="26"/>
      <c r="P109" s="31"/>
      <c r="Q109" s="30"/>
      <c r="R109" s="26"/>
      <c r="S109" s="243"/>
      <c r="T109" s="258"/>
    </row>
    <row r="110" spans="1:21" ht="13.2">
      <c r="A110" s="249"/>
      <c r="B110" s="250"/>
      <c r="C110" s="230" t="s">
        <v>25</v>
      </c>
      <c r="D110" s="46" t="s">
        <v>11</v>
      </c>
      <c r="E110" s="42" t="s">
        <v>13</v>
      </c>
      <c r="F110" s="42" t="s">
        <v>12</v>
      </c>
      <c r="G110" s="41"/>
      <c r="H110" s="42"/>
      <c r="I110" s="47"/>
      <c r="J110" s="48"/>
      <c r="K110" s="49"/>
      <c r="L110" s="50" t="s">
        <v>4</v>
      </c>
      <c r="M110" s="62" t="s">
        <v>11</v>
      </c>
      <c r="N110" s="50" t="s">
        <v>5</v>
      </c>
      <c r="O110" s="50" t="s">
        <v>12</v>
      </c>
      <c r="P110" s="48"/>
      <c r="Q110" s="50"/>
      <c r="R110" s="50"/>
      <c r="S110" s="243"/>
      <c r="T110" s="256"/>
    </row>
    <row r="111" spans="1:21" ht="13.2">
      <c r="B111" s="69"/>
      <c r="C111" s="231"/>
      <c r="D111" s="46"/>
      <c r="E111" s="42"/>
      <c r="F111" s="42"/>
      <c r="G111" s="41"/>
      <c r="H111" s="42"/>
      <c r="I111" s="47"/>
      <c r="J111" s="48" t="s">
        <v>16</v>
      </c>
      <c r="K111" s="51"/>
      <c r="L111" s="42" t="s">
        <v>12</v>
      </c>
      <c r="M111" s="41"/>
      <c r="N111" s="42"/>
      <c r="O111" s="42"/>
      <c r="P111" s="41"/>
      <c r="Q111" s="42"/>
      <c r="R111" s="42"/>
      <c r="S111" s="243"/>
      <c r="T111" s="257"/>
    </row>
    <row r="112" spans="1:21" ht="13.2">
      <c r="B112" s="69"/>
      <c r="C112" s="231"/>
      <c r="D112" s="46"/>
      <c r="E112" s="42"/>
      <c r="F112" s="42"/>
      <c r="G112" s="41"/>
      <c r="H112" s="42"/>
      <c r="I112" s="47"/>
      <c r="J112" s="48" t="s">
        <v>9</v>
      </c>
      <c r="K112" s="51"/>
      <c r="L112" s="42" t="s">
        <v>4</v>
      </c>
      <c r="M112" s="41"/>
      <c r="N112" s="42"/>
      <c r="O112" s="42"/>
      <c r="P112" s="41"/>
      <c r="Q112" s="42"/>
      <c r="R112" s="42"/>
      <c r="S112" s="243"/>
      <c r="T112" s="257"/>
    </row>
    <row r="113" spans="3:20" ht="13.2">
      <c r="C113" s="231"/>
      <c r="D113" s="46"/>
      <c r="E113" s="42"/>
      <c r="F113" s="42"/>
      <c r="G113" s="41"/>
      <c r="H113" s="42"/>
      <c r="I113" s="47"/>
      <c r="J113" s="48" t="s">
        <v>43</v>
      </c>
      <c r="K113" s="51"/>
      <c r="L113" s="42" t="s">
        <v>4</v>
      </c>
      <c r="M113" s="41"/>
      <c r="N113" s="42"/>
      <c r="O113" s="42"/>
      <c r="P113" s="41"/>
      <c r="Q113" s="42"/>
      <c r="R113" s="42"/>
      <c r="S113" s="243"/>
      <c r="T113" s="257"/>
    </row>
    <row r="114" spans="3:20" ht="13.2">
      <c r="C114" s="231"/>
      <c r="D114" s="46"/>
      <c r="E114" s="42"/>
      <c r="F114" s="42"/>
      <c r="G114" s="41"/>
      <c r="H114" s="42"/>
      <c r="I114" s="47"/>
      <c r="J114" s="48"/>
      <c r="K114" s="51"/>
      <c r="L114" s="42"/>
      <c r="M114" s="41"/>
      <c r="N114" s="42"/>
      <c r="O114" s="42"/>
      <c r="P114" s="41"/>
      <c r="Q114" s="42"/>
      <c r="R114" s="42"/>
      <c r="S114" s="243"/>
      <c r="T114" s="257"/>
    </row>
    <row r="115" spans="3:20" ht="13.2">
      <c r="C115" s="232"/>
      <c r="D115" s="54"/>
      <c r="E115" s="55"/>
      <c r="F115" s="45"/>
      <c r="G115" s="56"/>
      <c r="H115" s="55"/>
      <c r="I115" s="57"/>
      <c r="J115" s="58"/>
      <c r="K115" s="59"/>
      <c r="L115" s="55"/>
      <c r="M115" s="58"/>
      <c r="N115" s="55"/>
      <c r="O115" s="55"/>
      <c r="P115" s="58"/>
      <c r="Q115" s="55"/>
      <c r="R115" s="55"/>
      <c r="S115" s="243"/>
      <c r="T115" s="258"/>
    </row>
    <row r="116" spans="3:20" ht="13.2">
      <c r="C116" s="233" t="s">
        <v>27</v>
      </c>
      <c r="D116" s="77" t="s">
        <v>45</v>
      </c>
      <c r="E116" s="8" t="s">
        <v>5</v>
      </c>
      <c r="F116" s="8" t="s">
        <v>12</v>
      </c>
      <c r="G116" s="78" t="s">
        <v>46</v>
      </c>
      <c r="H116" s="8" t="s">
        <v>5</v>
      </c>
      <c r="I116" s="8" t="s">
        <v>12</v>
      </c>
      <c r="J116" s="10" t="s">
        <v>16</v>
      </c>
      <c r="K116" s="8"/>
      <c r="L116" s="12" t="s">
        <v>12</v>
      </c>
      <c r="M116" s="10" t="s">
        <v>11</v>
      </c>
      <c r="N116" s="12"/>
      <c r="O116" s="12" t="s">
        <v>12</v>
      </c>
      <c r="P116" s="10" t="s">
        <v>47</v>
      </c>
      <c r="Q116" s="12" t="s">
        <v>5</v>
      </c>
      <c r="R116" s="12" t="s">
        <v>12</v>
      </c>
      <c r="S116" s="243"/>
      <c r="T116" s="259"/>
    </row>
    <row r="117" spans="3:20" ht="26.4">
      <c r="C117" s="234"/>
      <c r="D117" s="20" t="s">
        <v>20</v>
      </c>
      <c r="E117" s="5"/>
      <c r="F117" s="12" t="s">
        <v>12</v>
      </c>
      <c r="G117" s="79" t="s">
        <v>31</v>
      </c>
      <c r="H117" s="5" t="s">
        <v>22</v>
      </c>
      <c r="I117" s="12" t="s">
        <v>12</v>
      </c>
      <c r="J117" s="10" t="s">
        <v>33</v>
      </c>
      <c r="K117" s="5"/>
      <c r="L117" s="5" t="s">
        <v>12</v>
      </c>
      <c r="M117" s="10" t="s">
        <v>48</v>
      </c>
      <c r="N117" s="5"/>
      <c r="O117" s="5" t="s">
        <v>12</v>
      </c>
      <c r="P117" s="10" t="s">
        <v>33</v>
      </c>
      <c r="Q117" s="5"/>
      <c r="R117" s="5" t="s">
        <v>12</v>
      </c>
      <c r="S117" s="243"/>
      <c r="T117" s="257"/>
    </row>
    <row r="118" spans="3:20" ht="26.4">
      <c r="C118" s="234"/>
      <c r="D118" s="20" t="s">
        <v>31</v>
      </c>
      <c r="E118" s="5"/>
      <c r="F118" s="12" t="s">
        <v>12</v>
      </c>
      <c r="G118" s="20" t="s">
        <v>49</v>
      </c>
      <c r="H118" s="5"/>
      <c r="I118" s="12" t="s">
        <v>12</v>
      </c>
      <c r="J118" s="62" t="s">
        <v>32</v>
      </c>
      <c r="K118" s="5" t="s">
        <v>13</v>
      </c>
      <c r="L118" s="5" t="s">
        <v>12</v>
      </c>
      <c r="M118" s="10" t="s">
        <v>33</v>
      </c>
      <c r="N118" s="5"/>
      <c r="O118" s="5" t="s">
        <v>12</v>
      </c>
      <c r="P118" s="10" t="s">
        <v>50</v>
      </c>
      <c r="Q118" s="5"/>
      <c r="R118" s="5" t="s">
        <v>12</v>
      </c>
      <c r="S118" s="243"/>
      <c r="T118" s="257"/>
    </row>
    <row r="119" spans="3:20" ht="26.4">
      <c r="C119" s="234"/>
      <c r="D119" s="20" t="s">
        <v>29</v>
      </c>
      <c r="E119" s="5" t="s">
        <v>5</v>
      </c>
      <c r="F119" s="12" t="s">
        <v>12</v>
      </c>
      <c r="G119" s="20" t="s">
        <v>51</v>
      </c>
      <c r="H119" s="5"/>
      <c r="I119" s="12" t="s">
        <v>12</v>
      </c>
      <c r="J119" s="10" t="s">
        <v>20</v>
      </c>
      <c r="K119" s="5"/>
      <c r="L119" s="5" t="s">
        <v>12</v>
      </c>
      <c r="M119" s="10" t="s">
        <v>30</v>
      </c>
      <c r="N119" s="5"/>
      <c r="O119" s="5" t="s">
        <v>12</v>
      </c>
      <c r="P119" s="10" t="s">
        <v>20</v>
      </c>
      <c r="Q119" s="5"/>
      <c r="R119" s="5" t="s">
        <v>12</v>
      </c>
      <c r="S119" s="243"/>
      <c r="T119" s="257"/>
    </row>
    <row r="120" spans="3:20" ht="13.2">
      <c r="C120" s="234"/>
      <c r="D120" s="20" t="s">
        <v>36</v>
      </c>
      <c r="E120" s="5"/>
      <c r="F120" s="12" t="s">
        <v>12</v>
      </c>
      <c r="G120" s="20" t="s">
        <v>45</v>
      </c>
      <c r="H120" s="5"/>
      <c r="I120" s="12" t="s">
        <v>12</v>
      </c>
      <c r="J120" s="10" t="s">
        <v>52</v>
      </c>
      <c r="K120" s="5" t="s">
        <v>5</v>
      </c>
      <c r="L120" s="5" t="s">
        <v>12</v>
      </c>
      <c r="M120" s="10" t="s">
        <v>50</v>
      </c>
      <c r="N120" s="5"/>
      <c r="O120" s="5" t="s">
        <v>12</v>
      </c>
      <c r="P120" s="10" t="s">
        <v>26</v>
      </c>
      <c r="Q120" s="5" t="s">
        <v>22</v>
      </c>
      <c r="R120" s="5" t="s">
        <v>12</v>
      </c>
      <c r="S120" s="243"/>
      <c r="T120" s="257"/>
    </row>
    <row r="121" spans="3:20" ht="13.2">
      <c r="C121" s="234"/>
      <c r="D121" s="20" t="s">
        <v>53</v>
      </c>
      <c r="E121" s="5"/>
      <c r="F121" s="12" t="s">
        <v>12</v>
      </c>
      <c r="G121" s="20" t="s">
        <v>54</v>
      </c>
      <c r="H121" s="5"/>
      <c r="I121" s="12" t="s">
        <v>12</v>
      </c>
      <c r="J121" s="80" t="s">
        <v>34</v>
      </c>
      <c r="K121" s="5" t="s">
        <v>5</v>
      </c>
      <c r="L121" s="5" t="s">
        <v>12</v>
      </c>
      <c r="M121" s="18" t="s">
        <v>20</v>
      </c>
      <c r="N121" s="5"/>
      <c r="O121" s="5" t="s">
        <v>12</v>
      </c>
      <c r="P121" s="10" t="s">
        <v>35</v>
      </c>
      <c r="Q121" s="5"/>
      <c r="R121" s="5" t="s">
        <v>12</v>
      </c>
      <c r="S121" s="243"/>
      <c r="T121" s="257"/>
    </row>
    <row r="122" spans="3:20" ht="13.2">
      <c r="C122" s="234"/>
      <c r="D122" s="20" t="s">
        <v>11</v>
      </c>
      <c r="E122" s="5" t="s">
        <v>13</v>
      </c>
      <c r="F122" s="12" t="s">
        <v>12</v>
      </c>
      <c r="G122" s="23" t="s">
        <v>57</v>
      </c>
      <c r="H122" s="5" t="s">
        <v>5</v>
      </c>
      <c r="I122" s="12" t="s">
        <v>12</v>
      </c>
      <c r="J122" s="10" t="s">
        <v>35</v>
      </c>
      <c r="K122" s="5"/>
      <c r="L122" s="5" t="s">
        <v>12</v>
      </c>
      <c r="M122" s="10" t="s">
        <v>53</v>
      </c>
      <c r="N122" s="5"/>
      <c r="O122" s="5" t="s">
        <v>12</v>
      </c>
      <c r="P122" s="10" t="s">
        <v>55</v>
      </c>
      <c r="Q122" s="5"/>
      <c r="R122" s="5" t="s">
        <v>12</v>
      </c>
      <c r="S122" s="243"/>
      <c r="T122" s="257"/>
    </row>
    <row r="123" spans="3:20" ht="13.2">
      <c r="C123" s="234"/>
      <c r="D123" s="20"/>
      <c r="E123" s="5"/>
      <c r="F123" s="12"/>
      <c r="G123" s="20"/>
      <c r="H123" s="5"/>
      <c r="I123" s="12"/>
      <c r="J123" s="10" t="s">
        <v>36</v>
      </c>
      <c r="K123" s="5"/>
      <c r="L123" s="5" t="s">
        <v>12</v>
      </c>
      <c r="M123" s="10" t="s">
        <v>35</v>
      </c>
      <c r="N123" s="5"/>
      <c r="O123" s="5" t="s">
        <v>12</v>
      </c>
      <c r="P123" s="10" t="s">
        <v>36</v>
      </c>
      <c r="Q123" s="5" t="s">
        <v>13</v>
      </c>
      <c r="R123" s="5" t="s">
        <v>12</v>
      </c>
      <c r="S123" s="243"/>
      <c r="T123" s="257"/>
    </row>
    <row r="124" spans="3:20" ht="13.2">
      <c r="C124" s="234"/>
      <c r="D124" s="20"/>
      <c r="E124" s="5"/>
      <c r="F124" s="12"/>
      <c r="G124" s="20"/>
      <c r="H124" s="5"/>
      <c r="I124" s="12"/>
      <c r="J124" s="10"/>
      <c r="K124" s="5"/>
      <c r="L124" s="5" t="s">
        <v>4</v>
      </c>
      <c r="M124" s="10" t="s">
        <v>36</v>
      </c>
      <c r="N124" s="5"/>
      <c r="O124" s="5" t="s">
        <v>12</v>
      </c>
      <c r="P124" s="10" t="s">
        <v>32</v>
      </c>
      <c r="Q124" s="5"/>
      <c r="R124" s="5"/>
      <c r="S124" s="243"/>
      <c r="T124" s="257"/>
    </row>
    <row r="125" spans="3:20" ht="13.2">
      <c r="C125" s="234"/>
      <c r="D125" s="20"/>
      <c r="E125" s="5"/>
      <c r="F125" s="12"/>
      <c r="G125" s="20"/>
      <c r="H125" s="5"/>
      <c r="I125" s="12"/>
      <c r="J125" s="10" t="s">
        <v>9</v>
      </c>
      <c r="K125" s="5"/>
      <c r="L125" s="5" t="s">
        <v>4</v>
      </c>
      <c r="M125" s="20" t="s">
        <v>32</v>
      </c>
      <c r="N125" s="5" t="s">
        <v>5</v>
      </c>
      <c r="O125" s="5" t="s">
        <v>12</v>
      </c>
      <c r="P125" s="10"/>
      <c r="Q125" s="5"/>
      <c r="R125" s="5"/>
      <c r="S125" s="243"/>
      <c r="T125" s="257"/>
    </row>
    <row r="126" spans="3:20" ht="13.2">
      <c r="C126" s="234"/>
      <c r="D126" s="37"/>
      <c r="E126" s="37"/>
      <c r="F126" s="12"/>
      <c r="G126" s="37"/>
      <c r="H126" s="37"/>
      <c r="I126" s="12"/>
      <c r="J126" s="37"/>
      <c r="K126" s="37"/>
      <c r="L126" s="37"/>
      <c r="M126" s="64"/>
      <c r="N126" s="65"/>
      <c r="O126" s="37"/>
      <c r="P126" s="64"/>
      <c r="Q126" s="65"/>
      <c r="R126" s="37"/>
      <c r="S126" s="243"/>
      <c r="T126" s="257"/>
    </row>
    <row r="127" spans="3:20" ht="13.2">
      <c r="C127" s="234"/>
      <c r="D127" s="37"/>
      <c r="E127" s="37"/>
      <c r="F127" s="12"/>
      <c r="G127" s="37"/>
      <c r="H127" s="37"/>
      <c r="I127" s="12"/>
      <c r="J127" s="37"/>
      <c r="K127" s="37"/>
      <c r="L127" s="37"/>
      <c r="M127" s="64"/>
      <c r="N127" s="65"/>
      <c r="O127" s="37"/>
      <c r="P127" s="64"/>
      <c r="Q127" s="65"/>
      <c r="R127" s="37"/>
      <c r="S127" s="243"/>
      <c r="T127" s="257"/>
    </row>
    <row r="128" spans="3:20" ht="13.2">
      <c r="C128" s="235"/>
      <c r="D128" s="26"/>
      <c r="E128" s="26"/>
      <c r="F128" s="12"/>
      <c r="G128" s="74"/>
      <c r="H128" s="26" t="s">
        <v>13</v>
      </c>
      <c r="I128" s="12"/>
      <c r="J128" s="26"/>
      <c r="K128" s="26"/>
      <c r="L128" s="26"/>
      <c r="M128" s="75"/>
      <c r="N128" s="30" t="s">
        <v>5</v>
      </c>
      <c r="O128" s="26"/>
      <c r="P128" s="28"/>
      <c r="Q128" s="30"/>
      <c r="R128" s="26"/>
      <c r="S128" s="243"/>
      <c r="T128" s="258"/>
    </row>
    <row r="129" spans="1:21" ht="12.6">
      <c r="C129" s="251"/>
      <c r="D129" s="242"/>
      <c r="E129" s="242"/>
      <c r="F129" s="242"/>
      <c r="G129" s="242"/>
      <c r="H129" s="242"/>
      <c r="I129" s="242"/>
      <c r="J129" s="242"/>
      <c r="K129" s="242"/>
      <c r="L129" s="242"/>
      <c r="M129" s="242"/>
      <c r="N129" s="242"/>
      <c r="O129" s="242"/>
      <c r="P129" s="242"/>
      <c r="Q129" s="242"/>
      <c r="R129" s="252"/>
      <c r="S129" s="250"/>
      <c r="T129" s="2"/>
    </row>
    <row r="130" spans="1:21" ht="12.6">
      <c r="C130" s="253"/>
      <c r="D130" s="254"/>
      <c r="E130" s="254"/>
      <c r="F130" s="254"/>
      <c r="G130" s="254"/>
      <c r="H130" s="254"/>
      <c r="I130" s="254"/>
      <c r="J130" s="254"/>
      <c r="K130" s="254"/>
      <c r="L130" s="254"/>
      <c r="M130" s="254"/>
      <c r="N130" s="254"/>
      <c r="O130" s="254"/>
      <c r="P130" s="254"/>
      <c r="Q130" s="254"/>
      <c r="R130" s="255"/>
      <c r="T130" s="2"/>
    </row>
    <row r="131" spans="1:21" ht="12.6">
      <c r="T131" s="2"/>
    </row>
    <row r="132" spans="1:21" ht="12.6">
      <c r="T132" s="2"/>
    </row>
    <row r="133" spans="1:21" ht="12.6"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T133" s="2"/>
    </row>
    <row r="134" spans="1:21" ht="16.2">
      <c r="D134" s="236">
        <v>45740</v>
      </c>
      <c r="E134" s="237"/>
      <c r="F134" s="238"/>
      <c r="G134" s="236">
        <v>45741</v>
      </c>
      <c r="H134" s="237"/>
      <c r="I134" s="238"/>
      <c r="J134" s="236">
        <v>45742</v>
      </c>
      <c r="K134" s="237"/>
      <c r="L134" s="238"/>
      <c r="M134" s="236">
        <v>45743</v>
      </c>
      <c r="N134" s="237"/>
      <c r="O134" s="238"/>
      <c r="P134" s="236">
        <v>45744</v>
      </c>
      <c r="Q134" s="237"/>
      <c r="R134" s="238"/>
      <c r="S134" s="268"/>
      <c r="T134" s="67" t="s">
        <v>38</v>
      </c>
      <c r="U134" s="13" t="s">
        <v>7</v>
      </c>
    </row>
    <row r="135" spans="1:21" ht="14.4">
      <c r="A135" s="5"/>
      <c r="B135" s="6" t="str">
        <f ca="1">IFERROR(__xludf.DUMMYFUNCTION("IMPORTRANGE(""https://docs.google.com/spreadsheets/d/1DSyV8tDqZ18nTTyVYUrGOoSmzgfuPJZyajxwAUVpWtY"",""Salarié.es!A3:A16"")"),"")</f>
        <v/>
      </c>
      <c r="C135" s="233" t="s">
        <v>2</v>
      </c>
      <c r="D135" s="7" t="s">
        <v>11</v>
      </c>
      <c r="E135" s="8" t="s">
        <v>13</v>
      </c>
      <c r="F135" s="8" t="s">
        <v>12</v>
      </c>
      <c r="G135" s="239" t="s">
        <v>39</v>
      </c>
      <c r="H135" s="240"/>
      <c r="I135" s="241"/>
      <c r="J135" s="10" t="s">
        <v>40</v>
      </c>
      <c r="K135" s="8" t="s">
        <v>5</v>
      </c>
      <c r="L135" s="8" t="s">
        <v>12</v>
      </c>
      <c r="M135" s="10" t="s">
        <v>11</v>
      </c>
      <c r="N135" s="11" t="s">
        <v>5</v>
      </c>
      <c r="O135" s="12" t="s">
        <v>12</v>
      </c>
      <c r="P135" s="10"/>
      <c r="Q135" s="8"/>
      <c r="R135" s="12"/>
      <c r="S135" s="243"/>
      <c r="T135" s="259" t="s">
        <v>41</v>
      </c>
    </row>
    <row r="136" spans="1:21" ht="13.2">
      <c r="A136" s="5"/>
      <c r="B136" s="14" t="str">
        <f ca="1">IFERROR(__xludf.DUMMYFUNCTION("""COMPUTED_VALUE"""),"Antonio")</f>
        <v>Antonio</v>
      </c>
      <c r="C136" s="234"/>
      <c r="D136" s="15" t="s">
        <v>20</v>
      </c>
      <c r="E136" s="5" t="s">
        <v>5</v>
      </c>
      <c r="F136" s="5" t="s">
        <v>12</v>
      </c>
      <c r="G136" s="234"/>
      <c r="H136" s="242"/>
      <c r="I136" s="243"/>
      <c r="J136" s="10" t="s">
        <v>42</v>
      </c>
      <c r="K136" s="5"/>
      <c r="L136" s="5" t="s">
        <v>12</v>
      </c>
      <c r="M136" s="10"/>
      <c r="N136" s="5"/>
      <c r="O136" s="5"/>
      <c r="P136" s="10"/>
      <c r="Q136" s="5"/>
      <c r="R136" s="5"/>
      <c r="S136" s="243"/>
      <c r="T136" s="257"/>
    </row>
    <row r="137" spans="1:21" ht="13.2">
      <c r="A137" s="5"/>
      <c r="B137" s="14" t="str">
        <f ca="1">IFERROR(__xludf.DUMMYFUNCTION("""COMPUTED_VALUE"""),"Laurence")</f>
        <v>Laurence</v>
      </c>
      <c r="C137" s="234"/>
      <c r="D137" s="15"/>
      <c r="E137" s="5"/>
      <c r="F137" s="5"/>
      <c r="G137" s="234"/>
      <c r="H137" s="242"/>
      <c r="I137" s="243"/>
      <c r="J137" s="10" t="s">
        <v>16</v>
      </c>
      <c r="K137" s="5" t="s">
        <v>13</v>
      </c>
      <c r="L137" s="5" t="s">
        <v>12</v>
      </c>
      <c r="M137" s="10"/>
      <c r="N137" s="17"/>
      <c r="O137" s="5"/>
      <c r="P137" s="10"/>
      <c r="Q137" s="17"/>
      <c r="R137" s="5"/>
      <c r="S137" s="243"/>
      <c r="T137" s="257"/>
    </row>
    <row r="138" spans="1:21" ht="13.2">
      <c r="A138" s="5"/>
      <c r="B138" s="14" t="str">
        <f ca="1">IFERROR(__xludf.DUMMYFUNCTION("""COMPUTED_VALUE"""),"Océane")</f>
        <v>Océane</v>
      </c>
      <c r="C138" s="234"/>
      <c r="D138" s="15"/>
      <c r="E138" s="5"/>
      <c r="F138" s="5"/>
      <c r="G138" s="234"/>
      <c r="H138" s="242"/>
      <c r="I138" s="243"/>
      <c r="J138" s="10" t="s">
        <v>20</v>
      </c>
      <c r="K138" s="5"/>
      <c r="L138" s="5" t="s">
        <v>12</v>
      </c>
      <c r="M138" s="18"/>
      <c r="N138" s="17"/>
      <c r="O138" s="5"/>
      <c r="P138" s="19"/>
      <c r="Q138" s="17"/>
      <c r="R138" s="5"/>
      <c r="S138" s="243"/>
      <c r="T138" s="257"/>
    </row>
    <row r="139" spans="1:21" ht="13.2">
      <c r="A139" s="5"/>
      <c r="B139" s="14" t="str">
        <f ca="1">IFERROR(__xludf.DUMMYFUNCTION("""COMPUTED_VALUE"""),"Elia")</f>
        <v>Elia</v>
      </c>
      <c r="C139" s="234"/>
      <c r="D139" s="15"/>
      <c r="E139" s="5"/>
      <c r="F139" s="5"/>
      <c r="G139" s="234"/>
      <c r="H139" s="242"/>
      <c r="I139" s="243"/>
      <c r="J139" s="10" t="s">
        <v>58</v>
      </c>
      <c r="K139" s="5"/>
      <c r="L139" s="5" t="s">
        <v>4</v>
      </c>
      <c r="M139" s="20"/>
      <c r="N139" s="17"/>
      <c r="O139" s="5"/>
      <c r="P139" s="19"/>
      <c r="Q139" s="17"/>
      <c r="R139" s="5"/>
      <c r="S139" s="243"/>
      <c r="T139" s="257"/>
    </row>
    <row r="140" spans="1:21" ht="13.2">
      <c r="A140" s="5"/>
      <c r="B140" s="14" t="str">
        <f ca="1">IFERROR(__xludf.DUMMYFUNCTION("""COMPUTED_VALUE"""),"Florine")</f>
        <v>Florine</v>
      </c>
      <c r="C140" s="234"/>
      <c r="D140" s="15"/>
      <c r="E140" s="5"/>
      <c r="F140" s="5"/>
      <c r="G140" s="234"/>
      <c r="H140" s="242"/>
      <c r="I140" s="243"/>
      <c r="J140" s="10"/>
      <c r="K140" s="5"/>
      <c r="L140" s="5"/>
      <c r="M140" s="21"/>
      <c r="N140" s="17"/>
      <c r="O140" s="5"/>
      <c r="P140" s="19"/>
      <c r="Q140" s="17"/>
      <c r="R140" s="5"/>
      <c r="S140" s="243"/>
      <c r="T140" s="257"/>
    </row>
    <row r="141" spans="1:21" ht="13.2">
      <c r="A141" s="5"/>
      <c r="B141" s="14"/>
      <c r="C141" s="234"/>
      <c r="D141" s="15"/>
      <c r="E141" s="5"/>
      <c r="F141" s="5"/>
      <c r="G141" s="234"/>
      <c r="H141" s="242"/>
      <c r="I141" s="243"/>
      <c r="J141" s="10" t="s">
        <v>9</v>
      </c>
      <c r="K141" s="5"/>
      <c r="L141" s="5" t="s">
        <v>4</v>
      </c>
      <c r="M141" s="21"/>
      <c r="N141" s="17"/>
      <c r="O141" s="5"/>
      <c r="P141" s="19"/>
      <c r="Q141" s="17"/>
      <c r="R141" s="5"/>
      <c r="S141" s="243"/>
      <c r="T141" s="257"/>
    </row>
    <row r="142" spans="1:21" ht="13.2">
      <c r="A142" s="5"/>
      <c r="B142" s="14"/>
      <c r="C142" s="234"/>
      <c r="D142" s="15"/>
      <c r="E142" s="5"/>
      <c r="F142" s="5"/>
      <c r="G142" s="234"/>
      <c r="H142" s="242"/>
      <c r="I142" s="243"/>
      <c r="J142" s="10" t="s">
        <v>43</v>
      </c>
      <c r="K142" s="5"/>
      <c r="L142" s="5" t="s">
        <v>4</v>
      </c>
      <c r="M142" s="21"/>
      <c r="N142" s="17"/>
      <c r="O142" s="5"/>
      <c r="P142" s="19"/>
      <c r="Q142" s="17"/>
      <c r="R142" s="5"/>
      <c r="S142" s="243"/>
      <c r="T142" s="257"/>
    </row>
    <row r="143" spans="1:21" ht="13.2">
      <c r="A143" s="5"/>
      <c r="B143" s="14"/>
      <c r="C143" s="234"/>
      <c r="D143" s="15"/>
      <c r="E143" s="5"/>
      <c r="F143" s="5"/>
      <c r="G143" s="234"/>
      <c r="H143" s="242"/>
      <c r="I143" s="243"/>
      <c r="J143" s="10"/>
      <c r="K143" s="5"/>
      <c r="L143" s="5"/>
      <c r="M143" s="21"/>
      <c r="N143" s="17"/>
      <c r="O143" s="5"/>
      <c r="P143" s="19"/>
      <c r="Q143" s="17"/>
      <c r="R143" s="5"/>
      <c r="S143" s="243"/>
      <c r="T143" s="257"/>
    </row>
    <row r="144" spans="1:21" ht="13.2">
      <c r="A144" s="246"/>
      <c r="B144" s="247"/>
      <c r="C144" s="235"/>
      <c r="D144" s="25"/>
      <c r="E144" s="26"/>
      <c r="F144" s="26"/>
      <c r="G144" s="235"/>
      <c r="H144" s="244"/>
      <c r="I144" s="245"/>
      <c r="J144" s="28"/>
      <c r="K144" s="26"/>
      <c r="L144" s="26"/>
      <c r="M144" s="29"/>
      <c r="N144" s="30"/>
      <c r="O144" s="26"/>
      <c r="P144" s="31"/>
      <c r="Q144" s="30"/>
      <c r="R144" s="26"/>
      <c r="S144" s="243"/>
      <c r="T144" s="258"/>
    </row>
    <row r="145" spans="1:20" ht="13.2">
      <c r="A145" s="249"/>
      <c r="B145" s="250"/>
      <c r="C145" s="230" t="s">
        <v>25</v>
      </c>
      <c r="D145" s="46"/>
      <c r="E145" s="42"/>
      <c r="F145" s="42" t="s">
        <v>12</v>
      </c>
      <c r="G145" s="41"/>
      <c r="H145" s="42"/>
      <c r="I145" s="47"/>
      <c r="J145" s="48" t="s">
        <v>58</v>
      </c>
      <c r="K145" s="49"/>
      <c r="L145" s="50" t="s">
        <v>4</v>
      </c>
      <c r="M145" s="48"/>
      <c r="N145" s="50"/>
      <c r="O145" s="50" t="s">
        <v>12</v>
      </c>
      <c r="P145" s="48"/>
      <c r="Q145" s="50"/>
      <c r="R145" s="50"/>
      <c r="S145" s="243"/>
      <c r="T145" s="256"/>
    </row>
    <row r="146" spans="1:20" ht="13.2">
      <c r="B146" s="69"/>
      <c r="C146" s="231"/>
      <c r="D146" s="46"/>
      <c r="E146" s="42"/>
      <c r="F146" s="42"/>
      <c r="G146" s="41"/>
      <c r="H146" s="42"/>
      <c r="I146" s="47"/>
      <c r="J146" s="48" t="s">
        <v>16</v>
      </c>
      <c r="K146" s="51" t="s">
        <v>13</v>
      </c>
      <c r="L146" s="42" t="s">
        <v>12</v>
      </c>
      <c r="M146" s="41"/>
      <c r="N146" s="42"/>
      <c r="O146" s="42"/>
      <c r="P146" s="41"/>
      <c r="Q146" s="42"/>
      <c r="R146" s="42"/>
      <c r="S146" s="243"/>
      <c r="T146" s="257"/>
    </row>
    <row r="147" spans="1:20" ht="13.2">
      <c r="B147" s="69"/>
      <c r="C147" s="231"/>
      <c r="D147" s="46"/>
      <c r="E147" s="42"/>
      <c r="F147" s="42"/>
      <c r="G147" s="41"/>
      <c r="H147" s="42"/>
      <c r="I147" s="47"/>
      <c r="J147" s="48" t="s">
        <v>9</v>
      </c>
      <c r="K147" s="51"/>
      <c r="L147" s="42" t="s">
        <v>4</v>
      </c>
      <c r="M147" s="41"/>
      <c r="N147" s="42"/>
      <c r="O147" s="42"/>
      <c r="P147" s="41"/>
      <c r="Q147" s="42"/>
      <c r="R147" s="42"/>
      <c r="S147" s="243"/>
      <c r="T147" s="257"/>
    </row>
    <row r="148" spans="1:20" ht="13.2">
      <c r="B148" s="69"/>
      <c r="C148" s="231"/>
      <c r="D148" s="46"/>
      <c r="E148" s="42"/>
      <c r="F148" s="42"/>
      <c r="G148" s="41"/>
      <c r="H148" s="42"/>
      <c r="I148" s="47"/>
      <c r="J148" s="48" t="s">
        <v>43</v>
      </c>
      <c r="K148" s="51"/>
      <c r="L148" s="42" t="s">
        <v>4</v>
      </c>
      <c r="M148" s="41"/>
      <c r="N148" s="42"/>
      <c r="O148" s="42"/>
      <c r="P148" s="41"/>
      <c r="Q148" s="42"/>
      <c r="R148" s="42"/>
      <c r="S148" s="243"/>
      <c r="T148" s="257"/>
    </row>
    <row r="149" spans="1:20" ht="13.2">
      <c r="C149" s="231"/>
      <c r="D149" s="46"/>
      <c r="E149" s="42"/>
      <c r="F149" s="42"/>
      <c r="G149" s="41"/>
      <c r="H149" s="42"/>
      <c r="I149" s="47"/>
      <c r="J149" s="48"/>
      <c r="K149" s="51"/>
      <c r="L149" s="42"/>
      <c r="M149" s="41"/>
      <c r="N149" s="42"/>
      <c r="O149" s="42"/>
      <c r="P149" s="41"/>
      <c r="Q149" s="42"/>
      <c r="R149" s="42"/>
      <c r="S149" s="243"/>
      <c r="T149" s="257"/>
    </row>
    <row r="150" spans="1:20" ht="13.2">
      <c r="C150" s="232"/>
      <c r="D150" s="54"/>
      <c r="E150" s="55"/>
      <c r="F150" s="45"/>
      <c r="G150" s="56"/>
      <c r="H150" s="55"/>
      <c r="I150" s="57"/>
      <c r="J150" s="58"/>
      <c r="K150" s="59"/>
      <c r="L150" s="55"/>
      <c r="M150" s="58"/>
      <c r="N150" s="55"/>
      <c r="O150" s="55"/>
      <c r="P150" s="58"/>
      <c r="Q150" s="55"/>
      <c r="R150" s="55"/>
      <c r="S150" s="243"/>
      <c r="T150" s="258"/>
    </row>
    <row r="151" spans="1:20" ht="13.2">
      <c r="C151" s="233" t="s">
        <v>27</v>
      </c>
      <c r="D151" s="60" t="s">
        <v>45</v>
      </c>
      <c r="E151" s="8"/>
      <c r="F151" s="8" t="s">
        <v>12</v>
      </c>
      <c r="G151" s="60" t="s">
        <v>46</v>
      </c>
      <c r="H151" s="8"/>
      <c r="I151" s="8" t="s">
        <v>12</v>
      </c>
      <c r="J151" s="10" t="s">
        <v>16</v>
      </c>
      <c r="K151" s="8"/>
      <c r="L151" s="12" t="s">
        <v>12</v>
      </c>
      <c r="M151" s="10"/>
      <c r="N151" s="12"/>
      <c r="O151" s="12" t="s">
        <v>12</v>
      </c>
      <c r="P151" s="10" t="s">
        <v>47</v>
      </c>
      <c r="Q151" s="12"/>
      <c r="R151" s="12" t="s">
        <v>12</v>
      </c>
      <c r="S151" s="243"/>
      <c r="T151" s="259"/>
    </row>
    <row r="152" spans="1:20" ht="26.4">
      <c r="C152" s="234"/>
      <c r="D152" s="20" t="s">
        <v>20</v>
      </c>
      <c r="E152" s="5"/>
      <c r="F152" s="12" t="s">
        <v>12</v>
      </c>
      <c r="G152" s="20" t="s">
        <v>31</v>
      </c>
      <c r="H152" s="5"/>
      <c r="I152" s="12" t="s">
        <v>12</v>
      </c>
      <c r="J152" s="10" t="s">
        <v>33</v>
      </c>
      <c r="K152" s="5"/>
      <c r="L152" s="5" t="s">
        <v>12</v>
      </c>
      <c r="M152" s="10" t="s">
        <v>48</v>
      </c>
      <c r="N152" s="5"/>
      <c r="O152" s="5" t="s">
        <v>12</v>
      </c>
      <c r="P152" s="10" t="s">
        <v>33</v>
      </c>
      <c r="Q152" s="5"/>
      <c r="R152" s="5" t="s">
        <v>12</v>
      </c>
      <c r="S152" s="243"/>
      <c r="T152" s="257"/>
    </row>
    <row r="153" spans="1:20" ht="26.4">
      <c r="C153" s="234"/>
      <c r="D153" s="20" t="s">
        <v>31</v>
      </c>
      <c r="E153" s="5"/>
      <c r="F153" s="12" t="s">
        <v>12</v>
      </c>
      <c r="G153" s="20" t="s">
        <v>49</v>
      </c>
      <c r="H153" s="5" t="s">
        <v>13</v>
      </c>
      <c r="I153" s="12" t="s">
        <v>12</v>
      </c>
      <c r="J153" s="10" t="s">
        <v>32</v>
      </c>
      <c r="K153" s="5"/>
      <c r="L153" s="5" t="s">
        <v>12</v>
      </c>
      <c r="M153" s="10" t="s">
        <v>33</v>
      </c>
      <c r="N153" s="5"/>
      <c r="O153" s="5" t="s">
        <v>12</v>
      </c>
      <c r="P153" s="10" t="s">
        <v>50</v>
      </c>
      <c r="Q153" s="5" t="s">
        <v>5</v>
      </c>
      <c r="R153" s="5" t="s">
        <v>12</v>
      </c>
      <c r="S153" s="243"/>
      <c r="T153" s="257"/>
    </row>
    <row r="154" spans="1:20" ht="26.4">
      <c r="C154" s="234"/>
      <c r="D154" s="20" t="s">
        <v>29</v>
      </c>
      <c r="E154" s="5"/>
      <c r="F154" s="12" t="s">
        <v>12</v>
      </c>
      <c r="G154" s="20" t="s">
        <v>51</v>
      </c>
      <c r="H154" s="5"/>
      <c r="I154" s="12" t="s">
        <v>12</v>
      </c>
      <c r="J154" s="10" t="s">
        <v>20</v>
      </c>
      <c r="K154" s="5"/>
      <c r="L154" s="5" t="s">
        <v>12</v>
      </c>
      <c r="M154" s="10" t="s">
        <v>30</v>
      </c>
      <c r="N154" s="5" t="s">
        <v>5</v>
      </c>
      <c r="O154" s="5" t="s">
        <v>12</v>
      </c>
      <c r="P154" s="10" t="s">
        <v>20</v>
      </c>
      <c r="Q154" s="5"/>
      <c r="R154" s="5" t="s">
        <v>12</v>
      </c>
      <c r="S154" s="243"/>
      <c r="T154" s="257"/>
    </row>
    <row r="155" spans="1:20" ht="13.2">
      <c r="C155" s="234"/>
      <c r="D155" s="20" t="s">
        <v>36</v>
      </c>
      <c r="E155" s="5"/>
      <c r="F155" s="12" t="s">
        <v>12</v>
      </c>
      <c r="G155" s="20" t="s">
        <v>45</v>
      </c>
      <c r="H155" s="5"/>
      <c r="I155" s="12" t="s">
        <v>12</v>
      </c>
      <c r="J155" s="10" t="s">
        <v>52</v>
      </c>
      <c r="K155" s="5"/>
      <c r="L155" s="5" t="s">
        <v>12</v>
      </c>
      <c r="M155" s="10" t="s">
        <v>50</v>
      </c>
      <c r="N155" s="5"/>
      <c r="O155" s="5" t="s">
        <v>12</v>
      </c>
      <c r="P155" s="10" t="s">
        <v>26</v>
      </c>
      <c r="Q155" s="5"/>
      <c r="R155" s="5" t="s">
        <v>12</v>
      </c>
      <c r="S155" s="243"/>
      <c r="T155" s="257"/>
    </row>
    <row r="156" spans="1:20" ht="13.2">
      <c r="C156" s="234"/>
      <c r="D156" s="20" t="s">
        <v>53</v>
      </c>
      <c r="E156" s="5"/>
      <c r="F156" s="12" t="s">
        <v>12</v>
      </c>
      <c r="G156" s="20" t="s">
        <v>54</v>
      </c>
      <c r="H156" s="5"/>
      <c r="I156" s="12" t="s">
        <v>12</v>
      </c>
      <c r="J156" s="10" t="s">
        <v>34</v>
      </c>
      <c r="K156" s="5"/>
      <c r="L156" s="5" t="s">
        <v>12</v>
      </c>
      <c r="M156" s="18" t="s">
        <v>20</v>
      </c>
      <c r="N156" s="5"/>
      <c r="O156" s="5" t="s">
        <v>12</v>
      </c>
      <c r="P156" s="10" t="s">
        <v>35</v>
      </c>
      <c r="Q156" s="5" t="s">
        <v>13</v>
      </c>
      <c r="R156" s="5" t="s">
        <v>12</v>
      </c>
      <c r="S156" s="243"/>
      <c r="T156" s="257"/>
    </row>
    <row r="157" spans="1:20" ht="13.2">
      <c r="C157" s="234"/>
      <c r="D157" s="20"/>
      <c r="E157" s="5"/>
      <c r="F157" s="12" t="s">
        <v>12</v>
      </c>
      <c r="G157" s="20"/>
      <c r="H157" s="5"/>
      <c r="I157" s="12"/>
      <c r="J157" s="10" t="s">
        <v>35</v>
      </c>
      <c r="K157" s="5"/>
      <c r="L157" s="5" t="s">
        <v>12</v>
      </c>
      <c r="M157" s="10" t="s">
        <v>53</v>
      </c>
      <c r="N157" s="5"/>
      <c r="O157" s="5" t="s">
        <v>12</v>
      </c>
      <c r="P157" s="10" t="s">
        <v>55</v>
      </c>
      <c r="Q157" s="5"/>
      <c r="R157" s="5" t="s">
        <v>12</v>
      </c>
      <c r="S157" s="243"/>
      <c r="T157" s="257"/>
    </row>
    <row r="158" spans="1:20" ht="13.2">
      <c r="C158" s="234"/>
      <c r="D158" s="20"/>
      <c r="E158" s="5"/>
      <c r="F158" s="12"/>
      <c r="G158" s="20"/>
      <c r="H158" s="5"/>
      <c r="I158" s="12"/>
      <c r="J158" s="10" t="s">
        <v>36</v>
      </c>
      <c r="K158" s="5" t="s">
        <v>5</v>
      </c>
      <c r="L158" s="5" t="s">
        <v>12</v>
      </c>
      <c r="M158" s="10" t="s">
        <v>35</v>
      </c>
      <c r="N158" s="5"/>
      <c r="O158" s="5" t="s">
        <v>12</v>
      </c>
      <c r="P158" s="10" t="s">
        <v>36</v>
      </c>
      <c r="Q158" s="5"/>
      <c r="R158" s="5" t="s">
        <v>12</v>
      </c>
      <c r="S158" s="243"/>
      <c r="T158" s="257"/>
    </row>
    <row r="159" spans="1:20" ht="13.2">
      <c r="C159" s="234"/>
      <c r="D159" s="20"/>
      <c r="E159" s="5"/>
      <c r="F159" s="12"/>
      <c r="G159" s="20"/>
      <c r="H159" s="5"/>
      <c r="I159" s="12"/>
      <c r="J159" s="10" t="s">
        <v>58</v>
      </c>
      <c r="K159" s="5"/>
      <c r="L159" s="5" t="s">
        <v>4</v>
      </c>
      <c r="M159" s="10" t="s">
        <v>36</v>
      </c>
      <c r="N159" s="5"/>
      <c r="O159" s="5" t="s">
        <v>12</v>
      </c>
      <c r="P159" s="10"/>
      <c r="Q159" s="5"/>
      <c r="R159" s="5"/>
      <c r="S159" s="243"/>
      <c r="T159" s="257"/>
    </row>
    <row r="160" spans="1:20" ht="13.2">
      <c r="C160" s="234"/>
      <c r="D160" s="37"/>
      <c r="E160" s="37"/>
      <c r="F160" s="12"/>
      <c r="G160" s="37"/>
      <c r="H160" s="37"/>
      <c r="I160" s="12"/>
      <c r="J160" s="37"/>
      <c r="K160" s="37"/>
      <c r="L160" s="37"/>
      <c r="M160" s="64"/>
      <c r="N160" s="65"/>
      <c r="O160" s="37"/>
      <c r="P160" s="64"/>
      <c r="Q160" s="65"/>
      <c r="R160" s="37"/>
      <c r="S160" s="243"/>
      <c r="T160" s="257"/>
    </row>
    <row r="161" spans="1:21" ht="13.2">
      <c r="C161" s="235"/>
      <c r="D161" s="74"/>
      <c r="E161" s="26" t="s">
        <v>5</v>
      </c>
      <c r="F161" s="12"/>
      <c r="G161" s="74"/>
      <c r="H161" s="26" t="s">
        <v>5</v>
      </c>
      <c r="I161" s="12"/>
      <c r="J161" s="74"/>
      <c r="K161" s="26" t="s">
        <v>13</v>
      </c>
      <c r="L161" s="26"/>
      <c r="M161" s="28"/>
      <c r="N161" s="30"/>
      <c r="O161" s="26"/>
      <c r="P161" s="28"/>
      <c r="Q161" s="30"/>
      <c r="R161" s="26"/>
      <c r="S161" s="243"/>
      <c r="T161" s="258"/>
    </row>
    <row r="162" spans="1:21" ht="12.6">
      <c r="C162" s="251" t="s">
        <v>59</v>
      </c>
      <c r="D162" s="242"/>
      <c r="E162" s="242"/>
      <c r="F162" s="242"/>
      <c r="G162" s="242"/>
      <c r="H162" s="242"/>
      <c r="I162" s="242"/>
      <c r="J162" s="242"/>
      <c r="K162" s="242"/>
      <c r="L162" s="242"/>
      <c r="M162" s="242"/>
      <c r="N162" s="242"/>
      <c r="O162" s="242"/>
      <c r="P162" s="242"/>
      <c r="Q162" s="242"/>
      <c r="R162" s="252"/>
      <c r="S162" s="250"/>
      <c r="T162" s="2"/>
    </row>
    <row r="163" spans="1:21" ht="12.6">
      <c r="C163" s="253"/>
      <c r="D163" s="254"/>
      <c r="E163" s="254"/>
      <c r="F163" s="254"/>
      <c r="G163" s="254"/>
      <c r="H163" s="254"/>
      <c r="I163" s="254"/>
      <c r="J163" s="254"/>
      <c r="K163" s="254"/>
      <c r="L163" s="254"/>
      <c r="M163" s="254"/>
      <c r="N163" s="254"/>
      <c r="O163" s="254"/>
      <c r="P163" s="254"/>
      <c r="Q163" s="254"/>
      <c r="R163" s="255"/>
      <c r="T163" s="2"/>
    </row>
    <row r="164" spans="1:21" ht="12.6">
      <c r="T164" s="2"/>
    </row>
    <row r="165" spans="1:21" ht="12.6">
      <c r="T165" s="2"/>
    </row>
    <row r="166" spans="1:21" ht="16.2">
      <c r="D166" s="236">
        <v>45747</v>
      </c>
      <c r="E166" s="237"/>
      <c r="F166" s="238"/>
      <c r="G166" s="270"/>
      <c r="H166" s="237"/>
      <c r="I166" s="238"/>
      <c r="J166" s="270"/>
      <c r="K166" s="237"/>
      <c r="L166" s="238"/>
      <c r="M166" s="270"/>
      <c r="N166" s="237"/>
      <c r="O166" s="238"/>
      <c r="P166" s="270"/>
      <c r="Q166" s="237"/>
      <c r="R166" s="238"/>
      <c r="S166" s="268"/>
      <c r="T166" s="67" t="s">
        <v>38</v>
      </c>
      <c r="U166" s="13" t="s">
        <v>7</v>
      </c>
    </row>
    <row r="167" spans="1:21" ht="14.4">
      <c r="A167" s="5"/>
      <c r="B167" s="6" t="str">
        <f ca="1">IFERROR(__xludf.DUMMYFUNCTION("IMPORTRANGE(""https://docs.google.com/spreadsheets/d/1DSyV8tDqZ18nTTyVYUrGOoSmzgfuPJZyajxwAUVpWtY"",""Salarié.es!A3:A16"")"),"")</f>
        <v/>
      </c>
      <c r="C167" s="233" t="s">
        <v>2</v>
      </c>
      <c r="D167" s="81" t="s">
        <v>11</v>
      </c>
      <c r="E167" s="8"/>
      <c r="F167" s="8" t="s">
        <v>12</v>
      </c>
      <c r="G167" s="82"/>
      <c r="H167" s="83"/>
      <c r="I167" s="83"/>
      <c r="J167" s="84"/>
      <c r="K167" s="83"/>
      <c r="L167" s="83"/>
      <c r="M167" s="84"/>
      <c r="N167" s="83"/>
      <c r="O167" s="85"/>
      <c r="P167" s="84"/>
      <c r="Q167" s="83"/>
      <c r="R167" s="85"/>
      <c r="S167" s="243"/>
      <c r="T167" s="259" t="s">
        <v>41</v>
      </c>
    </row>
    <row r="168" spans="1:21" ht="13.2">
      <c r="A168" s="5"/>
      <c r="B168" s="14" t="str">
        <f ca="1">IFERROR(__xludf.DUMMYFUNCTION("""COMPUTED_VALUE"""),"Antonio")</f>
        <v>Antonio</v>
      </c>
      <c r="C168" s="234"/>
      <c r="D168" s="15" t="s">
        <v>20</v>
      </c>
      <c r="E168" s="5"/>
      <c r="F168" s="5" t="s">
        <v>12</v>
      </c>
      <c r="G168" s="86"/>
      <c r="H168" s="87"/>
      <c r="I168" s="87"/>
      <c r="J168" s="84"/>
      <c r="K168" s="87"/>
      <c r="L168" s="87"/>
      <c r="M168" s="84"/>
      <c r="N168" s="87"/>
      <c r="O168" s="87"/>
      <c r="P168" s="84"/>
      <c r="Q168" s="87"/>
      <c r="R168" s="87"/>
      <c r="S168" s="243"/>
      <c r="T168" s="257"/>
    </row>
    <row r="169" spans="1:21" ht="13.2">
      <c r="A169" s="5"/>
      <c r="B169" s="14" t="str">
        <f ca="1">IFERROR(__xludf.DUMMYFUNCTION("""COMPUTED_VALUE"""),"Laurence")</f>
        <v>Laurence</v>
      </c>
      <c r="C169" s="234"/>
      <c r="D169" s="15"/>
      <c r="E169" s="5"/>
      <c r="F169" s="5"/>
      <c r="G169" s="86"/>
      <c r="H169" s="87"/>
      <c r="I169" s="87"/>
      <c r="J169" s="84"/>
      <c r="K169" s="87"/>
      <c r="L169" s="87"/>
      <c r="M169" s="84"/>
      <c r="N169" s="87"/>
      <c r="O169" s="87"/>
      <c r="P169" s="84"/>
      <c r="Q169" s="87"/>
      <c r="R169" s="87"/>
      <c r="S169" s="243"/>
      <c r="T169" s="257"/>
    </row>
    <row r="170" spans="1:21" ht="13.2">
      <c r="A170" s="5"/>
      <c r="B170" s="14" t="str">
        <f ca="1">IFERROR(__xludf.DUMMYFUNCTION("""COMPUTED_VALUE"""),"Océane")</f>
        <v>Océane</v>
      </c>
      <c r="C170" s="234"/>
      <c r="D170" s="15"/>
      <c r="E170" s="5"/>
      <c r="F170" s="5"/>
      <c r="G170" s="86"/>
      <c r="H170" s="87"/>
      <c r="I170" s="87"/>
      <c r="J170" s="84"/>
      <c r="K170" s="87"/>
      <c r="L170" s="87"/>
      <c r="M170" s="88"/>
      <c r="N170" s="87"/>
      <c r="O170" s="87"/>
      <c r="P170" s="89"/>
      <c r="Q170" s="87"/>
      <c r="R170" s="87"/>
      <c r="S170" s="243"/>
      <c r="T170" s="257"/>
    </row>
    <row r="171" spans="1:21" ht="13.2">
      <c r="A171" s="5"/>
      <c r="B171" s="14" t="str">
        <f ca="1">IFERROR(__xludf.DUMMYFUNCTION("""COMPUTED_VALUE"""),"Elia")</f>
        <v>Elia</v>
      </c>
      <c r="C171" s="234"/>
      <c r="D171" s="15"/>
      <c r="E171" s="5"/>
      <c r="F171" s="5"/>
      <c r="G171" s="86"/>
      <c r="H171" s="87"/>
      <c r="I171" s="87"/>
      <c r="J171" s="84"/>
      <c r="K171" s="87"/>
      <c r="L171" s="87"/>
      <c r="M171" s="90"/>
      <c r="N171" s="87"/>
      <c r="O171" s="87"/>
      <c r="P171" s="89"/>
      <c r="Q171" s="87"/>
      <c r="R171" s="87"/>
      <c r="S171" s="243"/>
      <c r="T171" s="257"/>
    </row>
    <row r="172" spans="1:21" ht="13.2">
      <c r="A172" s="5"/>
      <c r="B172" s="14" t="str">
        <f ca="1">IFERROR(__xludf.DUMMYFUNCTION("""COMPUTED_VALUE"""),"Florine")</f>
        <v>Florine</v>
      </c>
      <c r="C172" s="234"/>
      <c r="D172" s="15"/>
      <c r="E172" s="5"/>
      <c r="F172" s="5"/>
      <c r="G172" s="86"/>
      <c r="H172" s="87"/>
      <c r="I172" s="87"/>
      <c r="J172" s="84"/>
      <c r="K172" s="87"/>
      <c r="L172" s="87"/>
      <c r="M172" s="90"/>
      <c r="N172" s="87"/>
      <c r="O172" s="87"/>
      <c r="P172" s="89"/>
      <c r="Q172" s="87"/>
      <c r="R172" s="87"/>
      <c r="S172" s="243"/>
      <c r="T172" s="257"/>
    </row>
    <row r="173" spans="1:21" ht="13.2">
      <c r="A173" s="246"/>
      <c r="B173" s="247"/>
      <c r="C173" s="234"/>
      <c r="D173" s="15"/>
      <c r="E173" s="5"/>
      <c r="F173" s="5"/>
      <c r="G173" s="86"/>
      <c r="H173" s="87"/>
      <c r="I173" s="87"/>
      <c r="J173" s="90"/>
      <c r="K173" s="87"/>
      <c r="L173" s="87"/>
      <c r="M173" s="86"/>
      <c r="N173" s="87"/>
      <c r="O173" s="87"/>
      <c r="P173" s="89"/>
      <c r="Q173" s="87"/>
      <c r="R173" s="87"/>
      <c r="S173" s="243"/>
      <c r="T173" s="257"/>
    </row>
    <row r="174" spans="1:21" ht="13.2">
      <c r="A174" s="248"/>
      <c r="B174" s="243"/>
      <c r="C174" s="234"/>
      <c r="D174" s="91"/>
      <c r="E174" s="5" t="s">
        <v>5</v>
      </c>
      <c r="F174" s="5"/>
      <c r="G174" s="86"/>
      <c r="H174" s="87"/>
      <c r="I174" s="87"/>
      <c r="J174" s="90"/>
      <c r="K174" s="87"/>
      <c r="L174" s="87"/>
      <c r="M174" s="86"/>
      <c r="N174" s="87"/>
      <c r="O174" s="87"/>
      <c r="P174" s="89"/>
      <c r="Q174" s="87"/>
      <c r="R174" s="87"/>
      <c r="S174" s="243"/>
      <c r="T174" s="257"/>
    </row>
    <row r="175" spans="1:21" ht="13.2">
      <c r="A175" s="248"/>
      <c r="B175" s="243"/>
      <c r="C175" s="235"/>
      <c r="D175" s="76"/>
      <c r="E175" s="26" t="s">
        <v>13</v>
      </c>
      <c r="F175" s="26"/>
      <c r="G175" s="92"/>
      <c r="H175" s="93"/>
      <c r="I175" s="93"/>
      <c r="J175" s="94"/>
      <c r="K175" s="93"/>
      <c r="L175" s="93"/>
      <c r="M175" s="92"/>
      <c r="N175" s="93"/>
      <c r="O175" s="93"/>
      <c r="P175" s="95"/>
      <c r="Q175" s="93"/>
      <c r="R175" s="93"/>
      <c r="S175" s="243"/>
      <c r="T175" s="258"/>
    </row>
    <row r="176" spans="1:21" ht="13.2">
      <c r="A176" s="249"/>
      <c r="B176" s="250"/>
      <c r="C176" s="230" t="s">
        <v>25</v>
      </c>
      <c r="D176" s="96" t="s">
        <v>11</v>
      </c>
      <c r="E176" s="42"/>
      <c r="F176" s="42" t="s">
        <v>12</v>
      </c>
      <c r="G176" s="90"/>
      <c r="H176" s="87"/>
      <c r="I176" s="97"/>
      <c r="J176" s="84"/>
      <c r="K176" s="98"/>
      <c r="L176" s="83"/>
      <c r="M176" s="84"/>
      <c r="N176" s="83"/>
      <c r="O176" s="83"/>
      <c r="P176" s="84"/>
      <c r="Q176" s="83"/>
      <c r="R176" s="83"/>
      <c r="S176" s="243"/>
      <c r="T176" s="256"/>
    </row>
    <row r="177" spans="2:20" ht="13.2">
      <c r="B177" s="69"/>
      <c r="C177" s="231"/>
      <c r="D177" s="46"/>
      <c r="E177" s="42"/>
      <c r="F177" s="42"/>
      <c r="G177" s="90"/>
      <c r="H177" s="87"/>
      <c r="I177" s="97"/>
      <c r="J177" s="84"/>
      <c r="K177" s="99"/>
      <c r="L177" s="85"/>
      <c r="M177" s="100"/>
      <c r="N177" s="85"/>
      <c r="O177" s="85"/>
      <c r="P177" s="100"/>
      <c r="Q177" s="85"/>
      <c r="R177" s="85"/>
      <c r="S177" s="243"/>
      <c r="T177" s="257"/>
    </row>
    <row r="178" spans="2:20" ht="13.2">
      <c r="B178" s="69"/>
      <c r="C178" s="231"/>
      <c r="D178" s="46"/>
      <c r="E178" s="42"/>
      <c r="F178" s="42"/>
      <c r="G178" s="90"/>
      <c r="H178" s="87"/>
      <c r="I178" s="97"/>
      <c r="J178" s="84"/>
      <c r="K178" s="99"/>
      <c r="L178" s="85"/>
      <c r="M178" s="100"/>
      <c r="N178" s="85"/>
      <c r="O178" s="85"/>
      <c r="P178" s="100"/>
      <c r="Q178" s="85"/>
      <c r="R178" s="85"/>
      <c r="S178" s="243"/>
      <c r="T178" s="257"/>
    </row>
    <row r="179" spans="2:20" ht="13.2">
      <c r="B179" s="69"/>
      <c r="C179" s="231"/>
      <c r="D179" s="46"/>
      <c r="E179" s="42"/>
      <c r="F179" s="42"/>
      <c r="G179" s="90"/>
      <c r="H179" s="87"/>
      <c r="I179" s="97"/>
      <c r="J179" s="84"/>
      <c r="K179" s="99"/>
      <c r="L179" s="87"/>
      <c r="M179" s="90"/>
      <c r="N179" s="87"/>
      <c r="O179" s="87"/>
      <c r="P179" s="90"/>
      <c r="Q179" s="87"/>
      <c r="R179" s="87"/>
      <c r="S179" s="243"/>
      <c r="T179" s="257"/>
    </row>
    <row r="180" spans="2:20" ht="13.2">
      <c r="B180" s="69"/>
      <c r="C180" s="232"/>
      <c r="D180" s="54"/>
      <c r="E180" s="55"/>
      <c r="F180" s="45"/>
      <c r="G180" s="92"/>
      <c r="H180" s="93"/>
      <c r="I180" s="101"/>
      <c r="J180" s="94"/>
      <c r="K180" s="102"/>
      <c r="L180" s="93"/>
      <c r="M180" s="94"/>
      <c r="N180" s="93"/>
      <c r="O180" s="93"/>
      <c r="P180" s="94"/>
      <c r="Q180" s="93"/>
      <c r="R180" s="93"/>
      <c r="S180" s="243"/>
      <c r="T180" s="258"/>
    </row>
    <row r="181" spans="2:20" ht="13.2">
      <c r="C181" s="233" t="s">
        <v>27</v>
      </c>
      <c r="D181" s="60" t="s">
        <v>45</v>
      </c>
      <c r="E181" s="8"/>
      <c r="F181" s="8" t="s">
        <v>12</v>
      </c>
      <c r="G181" s="103"/>
      <c r="H181" s="83"/>
      <c r="I181" s="83"/>
      <c r="J181" s="84"/>
      <c r="K181" s="83"/>
      <c r="L181" s="85"/>
      <c r="M181" s="84"/>
      <c r="N181" s="85"/>
      <c r="O181" s="85"/>
      <c r="P181" s="84"/>
      <c r="Q181" s="85"/>
      <c r="R181" s="85"/>
      <c r="S181" s="243"/>
      <c r="T181" s="259"/>
    </row>
    <row r="182" spans="2:20" ht="13.2">
      <c r="C182" s="234"/>
      <c r="D182" s="20" t="s">
        <v>20</v>
      </c>
      <c r="E182" s="5"/>
      <c r="F182" s="12" t="s">
        <v>12</v>
      </c>
      <c r="G182" s="90"/>
      <c r="H182" s="87"/>
      <c r="I182" s="85"/>
      <c r="J182" s="84"/>
      <c r="K182" s="87"/>
      <c r="L182" s="87"/>
      <c r="M182" s="84"/>
      <c r="N182" s="87"/>
      <c r="O182" s="87"/>
      <c r="P182" s="84"/>
      <c r="Q182" s="87"/>
      <c r="R182" s="87"/>
      <c r="S182" s="243"/>
      <c r="T182" s="257"/>
    </row>
    <row r="183" spans="2:20" ht="13.2">
      <c r="C183" s="234"/>
      <c r="D183" s="20" t="s">
        <v>31</v>
      </c>
      <c r="E183" s="5"/>
      <c r="F183" s="12" t="s">
        <v>12</v>
      </c>
      <c r="G183" s="90"/>
      <c r="H183" s="87"/>
      <c r="I183" s="85"/>
      <c r="J183" s="84"/>
      <c r="K183" s="87"/>
      <c r="L183" s="87"/>
      <c r="M183" s="84"/>
      <c r="N183" s="87"/>
      <c r="O183" s="87"/>
      <c r="P183" s="84"/>
      <c r="Q183" s="87"/>
      <c r="R183" s="87"/>
      <c r="S183" s="243"/>
      <c r="T183" s="257"/>
    </row>
    <row r="184" spans="2:20" ht="13.2">
      <c r="C184" s="234"/>
      <c r="D184" s="20" t="s">
        <v>29</v>
      </c>
      <c r="E184" s="5"/>
      <c r="F184" s="12" t="s">
        <v>12</v>
      </c>
      <c r="G184" s="90"/>
      <c r="H184" s="87"/>
      <c r="I184" s="85"/>
      <c r="J184" s="84"/>
      <c r="K184" s="87"/>
      <c r="L184" s="87"/>
      <c r="M184" s="84"/>
      <c r="N184" s="87"/>
      <c r="O184" s="87"/>
      <c r="P184" s="84"/>
      <c r="Q184" s="87"/>
      <c r="R184" s="87"/>
      <c r="S184" s="243"/>
      <c r="T184" s="257"/>
    </row>
    <row r="185" spans="2:20" ht="13.2">
      <c r="C185" s="234"/>
      <c r="D185" s="20" t="s">
        <v>36</v>
      </c>
      <c r="E185" s="5"/>
      <c r="F185" s="12" t="s">
        <v>12</v>
      </c>
      <c r="G185" s="90"/>
      <c r="H185" s="87"/>
      <c r="I185" s="85"/>
      <c r="J185" s="84"/>
      <c r="K185" s="87"/>
      <c r="L185" s="87"/>
      <c r="M185" s="84"/>
      <c r="N185" s="87"/>
      <c r="O185" s="87"/>
      <c r="P185" s="84"/>
      <c r="Q185" s="87"/>
      <c r="R185" s="87"/>
      <c r="S185" s="243"/>
      <c r="T185" s="257"/>
    </row>
    <row r="186" spans="2:20" ht="13.2">
      <c r="C186" s="234"/>
      <c r="D186" s="20" t="s">
        <v>53</v>
      </c>
      <c r="E186" s="5"/>
      <c r="F186" s="12" t="s">
        <v>12</v>
      </c>
      <c r="G186" s="90"/>
      <c r="H186" s="87"/>
      <c r="I186" s="85"/>
      <c r="J186" s="84"/>
      <c r="K186" s="87"/>
      <c r="L186" s="87"/>
      <c r="M186" s="88"/>
      <c r="N186" s="87"/>
      <c r="O186" s="87"/>
      <c r="P186" s="84"/>
      <c r="Q186" s="87"/>
      <c r="R186" s="87"/>
      <c r="S186" s="243"/>
      <c r="T186" s="257"/>
    </row>
    <row r="187" spans="2:20" ht="13.2">
      <c r="C187" s="234"/>
      <c r="D187" s="23" t="s">
        <v>11</v>
      </c>
      <c r="E187" s="5"/>
      <c r="F187" s="12" t="s">
        <v>12</v>
      </c>
      <c r="G187" s="90"/>
      <c r="H187" s="87"/>
      <c r="I187" s="85"/>
      <c r="J187" s="84"/>
      <c r="K187" s="87"/>
      <c r="L187" s="87"/>
      <c r="M187" s="84"/>
      <c r="N187" s="87"/>
      <c r="O187" s="87"/>
      <c r="P187" s="84"/>
      <c r="Q187" s="87"/>
      <c r="R187" s="87"/>
      <c r="S187" s="243"/>
      <c r="T187" s="257"/>
    </row>
    <row r="188" spans="2:20" ht="13.2">
      <c r="C188" s="234"/>
      <c r="D188" s="20"/>
      <c r="E188" s="5"/>
      <c r="F188" s="12"/>
      <c r="G188" s="90"/>
      <c r="H188" s="87"/>
      <c r="I188" s="85"/>
      <c r="J188" s="84"/>
      <c r="K188" s="87"/>
      <c r="L188" s="87"/>
      <c r="M188" s="84"/>
      <c r="N188" s="87"/>
      <c r="O188" s="87"/>
      <c r="P188" s="84"/>
      <c r="Q188" s="87"/>
      <c r="R188" s="87"/>
      <c r="S188" s="243"/>
      <c r="T188" s="257"/>
    </row>
    <row r="189" spans="2:20" ht="13.2">
      <c r="C189" s="234"/>
      <c r="D189" s="37"/>
      <c r="E189" s="37"/>
      <c r="F189" s="12"/>
      <c r="G189" s="104"/>
      <c r="H189" s="104"/>
      <c r="I189" s="85"/>
      <c r="J189" s="104"/>
      <c r="K189" s="104"/>
      <c r="L189" s="104"/>
      <c r="M189" s="105"/>
      <c r="N189" s="104"/>
      <c r="O189" s="104"/>
      <c r="P189" s="105"/>
      <c r="Q189" s="104"/>
      <c r="R189" s="104"/>
      <c r="S189" s="243"/>
      <c r="T189" s="257"/>
    </row>
    <row r="190" spans="2:20" ht="13.2">
      <c r="C190" s="234"/>
      <c r="D190" s="106"/>
      <c r="E190" s="37" t="s">
        <v>13</v>
      </c>
      <c r="F190" s="12"/>
      <c r="G190" s="104"/>
      <c r="H190" s="104"/>
      <c r="I190" s="85"/>
      <c r="J190" s="104"/>
      <c r="K190" s="104"/>
      <c r="L190" s="104"/>
      <c r="M190" s="105"/>
      <c r="N190" s="104"/>
      <c r="O190" s="104"/>
      <c r="P190" s="105"/>
      <c r="Q190" s="104"/>
      <c r="R190" s="104"/>
      <c r="S190" s="243"/>
      <c r="T190" s="257"/>
    </row>
    <row r="191" spans="2:20" ht="13.2">
      <c r="C191" s="235"/>
      <c r="D191" s="74"/>
      <c r="E191" s="26" t="s">
        <v>5</v>
      </c>
      <c r="F191" s="12"/>
      <c r="G191" s="93"/>
      <c r="H191" s="93"/>
      <c r="I191" s="85"/>
      <c r="J191" s="93"/>
      <c r="K191" s="93"/>
      <c r="L191" s="93"/>
      <c r="M191" s="94"/>
      <c r="N191" s="93"/>
      <c r="O191" s="93"/>
      <c r="P191" s="94"/>
      <c r="Q191" s="93"/>
      <c r="R191" s="93"/>
      <c r="S191" s="243"/>
      <c r="T191" s="258"/>
    </row>
    <row r="192" spans="2:20" ht="12.6">
      <c r="C192" s="251"/>
      <c r="D192" s="242"/>
      <c r="E192" s="242"/>
      <c r="F192" s="242"/>
      <c r="G192" s="242"/>
      <c r="H192" s="242"/>
      <c r="I192" s="242"/>
      <c r="J192" s="242"/>
      <c r="K192" s="242"/>
      <c r="L192" s="242"/>
      <c r="M192" s="242"/>
      <c r="N192" s="242"/>
      <c r="O192" s="242"/>
      <c r="P192" s="242"/>
      <c r="Q192" s="242"/>
      <c r="R192" s="252"/>
      <c r="S192" s="250"/>
      <c r="T192" s="2"/>
    </row>
    <row r="193" spans="2:20" ht="12.6">
      <c r="C193" s="253"/>
      <c r="D193" s="254"/>
      <c r="E193" s="254"/>
      <c r="F193" s="254"/>
      <c r="G193" s="254"/>
      <c r="H193" s="254"/>
      <c r="I193" s="254"/>
      <c r="J193" s="254"/>
      <c r="K193" s="254"/>
      <c r="L193" s="254"/>
      <c r="M193" s="254"/>
      <c r="N193" s="254"/>
      <c r="O193" s="254"/>
      <c r="P193" s="254"/>
      <c r="Q193" s="254"/>
      <c r="R193" s="255"/>
      <c r="T193" s="2"/>
    </row>
    <row r="194" spans="2:20" ht="12.6">
      <c r="T194" s="2"/>
    </row>
    <row r="195" spans="2:20" ht="12.6">
      <c r="B195" s="107"/>
      <c r="C195" s="107"/>
      <c r="D195" s="107"/>
      <c r="E195" s="107"/>
      <c r="T195" s="2"/>
    </row>
    <row r="196" spans="2:20" ht="12.6">
      <c r="B196" s="107"/>
      <c r="C196" s="24" t="s">
        <v>60</v>
      </c>
      <c r="D196" s="24" t="s">
        <v>61</v>
      </c>
      <c r="E196" s="107"/>
      <c r="T196" s="2"/>
    </row>
    <row r="197" spans="2:20" ht="12.6">
      <c r="B197" s="107"/>
      <c r="C197" s="24"/>
      <c r="D197" s="24"/>
      <c r="E197" s="107"/>
      <c r="T197" s="2"/>
    </row>
    <row r="198" spans="2:20" ht="12.6">
      <c r="T198" s="2"/>
    </row>
    <row r="199" spans="2:20" ht="12.6">
      <c r="T199" s="2"/>
    </row>
    <row r="200" spans="2:20" ht="12.6">
      <c r="T200" s="2"/>
    </row>
    <row r="201" spans="2:20" ht="50.4">
      <c r="C201" s="108" t="s">
        <v>62</v>
      </c>
      <c r="D201" s="109" t="s">
        <v>63</v>
      </c>
      <c r="E201" s="110" t="s">
        <v>64</v>
      </c>
      <c r="F201" s="111" t="s">
        <v>65</v>
      </c>
      <c r="G201" s="112" t="s">
        <v>66</v>
      </c>
      <c r="T201" s="2"/>
    </row>
    <row r="202" spans="2:20" ht="13.2">
      <c r="C202" s="113" t="s">
        <v>36</v>
      </c>
      <c r="D202" s="114">
        <v>9</v>
      </c>
      <c r="E202" s="115">
        <f>9</f>
        <v>9</v>
      </c>
      <c r="F202" s="115" t="s">
        <v>67</v>
      </c>
      <c r="G202" s="116"/>
      <c r="T202" s="2"/>
    </row>
    <row r="203" spans="2:20" ht="13.2">
      <c r="C203" s="113" t="s">
        <v>18</v>
      </c>
      <c r="D203" s="117">
        <v>3</v>
      </c>
      <c r="E203" s="118"/>
      <c r="F203" s="118" t="s">
        <v>68</v>
      </c>
      <c r="G203" s="119"/>
      <c r="T203" s="2"/>
    </row>
    <row r="204" spans="2:20" ht="13.2">
      <c r="C204" s="113" t="s">
        <v>20</v>
      </c>
      <c r="D204" s="114">
        <v>21</v>
      </c>
      <c r="E204" s="115">
        <v>6</v>
      </c>
      <c r="F204" s="115" t="s">
        <v>69</v>
      </c>
      <c r="G204" s="116"/>
      <c r="T204" s="2"/>
    </row>
    <row r="205" spans="2:20" ht="13.2">
      <c r="C205" s="113" t="s">
        <v>47</v>
      </c>
      <c r="D205" s="120">
        <v>12</v>
      </c>
      <c r="E205" s="121"/>
      <c r="F205" s="121">
        <v>12</v>
      </c>
      <c r="G205" s="122" t="s">
        <v>70</v>
      </c>
      <c r="T205" s="2"/>
    </row>
    <row r="206" spans="2:20" ht="13.2">
      <c r="C206" s="113" t="s">
        <v>52</v>
      </c>
      <c r="D206" s="123">
        <v>15</v>
      </c>
      <c r="E206" s="124">
        <v>3</v>
      </c>
      <c r="F206" s="124" t="s">
        <v>67</v>
      </c>
      <c r="G206" s="125"/>
      <c r="T206" s="2"/>
    </row>
    <row r="207" spans="2:20" ht="13.2">
      <c r="C207" s="113" t="s">
        <v>71</v>
      </c>
      <c r="D207" s="120">
        <v>5</v>
      </c>
      <c r="E207" s="121"/>
      <c r="F207" s="121" t="s">
        <v>72</v>
      </c>
      <c r="G207" s="122"/>
      <c r="T207" s="2"/>
    </row>
    <row r="208" spans="2:20" ht="13.2">
      <c r="C208" s="126" t="s">
        <v>11</v>
      </c>
      <c r="D208" s="127">
        <v>78</v>
      </c>
      <c r="E208" s="128">
        <v>48</v>
      </c>
      <c r="F208" s="128" t="s">
        <v>73</v>
      </c>
      <c r="G208" s="129" t="s">
        <v>74</v>
      </c>
      <c r="T208" s="2"/>
    </row>
    <row r="209" spans="3:20" ht="13.2">
      <c r="C209" s="113" t="s">
        <v>50</v>
      </c>
      <c r="D209" s="120">
        <v>18</v>
      </c>
      <c r="E209" s="121">
        <v>3</v>
      </c>
      <c r="F209" s="121" t="s">
        <v>75</v>
      </c>
      <c r="G209" s="122"/>
      <c r="T209" s="2"/>
    </row>
    <row r="210" spans="3:20" ht="13.2">
      <c r="C210" s="130" t="s">
        <v>76</v>
      </c>
      <c r="D210" s="131">
        <v>31</v>
      </c>
      <c r="E210" s="132">
        <v>8</v>
      </c>
      <c r="F210" s="133" t="s">
        <v>77</v>
      </c>
      <c r="G210" s="134" t="s">
        <v>78</v>
      </c>
      <c r="T210" s="2"/>
    </row>
    <row r="211" spans="3:20" ht="13.2">
      <c r="C211" s="113" t="s">
        <v>79</v>
      </c>
      <c r="D211" s="120">
        <v>12</v>
      </c>
      <c r="E211" s="121">
        <v>6</v>
      </c>
      <c r="F211" s="121" t="s">
        <v>67</v>
      </c>
      <c r="G211" s="122"/>
      <c r="T211" s="2"/>
    </row>
    <row r="212" spans="3:20" ht="13.2">
      <c r="C212" s="113" t="s">
        <v>48</v>
      </c>
      <c r="D212" s="123">
        <v>0</v>
      </c>
      <c r="E212" s="124">
        <v>3</v>
      </c>
      <c r="F212" s="124">
        <v>3</v>
      </c>
      <c r="G212" s="125" t="s">
        <v>74</v>
      </c>
      <c r="T212" s="2"/>
    </row>
    <row r="213" spans="3:20" ht="13.2">
      <c r="C213" s="113" t="s">
        <v>80</v>
      </c>
      <c r="D213" s="120">
        <v>3</v>
      </c>
      <c r="E213" s="121"/>
      <c r="F213" s="121" t="s">
        <v>68</v>
      </c>
      <c r="G213" s="122"/>
      <c r="T213" s="2"/>
    </row>
    <row r="214" spans="3:20" ht="13.2">
      <c r="C214" s="113" t="s">
        <v>53</v>
      </c>
      <c r="D214" s="123">
        <v>15</v>
      </c>
      <c r="E214" s="124"/>
      <c r="F214" s="124">
        <v>15</v>
      </c>
      <c r="G214" s="125"/>
      <c r="T214" s="2"/>
    </row>
    <row r="215" spans="3:20" ht="13.2">
      <c r="C215" s="113" t="s">
        <v>32</v>
      </c>
      <c r="D215" s="120">
        <v>27</v>
      </c>
      <c r="E215" s="121">
        <v>12</v>
      </c>
      <c r="F215" s="133" t="s">
        <v>81</v>
      </c>
      <c r="G215" s="135" t="s">
        <v>78</v>
      </c>
      <c r="T215" s="2"/>
    </row>
    <row r="216" spans="3:20" ht="13.2">
      <c r="C216" s="113" t="s">
        <v>82</v>
      </c>
      <c r="D216" s="123">
        <v>5</v>
      </c>
      <c r="E216" s="124"/>
      <c r="F216" s="124" t="s">
        <v>72</v>
      </c>
      <c r="G216" s="125"/>
      <c r="T216" s="2"/>
    </row>
    <row r="217" spans="3:20" ht="13.2">
      <c r="C217" s="113" t="s">
        <v>83</v>
      </c>
      <c r="D217" s="120">
        <v>3.5</v>
      </c>
      <c r="E217" s="121">
        <v>3.5</v>
      </c>
      <c r="F217" s="121">
        <v>7</v>
      </c>
      <c r="G217" s="122"/>
      <c r="T217" s="2"/>
    </row>
    <row r="218" spans="3:20" ht="13.2">
      <c r="C218" s="113" t="s">
        <v>30</v>
      </c>
      <c r="D218" s="123">
        <v>9</v>
      </c>
      <c r="E218" s="124">
        <v>6</v>
      </c>
      <c r="F218" s="124" t="s">
        <v>84</v>
      </c>
      <c r="G218" s="125"/>
      <c r="T218" s="2"/>
    </row>
    <row r="219" spans="3:20" ht="13.2">
      <c r="C219" s="113" t="s">
        <v>85</v>
      </c>
      <c r="D219" s="120">
        <v>24</v>
      </c>
      <c r="E219" s="121">
        <v>9</v>
      </c>
      <c r="F219" s="133" t="s">
        <v>86</v>
      </c>
      <c r="G219" s="135" t="s">
        <v>78</v>
      </c>
      <c r="T219" s="2"/>
    </row>
    <row r="220" spans="3:20" ht="13.2">
      <c r="C220" s="113" t="s">
        <v>87</v>
      </c>
      <c r="D220" s="123">
        <v>21</v>
      </c>
      <c r="E220" s="124">
        <v>8</v>
      </c>
      <c r="F220" s="124">
        <v>29</v>
      </c>
      <c r="G220" s="125"/>
      <c r="T220" s="2"/>
    </row>
    <row r="221" spans="3:20" ht="13.2">
      <c r="C221" s="113" t="s">
        <v>88</v>
      </c>
      <c r="D221" s="120">
        <v>3</v>
      </c>
      <c r="E221" s="121"/>
      <c r="F221" s="121" t="s">
        <v>68</v>
      </c>
      <c r="G221" s="122"/>
      <c r="T221" s="2"/>
    </row>
    <row r="222" spans="3:20" ht="13.2">
      <c r="C222" s="113" t="s">
        <v>89</v>
      </c>
      <c r="D222" s="123">
        <v>9</v>
      </c>
      <c r="E222" s="124">
        <v>6</v>
      </c>
      <c r="F222" s="124" t="s">
        <v>84</v>
      </c>
      <c r="G222" s="125"/>
      <c r="T222" s="2"/>
    </row>
    <row r="223" spans="3:20" ht="13.2">
      <c r="C223" s="113" t="s">
        <v>90</v>
      </c>
      <c r="D223" s="120">
        <v>0</v>
      </c>
      <c r="E223" s="121">
        <v>9</v>
      </c>
      <c r="F223" s="121" t="s">
        <v>91</v>
      </c>
      <c r="G223" s="122" t="s">
        <v>92</v>
      </c>
      <c r="T223" s="2"/>
    </row>
    <row r="224" spans="3:20" ht="13.2">
      <c r="C224" s="113" t="s">
        <v>93</v>
      </c>
      <c r="D224" s="123">
        <v>9</v>
      </c>
      <c r="E224" s="124">
        <v>3</v>
      </c>
      <c r="F224" s="124" t="s">
        <v>94</v>
      </c>
      <c r="G224" s="125"/>
      <c r="T224" s="2"/>
    </row>
    <row r="225" spans="3:20" ht="13.2">
      <c r="C225" s="136" t="s">
        <v>95</v>
      </c>
      <c r="D225" s="137">
        <v>11</v>
      </c>
      <c r="E225" s="138">
        <v>8</v>
      </c>
      <c r="F225" s="138" t="s">
        <v>96</v>
      </c>
      <c r="G225" s="139"/>
      <c r="T225" s="2"/>
    </row>
    <row r="226" spans="3:20" ht="12.6">
      <c r="T226" s="2"/>
    </row>
    <row r="227" spans="3:20" ht="12.6">
      <c r="T227" s="2"/>
    </row>
    <row r="228" spans="3:20" ht="12.6">
      <c r="T228" s="2"/>
    </row>
    <row r="229" spans="3:20" ht="12.6">
      <c r="T229" s="2"/>
    </row>
    <row r="230" spans="3:20" ht="12.6">
      <c r="T230" s="2"/>
    </row>
    <row r="231" spans="3:20" ht="12.6">
      <c r="T231" s="2"/>
    </row>
    <row r="232" spans="3:20" ht="12.6">
      <c r="T232" s="2"/>
    </row>
    <row r="233" spans="3:20" ht="12.6">
      <c r="T233" s="2"/>
    </row>
    <row r="234" spans="3:20" ht="12.6">
      <c r="T234" s="2"/>
    </row>
    <row r="235" spans="3:20" ht="12.6">
      <c r="T235" s="2"/>
    </row>
    <row r="236" spans="3:20" ht="12.6">
      <c r="T236" s="2"/>
    </row>
    <row r="237" spans="3:20" ht="12.6">
      <c r="T237" s="2"/>
    </row>
    <row r="238" spans="3:20" ht="12.6">
      <c r="T238" s="2"/>
    </row>
    <row r="239" spans="3:20" ht="12.6">
      <c r="T239" s="2"/>
    </row>
    <row r="240" spans="3:20" ht="12.6">
      <c r="T240" s="2"/>
    </row>
    <row r="241" spans="20:20" ht="12.6">
      <c r="T241" s="2"/>
    </row>
    <row r="242" spans="20:20" ht="12.6">
      <c r="T242" s="2"/>
    </row>
    <row r="243" spans="20:20" ht="12.6">
      <c r="T243" s="2"/>
    </row>
    <row r="244" spans="20:20" ht="12.6">
      <c r="T244" s="2"/>
    </row>
    <row r="245" spans="20:20" ht="12.6">
      <c r="T245" s="2"/>
    </row>
    <row r="246" spans="20:20" ht="12.6">
      <c r="T246" s="2"/>
    </row>
    <row r="247" spans="20:20" ht="12.6">
      <c r="T247" s="2"/>
    </row>
    <row r="248" spans="20:20" ht="12.6">
      <c r="T248" s="2"/>
    </row>
    <row r="249" spans="20:20" ht="12.6">
      <c r="T249" s="2"/>
    </row>
    <row r="250" spans="20:20" ht="12.6">
      <c r="T250" s="2"/>
    </row>
    <row r="251" spans="20:20" ht="12.6">
      <c r="T251" s="2"/>
    </row>
    <row r="252" spans="20:20" ht="12.6">
      <c r="T252" s="2"/>
    </row>
    <row r="253" spans="20:20" ht="12.6">
      <c r="T253" s="2"/>
    </row>
    <row r="254" spans="20:20" ht="12.6">
      <c r="T254" s="2"/>
    </row>
    <row r="255" spans="20:20" ht="12.6">
      <c r="T255" s="2"/>
    </row>
    <row r="256" spans="20:20" ht="12.6">
      <c r="T256" s="2"/>
    </row>
    <row r="257" spans="20:20" ht="12.6">
      <c r="T257" s="2"/>
    </row>
    <row r="258" spans="20:20" ht="12.6">
      <c r="T258" s="2"/>
    </row>
    <row r="259" spans="20:20" ht="12.6">
      <c r="T259" s="2"/>
    </row>
    <row r="260" spans="20:20" ht="12.6">
      <c r="T260" s="2"/>
    </row>
    <row r="261" spans="20:20" ht="12.6">
      <c r="T261" s="2"/>
    </row>
    <row r="262" spans="20:20" ht="12.6">
      <c r="T262" s="2"/>
    </row>
    <row r="263" spans="20:20" ht="12.6">
      <c r="T263" s="2"/>
    </row>
    <row r="264" spans="20:20" ht="12.6">
      <c r="T264" s="2"/>
    </row>
    <row r="265" spans="20:20" ht="12.6">
      <c r="T265" s="2"/>
    </row>
    <row r="266" spans="20:20" ht="12.6">
      <c r="T266" s="2"/>
    </row>
    <row r="267" spans="20:20" ht="12.6">
      <c r="T267" s="2"/>
    </row>
    <row r="268" spans="20:20" ht="12.6">
      <c r="T268" s="2"/>
    </row>
    <row r="269" spans="20:20" ht="12.6">
      <c r="T269" s="2"/>
    </row>
    <row r="270" spans="20:20" ht="12.6">
      <c r="T270" s="2"/>
    </row>
    <row r="271" spans="20:20" ht="12.6">
      <c r="T271" s="2"/>
    </row>
    <row r="272" spans="20:20" ht="12.6">
      <c r="T272" s="2"/>
    </row>
    <row r="273" spans="20:20" ht="12.6">
      <c r="T273" s="2"/>
    </row>
    <row r="274" spans="20:20" ht="12.6">
      <c r="T274" s="2"/>
    </row>
    <row r="275" spans="20:20" ht="12.6">
      <c r="T275" s="2"/>
    </row>
    <row r="276" spans="20:20" ht="12.6">
      <c r="T276" s="2"/>
    </row>
    <row r="277" spans="20:20" ht="12.6">
      <c r="T277" s="2"/>
    </row>
    <row r="278" spans="20:20" ht="12.6">
      <c r="T278" s="2"/>
    </row>
    <row r="279" spans="20:20" ht="12.6">
      <c r="T279" s="2"/>
    </row>
    <row r="280" spans="20:20" ht="12.6">
      <c r="T280" s="2"/>
    </row>
    <row r="281" spans="20:20" ht="12.6">
      <c r="T281" s="2"/>
    </row>
    <row r="282" spans="20:20" ht="12.6">
      <c r="T282" s="2"/>
    </row>
    <row r="283" spans="20:20" ht="12.6">
      <c r="T283" s="2"/>
    </row>
    <row r="284" spans="20:20" ht="12.6">
      <c r="T284" s="2"/>
    </row>
    <row r="285" spans="20:20" ht="12.6">
      <c r="T285" s="2"/>
    </row>
    <row r="286" spans="20:20" ht="12.6">
      <c r="T286" s="2"/>
    </row>
    <row r="287" spans="20:20" ht="12.6">
      <c r="T287" s="2"/>
    </row>
    <row r="288" spans="20:20" ht="12.6">
      <c r="T288" s="2"/>
    </row>
    <row r="289" spans="20:20" ht="12.6">
      <c r="T289" s="2"/>
    </row>
    <row r="290" spans="20:20" ht="12.6">
      <c r="T290" s="2"/>
    </row>
    <row r="291" spans="20:20" ht="12.6">
      <c r="T291" s="2"/>
    </row>
    <row r="292" spans="20:20" ht="12.6">
      <c r="T292" s="2"/>
    </row>
    <row r="293" spans="20:20" ht="12.6">
      <c r="T293" s="2"/>
    </row>
    <row r="294" spans="20:20" ht="12.6">
      <c r="T294" s="2"/>
    </row>
    <row r="295" spans="20:20" ht="12.6">
      <c r="T295" s="2"/>
    </row>
    <row r="296" spans="20:20" ht="12.6">
      <c r="T296" s="2"/>
    </row>
    <row r="297" spans="20:20" ht="12.6">
      <c r="T297" s="2"/>
    </row>
    <row r="298" spans="20:20" ht="12.6">
      <c r="T298" s="2"/>
    </row>
    <row r="299" spans="20:20" ht="12.6">
      <c r="T299" s="2"/>
    </row>
    <row r="300" spans="20:20" ht="12.6">
      <c r="T300" s="2"/>
    </row>
    <row r="301" spans="20:20" ht="12.6">
      <c r="T301" s="2"/>
    </row>
    <row r="302" spans="20:20" ht="12.6">
      <c r="T302" s="2"/>
    </row>
    <row r="303" spans="20:20" ht="12.6">
      <c r="T303" s="2"/>
    </row>
    <row r="304" spans="20:20" ht="12.6">
      <c r="T304" s="2"/>
    </row>
    <row r="305" spans="20:20" ht="12.6">
      <c r="T305" s="2"/>
    </row>
    <row r="306" spans="20:20" ht="12.6">
      <c r="T306" s="2"/>
    </row>
    <row r="307" spans="20:20" ht="12.6">
      <c r="T307" s="2"/>
    </row>
    <row r="308" spans="20:20" ht="12.6">
      <c r="T308" s="2"/>
    </row>
    <row r="309" spans="20:20" ht="12.6">
      <c r="T309" s="2"/>
    </row>
    <row r="310" spans="20:20" ht="12.6">
      <c r="T310" s="2"/>
    </row>
    <row r="311" spans="20:20" ht="12.6">
      <c r="T311" s="2"/>
    </row>
    <row r="312" spans="20:20" ht="12.6">
      <c r="T312" s="2"/>
    </row>
    <row r="313" spans="20:20" ht="12.6">
      <c r="T313" s="2"/>
    </row>
    <row r="314" spans="20:20" ht="12.6">
      <c r="T314" s="2"/>
    </row>
    <row r="315" spans="20:20" ht="12.6">
      <c r="T315" s="2"/>
    </row>
    <row r="316" spans="20:20" ht="12.6">
      <c r="T316" s="2"/>
    </row>
    <row r="317" spans="20:20" ht="12.6">
      <c r="T317" s="2"/>
    </row>
    <row r="318" spans="20:20" ht="12.6">
      <c r="T318" s="2"/>
    </row>
    <row r="319" spans="20:20" ht="12.6">
      <c r="T319" s="2"/>
    </row>
    <row r="320" spans="20:20" ht="12.6">
      <c r="T320" s="2"/>
    </row>
    <row r="321" spans="20:20" ht="12.6">
      <c r="T321" s="2"/>
    </row>
    <row r="322" spans="20:20" ht="12.6">
      <c r="T322" s="2"/>
    </row>
    <row r="323" spans="20:20" ht="12.6">
      <c r="T323" s="2"/>
    </row>
    <row r="324" spans="20:20" ht="12.6">
      <c r="T324" s="2"/>
    </row>
    <row r="325" spans="20:20" ht="12.6">
      <c r="T325" s="2"/>
    </row>
    <row r="326" spans="20:20" ht="12.6">
      <c r="T326" s="2"/>
    </row>
    <row r="327" spans="20:20" ht="12.6">
      <c r="T327" s="2"/>
    </row>
    <row r="328" spans="20:20" ht="12.6">
      <c r="T328" s="2"/>
    </row>
    <row r="329" spans="20:20" ht="12.6">
      <c r="T329" s="2"/>
    </row>
    <row r="330" spans="20:20" ht="12.6">
      <c r="T330" s="2"/>
    </row>
    <row r="331" spans="20:20" ht="12.6">
      <c r="T331" s="2"/>
    </row>
    <row r="332" spans="20:20" ht="12.6">
      <c r="T332" s="2"/>
    </row>
    <row r="333" spans="20:20" ht="12.6">
      <c r="T333" s="2"/>
    </row>
    <row r="334" spans="20:20" ht="12.6">
      <c r="T334" s="2"/>
    </row>
    <row r="335" spans="20:20" ht="12.6">
      <c r="T335" s="2"/>
    </row>
    <row r="336" spans="20:20" ht="12.6">
      <c r="T336" s="2"/>
    </row>
    <row r="337" spans="20:20" ht="12.6">
      <c r="T337" s="2"/>
    </row>
    <row r="338" spans="20:20" ht="12.6">
      <c r="T338" s="2"/>
    </row>
    <row r="339" spans="20:20" ht="12.6">
      <c r="T339" s="2"/>
    </row>
    <row r="340" spans="20:20" ht="12.6">
      <c r="T340" s="2"/>
    </row>
    <row r="341" spans="20:20" ht="12.6">
      <c r="T341" s="2"/>
    </row>
    <row r="342" spans="20:20" ht="12.6">
      <c r="T342" s="2"/>
    </row>
    <row r="343" spans="20:20" ht="12.6">
      <c r="T343" s="2"/>
    </row>
    <row r="344" spans="20:20" ht="12.6">
      <c r="T344" s="2"/>
    </row>
    <row r="345" spans="20:20" ht="12.6">
      <c r="T345" s="2"/>
    </row>
    <row r="346" spans="20:20" ht="12.6">
      <c r="T346" s="2"/>
    </row>
    <row r="347" spans="20:20" ht="12.6">
      <c r="T347" s="2"/>
    </row>
    <row r="348" spans="20:20" ht="12.6">
      <c r="T348" s="2"/>
    </row>
    <row r="349" spans="20:20" ht="12.6">
      <c r="T349" s="2"/>
    </row>
    <row r="350" spans="20:20" ht="12.6">
      <c r="T350" s="2"/>
    </row>
    <row r="351" spans="20:20" ht="12.6">
      <c r="T351" s="2"/>
    </row>
    <row r="352" spans="20:20" ht="12.6">
      <c r="T352" s="2"/>
    </row>
    <row r="353" spans="20:20" ht="12.6">
      <c r="T353" s="2"/>
    </row>
    <row r="354" spans="20:20" ht="12.6">
      <c r="T354" s="2"/>
    </row>
    <row r="355" spans="20:20" ht="12.6">
      <c r="T355" s="2"/>
    </row>
    <row r="356" spans="20:20" ht="12.6">
      <c r="T356" s="2"/>
    </row>
    <row r="357" spans="20:20" ht="12.6">
      <c r="T357" s="2"/>
    </row>
    <row r="358" spans="20:20" ht="12.6">
      <c r="T358" s="2"/>
    </row>
    <row r="359" spans="20:20" ht="12.6">
      <c r="T359" s="2"/>
    </row>
    <row r="360" spans="20:20" ht="12.6">
      <c r="T360" s="2"/>
    </row>
    <row r="361" spans="20:20" ht="12.6">
      <c r="T361" s="2"/>
    </row>
    <row r="362" spans="20:20" ht="12.6">
      <c r="T362" s="2"/>
    </row>
    <row r="363" spans="20:20" ht="12.6">
      <c r="T363" s="2"/>
    </row>
    <row r="364" spans="20:20" ht="12.6">
      <c r="T364" s="2"/>
    </row>
    <row r="365" spans="20:20" ht="12.6">
      <c r="T365" s="2"/>
    </row>
    <row r="366" spans="20:20" ht="12.6">
      <c r="T366" s="2"/>
    </row>
    <row r="367" spans="20:20" ht="12.6">
      <c r="T367" s="2"/>
    </row>
    <row r="368" spans="20:20" ht="12.6">
      <c r="T368" s="2"/>
    </row>
    <row r="369" spans="20:20" ht="12.6">
      <c r="T369" s="2"/>
    </row>
    <row r="370" spans="20:20" ht="12.6">
      <c r="T370" s="2"/>
    </row>
    <row r="371" spans="20:20" ht="12.6">
      <c r="T371" s="2"/>
    </row>
    <row r="372" spans="20:20" ht="12.6">
      <c r="T372" s="2"/>
    </row>
    <row r="373" spans="20:20" ht="12.6">
      <c r="T373" s="2"/>
    </row>
    <row r="374" spans="20:20" ht="12.6">
      <c r="T374" s="2"/>
    </row>
    <row r="375" spans="20:20" ht="12.6">
      <c r="T375" s="2"/>
    </row>
    <row r="376" spans="20:20" ht="12.6">
      <c r="T376" s="2"/>
    </row>
    <row r="377" spans="20:20" ht="12.6">
      <c r="T377" s="2"/>
    </row>
    <row r="378" spans="20:20" ht="12.6">
      <c r="T378" s="2"/>
    </row>
    <row r="379" spans="20:20" ht="12.6">
      <c r="T379" s="2"/>
    </row>
    <row r="380" spans="20:20" ht="12.6">
      <c r="T380" s="2"/>
    </row>
    <row r="381" spans="20:20" ht="12.6">
      <c r="T381" s="2"/>
    </row>
    <row r="382" spans="20:20" ht="12.6">
      <c r="T382" s="2"/>
    </row>
    <row r="383" spans="20:20" ht="12.6">
      <c r="T383" s="2"/>
    </row>
    <row r="384" spans="20:20" ht="12.6">
      <c r="T384" s="2"/>
    </row>
    <row r="385" spans="20:20" ht="12.6">
      <c r="T385" s="2"/>
    </row>
    <row r="386" spans="20:20" ht="12.6">
      <c r="T386" s="2"/>
    </row>
    <row r="387" spans="20:20" ht="12.6">
      <c r="T387" s="2"/>
    </row>
    <row r="388" spans="20:20" ht="12.6">
      <c r="T388" s="2"/>
    </row>
    <row r="389" spans="20:20" ht="12.6">
      <c r="T389" s="2"/>
    </row>
    <row r="390" spans="20:20" ht="12.6">
      <c r="T390" s="2"/>
    </row>
    <row r="391" spans="20:20" ht="12.6">
      <c r="T391" s="2"/>
    </row>
    <row r="392" spans="20:20" ht="12.6">
      <c r="T392" s="2"/>
    </row>
    <row r="393" spans="20:20" ht="12.6">
      <c r="T393" s="2"/>
    </row>
    <row r="394" spans="20:20" ht="12.6">
      <c r="T394" s="2"/>
    </row>
    <row r="395" spans="20:20" ht="12.6">
      <c r="T395" s="2"/>
    </row>
    <row r="396" spans="20:20" ht="12.6">
      <c r="T396" s="2"/>
    </row>
    <row r="397" spans="20:20" ht="12.6">
      <c r="T397" s="2"/>
    </row>
    <row r="398" spans="20:20" ht="12.6">
      <c r="T398" s="2"/>
    </row>
    <row r="399" spans="20:20" ht="12.6">
      <c r="T399" s="2"/>
    </row>
    <row r="400" spans="20:20" ht="12.6">
      <c r="T400" s="2"/>
    </row>
    <row r="401" spans="20:20" ht="12.6">
      <c r="T401" s="2"/>
    </row>
    <row r="402" spans="20:20" ht="12.6">
      <c r="T402" s="2"/>
    </row>
    <row r="403" spans="20:20" ht="12.6">
      <c r="T403" s="2"/>
    </row>
    <row r="404" spans="20:20" ht="12.6">
      <c r="T404" s="2"/>
    </row>
    <row r="405" spans="20:20" ht="12.6">
      <c r="T405" s="2"/>
    </row>
    <row r="406" spans="20:20" ht="12.6">
      <c r="T406" s="2"/>
    </row>
    <row r="407" spans="20:20" ht="12.6">
      <c r="T407" s="2"/>
    </row>
    <row r="408" spans="20:20" ht="12.6">
      <c r="T408" s="2"/>
    </row>
    <row r="409" spans="20:20" ht="12.6">
      <c r="T409" s="2"/>
    </row>
    <row r="410" spans="20:20" ht="12.6">
      <c r="T410" s="2"/>
    </row>
    <row r="411" spans="20:20" ht="12.6">
      <c r="T411" s="2"/>
    </row>
    <row r="412" spans="20:20" ht="12.6">
      <c r="T412" s="2"/>
    </row>
    <row r="413" spans="20:20" ht="12.6">
      <c r="T413" s="2"/>
    </row>
    <row r="414" spans="20:20" ht="12.6">
      <c r="T414" s="2"/>
    </row>
    <row r="415" spans="20:20" ht="12.6">
      <c r="T415" s="2"/>
    </row>
    <row r="416" spans="20:20" ht="12.6">
      <c r="T416" s="2"/>
    </row>
    <row r="417" spans="20:20" ht="12.6">
      <c r="T417" s="2"/>
    </row>
    <row r="418" spans="20:20" ht="12.6">
      <c r="T418" s="2"/>
    </row>
    <row r="419" spans="20:20" ht="12.6">
      <c r="T419" s="2"/>
    </row>
    <row r="420" spans="20:20" ht="12.6">
      <c r="T420" s="2"/>
    </row>
    <row r="421" spans="20:20" ht="12.6">
      <c r="T421" s="2"/>
    </row>
    <row r="422" spans="20:20" ht="12.6">
      <c r="T422" s="2"/>
    </row>
    <row r="423" spans="20:20" ht="12.6">
      <c r="T423" s="2"/>
    </row>
    <row r="424" spans="20:20" ht="12.6">
      <c r="T424" s="2"/>
    </row>
    <row r="425" spans="20:20" ht="12.6">
      <c r="T425" s="2"/>
    </row>
    <row r="426" spans="20:20" ht="12.6">
      <c r="T426" s="2"/>
    </row>
    <row r="427" spans="20:20" ht="12.6">
      <c r="T427" s="2"/>
    </row>
    <row r="428" spans="20:20" ht="12.6">
      <c r="T428" s="2"/>
    </row>
    <row r="429" spans="20:20" ht="12.6">
      <c r="T429" s="2"/>
    </row>
    <row r="430" spans="20:20" ht="12.6">
      <c r="T430" s="2"/>
    </row>
    <row r="431" spans="20:20" ht="12.6">
      <c r="T431" s="2"/>
    </row>
    <row r="432" spans="20:20" ht="12.6">
      <c r="T432" s="2"/>
    </row>
    <row r="433" spans="20:20" ht="12.6">
      <c r="T433" s="2"/>
    </row>
    <row r="434" spans="20:20" ht="12.6">
      <c r="T434" s="2"/>
    </row>
    <row r="435" spans="20:20" ht="12.6">
      <c r="T435" s="2"/>
    </row>
    <row r="436" spans="20:20" ht="12.6">
      <c r="T436" s="2"/>
    </row>
    <row r="437" spans="20:20" ht="12.6">
      <c r="T437" s="2"/>
    </row>
    <row r="438" spans="20:20" ht="12.6">
      <c r="T438" s="2"/>
    </row>
    <row r="439" spans="20:20" ht="12.6">
      <c r="T439" s="2"/>
    </row>
    <row r="440" spans="20:20" ht="12.6">
      <c r="T440" s="2"/>
    </row>
    <row r="441" spans="20:20" ht="12.6">
      <c r="T441" s="2"/>
    </row>
    <row r="442" spans="20:20" ht="12.6">
      <c r="T442" s="2"/>
    </row>
    <row r="443" spans="20:20" ht="12.6">
      <c r="T443" s="2"/>
    </row>
    <row r="444" spans="20:20" ht="12.6">
      <c r="T444" s="2"/>
    </row>
    <row r="445" spans="20:20" ht="12.6">
      <c r="T445" s="2"/>
    </row>
    <row r="446" spans="20:20" ht="12.6">
      <c r="T446" s="2"/>
    </row>
    <row r="447" spans="20:20" ht="12.6">
      <c r="T447" s="2"/>
    </row>
    <row r="448" spans="20:20" ht="12.6">
      <c r="T448" s="2"/>
    </row>
    <row r="449" spans="20:20" ht="12.6">
      <c r="T449" s="2"/>
    </row>
    <row r="450" spans="20:20" ht="12.6">
      <c r="T450" s="2"/>
    </row>
    <row r="451" spans="20:20" ht="12.6">
      <c r="T451" s="2"/>
    </row>
    <row r="452" spans="20:20" ht="12.6">
      <c r="T452" s="2"/>
    </row>
    <row r="453" spans="20:20" ht="12.6">
      <c r="T453" s="2"/>
    </row>
    <row r="454" spans="20:20" ht="12.6">
      <c r="T454" s="2"/>
    </row>
    <row r="455" spans="20:20" ht="12.6">
      <c r="T455" s="2"/>
    </row>
    <row r="456" spans="20:20" ht="12.6">
      <c r="T456" s="2"/>
    </row>
    <row r="457" spans="20:20" ht="12.6">
      <c r="T457" s="2"/>
    </row>
    <row r="458" spans="20:20" ht="12.6">
      <c r="T458" s="2"/>
    </row>
    <row r="459" spans="20:20" ht="12.6">
      <c r="T459" s="2"/>
    </row>
    <row r="460" spans="20:20" ht="12.6">
      <c r="T460" s="2"/>
    </row>
    <row r="461" spans="20:20" ht="12.6">
      <c r="T461" s="2"/>
    </row>
    <row r="462" spans="20:20" ht="12.6">
      <c r="T462" s="2"/>
    </row>
    <row r="463" spans="20:20" ht="12.6">
      <c r="T463" s="2"/>
    </row>
    <row r="464" spans="20:20" ht="12.6">
      <c r="T464" s="2"/>
    </row>
    <row r="465" spans="20:20" ht="12.6">
      <c r="T465" s="2"/>
    </row>
    <row r="466" spans="20:20" ht="12.6">
      <c r="T466" s="2"/>
    </row>
    <row r="467" spans="20:20" ht="12.6">
      <c r="T467" s="2"/>
    </row>
    <row r="468" spans="20:20" ht="12.6">
      <c r="T468" s="2"/>
    </row>
    <row r="469" spans="20:20" ht="12.6">
      <c r="T469" s="2"/>
    </row>
    <row r="470" spans="20:20" ht="12.6">
      <c r="T470" s="2"/>
    </row>
    <row r="471" spans="20:20" ht="12.6">
      <c r="T471" s="2"/>
    </row>
    <row r="472" spans="20:20" ht="12.6">
      <c r="T472" s="2"/>
    </row>
    <row r="473" spans="20:20" ht="12.6">
      <c r="T473" s="2"/>
    </row>
    <row r="474" spans="20:20" ht="12.6">
      <c r="T474" s="2"/>
    </row>
    <row r="475" spans="20:20" ht="12.6">
      <c r="T475" s="2"/>
    </row>
    <row r="476" spans="20:20" ht="12.6">
      <c r="T476" s="2"/>
    </row>
    <row r="477" spans="20:20" ht="12.6">
      <c r="T477" s="2"/>
    </row>
    <row r="478" spans="20:20" ht="12.6">
      <c r="T478" s="2"/>
    </row>
    <row r="479" spans="20:20" ht="12.6">
      <c r="T479" s="2"/>
    </row>
    <row r="480" spans="20:20" ht="12.6">
      <c r="T480" s="2"/>
    </row>
    <row r="481" spans="20:20" ht="12.6">
      <c r="T481" s="2"/>
    </row>
    <row r="482" spans="20:20" ht="12.6">
      <c r="T482" s="2"/>
    </row>
    <row r="483" spans="20:20" ht="12.6">
      <c r="T483" s="2"/>
    </row>
    <row r="484" spans="20:20" ht="12.6">
      <c r="T484" s="2"/>
    </row>
    <row r="485" spans="20:20" ht="12.6">
      <c r="T485" s="2"/>
    </row>
    <row r="486" spans="20:20" ht="12.6">
      <c r="T486" s="2"/>
    </row>
    <row r="487" spans="20:20" ht="12.6">
      <c r="T487" s="2"/>
    </row>
    <row r="488" spans="20:20" ht="12.6">
      <c r="T488" s="2"/>
    </row>
    <row r="489" spans="20:20" ht="12.6">
      <c r="T489" s="2"/>
    </row>
    <row r="490" spans="20:20" ht="12.6">
      <c r="T490" s="2"/>
    </row>
    <row r="491" spans="20:20" ht="12.6">
      <c r="T491" s="2"/>
    </row>
    <row r="492" spans="20:20" ht="12.6">
      <c r="T492" s="2"/>
    </row>
    <row r="493" spans="20:20" ht="12.6">
      <c r="T493" s="2"/>
    </row>
    <row r="494" spans="20:20" ht="12.6">
      <c r="T494" s="2"/>
    </row>
    <row r="495" spans="20:20" ht="12.6">
      <c r="T495" s="2"/>
    </row>
    <row r="496" spans="20:20" ht="12.6">
      <c r="T496" s="2"/>
    </row>
    <row r="497" spans="20:20" ht="12.6">
      <c r="T497" s="2"/>
    </row>
    <row r="498" spans="20:20" ht="12.6">
      <c r="T498" s="2"/>
    </row>
    <row r="499" spans="20:20" ht="12.6">
      <c r="T499" s="2"/>
    </row>
    <row r="500" spans="20:20" ht="12.6">
      <c r="T500" s="2"/>
    </row>
    <row r="501" spans="20:20" ht="12.6">
      <c r="T501" s="2"/>
    </row>
    <row r="502" spans="20:20" ht="12.6">
      <c r="T502" s="2"/>
    </row>
    <row r="503" spans="20:20" ht="12.6">
      <c r="T503" s="2"/>
    </row>
    <row r="504" spans="20:20" ht="12.6">
      <c r="T504" s="2"/>
    </row>
    <row r="505" spans="20:20" ht="12.6">
      <c r="T505" s="2"/>
    </row>
    <row r="506" spans="20:20" ht="12.6">
      <c r="T506" s="2"/>
    </row>
    <row r="507" spans="20:20" ht="12.6">
      <c r="T507" s="2"/>
    </row>
    <row r="508" spans="20:20" ht="12.6">
      <c r="T508" s="2"/>
    </row>
    <row r="509" spans="20:20" ht="12.6">
      <c r="T509" s="2"/>
    </row>
    <row r="510" spans="20:20" ht="12.6">
      <c r="T510" s="2"/>
    </row>
    <row r="511" spans="20:20" ht="12.6">
      <c r="T511" s="2"/>
    </row>
    <row r="512" spans="20:20" ht="12.6">
      <c r="T512" s="2"/>
    </row>
    <row r="513" spans="20:20" ht="12.6">
      <c r="T513" s="2"/>
    </row>
    <row r="514" spans="20:20" ht="12.6">
      <c r="T514" s="2"/>
    </row>
    <row r="515" spans="20:20" ht="12.6">
      <c r="T515" s="2"/>
    </row>
    <row r="516" spans="20:20" ht="12.6">
      <c r="T516" s="2"/>
    </row>
    <row r="517" spans="20:20" ht="12.6">
      <c r="T517" s="2"/>
    </row>
    <row r="518" spans="20:20" ht="12.6">
      <c r="T518" s="2"/>
    </row>
    <row r="519" spans="20:20" ht="12.6">
      <c r="T519" s="2"/>
    </row>
    <row r="520" spans="20:20" ht="12.6">
      <c r="T520" s="2"/>
    </row>
    <row r="521" spans="20:20" ht="12.6">
      <c r="T521" s="2"/>
    </row>
    <row r="522" spans="20:20" ht="12.6">
      <c r="T522" s="2"/>
    </row>
    <row r="523" spans="20:20" ht="12.6">
      <c r="T523" s="2"/>
    </row>
    <row r="524" spans="20:20" ht="12.6">
      <c r="T524" s="2"/>
    </row>
    <row r="525" spans="20:20" ht="12.6">
      <c r="T525" s="2"/>
    </row>
    <row r="526" spans="20:20" ht="12.6">
      <c r="T526" s="2"/>
    </row>
    <row r="527" spans="20:20" ht="12.6">
      <c r="T527" s="2"/>
    </row>
    <row r="528" spans="20:20" ht="12.6">
      <c r="T528" s="2"/>
    </row>
    <row r="529" spans="20:20" ht="12.6">
      <c r="T529" s="2"/>
    </row>
    <row r="530" spans="20:20" ht="12.6">
      <c r="T530" s="2"/>
    </row>
    <row r="531" spans="20:20" ht="12.6">
      <c r="T531" s="2"/>
    </row>
    <row r="532" spans="20:20" ht="12.6">
      <c r="T532" s="2"/>
    </row>
    <row r="533" spans="20:20" ht="12.6">
      <c r="T533" s="2"/>
    </row>
    <row r="534" spans="20:20" ht="12.6">
      <c r="T534" s="2"/>
    </row>
    <row r="535" spans="20:20" ht="12.6">
      <c r="T535" s="2"/>
    </row>
    <row r="536" spans="20:20" ht="12.6">
      <c r="T536" s="2"/>
    </row>
    <row r="537" spans="20:20" ht="12.6">
      <c r="T537" s="2"/>
    </row>
    <row r="538" spans="20:20" ht="12.6">
      <c r="T538" s="2"/>
    </row>
    <row r="539" spans="20:20" ht="12.6">
      <c r="T539" s="2"/>
    </row>
    <row r="540" spans="20:20" ht="12.6">
      <c r="T540" s="2"/>
    </row>
    <row r="541" spans="20:20" ht="12.6">
      <c r="T541" s="2"/>
    </row>
    <row r="542" spans="20:20" ht="12.6">
      <c r="T542" s="2"/>
    </row>
    <row r="543" spans="20:20" ht="12.6">
      <c r="T543" s="2"/>
    </row>
    <row r="544" spans="20:20" ht="12.6">
      <c r="T544" s="2"/>
    </row>
    <row r="545" spans="20:20" ht="12.6">
      <c r="T545" s="2"/>
    </row>
    <row r="546" spans="20:20" ht="12.6">
      <c r="T546" s="2"/>
    </row>
    <row r="547" spans="20:20" ht="12.6">
      <c r="T547" s="2"/>
    </row>
    <row r="548" spans="20:20" ht="12.6">
      <c r="T548" s="2"/>
    </row>
    <row r="549" spans="20:20" ht="12.6">
      <c r="T549" s="2"/>
    </row>
    <row r="550" spans="20:20" ht="12.6">
      <c r="T550" s="2"/>
    </row>
    <row r="551" spans="20:20" ht="12.6">
      <c r="T551" s="2"/>
    </row>
    <row r="552" spans="20:20" ht="12.6">
      <c r="T552" s="2"/>
    </row>
    <row r="553" spans="20:20" ht="12.6">
      <c r="T553" s="2"/>
    </row>
    <row r="554" spans="20:20" ht="12.6">
      <c r="T554" s="2"/>
    </row>
    <row r="555" spans="20:20" ht="12.6">
      <c r="T555" s="2"/>
    </row>
    <row r="556" spans="20:20" ht="12.6">
      <c r="T556" s="2"/>
    </row>
    <row r="557" spans="20:20" ht="12.6">
      <c r="T557" s="2"/>
    </row>
    <row r="558" spans="20:20" ht="12.6">
      <c r="T558" s="2"/>
    </row>
    <row r="559" spans="20:20" ht="12.6">
      <c r="T559" s="2"/>
    </row>
    <row r="560" spans="20:20" ht="12.6">
      <c r="T560" s="2"/>
    </row>
    <row r="561" spans="20:20" ht="12.6">
      <c r="T561" s="2"/>
    </row>
    <row r="562" spans="20:20" ht="12.6">
      <c r="T562" s="2"/>
    </row>
    <row r="563" spans="20:20" ht="12.6">
      <c r="T563" s="2"/>
    </row>
    <row r="564" spans="20:20" ht="12.6">
      <c r="T564" s="2"/>
    </row>
    <row r="565" spans="20:20" ht="12.6">
      <c r="T565" s="2"/>
    </row>
    <row r="566" spans="20:20" ht="12.6">
      <c r="T566" s="2"/>
    </row>
    <row r="567" spans="20:20" ht="12.6">
      <c r="T567" s="2"/>
    </row>
    <row r="568" spans="20:20" ht="12.6">
      <c r="T568" s="2"/>
    </row>
    <row r="569" spans="20:20" ht="12.6">
      <c r="T569" s="2"/>
    </row>
    <row r="570" spans="20:20" ht="12.6">
      <c r="T570" s="2"/>
    </row>
    <row r="571" spans="20:20" ht="12.6">
      <c r="T571" s="2"/>
    </row>
    <row r="572" spans="20:20" ht="12.6">
      <c r="T572" s="2"/>
    </row>
    <row r="573" spans="20:20" ht="12.6">
      <c r="T573" s="2"/>
    </row>
    <row r="574" spans="20:20" ht="12.6">
      <c r="T574" s="2"/>
    </row>
    <row r="575" spans="20:20" ht="12.6">
      <c r="T575" s="2"/>
    </row>
    <row r="576" spans="20:20" ht="12.6">
      <c r="T576" s="2"/>
    </row>
    <row r="577" spans="20:20" ht="12.6">
      <c r="T577" s="2"/>
    </row>
    <row r="578" spans="20:20" ht="12.6">
      <c r="T578" s="2"/>
    </row>
    <row r="579" spans="20:20" ht="12.6">
      <c r="T579" s="2"/>
    </row>
    <row r="580" spans="20:20" ht="12.6">
      <c r="T580" s="2"/>
    </row>
    <row r="581" spans="20:20" ht="12.6">
      <c r="T581" s="2"/>
    </row>
    <row r="582" spans="20:20" ht="12.6">
      <c r="T582" s="2"/>
    </row>
    <row r="583" spans="20:20" ht="12.6">
      <c r="T583" s="2"/>
    </row>
    <row r="584" spans="20:20" ht="12.6">
      <c r="T584" s="2"/>
    </row>
    <row r="585" spans="20:20" ht="12.6">
      <c r="T585" s="2"/>
    </row>
    <row r="586" spans="20:20" ht="12.6">
      <c r="T586" s="2"/>
    </row>
    <row r="587" spans="20:20" ht="12.6">
      <c r="T587" s="2"/>
    </row>
    <row r="588" spans="20:20" ht="12.6">
      <c r="T588" s="2"/>
    </row>
    <row r="589" spans="20:20" ht="12.6">
      <c r="T589" s="2"/>
    </row>
    <row r="590" spans="20:20" ht="12.6">
      <c r="T590" s="2"/>
    </row>
    <row r="591" spans="20:20" ht="12.6">
      <c r="T591" s="2"/>
    </row>
    <row r="592" spans="20:20" ht="12.6">
      <c r="T592" s="2"/>
    </row>
    <row r="593" spans="20:20" ht="12.6">
      <c r="T593" s="2"/>
    </row>
    <row r="594" spans="20:20" ht="12.6">
      <c r="T594" s="2"/>
    </row>
    <row r="595" spans="20:20" ht="12.6">
      <c r="T595" s="2"/>
    </row>
    <row r="596" spans="20:20" ht="12.6">
      <c r="T596" s="2"/>
    </row>
    <row r="597" spans="20:20" ht="12.6">
      <c r="T597" s="2"/>
    </row>
    <row r="598" spans="20:20" ht="12.6">
      <c r="T598" s="2"/>
    </row>
    <row r="599" spans="20:20" ht="12.6">
      <c r="T599" s="2"/>
    </row>
    <row r="600" spans="20:20" ht="12.6">
      <c r="T600" s="2"/>
    </row>
    <row r="601" spans="20:20" ht="12.6">
      <c r="T601" s="2"/>
    </row>
    <row r="602" spans="20:20" ht="12.6">
      <c r="T602" s="2"/>
    </row>
    <row r="603" spans="20:20" ht="12.6">
      <c r="T603" s="2"/>
    </row>
    <row r="604" spans="20:20" ht="12.6">
      <c r="T604" s="2"/>
    </row>
    <row r="605" spans="20:20" ht="12.6">
      <c r="T605" s="2"/>
    </row>
    <row r="606" spans="20:20" ht="12.6">
      <c r="T606" s="2"/>
    </row>
    <row r="607" spans="20:20" ht="12.6">
      <c r="T607" s="2"/>
    </row>
    <row r="608" spans="20:20" ht="12.6">
      <c r="T608" s="2"/>
    </row>
    <row r="609" spans="20:20" ht="12.6">
      <c r="T609" s="2"/>
    </row>
    <row r="610" spans="20:20" ht="12.6">
      <c r="T610" s="2"/>
    </row>
    <row r="611" spans="20:20" ht="12.6">
      <c r="T611" s="2"/>
    </row>
    <row r="612" spans="20:20" ht="12.6">
      <c r="T612" s="2"/>
    </row>
    <row r="613" spans="20:20" ht="12.6">
      <c r="T613" s="2"/>
    </row>
    <row r="614" spans="20:20" ht="12.6">
      <c r="T614" s="2"/>
    </row>
    <row r="615" spans="20:20" ht="12.6">
      <c r="T615" s="2"/>
    </row>
    <row r="616" spans="20:20" ht="12.6">
      <c r="T616" s="2"/>
    </row>
    <row r="617" spans="20:20" ht="12.6">
      <c r="T617" s="2"/>
    </row>
    <row r="618" spans="20:20" ht="12.6">
      <c r="T618" s="2"/>
    </row>
    <row r="619" spans="20:20" ht="12.6">
      <c r="T619" s="2"/>
    </row>
    <row r="620" spans="20:20" ht="12.6">
      <c r="T620" s="2"/>
    </row>
    <row r="621" spans="20:20" ht="12.6">
      <c r="T621" s="2"/>
    </row>
    <row r="622" spans="20:20" ht="12.6">
      <c r="T622" s="2"/>
    </row>
    <row r="623" spans="20:20" ht="12.6">
      <c r="T623" s="2"/>
    </row>
    <row r="624" spans="20:20" ht="12.6">
      <c r="T624" s="2"/>
    </row>
    <row r="625" spans="20:20" ht="12.6">
      <c r="T625" s="2"/>
    </row>
    <row r="626" spans="20:20" ht="12.6">
      <c r="T626" s="2"/>
    </row>
    <row r="627" spans="20:20" ht="12.6">
      <c r="T627" s="2"/>
    </row>
    <row r="628" spans="20:20" ht="12.6">
      <c r="T628" s="2"/>
    </row>
    <row r="629" spans="20:20" ht="12.6">
      <c r="T629" s="2"/>
    </row>
    <row r="630" spans="20:20" ht="12.6">
      <c r="T630" s="2"/>
    </row>
    <row r="631" spans="20:20" ht="12.6">
      <c r="T631" s="2"/>
    </row>
    <row r="632" spans="20:20" ht="12.6">
      <c r="T632" s="2"/>
    </row>
    <row r="633" spans="20:20" ht="12.6">
      <c r="T633" s="2"/>
    </row>
    <row r="634" spans="20:20" ht="12.6">
      <c r="T634" s="2"/>
    </row>
    <row r="635" spans="20:20" ht="12.6">
      <c r="T635" s="2"/>
    </row>
    <row r="636" spans="20:20" ht="12.6">
      <c r="T636" s="2"/>
    </row>
    <row r="637" spans="20:20" ht="12.6">
      <c r="T637" s="2"/>
    </row>
    <row r="638" spans="20:20" ht="12.6">
      <c r="T638" s="2"/>
    </row>
    <row r="639" spans="20:20" ht="12.6">
      <c r="T639" s="2"/>
    </row>
    <row r="640" spans="20:20" ht="12.6">
      <c r="T640" s="2"/>
    </row>
    <row r="641" spans="20:20" ht="12.6">
      <c r="T641" s="2"/>
    </row>
    <row r="642" spans="20:20" ht="12.6">
      <c r="T642" s="2"/>
    </row>
    <row r="643" spans="20:20" ht="12.6">
      <c r="T643" s="2"/>
    </row>
    <row r="644" spans="20:20" ht="12.6">
      <c r="T644" s="2"/>
    </row>
    <row r="645" spans="20:20" ht="12.6">
      <c r="T645" s="2"/>
    </row>
    <row r="646" spans="20:20" ht="12.6">
      <c r="T646" s="2"/>
    </row>
    <row r="647" spans="20:20" ht="12.6">
      <c r="T647" s="2"/>
    </row>
    <row r="648" spans="20:20" ht="12.6">
      <c r="T648" s="2"/>
    </row>
    <row r="649" spans="20:20" ht="12.6">
      <c r="T649" s="2"/>
    </row>
    <row r="650" spans="20:20" ht="12.6">
      <c r="T650" s="2"/>
    </row>
    <row r="651" spans="20:20" ht="12.6">
      <c r="T651" s="2"/>
    </row>
    <row r="652" spans="20:20" ht="12.6">
      <c r="T652" s="2"/>
    </row>
    <row r="653" spans="20:20" ht="12.6">
      <c r="T653" s="2"/>
    </row>
    <row r="654" spans="20:20" ht="12.6">
      <c r="T654" s="2"/>
    </row>
    <row r="655" spans="20:20" ht="12.6">
      <c r="T655" s="2"/>
    </row>
    <row r="656" spans="20:20" ht="12.6">
      <c r="T656" s="2"/>
    </row>
    <row r="657" spans="20:20" ht="12.6">
      <c r="T657" s="2"/>
    </row>
    <row r="658" spans="20:20" ht="12.6">
      <c r="T658" s="2"/>
    </row>
    <row r="659" spans="20:20" ht="12.6">
      <c r="T659" s="2"/>
    </row>
    <row r="660" spans="20:20" ht="12.6">
      <c r="T660" s="2"/>
    </row>
    <row r="661" spans="20:20" ht="12.6">
      <c r="T661" s="2"/>
    </row>
    <row r="662" spans="20:20" ht="12.6">
      <c r="T662" s="2"/>
    </row>
    <row r="663" spans="20:20" ht="12.6">
      <c r="T663" s="2"/>
    </row>
    <row r="664" spans="20:20" ht="12.6">
      <c r="T664" s="2"/>
    </row>
    <row r="665" spans="20:20" ht="12.6">
      <c r="T665" s="2"/>
    </row>
    <row r="666" spans="20:20" ht="12.6">
      <c r="T666" s="2"/>
    </row>
    <row r="667" spans="20:20" ht="12.6">
      <c r="T667" s="2"/>
    </row>
    <row r="668" spans="20:20" ht="12.6">
      <c r="T668" s="2"/>
    </row>
    <row r="669" spans="20:20" ht="12.6">
      <c r="T669" s="2"/>
    </row>
    <row r="670" spans="20:20" ht="12.6">
      <c r="T670" s="2"/>
    </row>
    <row r="671" spans="20:20" ht="12.6">
      <c r="T671" s="2"/>
    </row>
    <row r="672" spans="20:20" ht="12.6">
      <c r="T672" s="2"/>
    </row>
    <row r="673" spans="20:20" ht="12.6">
      <c r="T673" s="2"/>
    </row>
    <row r="674" spans="20:20" ht="12.6">
      <c r="T674" s="2"/>
    </row>
    <row r="675" spans="20:20" ht="12.6">
      <c r="T675" s="2"/>
    </row>
    <row r="676" spans="20:20" ht="12.6">
      <c r="T676" s="2"/>
    </row>
    <row r="677" spans="20:20" ht="12.6">
      <c r="T677" s="2"/>
    </row>
    <row r="678" spans="20:20" ht="12.6">
      <c r="T678" s="2"/>
    </row>
    <row r="679" spans="20:20" ht="12.6">
      <c r="T679" s="2"/>
    </row>
    <row r="680" spans="20:20" ht="12.6">
      <c r="T680" s="2"/>
    </row>
    <row r="681" spans="20:20" ht="12.6">
      <c r="T681" s="2"/>
    </row>
    <row r="682" spans="20:20" ht="12.6">
      <c r="T682" s="2"/>
    </row>
    <row r="683" spans="20:20" ht="12.6">
      <c r="T683" s="2"/>
    </row>
    <row r="684" spans="20:20" ht="12.6">
      <c r="T684" s="2"/>
    </row>
    <row r="685" spans="20:20" ht="12.6">
      <c r="T685" s="2"/>
    </row>
    <row r="686" spans="20:20" ht="12.6">
      <c r="T686" s="2"/>
    </row>
    <row r="687" spans="20:20" ht="12.6">
      <c r="T687" s="2"/>
    </row>
    <row r="688" spans="20:20" ht="12.6">
      <c r="T688" s="2"/>
    </row>
    <row r="689" spans="20:20" ht="12.6">
      <c r="T689" s="2"/>
    </row>
    <row r="690" spans="20:20" ht="12.6">
      <c r="T690" s="2"/>
    </row>
    <row r="691" spans="20:20" ht="12.6">
      <c r="T691" s="2"/>
    </row>
    <row r="692" spans="20:20" ht="12.6">
      <c r="T692" s="2"/>
    </row>
    <row r="693" spans="20:20" ht="12.6">
      <c r="T693" s="2"/>
    </row>
    <row r="694" spans="20:20" ht="12.6">
      <c r="T694" s="2"/>
    </row>
    <row r="695" spans="20:20" ht="12.6">
      <c r="T695" s="2"/>
    </row>
    <row r="696" spans="20:20" ht="12.6">
      <c r="T696" s="2"/>
    </row>
    <row r="697" spans="20:20" ht="12.6">
      <c r="T697" s="2"/>
    </row>
    <row r="698" spans="20:20" ht="12.6">
      <c r="T698" s="2"/>
    </row>
    <row r="699" spans="20:20" ht="12.6">
      <c r="T699" s="2"/>
    </row>
    <row r="700" spans="20:20" ht="12.6">
      <c r="T700" s="2"/>
    </row>
    <row r="701" spans="20:20" ht="12.6">
      <c r="T701" s="2"/>
    </row>
    <row r="702" spans="20:20" ht="12.6">
      <c r="T702" s="2"/>
    </row>
    <row r="703" spans="20:20" ht="12.6">
      <c r="T703" s="2"/>
    </row>
    <row r="704" spans="20:20" ht="12.6">
      <c r="T704" s="2"/>
    </row>
    <row r="705" spans="20:20" ht="12.6">
      <c r="T705" s="2"/>
    </row>
    <row r="706" spans="20:20" ht="12.6">
      <c r="T706" s="2"/>
    </row>
    <row r="707" spans="20:20" ht="12.6">
      <c r="T707" s="2"/>
    </row>
    <row r="708" spans="20:20" ht="12.6">
      <c r="T708" s="2"/>
    </row>
    <row r="709" spans="20:20" ht="12.6">
      <c r="T709" s="2"/>
    </row>
    <row r="710" spans="20:20" ht="12.6">
      <c r="T710" s="2"/>
    </row>
    <row r="711" spans="20:20" ht="12.6">
      <c r="T711" s="2"/>
    </row>
    <row r="712" spans="20:20" ht="12.6">
      <c r="T712" s="2"/>
    </row>
    <row r="713" spans="20:20" ht="12.6">
      <c r="T713" s="2"/>
    </row>
    <row r="714" spans="20:20" ht="12.6">
      <c r="T714" s="2"/>
    </row>
    <row r="715" spans="20:20" ht="12.6">
      <c r="T715" s="2"/>
    </row>
    <row r="716" spans="20:20" ht="12.6">
      <c r="T716" s="2"/>
    </row>
    <row r="717" spans="20:20" ht="12.6">
      <c r="T717" s="2"/>
    </row>
    <row r="718" spans="20:20" ht="12.6">
      <c r="T718" s="2"/>
    </row>
    <row r="719" spans="20:20" ht="12.6">
      <c r="T719" s="2"/>
    </row>
    <row r="720" spans="20:20" ht="12.6">
      <c r="T720" s="2"/>
    </row>
    <row r="721" spans="20:20" ht="12.6">
      <c r="T721" s="2"/>
    </row>
    <row r="722" spans="20:20" ht="12.6">
      <c r="T722" s="2"/>
    </row>
    <row r="723" spans="20:20" ht="12.6">
      <c r="T723" s="2"/>
    </row>
    <row r="724" spans="20:20" ht="12.6">
      <c r="T724" s="2"/>
    </row>
    <row r="725" spans="20:20" ht="12.6">
      <c r="T725" s="2"/>
    </row>
    <row r="726" spans="20:20" ht="12.6">
      <c r="T726" s="2"/>
    </row>
    <row r="727" spans="20:20" ht="12.6">
      <c r="T727" s="2"/>
    </row>
    <row r="728" spans="20:20" ht="12.6">
      <c r="T728" s="2"/>
    </row>
    <row r="729" spans="20:20" ht="12.6">
      <c r="T729" s="2"/>
    </row>
    <row r="730" spans="20:20" ht="12.6">
      <c r="T730" s="2"/>
    </row>
    <row r="731" spans="20:20" ht="12.6">
      <c r="T731" s="2"/>
    </row>
    <row r="732" spans="20:20" ht="12.6">
      <c r="T732" s="2"/>
    </row>
    <row r="733" spans="20:20" ht="12.6">
      <c r="T733" s="2"/>
    </row>
    <row r="734" spans="20:20" ht="12.6">
      <c r="T734" s="2"/>
    </row>
    <row r="735" spans="20:20" ht="12.6">
      <c r="T735" s="2"/>
    </row>
    <row r="736" spans="20:20" ht="12.6">
      <c r="T736" s="2"/>
    </row>
    <row r="737" spans="20:20" ht="12.6">
      <c r="T737" s="2"/>
    </row>
    <row r="738" spans="20:20" ht="12.6">
      <c r="T738" s="2"/>
    </row>
    <row r="739" spans="20:20" ht="12.6">
      <c r="T739" s="2"/>
    </row>
    <row r="740" spans="20:20" ht="12.6">
      <c r="T740" s="2"/>
    </row>
    <row r="741" spans="20:20" ht="12.6">
      <c r="T741" s="2"/>
    </row>
    <row r="742" spans="20:20" ht="12.6">
      <c r="T742" s="2"/>
    </row>
    <row r="743" spans="20:20" ht="12.6">
      <c r="T743" s="2"/>
    </row>
    <row r="744" spans="20:20" ht="12.6">
      <c r="T744" s="2"/>
    </row>
    <row r="745" spans="20:20" ht="12.6">
      <c r="T745" s="2"/>
    </row>
    <row r="746" spans="20:20" ht="12.6">
      <c r="T746" s="2"/>
    </row>
    <row r="747" spans="20:20" ht="12.6">
      <c r="T747" s="2"/>
    </row>
    <row r="748" spans="20:20" ht="12.6">
      <c r="T748" s="2"/>
    </row>
    <row r="749" spans="20:20" ht="12.6">
      <c r="T749" s="2"/>
    </row>
    <row r="750" spans="20:20" ht="12.6">
      <c r="T750" s="2"/>
    </row>
    <row r="751" spans="20:20" ht="12.6">
      <c r="T751" s="2"/>
    </row>
    <row r="752" spans="20:20" ht="12.6">
      <c r="T752" s="2"/>
    </row>
    <row r="753" spans="20:20" ht="12.6">
      <c r="T753" s="2"/>
    </row>
    <row r="754" spans="20:20" ht="12.6">
      <c r="T754" s="2"/>
    </row>
    <row r="755" spans="20:20" ht="12.6">
      <c r="T755" s="2"/>
    </row>
    <row r="756" spans="20:20" ht="12.6">
      <c r="T756" s="2"/>
    </row>
    <row r="757" spans="20:20" ht="12.6">
      <c r="T757" s="2"/>
    </row>
    <row r="758" spans="20:20" ht="12.6">
      <c r="T758" s="2"/>
    </row>
    <row r="759" spans="20:20" ht="12.6">
      <c r="T759" s="2"/>
    </row>
    <row r="760" spans="20:20" ht="12.6">
      <c r="T760" s="2"/>
    </row>
    <row r="761" spans="20:20" ht="12.6">
      <c r="T761" s="2"/>
    </row>
    <row r="762" spans="20:20" ht="12.6">
      <c r="T762" s="2"/>
    </row>
    <row r="763" spans="20:20" ht="12.6">
      <c r="T763" s="2"/>
    </row>
    <row r="764" spans="20:20" ht="12.6">
      <c r="T764" s="2"/>
    </row>
    <row r="765" spans="20:20" ht="12.6">
      <c r="T765" s="2"/>
    </row>
    <row r="766" spans="20:20" ht="12.6">
      <c r="T766" s="2"/>
    </row>
    <row r="767" spans="20:20" ht="12.6">
      <c r="T767" s="2"/>
    </row>
    <row r="768" spans="20:20" ht="12.6">
      <c r="T768" s="2"/>
    </row>
    <row r="769" spans="20:20" ht="12.6">
      <c r="T769" s="2"/>
    </row>
    <row r="770" spans="20:20" ht="12.6">
      <c r="T770" s="2"/>
    </row>
    <row r="771" spans="20:20" ht="12.6">
      <c r="T771" s="2"/>
    </row>
    <row r="772" spans="20:20" ht="12.6">
      <c r="T772" s="2"/>
    </row>
    <row r="773" spans="20:20" ht="12.6">
      <c r="T773" s="2"/>
    </row>
    <row r="774" spans="20:20" ht="12.6">
      <c r="T774" s="2"/>
    </row>
    <row r="775" spans="20:20" ht="12.6">
      <c r="T775" s="2"/>
    </row>
    <row r="776" spans="20:20" ht="12.6">
      <c r="T776" s="2"/>
    </row>
    <row r="777" spans="20:20" ht="12.6">
      <c r="T777" s="2"/>
    </row>
    <row r="778" spans="20:20" ht="12.6">
      <c r="T778" s="2"/>
    </row>
    <row r="779" spans="20:20" ht="12.6">
      <c r="T779" s="2"/>
    </row>
    <row r="780" spans="20:20" ht="12.6">
      <c r="T780" s="2"/>
    </row>
    <row r="781" spans="20:20" ht="12.6">
      <c r="T781" s="2"/>
    </row>
    <row r="782" spans="20:20" ht="12.6">
      <c r="T782" s="2"/>
    </row>
    <row r="783" spans="20:20" ht="12.6">
      <c r="T783" s="2"/>
    </row>
    <row r="784" spans="20:20" ht="12.6">
      <c r="T784" s="2"/>
    </row>
    <row r="785" spans="20:20" ht="12.6">
      <c r="T785" s="2"/>
    </row>
    <row r="786" spans="20:20" ht="12.6">
      <c r="T786" s="2"/>
    </row>
    <row r="787" spans="20:20" ht="12.6">
      <c r="T787" s="2"/>
    </row>
    <row r="788" spans="20:20" ht="12.6">
      <c r="T788" s="2"/>
    </row>
    <row r="789" spans="20:20" ht="12.6">
      <c r="T789" s="2"/>
    </row>
    <row r="790" spans="20:20" ht="12.6">
      <c r="T790" s="2"/>
    </row>
    <row r="791" spans="20:20" ht="12.6">
      <c r="T791" s="2"/>
    </row>
    <row r="792" spans="20:20" ht="12.6">
      <c r="T792" s="2"/>
    </row>
    <row r="793" spans="20:20" ht="12.6">
      <c r="T793" s="2"/>
    </row>
    <row r="794" spans="20:20" ht="12.6">
      <c r="T794" s="2"/>
    </row>
    <row r="795" spans="20:20" ht="12.6">
      <c r="T795" s="2"/>
    </row>
    <row r="796" spans="20:20" ht="12.6">
      <c r="T796" s="2"/>
    </row>
    <row r="797" spans="20:20" ht="12.6">
      <c r="T797" s="2"/>
    </row>
    <row r="798" spans="20:20" ht="12.6">
      <c r="T798" s="2"/>
    </row>
    <row r="799" spans="20:20" ht="12.6">
      <c r="T799" s="2"/>
    </row>
    <row r="800" spans="20:20" ht="12.6">
      <c r="T800" s="2"/>
    </row>
    <row r="801" spans="20:20" ht="12.6">
      <c r="T801" s="2"/>
    </row>
    <row r="802" spans="20:20" ht="12.6">
      <c r="T802" s="2"/>
    </row>
    <row r="803" spans="20:20" ht="12.6">
      <c r="T803" s="2"/>
    </row>
    <row r="804" spans="20:20" ht="12.6">
      <c r="T804" s="2"/>
    </row>
    <row r="805" spans="20:20" ht="12.6">
      <c r="T805" s="2"/>
    </row>
    <row r="806" spans="20:20" ht="12.6">
      <c r="T806" s="2"/>
    </row>
    <row r="807" spans="20:20" ht="12.6">
      <c r="T807" s="2"/>
    </row>
    <row r="808" spans="20:20" ht="12.6">
      <c r="T808" s="2"/>
    </row>
    <row r="809" spans="20:20" ht="12.6">
      <c r="T809" s="2"/>
    </row>
    <row r="810" spans="20:20" ht="12.6">
      <c r="T810" s="2"/>
    </row>
    <row r="811" spans="20:20" ht="12.6">
      <c r="T811" s="2"/>
    </row>
    <row r="812" spans="20:20" ht="12.6">
      <c r="T812" s="2"/>
    </row>
    <row r="813" spans="20:20" ht="12.6">
      <c r="T813" s="2"/>
    </row>
    <row r="814" spans="20:20" ht="12.6">
      <c r="T814" s="2"/>
    </row>
    <row r="815" spans="20:20" ht="12.6">
      <c r="T815" s="2"/>
    </row>
    <row r="816" spans="20:20" ht="12.6">
      <c r="T816" s="2"/>
    </row>
    <row r="817" spans="20:20" ht="12.6">
      <c r="T817" s="2"/>
    </row>
    <row r="818" spans="20:20" ht="12.6">
      <c r="T818" s="2"/>
    </row>
    <row r="819" spans="20:20" ht="12.6">
      <c r="T819" s="2"/>
    </row>
    <row r="820" spans="20:20" ht="12.6">
      <c r="T820" s="2"/>
    </row>
    <row r="821" spans="20:20" ht="12.6">
      <c r="T821" s="2"/>
    </row>
    <row r="822" spans="20:20" ht="12.6">
      <c r="T822" s="2"/>
    </row>
    <row r="823" spans="20:20" ht="12.6">
      <c r="T823" s="2"/>
    </row>
    <row r="824" spans="20:20" ht="12.6">
      <c r="T824" s="2"/>
    </row>
    <row r="825" spans="20:20" ht="12.6">
      <c r="T825" s="2"/>
    </row>
    <row r="826" spans="20:20" ht="12.6">
      <c r="T826" s="2"/>
    </row>
    <row r="827" spans="20:20" ht="12.6">
      <c r="T827" s="2"/>
    </row>
    <row r="828" spans="20:20" ht="12.6">
      <c r="T828" s="2"/>
    </row>
    <row r="829" spans="20:20" ht="12.6">
      <c r="T829" s="2"/>
    </row>
    <row r="830" spans="20:20" ht="12.6">
      <c r="T830" s="2"/>
    </row>
    <row r="831" spans="20:20" ht="12.6">
      <c r="T831" s="2"/>
    </row>
    <row r="832" spans="20:20" ht="12.6">
      <c r="T832" s="2"/>
    </row>
    <row r="833" spans="20:20" ht="12.6">
      <c r="T833" s="2"/>
    </row>
    <row r="834" spans="20:20" ht="12.6">
      <c r="T834" s="2"/>
    </row>
    <row r="835" spans="20:20" ht="12.6">
      <c r="T835" s="2"/>
    </row>
    <row r="836" spans="20:20" ht="12.6">
      <c r="T836" s="2"/>
    </row>
    <row r="837" spans="20:20" ht="12.6">
      <c r="T837" s="2"/>
    </row>
    <row r="838" spans="20:20" ht="12.6">
      <c r="T838" s="2"/>
    </row>
    <row r="839" spans="20:20" ht="12.6">
      <c r="T839" s="2"/>
    </row>
    <row r="840" spans="20:20" ht="12.6">
      <c r="T840" s="2"/>
    </row>
    <row r="841" spans="20:20" ht="12.6">
      <c r="T841" s="2"/>
    </row>
    <row r="842" spans="20:20" ht="12.6">
      <c r="T842" s="2"/>
    </row>
    <row r="843" spans="20:20" ht="12.6">
      <c r="T843" s="2"/>
    </row>
    <row r="844" spans="20:20" ht="12.6">
      <c r="T844" s="2"/>
    </row>
    <row r="845" spans="20:20" ht="12.6">
      <c r="T845" s="2"/>
    </row>
    <row r="846" spans="20:20" ht="12.6">
      <c r="T846" s="2"/>
    </row>
    <row r="847" spans="20:20" ht="12.6">
      <c r="T847" s="2"/>
    </row>
    <row r="848" spans="20:20" ht="12.6">
      <c r="T848" s="2"/>
    </row>
    <row r="849" spans="20:20" ht="12.6">
      <c r="T849" s="2"/>
    </row>
    <row r="850" spans="20:20" ht="12.6">
      <c r="T850" s="2"/>
    </row>
    <row r="851" spans="20:20" ht="12.6">
      <c r="T851" s="2"/>
    </row>
    <row r="852" spans="20:20" ht="12.6">
      <c r="T852" s="2"/>
    </row>
    <row r="853" spans="20:20" ht="12.6">
      <c r="T853" s="2"/>
    </row>
    <row r="854" spans="20:20" ht="12.6">
      <c r="T854" s="2"/>
    </row>
    <row r="855" spans="20:20" ht="12.6">
      <c r="T855" s="2"/>
    </row>
    <row r="856" spans="20:20" ht="12.6">
      <c r="T856" s="2"/>
    </row>
    <row r="857" spans="20:20" ht="12.6">
      <c r="T857" s="2"/>
    </row>
    <row r="858" spans="20:20" ht="12.6">
      <c r="T858" s="2"/>
    </row>
    <row r="859" spans="20:20" ht="12.6">
      <c r="T859" s="2"/>
    </row>
    <row r="860" spans="20:20" ht="12.6">
      <c r="T860" s="2"/>
    </row>
    <row r="861" spans="20:20" ht="12.6">
      <c r="T861" s="2"/>
    </row>
    <row r="862" spans="20:20" ht="12.6">
      <c r="T862" s="2"/>
    </row>
    <row r="863" spans="20:20" ht="12.6">
      <c r="T863" s="2"/>
    </row>
    <row r="864" spans="20:20" ht="12.6">
      <c r="T864" s="2"/>
    </row>
    <row r="865" spans="20:20" ht="12.6">
      <c r="T865" s="2"/>
    </row>
    <row r="866" spans="20:20" ht="12.6">
      <c r="T866" s="2"/>
    </row>
    <row r="867" spans="20:20" ht="12.6">
      <c r="T867" s="2"/>
    </row>
    <row r="868" spans="20:20" ht="12.6">
      <c r="T868" s="2"/>
    </row>
    <row r="869" spans="20:20" ht="12.6">
      <c r="T869" s="2"/>
    </row>
    <row r="870" spans="20:20" ht="12.6">
      <c r="T870" s="2"/>
    </row>
    <row r="871" spans="20:20" ht="12.6">
      <c r="T871" s="2"/>
    </row>
    <row r="872" spans="20:20" ht="12.6">
      <c r="T872" s="2"/>
    </row>
    <row r="873" spans="20:20" ht="12.6">
      <c r="T873" s="2"/>
    </row>
    <row r="874" spans="20:20" ht="12.6">
      <c r="T874" s="2"/>
    </row>
    <row r="875" spans="20:20" ht="12.6">
      <c r="T875" s="2"/>
    </row>
    <row r="876" spans="20:20" ht="12.6">
      <c r="T876" s="2"/>
    </row>
    <row r="877" spans="20:20" ht="12.6">
      <c r="T877" s="2"/>
    </row>
    <row r="878" spans="20:20" ht="12.6">
      <c r="T878" s="2"/>
    </row>
    <row r="879" spans="20:20" ht="12.6">
      <c r="T879" s="2"/>
    </row>
    <row r="880" spans="20:20" ht="12.6">
      <c r="T880" s="2"/>
    </row>
    <row r="881" spans="20:20" ht="12.6">
      <c r="T881" s="2"/>
    </row>
    <row r="882" spans="20:20" ht="12.6">
      <c r="T882" s="2"/>
    </row>
    <row r="883" spans="20:20" ht="12.6">
      <c r="T883" s="2"/>
    </row>
    <row r="884" spans="20:20" ht="12.6">
      <c r="T884" s="2"/>
    </row>
    <row r="885" spans="20:20" ht="12.6">
      <c r="T885" s="2"/>
    </row>
    <row r="886" spans="20:20" ht="12.6">
      <c r="T886" s="2"/>
    </row>
    <row r="887" spans="20:20" ht="12.6">
      <c r="T887" s="2"/>
    </row>
    <row r="888" spans="20:20" ht="12.6">
      <c r="T888" s="2"/>
    </row>
    <row r="889" spans="20:20" ht="12.6">
      <c r="T889" s="2"/>
    </row>
    <row r="890" spans="20:20" ht="12.6">
      <c r="T890" s="2"/>
    </row>
    <row r="891" spans="20:20" ht="12.6">
      <c r="T891" s="2"/>
    </row>
    <row r="892" spans="20:20" ht="12.6">
      <c r="T892" s="2"/>
    </row>
    <row r="893" spans="20:20" ht="12.6">
      <c r="T893" s="2"/>
    </row>
    <row r="894" spans="20:20" ht="12.6">
      <c r="T894" s="2"/>
    </row>
    <row r="895" spans="20:20" ht="12.6">
      <c r="T895" s="2"/>
    </row>
    <row r="896" spans="20:20" ht="12.6">
      <c r="T896" s="2"/>
    </row>
    <row r="897" spans="20:20" ht="12.6">
      <c r="T897" s="2"/>
    </row>
    <row r="898" spans="20:20" ht="12.6">
      <c r="T898" s="2"/>
    </row>
    <row r="899" spans="20:20" ht="12.6">
      <c r="T899" s="2"/>
    </row>
    <row r="900" spans="20:20" ht="12.6">
      <c r="T900" s="2"/>
    </row>
    <row r="901" spans="20:20" ht="12.6">
      <c r="T901" s="2"/>
    </row>
    <row r="902" spans="20:20" ht="12.6">
      <c r="T902" s="2"/>
    </row>
    <row r="903" spans="20:20" ht="12.6">
      <c r="T903" s="2"/>
    </row>
    <row r="904" spans="20:20" ht="12.6">
      <c r="T904" s="2"/>
    </row>
    <row r="905" spans="20:20" ht="12.6">
      <c r="T905" s="2"/>
    </row>
    <row r="906" spans="20:20" ht="12.6">
      <c r="T906" s="2"/>
    </row>
    <row r="907" spans="20:20" ht="12.6">
      <c r="T907" s="2"/>
    </row>
    <row r="908" spans="20:20" ht="12.6">
      <c r="T908" s="2"/>
    </row>
    <row r="909" spans="20:20" ht="12.6">
      <c r="T909" s="2"/>
    </row>
    <row r="910" spans="20:20" ht="12.6">
      <c r="T910" s="2"/>
    </row>
    <row r="911" spans="20:20" ht="12.6">
      <c r="T911" s="2"/>
    </row>
    <row r="912" spans="20:20" ht="12.6">
      <c r="T912" s="2"/>
    </row>
    <row r="913" spans="20:20" ht="12.6">
      <c r="T913" s="2"/>
    </row>
    <row r="914" spans="20:20" ht="12.6">
      <c r="T914" s="2"/>
    </row>
    <row r="915" spans="20:20" ht="12.6">
      <c r="T915" s="2"/>
    </row>
    <row r="916" spans="20:20" ht="12.6">
      <c r="T916" s="2"/>
    </row>
    <row r="917" spans="20:20" ht="12.6">
      <c r="T917" s="2"/>
    </row>
    <row r="918" spans="20:20" ht="12.6">
      <c r="T918" s="2"/>
    </row>
    <row r="919" spans="20:20" ht="12.6">
      <c r="T919" s="2"/>
    </row>
    <row r="920" spans="20:20" ht="12.6">
      <c r="T920" s="2"/>
    </row>
    <row r="921" spans="20:20" ht="12.6">
      <c r="T921" s="2"/>
    </row>
    <row r="922" spans="20:20" ht="12.6">
      <c r="T922" s="2"/>
    </row>
    <row r="923" spans="20:20" ht="12.6">
      <c r="T923" s="2"/>
    </row>
    <row r="924" spans="20:20" ht="12.6">
      <c r="T924" s="2"/>
    </row>
    <row r="925" spans="20:20" ht="12.6">
      <c r="T925" s="2"/>
    </row>
    <row r="926" spans="20:20" ht="12.6">
      <c r="T926" s="2"/>
    </row>
    <row r="927" spans="20:20" ht="12.6">
      <c r="T927" s="2"/>
    </row>
    <row r="928" spans="20:20" ht="12.6">
      <c r="T928" s="2"/>
    </row>
    <row r="929" spans="20:20" ht="12.6">
      <c r="T929" s="2"/>
    </row>
    <row r="930" spans="20:20" ht="12.6">
      <c r="T930" s="2"/>
    </row>
    <row r="931" spans="20:20" ht="12.6">
      <c r="T931" s="2"/>
    </row>
    <row r="932" spans="20:20" ht="12.6">
      <c r="T932" s="2"/>
    </row>
    <row r="933" spans="20:20" ht="12.6">
      <c r="T933" s="2"/>
    </row>
    <row r="934" spans="20:20" ht="12.6">
      <c r="T934" s="2"/>
    </row>
    <row r="935" spans="20:20" ht="12.6">
      <c r="T935" s="2"/>
    </row>
    <row r="936" spans="20:20" ht="12.6">
      <c r="T936" s="2"/>
    </row>
    <row r="937" spans="20:20" ht="12.6">
      <c r="T937" s="2"/>
    </row>
    <row r="938" spans="20:20" ht="12.6">
      <c r="T938" s="2"/>
    </row>
    <row r="939" spans="20:20" ht="12.6">
      <c r="T939" s="2"/>
    </row>
    <row r="940" spans="20:20" ht="12.6">
      <c r="T940" s="2"/>
    </row>
    <row r="941" spans="20:20" ht="12.6">
      <c r="T941" s="2"/>
    </row>
    <row r="942" spans="20:20" ht="12.6">
      <c r="T942" s="2"/>
    </row>
    <row r="943" spans="20:20" ht="12.6">
      <c r="T943" s="2"/>
    </row>
    <row r="944" spans="20:20" ht="12.6">
      <c r="T944" s="2"/>
    </row>
    <row r="945" spans="20:20" ht="12.6">
      <c r="T945" s="2"/>
    </row>
    <row r="946" spans="20:20" ht="12.6">
      <c r="T946" s="2"/>
    </row>
    <row r="947" spans="20:20" ht="12.6">
      <c r="T947" s="2"/>
    </row>
    <row r="948" spans="20:20" ht="12.6">
      <c r="T948" s="2"/>
    </row>
    <row r="949" spans="20:20" ht="12.6">
      <c r="T949" s="2"/>
    </row>
    <row r="950" spans="20:20" ht="12.6">
      <c r="T950" s="2"/>
    </row>
    <row r="951" spans="20:20" ht="12.6">
      <c r="T951" s="2"/>
    </row>
    <row r="952" spans="20:20" ht="12.6">
      <c r="T952" s="2"/>
    </row>
    <row r="953" spans="20:20" ht="12.6">
      <c r="T953" s="2"/>
    </row>
    <row r="954" spans="20:20" ht="12.6">
      <c r="T954" s="2"/>
    </row>
    <row r="955" spans="20:20" ht="12.6">
      <c r="T955" s="2"/>
    </row>
    <row r="956" spans="20:20" ht="12.6">
      <c r="T956" s="2"/>
    </row>
    <row r="957" spans="20:20" ht="12.6">
      <c r="T957" s="2"/>
    </row>
    <row r="958" spans="20:20" ht="12.6">
      <c r="T958" s="2"/>
    </row>
    <row r="959" spans="20:20" ht="12.6">
      <c r="T959" s="2"/>
    </row>
    <row r="960" spans="20:20" ht="12.6">
      <c r="T960" s="2"/>
    </row>
    <row r="961" spans="20:20" ht="12.6">
      <c r="T961" s="2"/>
    </row>
    <row r="962" spans="20:20" ht="12.6">
      <c r="T962" s="2"/>
    </row>
    <row r="963" spans="20:20" ht="12.6">
      <c r="T963" s="2"/>
    </row>
    <row r="964" spans="20:20" ht="12.6">
      <c r="T964" s="2"/>
    </row>
    <row r="965" spans="20:20" ht="12.6">
      <c r="T965" s="2"/>
    </row>
    <row r="966" spans="20:20" ht="12.6">
      <c r="T966" s="2"/>
    </row>
    <row r="967" spans="20:20" ht="12.6">
      <c r="T967" s="2"/>
    </row>
    <row r="968" spans="20:20" ht="12.6">
      <c r="T968" s="2"/>
    </row>
    <row r="969" spans="20:20" ht="12.6">
      <c r="T969" s="2"/>
    </row>
    <row r="970" spans="20:20" ht="12.6">
      <c r="T970" s="2"/>
    </row>
    <row r="971" spans="20:20" ht="12.6">
      <c r="T971" s="2"/>
    </row>
    <row r="972" spans="20:20" ht="12.6">
      <c r="T972" s="2"/>
    </row>
    <row r="973" spans="20:20" ht="12.6">
      <c r="T973" s="2"/>
    </row>
    <row r="974" spans="20:20" ht="12.6">
      <c r="T974" s="2"/>
    </row>
    <row r="975" spans="20:20" ht="12.6">
      <c r="T975" s="2"/>
    </row>
    <row r="976" spans="20:20" ht="12.6">
      <c r="T976" s="2"/>
    </row>
    <row r="977" spans="20:20" ht="12.6">
      <c r="T977" s="2"/>
    </row>
    <row r="978" spans="20:20" ht="12.6">
      <c r="T978" s="2"/>
    </row>
    <row r="979" spans="20:20" ht="12.6">
      <c r="T979" s="2"/>
    </row>
    <row r="980" spans="20:20" ht="12.6">
      <c r="T980" s="2"/>
    </row>
    <row r="981" spans="20:20" ht="12.6">
      <c r="T981" s="2"/>
    </row>
    <row r="982" spans="20:20" ht="12.6">
      <c r="T982" s="2"/>
    </row>
    <row r="983" spans="20:20" ht="12.6">
      <c r="T983" s="2"/>
    </row>
    <row r="984" spans="20:20" ht="12.6">
      <c r="T984" s="2"/>
    </row>
    <row r="985" spans="20:20" ht="12.6">
      <c r="T985" s="2"/>
    </row>
    <row r="986" spans="20:20" ht="12.6">
      <c r="T986" s="2"/>
    </row>
    <row r="987" spans="20:20" ht="12.6">
      <c r="T987" s="2"/>
    </row>
    <row r="988" spans="20:20" ht="12.6">
      <c r="T988" s="2"/>
    </row>
    <row r="989" spans="20:20" ht="12.6">
      <c r="T989" s="2"/>
    </row>
    <row r="990" spans="20:20" ht="12.6">
      <c r="T990" s="2"/>
    </row>
    <row r="991" spans="20:20" ht="12.6">
      <c r="T991" s="2"/>
    </row>
    <row r="992" spans="20:20" ht="12.6">
      <c r="T992" s="2"/>
    </row>
    <row r="993" spans="20:20" ht="12.6">
      <c r="T993" s="2"/>
    </row>
    <row r="994" spans="20:20" ht="12.6">
      <c r="T994" s="2"/>
    </row>
    <row r="995" spans="20:20" ht="12.6">
      <c r="T995" s="2"/>
    </row>
    <row r="996" spans="20:20" ht="12.6">
      <c r="T996" s="2"/>
    </row>
    <row r="997" spans="20:20" ht="12.6">
      <c r="T997" s="2"/>
    </row>
    <row r="998" spans="20:20" ht="12.6">
      <c r="T998" s="2"/>
    </row>
    <row r="999" spans="20:20" ht="12.6">
      <c r="T999" s="2"/>
    </row>
    <row r="1000" spans="20:20" ht="12.6">
      <c r="T1000" s="2"/>
    </row>
    <row r="1001" spans="20:20" ht="12.6">
      <c r="T1001" s="2"/>
    </row>
    <row r="1002" spans="20:20" ht="12.6">
      <c r="T1002" s="2"/>
    </row>
    <row r="1003" spans="20:20" ht="12.6">
      <c r="T1003" s="2"/>
    </row>
    <row r="1004" spans="20:20" ht="12.6">
      <c r="T1004" s="2"/>
    </row>
    <row r="1005" spans="20:20" ht="12.6">
      <c r="T1005" s="2"/>
    </row>
    <row r="1006" spans="20:20" ht="12.6">
      <c r="T1006" s="2"/>
    </row>
    <row r="1007" spans="20:20" ht="12.6">
      <c r="T1007" s="2"/>
    </row>
    <row r="1008" spans="20:20" ht="12.6">
      <c r="T1008" s="2"/>
    </row>
    <row r="1009" spans="20:20" ht="12.6">
      <c r="T1009" s="2"/>
    </row>
    <row r="1010" spans="20:20" ht="12.6">
      <c r="T1010" s="2"/>
    </row>
    <row r="1011" spans="20:20" ht="12.6">
      <c r="T1011" s="2"/>
    </row>
    <row r="1012" spans="20:20" ht="12.6">
      <c r="T1012" s="2"/>
    </row>
    <row r="1013" spans="20:20" ht="12.6">
      <c r="T1013" s="2"/>
    </row>
    <row r="1014" spans="20:20" ht="12.6">
      <c r="T1014" s="2"/>
    </row>
    <row r="1015" spans="20:20" ht="12.6">
      <c r="T1015" s="2"/>
    </row>
    <row r="1016" spans="20:20" ht="12.6">
      <c r="T1016" s="2"/>
    </row>
    <row r="1017" spans="20:20" ht="12.6">
      <c r="T1017" s="2"/>
    </row>
    <row r="1018" spans="20:20" ht="12.6">
      <c r="T1018" s="2"/>
    </row>
    <row r="1019" spans="20:20" ht="12.6">
      <c r="T1019" s="2"/>
    </row>
    <row r="1020" spans="20:20" ht="12.6">
      <c r="T1020" s="2"/>
    </row>
    <row r="1021" spans="20:20" ht="12.6">
      <c r="T1021" s="2"/>
    </row>
    <row r="1022" spans="20:20" ht="12.6">
      <c r="T1022" s="2"/>
    </row>
    <row r="1023" spans="20:20" ht="12.6">
      <c r="T1023" s="2"/>
    </row>
    <row r="1024" spans="20:20" ht="12.6">
      <c r="T1024" s="2"/>
    </row>
    <row r="1025" spans="20:20" ht="12.6">
      <c r="T1025" s="2"/>
    </row>
    <row r="1026" spans="20:20" ht="12.6">
      <c r="T1026" s="2"/>
    </row>
    <row r="1027" spans="20:20" ht="12.6">
      <c r="T1027" s="2"/>
    </row>
    <row r="1028" spans="20:20" ht="12.6">
      <c r="T1028" s="2"/>
    </row>
    <row r="1029" spans="20:20" ht="12.6">
      <c r="T1029" s="2"/>
    </row>
    <row r="1030" spans="20:20" ht="12.6">
      <c r="T1030" s="2"/>
    </row>
    <row r="1031" spans="20:20" ht="12.6">
      <c r="T1031" s="2"/>
    </row>
    <row r="1032" spans="20:20" ht="12.6">
      <c r="T1032" s="2"/>
    </row>
    <row r="1033" spans="20:20" ht="12.6">
      <c r="T1033" s="2"/>
    </row>
    <row r="1034" spans="20:20" ht="12.6">
      <c r="T1034" s="2"/>
    </row>
    <row r="1035" spans="20:20" ht="12.6">
      <c r="T1035" s="2"/>
    </row>
    <row r="1036" spans="20:20" ht="12.6">
      <c r="T1036" s="2"/>
    </row>
    <row r="1037" spans="20:20" ht="12.6">
      <c r="T1037" s="2"/>
    </row>
    <row r="1038" spans="20:20" ht="12.6">
      <c r="T1038" s="2"/>
    </row>
    <row r="1039" spans="20:20" ht="12.6">
      <c r="T1039" s="2"/>
    </row>
    <row r="1040" spans="20:20" ht="12.6">
      <c r="T1040" s="2"/>
    </row>
    <row r="1041" spans="20:20" ht="12.6">
      <c r="T1041" s="2"/>
    </row>
    <row r="1042" spans="20:20" ht="12.6">
      <c r="T1042" s="2"/>
    </row>
    <row r="1043" spans="20:20" ht="12.6">
      <c r="T1043" s="2"/>
    </row>
    <row r="1044" spans="20:20" ht="12.6">
      <c r="T1044" s="2"/>
    </row>
    <row r="1045" spans="20:20" ht="12.6">
      <c r="T1045" s="2"/>
    </row>
    <row r="1046" spans="20:20" ht="12.6">
      <c r="T1046" s="2"/>
    </row>
    <row r="1047" spans="20:20" ht="12.6">
      <c r="T1047" s="2"/>
    </row>
    <row r="1048" spans="20:20" ht="12.6">
      <c r="T1048" s="2"/>
    </row>
    <row r="1049" spans="20:20" ht="12.6">
      <c r="T1049" s="2"/>
    </row>
    <row r="1050" spans="20:20" ht="12.6">
      <c r="T1050" s="2"/>
    </row>
    <row r="1051" spans="20:20" ht="12.6">
      <c r="T1051" s="2"/>
    </row>
    <row r="1052" spans="20:20" ht="12.6">
      <c r="T1052" s="2"/>
    </row>
    <row r="1053" spans="20:20" ht="12.6">
      <c r="T1053" s="2"/>
    </row>
    <row r="1054" spans="20:20" ht="12.6">
      <c r="T1054" s="2"/>
    </row>
    <row r="1055" spans="20:20" ht="12.6">
      <c r="T1055" s="2"/>
    </row>
    <row r="1056" spans="20:20" ht="12.6">
      <c r="T1056" s="2"/>
    </row>
    <row r="1057" spans="20:20" ht="12.6">
      <c r="T1057" s="2"/>
    </row>
    <row r="1058" spans="20:20" ht="12.6">
      <c r="T1058" s="2"/>
    </row>
    <row r="1059" spans="20:20" ht="12.6">
      <c r="T1059" s="2"/>
    </row>
    <row r="1060" spans="20:20" ht="12.6">
      <c r="T1060" s="2"/>
    </row>
    <row r="1061" spans="20:20" ht="12.6">
      <c r="T1061" s="2"/>
    </row>
    <row r="1062" spans="20:20" ht="12.6">
      <c r="T1062" s="2"/>
    </row>
    <row r="1063" spans="20:20" ht="12.6">
      <c r="T1063" s="2"/>
    </row>
    <row r="1064" spans="20:20" ht="12.6">
      <c r="T1064" s="2"/>
    </row>
    <row r="1065" spans="20:20" ht="12.6">
      <c r="T1065" s="2"/>
    </row>
    <row r="1066" spans="20:20" ht="12.6">
      <c r="T1066" s="2"/>
    </row>
    <row r="1067" spans="20:20" ht="12.6">
      <c r="T1067" s="2"/>
    </row>
    <row r="1068" spans="20:20" ht="12.6">
      <c r="T1068" s="2"/>
    </row>
    <row r="1069" spans="20:20" ht="12.6">
      <c r="T1069" s="2"/>
    </row>
    <row r="1070" spans="20:20" ht="12.6">
      <c r="T1070" s="2"/>
    </row>
    <row r="1071" spans="20:20" ht="12.6">
      <c r="T1071" s="2"/>
    </row>
    <row r="1072" spans="20:20" ht="12.6">
      <c r="T1072" s="2"/>
    </row>
    <row r="1073" spans="20:20" ht="12.6">
      <c r="T1073" s="2"/>
    </row>
    <row r="1074" spans="20:20" ht="12.6">
      <c r="T1074" s="2"/>
    </row>
    <row r="1075" spans="20:20" ht="12.6">
      <c r="T1075" s="2"/>
    </row>
    <row r="1076" spans="20:20" ht="12.6">
      <c r="T1076" s="2"/>
    </row>
    <row r="1077" spans="20:20" ht="12.6">
      <c r="T1077" s="2"/>
    </row>
    <row r="1078" spans="20:20" ht="12.6">
      <c r="T1078" s="2"/>
    </row>
    <row r="1079" spans="20:20" ht="12.6">
      <c r="T1079" s="2"/>
    </row>
    <row r="1080" spans="20:20" ht="12.6">
      <c r="T1080" s="2"/>
    </row>
    <row r="1081" spans="20:20" ht="12.6">
      <c r="T1081" s="2"/>
    </row>
  </sheetData>
  <mergeCells count="75">
    <mergeCell ref="A173:B176"/>
    <mergeCell ref="C192:R193"/>
    <mergeCell ref="T76:T81"/>
    <mergeCell ref="T82:T93"/>
    <mergeCell ref="C167:C175"/>
    <mergeCell ref="C176:C180"/>
    <mergeCell ref="C181:C191"/>
    <mergeCell ref="C162:R163"/>
    <mergeCell ref="D166:F166"/>
    <mergeCell ref="G166:I166"/>
    <mergeCell ref="J166:L166"/>
    <mergeCell ref="M166:O166"/>
    <mergeCell ref="P166:R166"/>
    <mergeCell ref="S4:S61"/>
    <mergeCell ref="T5:T25"/>
    <mergeCell ref="T26:T42"/>
    <mergeCell ref="T43:T60"/>
    <mergeCell ref="T66:T75"/>
    <mergeCell ref="A75:B76"/>
    <mergeCell ref="C94:R95"/>
    <mergeCell ref="D98:F98"/>
    <mergeCell ref="J98:L98"/>
    <mergeCell ref="M98:O98"/>
    <mergeCell ref="P98:R98"/>
    <mergeCell ref="S65:S94"/>
    <mergeCell ref="S98:S129"/>
    <mergeCell ref="S134:S162"/>
    <mergeCell ref="S166:S192"/>
    <mergeCell ref="G66:I75"/>
    <mergeCell ref="A15:B33"/>
    <mergeCell ref="J59:L60"/>
    <mergeCell ref="C61:R61"/>
    <mergeCell ref="D65:F65"/>
    <mergeCell ref="G65:I65"/>
    <mergeCell ref="J65:L65"/>
    <mergeCell ref="M65:O65"/>
    <mergeCell ref="P65:R65"/>
    <mergeCell ref="C2:R2"/>
    <mergeCell ref="D4:F4"/>
    <mergeCell ref="G4:I4"/>
    <mergeCell ref="J4:L4"/>
    <mergeCell ref="M4:O4"/>
    <mergeCell ref="P4:R4"/>
    <mergeCell ref="T176:T180"/>
    <mergeCell ref="T181:T191"/>
    <mergeCell ref="T99:T109"/>
    <mergeCell ref="T110:T115"/>
    <mergeCell ref="T116:T128"/>
    <mergeCell ref="T135:T144"/>
    <mergeCell ref="T145:T150"/>
    <mergeCell ref="T151:T161"/>
    <mergeCell ref="T167:T175"/>
    <mergeCell ref="C135:C144"/>
    <mergeCell ref="G135:I144"/>
    <mergeCell ref="A144:B145"/>
    <mergeCell ref="C145:C150"/>
    <mergeCell ref="C151:C161"/>
    <mergeCell ref="G98:I98"/>
    <mergeCell ref="G99:I109"/>
    <mergeCell ref="A108:B110"/>
    <mergeCell ref="C129:R130"/>
    <mergeCell ref="D134:F134"/>
    <mergeCell ref="G134:I134"/>
    <mergeCell ref="J134:L134"/>
    <mergeCell ref="M134:O134"/>
    <mergeCell ref="P134:R134"/>
    <mergeCell ref="C110:C115"/>
    <mergeCell ref="C116:C128"/>
    <mergeCell ref="C5:C25"/>
    <mergeCell ref="C33:C42"/>
    <mergeCell ref="C43:C60"/>
    <mergeCell ref="C66:C75"/>
    <mergeCell ref="C76:C81"/>
    <mergeCell ref="C82:C93"/>
    <mergeCell ref="C99:C109"/>
  </mergeCells>
  <conditionalFormatting sqref="C1:D200 A1:B1081 E1:AC1081 C226:D1081">
    <cfRule type="cellIs" dxfId="10" priority="2" operator="equal">
      <formula>"ACM"</formula>
    </cfRule>
    <cfRule type="cellIs" dxfId="9" priority="3" operator="equal">
      <formula>"Laurence"</formula>
    </cfRule>
    <cfRule type="cellIs" dxfId="8" priority="4" operator="equal">
      <formula>"Florine"</formula>
    </cfRule>
    <cfRule type="cellIs" dxfId="7" priority="5" operator="equal">
      <formula>"Elia"</formula>
    </cfRule>
    <cfRule type="cellIs" dxfId="6" priority="6" operator="equal">
      <formula>"Océane"</formula>
    </cfRule>
    <cfRule type="cellIs" dxfId="5" priority="7" operator="equal">
      <formula>"RÉUNION"</formula>
    </cfRule>
  </conditionalFormatting>
  <conditionalFormatting sqref="E1:AC1081 C1:D200 A1:B1081 C226:D1081">
    <cfRule type="cellIs" dxfId="4" priority="9" operator="equal">
      <formula>"Antonio"</formula>
    </cfRule>
  </conditionalFormatting>
  <conditionalFormatting sqref="S4:S61 S65:S94 S98:S129 S134:S162 S166:S192">
    <cfRule type="cellIs" dxfId="3" priority="1" operator="equal">
      <formula>"Vacances"</formula>
    </cfRule>
  </conditionalFormatting>
  <conditionalFormatting sqref="V9">
    <cfRule type="notContainsBlanks" dxfId="2" priority="8">
      <formula>LEN(TRIM(V9))&gt;0</formula>
    </cfRule>
  </conditionalFormatting>
  <dataValidations count="1">
    <dataValidation type="custom" allowBlank="1" showDropDown="1" sqref="D202:D225" xr:uid="{00000000-0002-0000-0000-000003000000}">
      <formula1>AND(ISNUMBER(D202),(NOT(OR(NOT(ISERROR(DATEVALUE(D202))), AND(ISNUMBER(D202), LEFT(CELL("format", D202))="D")))))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xr:uid="{00000000-0002-0000-0000-000000000000}">
          <x14:formula1>
            <xm:f>salariés!$B$3:$B$16</xm:f>
          </x14:formula1>
          <xm:sqref>K5:K58 E5:E60 H5:H60 N5:N60 Q5:Q60 E66:E93 H76:H93 K66:K93 N66:N93 Q66:Q93 E99:E128 H110:H128 K99:K128 N99:N128 Q99:Q128 E135:E161 H145:H161 K135:K161 N135:N161 Q135:Q161 E167:E191 H167:H191 K167:K191 N167:N191 Q167:Q191</xm:sqref>
        </x14:dataValidation>
        <x14:dataValidation type="list" allowBlank="1" xr:uid="{00000000-0002-0000-0000-000001000000}">
          <x14:formula1>
            <xm:f>'Recap Accompagnement'!$B$3:$B$60</xm:f>
          </x14:formula1>
          <xm:sqref>P8:P25 M10:M26 J18:J32 P54 G5:G60 J75 M71:M75 P69:P75 G76:G93 J93 J108:J109 M104:M109 P102:P109 G110:G128 J126:J128 J144 M140:M144 P138:P144 G145:G161 J160:J161 J173:J175 M172:M175 P170:P175 G167:G191 J189:J191</xm:sqref>
        </x14:dataValidation>
        <x14:dataValidation type="list" allowBlank="1" xr:uid="{00000000-0002-0000-0000-000002000000}">
          <x14:formula1>
            <xm:f>'Recap Accompagnement'!$O$2:$O$3</xm:f>
          </x14:formula1>
          <xm:sqref>L5:L58 F5:F60 I5:I60 O5:O60 R5:R60 F66:F93 I76:I93 L66:L93 O66:O93 R66:R93 F99:F128 I110:I128 L99:L128 O99:O128 R99:R128 F135:F161 I145:I161 L135:L161 O135:O161 R135:R161 F167:F191 I167:I191 L167:L191 O167:O191 R167:R191</xm:sqref>
        </x14:dataValidation>
        <x14:dataValidation type="list" allowBlank="1" xr:uid="{00000000-0002-0000-0000-000004000000}">
          <x14:formula1>
            <xm:f>'Recap Accompagnement'!$B$3:$B$100</xm:f>
          </x14:formula1>
          <xm:sqref>P5:P7 J5:J17 G66 P66:P68 J66:J74 G99 P99:P101 J99:J107 G135 P135:P137 J135:J143 P167:P169 J167:J172 M5:M9 P26:P53 J33:J59 D5:D60 M27:M60 P55:P60 M66:M70 J76:J92 D66:D93 M76:M93 P76:P93 M99:M103 J110:J125 D99:D128 M110:M128 P110:P128 M135:M139 J145:J159 D135:D161 M145:M161 P145:P161 M167:M171 J176:J188 D167:D191 M176:M191 P176:P191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H27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1.1796875" defaultRowHeight="15.75" customHeight="1"/>
  <cols>
    <col min="1" max="1" width="14.54296875" customWidth="1"/>
    <col min="2" max="2" width="14" customWidth="1"/>
    <col min="3" max="3" width="9.6328125" customWidth="1"/>
    <col min="4" max="4" width="9.36328125" customWidth="1"/>
    <col min="5" max="5" width="12.90625" customWidth="1"/>
    <col min="6" max="6" width="9" customWidth="1"/>
  </cols>
  <sheetData>
    <row r="1" spans="1:8" ht="15.75" customHeight="1">
      <c r="A1" s="108" t="s">
        <v>62</v>
      </c>
      <c r="B1" s="109" t="s">
        <v>97</v>
      </c>
      <c r="C1" s="140" t="s">
        <v>98</v>
      </c>
      <c r="D1" s="141" t="s">
        <v>99</v>
      </c>
      <c r="E1" s="142" t="s">
        <v>100</v>
      </c>
      <c r="F1" s="143" t="s">
        <v>101</v>
      </c>
      <c r="G1" s="107"/>
    </row>
    <row r="2" spans="1:8" ht="15.75" customHeight="1">
      <c r="A2" s="113" t="s">
        <v>36</v>
      </c>
      <c r="B2" s="144">
        <v>9</v>
      </c>
      <c r="C2" s="145">
        <v>0</v>
      </c>
      <c r="D2" s="146">
        <f t="shared" ref="D2:D25" si="0">SUM(B2+C2)</f>
        <v>9</v>
      </c>
      <c r="E2" s="147">
        <v>30</v>
      </c>
      <c r="F2" s="148">
        <f t="shared" ref="F2:F25" si="1">SUM(E2-D2)</f>
        <v>21</v>
      </c>
      <c r="G2" s="107"/>
    </row>
    <row r="3" spans="1:8" ht="15.75" customHeight="1">
      <c r="A3" s="113" t="s">
        <v>18</v>
      </c>
      <c r="B3" s="149">
        <v>3</v>
      </c>
      <c r="C3" s="150">
        <v>0</v>
      </c>
      <c r="D3" s="151">
        <f t="shared" si="0"/>
        <v>3</v>
      </c>
      <c r="E3" s="147">
        <v>30</v>
      </c>
      <c r="F3" s="152">
        <f t="shared" si="1"/>
        <v>27</v>
      </c>
      <c r="G3" s="107"/>
    </row>
    <row r="4" spans="1:8" ht="15.75" customHeight="1">
      <c r="A4" s="113" t="s">
        <v>20</v>
      </c>
      <c r="B4" s="144">
        <v>21</v>
      </c>
      <c r="C4" s="145">
        <v>0</v>
      </c>
      <c r="D4" s="146">
        <f t="shared" si="0"/>
        <v>21</v>
      </c>
      <c r="E4" s="147">
        <v>30</v>
      </c>
      <c r="F4" s="148">
        <f t="shared" si="1"/>
        <v>9</v>
      </c>
      <c r="G4" s="107"/>
    </row>
    <row r="5" spans="1:8" ht="15.75" customHeight="1">
      <c r="A5" s="113" t="s">
        <v>47</v>
      </c>
      <c r="B5" s="151">
        <v>12</v>
      </c>
      <c r="C5" s="150">
        <v>0</v>
      </c>
      <c r="D5" s="151">
        <f t="shared" si="0"/>
        <v>12</v>
      </c>
      <c r="E5" s="147">
        <v>30</v>
      </c>
      <c r="F5" s="152">
        <f t="shared" si="1"/>
        <v>18</v>
      </c>
      <c r="G5" s="107"/>
    </row>
    <row r="6" spans="1:8" ht="15.75" customHeight="1">
      <c r="A6" s="113" t="s">
        <v>52</v>
      </c>
      <c r="B6" s="146">
        <v>15</v>
      </c>
      <c r="C6" s="145">
        <v>0</v>
      </c>
      <c r="D6" s="146">
        <f t="shared" si="0"/>
        <v>15</v>
      </c>
      <c r="E6" s="147">
        <v>30</v>
      </c>
      <c r="F6" s="148">
        <f t="shared" si="1"/>
        <v>15</v>
      </c>
      <c r="G6" s="107"/>
    </row>
    <row r="7" spans="1:8" ht="15.75" customHeight="1">
      <c r="A7" s="113" t="s">
        <v>71</v>
      </c>
      <c r="B7" s="151">
        <v>5</v>
      </c>
      <c r="C7" s="150">
        <v>0</v>
      </c>
      <c r="D7" s="151">
        <f t="shared" si="0"/>
        <v>5</v>
      </c>
      <c r="E7" s="147">
        <v>30</v>
      </c>
      <c r="F7" s="152">
        <f t="shared" si="1"/>
        <v>25</v>
      </c>
      <c r="G7" s="107"/>
    </row>
    <row r="8" spans="1:8" ht="15.75" customHeight="1">
      <c r="A8" s="126" t="s">
        <v>11</v>
      </c>
      <c r="B8" s="153">
        <v>78</v>
      </c>
      <c r="C8" s="154">
        <v>0</v>
      </c>
      <c r="D8" s="153">
        <f t="shared" si="0"/>
        <v>78</v>
      </c>
      <c r="E8" s="154">
        <v>432</v>
      </c>
      <c r="F8" s="155">
        <f t="shared" si="1"/>
        <v>354</v>
      </c>
      <c r="G8" s="107"/>
      <c r="H8" s="69" t="s">
        <v>102</v>
      </c>
    </row>
    <row r="9" spans="1:8" ht="15.75" customHeight="1">
      <c r="A9" s="113" t="s">
        <v>50</v>
      </c>
      <c r="B9" s="151">
        <v>18</v>
      </c>
      <c r="C9" s="150">
        <v>0</v>
      </c>
      <c r="D9" s="151">
        <f t="shared" si="0"/>
        <v>18</v>
      </c>
      <c r="E9" s="147">
        <v>30</v>
      </c>
      <c r="F9" s="152">
        <f t="shared" si="1"/>
        <v>12</v>
      </c>
      <c r="G9" s="107"/>
    </row>
    <row r="10" spans="1:8" ht="15.75" customHeight="1">
      <c r="A10" s="130" t="s">
        <v>76</v>
      </c>
      <c r="B10" s="156">
        <v>31</v>
      </c>
      <c r="C10" s="157">
        <v>0</v>
      </c>
      <c r="D10" s="156">
        <f t="shared" si="0"/>
        <v>31</v>
      </c>
      <c r="E10" s="157">
        <v>30</v>
      </c>
      <c r="F10" s="158">
        <f t="shared" si="1"/>
        <v>-1</v>
      </c>
      <c r="G10" s="159"/>
      <c r="H10" s="69" t="s">
        <v>103</v>
      </c>
    </row>
    <row r="11" spans="1:8" ht="15.75" customHeight="1">
      <c r="A11" s="113" t="s">
        <v>79</v>
      </c>
      <c r="B11" s="151">
        <v>12</v>
      </c>
      <c r="C11" s="150">
        <v>0</v>
      </c>
      <c r="D11" s="151">
        <f t="shared" si="0"/>
        <v>12</v>
      </c>
      <c r="E11" s="147">
        <v>30</v>
      </c>
      <c r="F11" s="152">
        <f t="shared" si="1"/>
        <v>18</v>
      </c>
      <c r="G11" s="107"/>
    </row>
    <row r="12" spans="1:8" ht="15.75" customHeight="1">
      <c r="A12" s="113" t="s">
        <v>48</v>
      </c>
      <c r="B12" s="146">
        <v>0</v>
      </c>
      <c r="C12" s="145">
        <v>0</v>
      </c>
      <c r="D12" s="146">
        <f t="shared" si="0"/>
        <v>0</v>
      </c>
      <c r="E12" s="147">
        <v>30</v>
      </c>
      <c r="F12" s="148">
        <f t="shared" si="1"/>
        <v>30</v>
      </c>
      <c r="G12" s="107"/>
    </row>
    <row r="13" spans="1:8" ht="15.75" customHeight="1">
      <c r="A13" s="113" t="s">
        <v>80</v>
      </c>
      <c r="B13" s="151">
        <v>3</v>
      </c>
      <c r="C13" s="150">
        <v>0</v>
      </c>
      <c r="D13" s="151">
        <f t="shared" si="0"/>
        <v>3</v>
      </c>
      <c r="E13" s="147">
        <v>30</v>
      </c>
      <c r="F13" s="152">
        <f t="shared" si="1"/>
        <v>27</v>
      </c>
      <c r="G13" s="107"/>
    </row>
    <row r="14" spans="1:8" ht="15.75" customHeight="1">
      <c r="A14" s="113" t="s">
        <v>53</v>
      </c>
      <c r="B14" s="146">
        <v>15</v>
      </c>
      <c r="C14" s="145">
        <v>0</v>
      </c>
      <c r="D14" s="146">
        <f t="shared" si="0"/>
        <v>15</v>
      </c>
      <c r="E14" s="147">
        <v>30</v>
      </c>
      <c r="F14" s="148">
        <f t="shared" si="1"/>
        <v>15</v>
      </c>
      <c r="G14" s="107"/>
    </row>
    <row r="15" spans="1:8" ht="15.75" customHeight="1">
      <c r="A15" s="113" t="s">
        <v>32</v>
      </c>
      <c r="B15" s="151">
        <v>27</v>
      </c>
      <c r="C15" s="150">
        <v>0</v>
      </c>
      <c r="D15" s="151">
        <f t="shared" si="0"/>
        <v>27</v>
      </c>
      <c r="E15" s="147">
        <v>192</v>
      </c>
      <c r="F15" s="152">
        <f t="shared" si="1"/>
        <v>165</v>
      </c>
      <c r="G15" s="107"/>
      <c r="H15" s="69" t="s">
        <v>102</v>
      </c>
    </row>
    <row r="16" spans="1:8" ht="15.75" customHeight="1">
      <c r="A16" s="113" t="s">
        <v>82</v>
      </c>
      <c r="B16" s="146">
        <v>5</v>
      </c>
      <c r="C16" s="145">
        <v>0</v>
      </c>
      <c r="D16" s="146">
        <f t="shared" si="0"/>
        <v>5</v>
      </c>
      <c r="E16" s="147">
        <v>30</v>
      </c>
      <c r="F16" s="148">
        <f t="shared" si="1"/>
        <v>25</v>
      </c>
      <c r="G16" s="107"/>
    </row>
    <row r="17" spans="1:8" ht="15.75" customHeight="1">
      <c r="A17" s="113" t="s">
        <v>83</v>
      </c>
      <c r="B17" s="151">
        <v>3.5</v>
      </c>
      <c r="C17" s="150">
        <v>0</v>
      </c>
      <c r="D17" s="151">
        <f t="shared" si="0"/>
        <v>3.5</v>
      </c>
      <c r="E17" s="147">
        <v>30</v>
      </c>
      <c r="F17" s="152">
        <f t="shared" si="1"/>
        <v>26.5</v>
      </c>
      <c r="G17" s="107"/>
    </row>
    <row r="18" spans="1:8" ht="15.75" customHeight="1">
      <c r="A18" s="113" t="s">
        <v>30</v>
      </c>
      <c r="B18" s="146">
        <v>9</v>
      </c>
      <c r="C18" s="145">
        <v>0</v>
      </c>
      <c r="D18" s="146">
        <f t="shared" si="0"/>
        <v>9</v>
      </c>
      <c r="E18" s="147">
        <v>30</v>
      </c>
      <c r="F18" s="148">
        <f t="shared" si="1"/>
        <v>21</v>
      </c>
      <c r="G18" s="107"/>
    </row>
    <row r="19" spans="1:8" ht="15.75" customHeight="1">
      <c r="A19" s="113" t="s">
        <v>85</v>
      </c>
      <c r="B19" s="151">
        <v>24</v>
      </c>
      <c r="C19" s="150">
        <v>0</v>
      </c>
      <c r="D19" s="151">
        <f t="shared" si="0"/>
        <v>24</v>
      </c>
      <c r="E19" s="147">
        <v>30</v>
      </c>
      <c r="F19" s="152">
        <f t="shared" si="1"/>
        <v>6</v>
      </c>
      <c r="G19" s="107"/>
    </row>
    <row r="20" spans="1:8" ht="15.75" customHeight="1">
      <c r="A20" s="113" t="s">
        <v>87</v>
      </c>
      <c r="B20" s="146">
        <v>21</v>
      </c>
      <c r="C20" s="145">
        <v>0</v>
      </c>
      <c r="D20" s="146">
        <f t="shared" si="0"/>
        <v>21</v>
      </c>
      <c r="E20" s="147">
        <v>30</v>
      </c>
      <c r="F20" s="148">
        <f t="shared" si="1"/>
        <v>9</v>
      </c>
      <c r="G20" s="107"/>
    </row>
    <row r="21" spans="1:8" ht="15.75" customHeight="1">
      <c r="A21" s="113" t="s">
        <v>88</v>
      </c>
      <c r="B21" s="151">
        <v>3</v>
      </c>
      <c r="C21" s="150">
        <v>0</v>
      </c>
      <c r="D21" s="151">
        <f t="shared" si="0"/>
        <v>3</v>
      </c>
      <c r="E21" s="147">
        <v>30</v>
      </c>
      <c r="F21" s="152">
        <f t="shared" si="1"/>
        <v>27</v>
      </c>
      <c r="G21" s="107"/>
    </row>
    <row r="22" spans="1:8" ht="15.75" customHeight="1">
      <c r="A22" s="113" t="s">
        <v>89</v>
      </c>
      <c r="B22" s="146">
        <v>9</v>
      </c>
      <c r="C22" s="145">
        <v>0</v>
      </c>
      <c r="D22" s="146">
        <f t="shared" si="0"/>
        <v>9</v>
      </c>
      <c r="E22" s="147">
        <v>30</v>
      </c>
      <c r="F22" s="148">
        <f t="shared" si="1"/>
        <v>21</v>
      </c>
      <c r="G22" s="107"/>
    </row>
    <row r="23" spans="1:8" ht="15.75" customHeight="1">
      <c r="A23" s="113" t="s">
        <v>90</v>
      </c>
      <c r="B23" s="151">
        <v>0</v>
      </c>
      <c r="C23" s="150">
        <v>0</v>
      </c>
      <c r="D23" s="151">
        <f t="shared" si="0"/>
        <v>0</v>
      </c>
      <c r="E23" s="147">
        <v>264</v>
      </c>
      <c r="F23" s="152">
        <f t="shared" si="1"/>
        <v>264</v>
      </c>
      <c r="G23" s="107"/>
      <c r="H23" s="69" t="s">
        <v>104</v>
      </c>
    </row>
    <row r="24" spans="1:8" ht="15.75" customHeight="1">
      <c r="A24" s="113" t="s">
        <v>93</v>
      </c>
      <c r="B24" s="146">
        <v>9</v>
      </c>
      <c r="C24" s="145">
        <v>0</v>
      </c>
      <c r="D24" s="146">
        <f t="shared" si="0"/>
        <v>9</v>
      </c>
      <c r="E24" s="147">
        <v>30</v>
      </c>
      <c r="F24" s="148">
        <f t="shared" si="1"/>
        <v>21</v>
      </c>
      <c r="G24" s="107"/>
    </row>
    <row r="25" spans="1:8" ht="15.75" customHeight="1">
      <c r="A25" s="136" t="s">
        <v>95</v>
      </c>
      <c r="B25" s="160">
        <v>11</v>
      </c>
      <c r="C25" s="161">
        <v>0</v>
      </c>
      <c r="D25" s="160">
        <f t="shared" si="0"/>
        <v>11</v>
      </c>
      <c r="E25" s="162">
        <v>30</v>
      </c>
      <c r="F25" s="163">
        <f t="shared" si="1"/>
        <v>19</v>
      </c>
      <c r="G25" s="107"/>
    </row>
    <row r="26" spans="1:8" ht="15.75" customHeight="1">
      <c r="A26" s="107"/>
      <c r="B26" s="164"/>
      <c r="C26" s="107"/>
      <c r="D26" s="107"/>
      <c r="E26" s="107"/>
      <c r="F26" s="107"/>
      <c r="G26" s="107"/>
    </row>
    <row r="27" spans="1:8" ht="15.75" customHeight="1">
      <c r="A27" s="165" t="s">
        <v>105</v>
      </c>
      <c r="B27" s="166">
        <f>SUM(Tableau_jeunes_mars_[Heures déjà effectuées sur les mois écoulés])</f>
        <v>343.5</v>
      </c>
      <c r="C27" s="167">
        <f>SUM(Tableau_jeunes_mars_[Heures de ce mois-ci ])</f>
        <v>0</v>
      </c>
      <c r="D27" s="168">
        <f>SUM(Tableau_jeunes_mars_[[Total heures ]])</f>
        <v>343.5</v>
      </c>
      <c r="E27" s="107"/>
      <c r="F27" s="107"/>
      <c r="G27" s="107"/>
    </row>
  </sheetData>
  <dataValidations count="1">
    <dataValidation type="custom" allowBlank="1" showDropDown="1" sqref="B2:B25" xr:uid="{00000000-0002-0000-0100-000000000000}">
      <formula1>AND(ISNUMBER(B2),(NOT(OR(NOT(ISERROR(DATEVALUE(B2))), AND(ISNUMBER(B2), LEFT(CELL("format", B2))="D")))))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B7"/>
  <sheetViews>
    <sheetView workbookViewId="0"/>
  </sheetViews>
  <sheetFormatPr baseColWidth="10" defaultColWidth="11.1796875" defaultRowHeight="15.75" customHeight="1"/>
  <sheetData>
    <row r="1" spans="1:2" ht="15.75" customHeight="1">
      <c r="A1" s="69" t="s">
        <v>106</v>
      </c>
      <c r="B1" s="69" t="s">
        <v>107</v>
      </c>
    </row>
    <row r="2" spans="1:2" ht="15.75" customHeight="1">
      <c r="A2" s="69" t="s">
        <v>108</v>
      </c>
      <c r="B2" s="69" t="s">
        <v>109</v>
      </c>
    </row>
    <row r="3" spans="1:2" ht="15.75" customHeight="1">
      <c r="A3" s="69" t="s">
        <v>110</v>
      </c>
      <c r="B3" s="69" t="s">
        <v>111</v>
      </c>
    </row>
    <row r="4" spans="1:2" ht="15.75" customHeight="1">
      <c r="A4" s="69" t="s">
        <v>112</v>
      </c>
      <c r="B4" s="69" t="s">
        <v>113</v>
      </c>
    </row>
    <row r="5" spans="1:2" ht="15.75" customHeight="1">
      <c r="A5" s="69" t="s">
        <v>114</v>
      </c>
      <c r="B5" s="69" t="s">
        <v>115</v>
      </c>
    </row>
    <row r="6" spans="1:2" ht="15.75" customHeight="1">
      <c r="A6" s="69" t="s">
        <v>116</v>
      </c>
      <c r="B6" s="69" t="s">
        <v>111</v>
      </c>
    </row>
    <row r="7" spans="1:2" ht="15.75" customHeight="1">
      <c r="A7" s="69" t="s">
        <v>117</v>
      </c>
      <c r="B7" s="69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  <pageSetUpPr fitToPage="1"/>
  </sheetPr>
  <dimension ref="A1:O1000"/>
  <sheetViews>
    <sheetView showGridLines="0" workbookViewId="0">
      <pane ySplit="1" topLeftCell="A2" activePane="bottomLeft" state="frozen"/>
      <selection pane="bottomLeft" activeCell="B3" sqref="B3"/>
    </sheetView>
  </sheetViews>
  <sheetFormatPr baseColWidth="10" defaultColWidth="11.1796875" defaultRowHeight="15.75" customHeight="1"/>
  <cols>
    <col min="2" max="2" width="13.36328125" customWidth="1"/>
    <col min="3" max="3" width="8.453125" customWidth="1"/>
    <col min="4" max="4" width="8.1796875" customWidth="1"/>
    <col min="5" max="5" width="8.36328125" customWidth="1"/>
    <col min="6" max="6" width="7.36328125" customWidth="1"/>
    <col min="7" max="7" width="6.6328125" customWidth="1"/>
    <col min="8" max="8" width="7.36328125" customWidth="1"/>
    <col min="12" max="14" width="29.36328125" customWidth="1"/>
  </cols>
  <sheetData>
    <row r="1" spans="1:15" ht="95.25" customHeight="1">
      <c r="A1" s="169" t="s">
        <v>119</v>
      </c>
      <c r="B1" s="170" t="s">
        <v>120</v>
      </c>
      <c r="C1" s="171" t="s">
        <v>121</v>
      </c>
      <c r="D1" s="172" t="s">
        <v>122</v>
      </c>
      <c r="E1" s="173" t="s">
        <v>123</v>
      </c>
      <c r="F1" s="174" t="s">
        <v>124</v>
      </c>
      <c r="G1" s="175" t="s">
        <v>125</v>
      </c>
      <c r="H1" s="176" t="s">
        <v>126</v>
      </c>
      <c r="I1" s="177" t="s">
        <v>127</v>
      </c>
      <c r="J1" s="170" t="s">
        <v>128</v>
      </c>
      <c r="K1" s="178" t="s">
        <v>129</v>
      </c>
      <c r="L1" s="178" t="s">
        <v>130</v>
      </c>
      <c r="M1" s="178" t="s">
        <v>131</v>
      </c>
      <c r="N1" s="178" t="s">
        <v>132</v>
      </c>
      <c r="O1" s="179"/>
    </row>
    <row r="2" spans="1:15" ht="12.6">
      <c r="A2" s="17"/>
      <c r="B2" s="180"/>
      <c r="C2" s="181"/>
      <c r="D2" s="17"/>
      <c r="E2" s="180"/>
      <c r="F2" s="182"/>
      <c r="G2" s="17"/>
      <c r="H2" s="183"/>
      <c r="I2" s="184"/>
      <c r="J2" s="180"/>
      <c r="K2" s="17"/>
      <c r="L2" s="185"/>
      <c r="M2" s="185"/>
      <c r="N2" s="185"/>
      <c r="O2" s="186" t="s">
        <v>12</v>
      </c>
    </row>
    <row r="3" spans="1:15" ht="13.8">
      <c r="A3" s="187" t="str">
        <f ca="1">IFERROR(__xludf.DUMMYFUNCTION("IMPORTRANGE(""https://docs.google.com/spreadsheets/d/1DSyV8tDqZ18nTTyVYUrGOoSmzgfuPJZyajxwAUVpWtY"",""Adhérent.es!A2:B100"")"),"VERGNES")</f>
        <v>VERGNES</v>
      </c>
      <c r="B3" s="188" t="str">
        <f ca="1">IFERROR(__xludf.DUMMYFUNCTION("""COMPUTED_VALUE"""),"Axel V.")</f>
        <v>Axel V.</v>
      </c>
      <c r="C3" s="189" t="e">
        <f t="shared" ref="C3:C101" ca="1" si="0">SUM(D3:E3)</f>
        <v>#REF!</v>
      </c>
      <c r="D3" s="190" t="e">
        <f ca="1">SUM(COUNTIFS(EDT!D$5:D$25,B3,EDT!F$5:F$25,"ACM"),COUNTIFS(EDT!G$5:G$25,B3,EDT!I$5:I$25,"ACM"),COUNTIFS(EDT!J$5:J$25,B3,EDT!L$5:L$25,"ACM"),COUNTIFS(EDT!M$5:M$25,B3,EDT!O$5:O$25,"ACM"),COUNTIFS(EDT!P$5:P$25,B3,EDT!R$5:R$25,"ACM"),COUNTIFS(EDT!D$43:D$60,B3,EDT!F$43:F$60,"ACM"),COUNTIFS(EDT!G$43:G$60,B3,EDT!I$43:I$60,"ACM"),COUNTIFS(EDT!J$43:J$60,B3,EDT!L$43:L$60,"ACM"),COUNTIFS(EDT!M$43:M$60,B3,EDT!O$43:O$60,"ACM"),COUNTIFS(EDT!P$43:P$60,B3,EDT!R$43:R$60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)*3
+SUM(COUNTIFS(EDT!D$33:D$42,B3,EDT!F$33:F$42,"ACM"),COUNTIFS(EDT!G$33:G$42,B3,EDT!I$33:I$42,"ACM"),COUNTIFS(EDT!J$33:J$42,B3,EDT!L$33:L$42,"ACM"),COUNTIFS(EDT!M$33:M$42,B3,EDT!O$33:O$42,"ACM"),COUNTIFS(EDT!P$33:P$42,B3,EDT!R$33:R$42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,COUNTIFS(#REF!,B3,#REF!,"ACM"))*2</f>
        <v>#REF!</v>
      </c>
      <c r="E3" s="190" t="e">
        <f ca="1">SUM(COUNTIFS(EDT!D$5:D$25,B3,EDT!F$5:F$25,"Répit"),COUNTIFS(EDT!G$5:G$25,B3,EDT!I$5:I$25,"Répit"),COUNTIFS(EDT!J$5:J$25,B3,EDT!L$5:L$25,"Répit"),COUNTIFS(EDT!M$5:M$25,B3,EDT!O$5:O$25,"Répit"),COUNTIFS(EDT!P$5:P$25,B3,EDT!R$5:R$25,"Répit"),COUNTIFS(EDT!D$43:D$60,B3,EDT!F$43:F$60,"Répit"),COUNTIFS(EDT!G$43:G$60,B3,EDT!I$43:I$60,"Répit"),COUNTIFS(EDT!J$43:J$60,B3,EDT!L$43:L$60,"Répit"),COUNTIFS(EDT!M$43:M$60,B3,EDT!O$43:O$60,"Répit"),COUNTIFS(EDT!P$43:P$60,B3,EDT!R$43:R$60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)*3
+SUM(COUNTIFS(EDT!D$33:D$42,B3,EDT!F$33:F$42,"Répit"),COUNTIFS(EDT!G$33:G$42,B3,EDT!I$33:I$42,"Répit"),COUNTIFS(EDT!J$33:J$42,B3,EDT!L$33:L$42,"Répit"),COUNTIFS(EDT!M$33:M$42,B3,EDT!O$33:O$42,"Répit"),COUNTIFS(EDT!P$33:P$42,B3,EDT!R$33:R$42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,COUNTIFS(#REF!,B3,#REF!,"Répit"))*2</f>
        <v>#REF!</v>
      </c>
      <c r="F3" s="191" t="e">
        <f t="shared" ref="F3:F101" ca="1" si="1">SUM(G3:H3)</f>
        <v>#REF!</v>
      </c>
      <c r="G3" s="185" t="e">
        <f ca="1">SUM(COUNTIFS(EDT!D$5:D$25,B3,EDT!E$5:E$25,"&gt;&lt;",EDT!F$5:F$25,"ACM"),COUNTIFS(EDT!G$5:G$25,B3,EDT!H$5:H$25,"&gt;&lt;",EDT!I$5:I$25,"ACM"),COUNTIFS(EDT!J$5:J$25,B3,EDT!K$5:K$25,"&gt;&lt;",EDT!L$5:L$25,"ACM"),COUNTIFS(EDT!M$5:M$25,B3,EDT!N$5:N$25,"&gt;&lt;",EDT!O$5:O$25,"ACM"),COUNTIFS(EDT!P$5:P$25,B3,EDT!Q$5:Q$25,"&gt;&lt;",EDT!R$5:R$25,"ACM"),COUNTIFS(EDT!D$43:D$60,B3,EDT!E$43:E$60,"&gt;&lt;",EDT!F$43:F$60,"ACM"),COUNTIFS(EDT!G$43:G$60,B3,EDT!H$43:H$60,"&gt;&lt;",EDT!I$43:I$60,"ACM"),COUNTIFS(EDT!J$43:J$60,B3,EDT!K$43:K$60,"&gt;&lt;",EDT!L$43:L$60,"ACM"),COUNTIFS(EDT!M$43:M$60,B3,EDT!N$43:N$60,"&gt;&lt;",EDT!O$43:O$60,"ACM"),COUNTIFS(EDT!P$43:P$60,B3,EDT!Q$43:Q$60,"&gt;&lt;",EDT!R$43:R$60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)*3
+SUM(COUNTIFS(EDT!D$33:D$42,B3,EDT!E$33:E$42,"&gt;&lt;",EDT!F$33:F$42,"ACM"),COUNTIFS(EDT!G$33:G$42,B3,EDT!H$33:H$42,"&gt;&lt;",EDT!I$33:I$42,"ACM"),COUNTIFS(EDT!J$33:J$42,B3,EDT!K$33:K$42,"&gt;&lt;",EDT!L$33:L$42,"ACM"),COUNTIFS(EDT!M$33:M$42,B3,EDT!N$33:N$42,"&gt;&lt;",EDT!O$33:O$42,"ACM"),COUNTIFS(EDT!P$33:P$42,B3,EDT!Q$33:Q$42,"&gt;&lt;",EDT!R$33:R$42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,COUNTIFS(#REF!,B3,#REF!,"&gt;&lt;",#REF!,"ACM"))*2</f>
        <v>#REF!</v>
      </c>
      <c r="H3" s="192" t="e">
        <f ca="1">SUM(COUNTIFS(EDT!D$5:D$25,B3,EDT!E$5:E$25,"&gt;&lt;",EDT!F$5:F$25,"Répit"),COUNTIFS(EDT!G$5:G$25,B3,EDT!H$5:H$25,"&gt;&lt;",EDT!I$5:I$25,"Répit"),COUNTIFS(EDT!J$5:J$25,B3,EDT!K$5:K$25,"&gt;&lt;",EDT!L$5:L$25,"Répit"),COUNTIFS(EDT!M$5:M$25,B3,EDT!N$5:N$25,"&gt;&lt;",EDT!O$5:O$25,"Répit"),COUNTIFS(EDT!P$5:P$25,B3,EDT!Q$5:Q$25,"&gt;&lt;",EDT!R$5:R$25,"Répit"),COUNTIFS(EDT!D$43:D$60,B3,EDT!E$43:E$60,"&gt;&lt;",EDT!F$43:F$60,"Répit"),COUNTIFS(EDT!G$43:G$60,B3,EDT!H$43:H$60,"&gt;&lt;",EDT!I$43:I$60,"Répit"),COUNTIFS(EDT!J$43:J$60,B3,EDT!K$43:K$60,"&gt;&lt;",EDT!L$43:L$60,"Répit"),COUNTIFS(EDT!M$43:M$60,B3,EDT!N$43:N$60,"&gt;&lt;",EDT!O$43:O$60,"Répit"),COUNTIFS(EDT!P$43:P$60,B3,EDT!Q$43:Q$60,"&gt;&lt;",EDT!R$43:R$60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)*3
+SUM(COUNTIFS(EDT!D$33:D$42,B3,EDT!E$33:E$42,"&gt;&lt;",EDT!F$33:F$42,"Répit"),COUNTIFS(EDT!G$33:G$42,B3,EDT!H$33:H$42,"&gt;&lt;",EDT!I$33:I$42,"Répit"),COUNTIFS(EDT!J$33:J$42,B3,EDT!K$33:K$42,"&gt;&lt;",EDT!L$33:L$42,"Répit"),COUNTIFS(EDT!M$33:M$42,B3,EDT!N$33:N$42,"&gt;&lt;",EDT!O$33:O$42,"Répit"),COUNTIFS(EDT!P$33:P$42,B3,EDT!Q$33:Q$42,"&gt;&lt;",EDT!R$33:R$42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,COUNTIFS(#REF!,B3,#REF!,"&gt;&lt;",#REF!,"Répit"))*2</f>
        <v>#REF!</v>
      </c>
      <c r="I3" s="193">
        <f ca="1">IFERROR(__xludf.DUMMYFUNCTION("IMPORTRANGE(""https://docs.google.com/spreadsheets/d/1DSyV8tDqZ18nTTyVYUrGOoSmzgfuPJZyajxwAUVpWtY"",""Adhérent.es!K2:K100"")"),11.88)</f>
        <v>11.88</v>
      </c>
      <c r="J3" s="194" t="e">
        <f t="shared" ref="J3:J101" ca="1" si="2">I3*H3</f>
        <v>#REF!</v>
      </c>
      <c r="K3" s="195" t="e">
        <f t="shared" ref="K3:K60" ca="1" si="3">IF(H3&gt;0,1,"")</f>
        <v>#REF!</v>
      </c>
      <c r="L3" s="196" t="str">
        <f ca="1">IFERROR(__xludf.DUMMYFUNCTION("IMPORTRANGE(""https://docs.google.com/spreadsheets/d/1DSyV8tDqZ18nTTyVYUrGOoSmzgfuPJZyajxwAUVpWtY"",""Adhérent.es!M2:M100"")"),"Mme GONZALEZ Emilie")</f>
        <v>Mme GONZALEZ Emilie</v>
      </c>
      <c r="M3" s="197" t="str">
        <f ca="1">IFERROR(__xludf.DUMMYFUNCTION("IMPORTRANGE(""https://docs.google.com/spreadsheets/d/1DSyV8tDqZ18nTTyVYUrGOoSmzgfuPJZyajxwAUVpWtY"",""Adhérent.es!I2:I100"")"),"34 chemin de Carabin 47310 Brax")</f>
        <v>34 chemin de Carabin 47310 Brax</v>
      </c>
      <c r="N3" s="196">
        <v>1</v>
      </c>
      <c r="O3" s="198" t="s">
        <v>4</v>
      </c>
    </row>
    <row r="4" spans="1:15" ht="12.6">
      <c r="A4" s="199" t="str">
        <f ca="1">IFERROR(__xludf.DUMMYFUNCTION("""COMPUTED_VALUE"""),"ACHAHBAR")</f>
        <v>ACHAHBAR</v>
      </c>
      <c r="B4" s="188" t="str">
        <f ca="1">IFERROR(__xludf.DUMMYFUNCTION("""COMPUTED_VALUE"""),"Adam")</f>
        <v>Adam</v>
      </c>
      <c r="C4" s="189" t="e">
        <f t="shared" ca="1" si="0"/>
        <v>#REF!</v>
      </c>
      <c r="D4" s="190" t="e">
        <f ca="1">SUM(COUNTIFS(EDT!D$5:D$25,B4,EDT!F$5:F$25,"ACM"),COUNTIFS(EDT!G$5:G$25,B4,EDT!I$5:I$25,"ACM"),COUNTIFS(EDT!J$5:J$25,B4,EDT!L$5:L$25,"ACM"),COUNTIFS(EDT!M$5:M$25,B4,EDT!O$5:O$25,"ACM"),COUNTIFS(EDT!P$5:P$25,B4,EDT!R$5:R$25,"ACM"),COUNTIFS(EDT!D$43:D$60,B4,EDT!F$43:F$60,"ACM"),COUNTIFS(EDT!G$43:G$60,B4,EDT!I$43:I$60,"ACM"),COUNTIFS(EDT!J$43:J$60,B4,EDT!L$43:L$60,"ACM"),COUNTIFS(EDT!M$43:M$60,B4,EDT!O$43:O$60,"ACM"),COUNTIFS(EDT!P$43:P$60,B4,EDT!R$43:R$60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)*3
+SUM(COUNTIFS(EDT!D$33:D$42,B4,EDT!F$33:F$42,"ACM"),COUNTIFS(EDT!G$33:G$42,B4,EDT!I$33:I$42,"ACM"),COUNTIFS(EDT!J$33:J$42,B4,EDT!L$33:L$42,"ACM"),COUNTIFS(EDT!M$33:M$42,B4,EDT!O$33:O$42,"ACM"),COUNTIFS(EDT!P$33:P$42,B4,EDT!R$33:R$42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,COUNTIFS(#REF!,B4,#REF!,"ACM"))*2</f>
        <v>#REF!</v>
      </c>
      <c r="E4" s="190" t="e">
        <f ca="1">SUM(COUNTIFS(EDT!D$5:D$25,B4,EDT!F$5:F$25,"Répit"),COUNTIFS(EDT!G$5:G$25,B4,EDT!I$5:I$25,"Répit"),COUNTIFS(EDT!J$5:J$25,B4,EDT!L$5:L$25,"Répit"),COUNTIFS(EDT!M$5:M$25,B4,EDT!O$5:O$25,"Répit"),COUNTIFS(EDT!P$5:P$25,B4,EDT!R$5:R$25,"Répit"),COUNTIFS(EDT!D$43:D$60,B4,EDT!F$43:F$60,"Répit"),COUNTIFS(EDT!G$43:G$60,B4,EDT!I$43:I$60,"Répit"),COUNTIFS(EDT!J$43:J$60,B4,EDT!L$43:L$60,"Répit"),COUNTIFS(EDT!M$43:M$60,B4,EDT!O$43:O$60,"Répit"),COUNTIFS(EDT!P$43:P$60,B4,EDT!R$43:R$60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)*3
+SUM(COUNTIFS(EDT!D$33:D$42,B4,EDT!F$33:F$42,"Répit"),COUNTIFS(EDT!G$33:G$42,B4,EDT!I$33:I$42,"Répit"),COUNTIFS(EDT!J$33:J$42,B4,EDT!L$33:L$42,"Répit"),COUNTIFS(EDT!M$33:M$42,B4,EDT!O$33:O$42,"Répit"),COUNTIFS(EDT!P$33:P$42,B4,EDT!R$33:R$42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,COUNTIFS(#REF!,B4,#REF!,"Répit"))*2</f>
        <v>#REF!</v>
      </c>
      <c r="F4" s="191" t="e">
        <f t="shared" ca="1" si="1"/>
        <v>#REF!</v>
      </c>
      <c r="G4" s="185" t="e">
        <f ca="1">SUM(COUNTIFS(EDT!D$5:D$25,B4,EDT!E$5:E$25,"&gt;&lt;",EDT!F$5:F$25,"ACM"),COUNTIFS(EDT!G$5:G$25,B4,EDT!H$5:H$25,"&gt;&lt;",EDT!I$5:I$25,"ACM"),COUNTIFS(EDT!J$5:J$25,B4,EDT!K$5:K$25,"&gt;&lt;",EDT!L$5:L$25,"ACM"),COUNTIFS(EDT!M$5:M$25,B4,EDT!N$5:N$25,"&gt;&lt;",EDT!O$5:O$25,"ACM"),COUNTIFS(EDT!P$5:P$25,B4,EDT!Q$5:Q$25,"&gt;&lt;",EDT!R$5:R$25,"ACM"),COUNTIFS(EDT!D$43:D$60,B4,EDT!E$43:E$60,"&gt;&lt;",EDT!F$43:F$60,"ACM"),COUNTIFS(EDT!G$43:G$60,B4,EDT!H$43:H$60,"&gt;&lt;",EDT!I$43:I$60,"ACM"),COUNTIFS(EDT!J$43:J$60,B4,EDT!K$43:K$60,"&gt;&lt;",EDT!L$43:L$60,"ACM"),COUNTIFS(EDT!M$43:M$60,B4,EDT!N$43:N$60,"&gt;&lt;",EDT!O$43:O$60,"ACM"),COUNTIFS(EDT!P$43:P$60,B4,EDT!Q$43:Q$60,"&gt;&lt;",EDT!R$43:R$60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)*3
+SUM(COUNTIFS(EDT!D$33:D$42,B4,EDT!E$33:E$42,"&gt;&lt;",EDT!F$33:F$42,"ACM"),COUNTIFS(EDT!G$33:G$42,B4,EDT!H$33:H$42,"&gt;&lt;",EDT!I$33:I$42,"ACM"),COUNTIFS(EDT!J$33:J$42,B4,EDT!K$33:K$42,"&gt;&lt;",EDT!L$33:L$42,"ACM"),COUNTIFS(EDT!M$33:M$42,B4,EDT!N$33:N$42,"&gt;&lt;",EDT!O$33:O$42,"ACM"),COUNTIFS(EDT!P$33:P$42,B4,EDT!Q$33:Q$42,"&gt;&lt;",EDT!R$33:R$42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,COUNTIFS(#REF!,B4,#REF!,"&gt;&lt;",#REF!,"ACM"))*2</f>
        <v>#REF!</v>
      </c>
      <c r="H4" s="192" t="e">
        <f ca="1">SUM(COUNTIFS(EDT!D$5:D$25,B4,EDT!E$5:E$25,"&gt;&lt;",EDT!F$5:F$25,"Répit"),COUNTIFS(EDT!G$5:G$25,B4,EDT!H$5:H$25,"&gt;&lt;",EDT!I$5:I$25,"Répit"),COUNTIFS(EDT!J$5:J$25,B4,EDT!K$5:K$25,"&gt;&lt;",EDT!L$5:L$25,"Répit"),COUNTIFS(EDT!M$5:M$25,B4,EDT!N$5:N$25,"&gt;&lt;",EDT!O$5:O$25,"Répit"),COUNTIFS(EDT!P$5:P$25,B4,EDT!Q$5:Q$25,"&gt;&lt;",EDT!R$5:R$25,"Répit"),COUNTIFS(EDT!D$43:D$60,B4,EDT!E$43:E$60,"&gt;&lt;",EDT!F$43:F$60,"Répit"),COUNTIFS(EDT!G$43:G$60,B4,EDT!H$43:H$60,"&gt;&lt;",EDT!I$43:I$60,"Répit"),COUNTIFS(EDT!J$43:J$60,B4,EDT!K$43:K$60,"&gt;&lt;",EDT!L$43:L$60,"Répit"),COUNTIFS(EDT!M$43:M$60,B4,EDT!N$43:N$60,"&gt;&lt;",EDT!O$43:O$60,"Répit"),COUNTIFS(EDT!P$43:P$60,B4,EDT!Q$43:Q$60,"&gt;&lt;",EDT!R$43:R$60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)*2
+SUM(COUNTIFS(EDT!D$33:D$42,B4,EDT!E$33:E$42,"&gt;&lt;",EDT!F$33:F$42,"Répit"),COUNTIFS(EDT!G$33:G$42,B4,EDT!H$33:H$42,"&gt;&lt;",EDT!I$33:I$42,"Répit"),COUNTIFS(EDT!J$33:J$42,B4,EDT!K$33:K$42,"&gt;&lt;",EDT!L$33:L$42,"Répit"),COUNTIFS(EDT!M$33:M$42,B4,EDT!N$33:N$42,"&gt;&lt;",EDT!O$33:O$42,"Répit"),COUNTIFS(EDT!P$33:P$42,B4,EDT!Q$33:Q$42,"&gt;&lt;",EDT!R$33:R$42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,COUNTIFS(#REF!,B4,#REF!,"&gt;&lt;",#REF!,"Répit"))*2</f>
        <v>#REF!</v>
      </c>
      <c r="I4" s="193">
        <f ca="1">IFERROR(__xludf.DUMMYFUNCTION("""COMPUTED_VALUE"""),11.88)</f>
        <v>11.88</v>
      </c>
      <c r="J4" s="194" t="e">
        <f t="shared" ca="1" si="2"/>
        <v>#REF!</v>
      </c>
      <c r="K4" s="195" t="e">
        <f t="shared" ca="1" si="3"/>
        <v>#REF!</v>
      </c>
      <c r="L4" s="195"/>
      <c r="M4" s="200" t="str">
        <f ca="1">IFERROR(__xludf.DUMMYFUNCTION("""COMPUTED_VALUE"""),"1 impasse Général De Bazelaire
apt 1 Agen")</f>
        <v>1 impasse Général De Bazelaire
apt 1 Agen</v>
      </c>
      <c r="N4" s="196">
        <v>2</v>
      </c>
      <c r="O4" s="198"/>
    </row>
    <row r="5" spans="1:15" ht="12.6">
      <c r="A5" s="199" t="str">
        <f ca="1">IFERROR(__xludf.DUMMYFUNCTION("""COMPUTED_VALUE"""),"BOUAGAD")</f>
        <v>BOUAGAD</v>
      </c>
      <c r="B5" s="188" t="str">
        <f ca="1">IFERROR(__xludf.DUMMYFUNCTION("""COMPUTED_VALUE"""),"Adel")</f>
        <v>Adel</v>
      </c>
      <c r="C5" s="189" t="e">
        <f t="shared" ca="1" si="0"/>
        <v>#REF!</v>
      </c>
      <c r="D5" s="190" t="e">
        <f ca="1">SUM(COUNTIFS(EDT!D$5:D$25,B5,EDT!F$5:F$25,"ACM"),COUNTIFS(EDT!G$5:G$25,B5,EDT!I$5:I$25,"ACM"),COUNTIFS(EDT!J$5:J$25,B5,EDT!L$5:L$25,"ACM"),COUNTIFS(EDT!M$5:M$25,B5,EDT!O$5:O$25,"ACM"),COUNTIFS(EDT!P$5:P$25,B5,EDT!R$5:R$25,"ACM"),COUNTIFS(EDT!D$43:D$60,B5,EDT!F$43:F$60,"ACM"),COUNTIFS(EDT!G$43:G$60,B5,EDT!I$43:I$60,"ACM"),COUNTIFS(EDT!J$43:J$60,B5,EDT!L$43:L$60,"ACM"),COUNTIFS(EDT!M$43:M$60,B5,EDT!O$43:O$60,"ACM"),COUNTIFS(EDT!P$43:P$60,B5,EDT!R$43:R$60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)*3
+SUM(COUNTIFS(EDT!D$33:D$42,B5,EDT!F$33:F$42,"ACM"),COUNTIFS(EDT!G$33:G$42,B5,EDT!I$33:I$42,"ACM"),COUNTIFS(EDT!J$33:J$42,B5,EDT!L$33:L$42,"ACM"),COUNTIFS(EDT!M$33:M$42,B5,EDT!O$33:O$42,"ACM"),COUNTIFS(EDT!P$33:P$42,B5,EDT!R$33:R$42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,COUNTIFS(#REF!,B5,#REF!,"ACM"))*2</f>
        <v>#REF!</v>
      </c>
      <c r="E5" s="190" t="e">
        <f ca="1">SUM(COUNTIFS(EDT!D$5:D$25,B5,EDT!F$5:F$25,"Répit"),COUNTIFS(EDT!G$5:G$25,B5,EDT!I$5:I$25,"Répit"),COUNTIFS(EDT!J$5:J$25,B5,EDT!L$5:L$25,"Répit"),COUNTIFS(EDT!M$5:M$25,B5,EDT!O$5:O$25,"Répit"),COUNTIFS(EDT!P$5:P$25,B5,EDT!R$5:R$25,"Répit"),COUNTIFS(EDT!D$43:D$60,B5,EDT!F$43:F$60,"Répit"),COUNTIFS(EDT!G$43:G$60,B5,EDT!I$43:I$60,"Répit"),COUNTIFS(EDT!J$43:J$60,B5,EDT!L$43:L$60,"Répit"),COUNTIFS(EDT!M$43:M$60,B5,EDT!O$43:O$60,"Répit"),COUNTIFS(EDT!P$43:P$60,B5,EDT!R$43:R$60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)*3
+SUM(COUNTIFS(EDT!D$33:D$42,B5,EDT!F$33:F$42,"Répit"),COUNTIFS(EDT!G$33:G$42,B5,EDT!I$33:I$42,"Répit"),COUNTIFS(EDT!J$33:J$42,B5,EDT!L$33:L$42,"Répit"),COUNTIFS(EDT!M$33:M$42,B5,EDT!O$33:O$42,"Répit"),COUNTIFS(EDT!P$33:P$42,B5,EDT!R$33:R$42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,COUNTIFS(#REF!,B5,#REF!,"Répit"))*2</f>
        <v>#REF!</v>
      </c>
      <c r="F5" s="191" t="e">
        <f t="shared" ca="1" si="1"/>
        <v>#REF!</v>
      </c>
      <c r="G5" s="185" t="e">
        <f ca="1">SUM(COUNTIFS(EDT!D$5:D$25,B5,EDT!E$5:E$25,"&gt;&lt;",EDT!F$5:F$25,"ACM"),COUNTIFS(EDT!G$5:G$25,B5,EDT!H$5:H$25,"&gt;&lt;",EDT!I$5:I$25,"ACM"),COUNTIFS(EDT!J$5:J$25,B5,EDT!K$5:K$25,"&gt;&lt;",EDT!L$5:L$25,"ACM"),COUNTIFS(EDT!M$5:M$25,B5,EDT!N$5:N$25,"&gt;&lt;",EDT!O$5:O$25,"ACM"),COUNTIFS(EDT!P$5:P$25,B5,EDT!Q$5:Q$25,"&gt;&lt;",EDT!R$5:R$25,"ACM"),COUNTIFS(EDT!D$43:D$60,B5,EDT!E$43:E$60,"&gt;&lt;",EDT!F$43:F$60,"ACM"),COUNTIFS(EDT!G$43:G$60,B5,EDT!H$43:H$60,"&gt;&lt;",EDT!I$43:I$60,"ACM"),COUNTIFS(EDT!J$43:J$60,B5,EDT!K$43:K$60,"&gt;&lt;",EDT!L$43:L$60,"ACM"),COUNTIFS(EDT!M$43:M$60,B5,EDT!N$43:N$60,"&gt;&lt;",EDT!O$43:O$60,"ACM"),COUNTIFS(EDT!P$43:P$60,B5,EDT!Q$43:Q$60,"&gt;&lt;",EDT!R$43:R$60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)*3
+SUM(COUNTIFS(EDT!D$33:D$42,B5,EDT!E$33:E$42,"&gt;&lt;",EDT!F$33:F$42,"ACM"),COUNTIFS(EDT!G$33:G$42,B5,EDT!H$33:H$42,"&gt;&lt;",EDT!I$33:I$42,"ACM"),COUNTIFS(EDT!J$33:J$42,B5,EDT!K$33:K$42,"&gt;&lt;",EDT!L$33:L$42,"ACM"),COUNTIFS(EDT!M$33:M$42,B5,EDT!N$33:N$42,"&gt;&lt;",EDT!O$33:O$42,"ACM"),COUNTIFS(EDT!P$33:P$42,B5,EDT!Q$33:Q$42,"&gt;&lt;",EDT!R$33:R$42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,COUNTIFS(#REF!,B5,#REF!,"&gt;&lt;",#REF!,"ACM"))*2</f>
        <v>#REF!</v>
      </c>
      <c r="H5" s="192" t="e">
        <f ca="1">SUM(COUNTIFS(EDT!D$5:D$25,B5,EDT!E$5:E$25,"&gt;&lt;",EDT!F$5:F$25,"Répit"),COUNTIFS(EDT!G$5:G$25,B5,EDT!H$5:H$25,"&gt;&lt;",EDT!I$5:I$25,"Répit"),COUNTIFS(EDT!J$5:J$25,B5,EDT!K$5:K$25,"&gt;&lt;",EDT!L$5:L$25,"Répit"),COUNTIFS(EDT!M$5:M$25,B5,EDT!N$5:N$25,"&gt;&lt;",EDT!O$5:O$25,"Répit"),COUNTIFS(EDT!P$5:P$25,B5,EDT!Q$5:Q$25,"&gt;&lt;",EDT!R$5:R$25,"Répit"),COUNTIFS(EDT!D$43:D$60,B5,EDT!E$43:E$60,"&gt;&lt;",EDT!F$43:F$60,"Répit"),COUNTIFS(EDT!G$43:G$60,B5,EDT!H$43:H$60,"&gt;&lt;",EDT!I$43:I$60,"Répit"),COUNTIFS(EDT!J$43:J$60,B5,EDT!K$43:K$60,"&gt;&lt;",EDT!L$43:L$60,"Répit"),COUNTIFS(EDT!M$43:M$60,B5,EDT!N$43:N$60,"&gt;&lt;",EDT!O$43:O$60,"Répit"),COUNTIFS(EDT!P$43:P$60,B5,EDT!Q$43:Q$60,"&gt;&lt;",EDT!R$43:R$60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)*3
+SUM(COUNTIFS(EDT!D$33:D$42,B5,EDT!E$33:E$42,"&gt;&lt;",EDT!F$33:F$42,"Répit"),COUNTIFS(EDT!G$33:G$42,B5,EDT!H$33:H$42,"&gt;&lt;",EDT!I$33:I$42,"Répit"),COUNTIFS(EDT!J$33:J$42,B5,EDT!K$33:K$42,"&gt;&lt;",EDT!L$33:L$42,"Répit"),COUNTIFS(EDT!M$33:M$42,B5,EDT!N$33:N$42,"&gt;&lt;",EDT!O$33:O$42,"Répit"),COUNTIFS(EDT!P$33:P$42,B5,EDT!Q$33:Q$42,"&gt;&lt;",EDT!R$33:R$42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,COUNTIFS(#REF!,B5,#REF!,"&gt;&lt;",#REF!,"Répit"))*2</f>
        <v>#REF!</v>
      </c>
      <c r="I5" s="193">
        <f ca="1">IFERROR(__xludf.DUMMYFUNCTION("""COMPUTED_VALUE"""),11.88)</f>
        <v>11.88</v>
      </c>
      <c r="J5" s="194" t="e">
        <f t="shared" ca="1" si="2"/>
        <v>#REF!</v>
      </c>
      <c r="K5" s="195" t="e">
        <f t="shared" ca="1" si="3"/>
        <v>#REF!</v>
      </c>
      <c r="L5" s="195"/>
      <c r="M5" s="200" t="str">
        <f ca="1">IFERROR(__xludf.DUMMYFUNCTION("""COMPUTED_VALUE"""),"7 rue des rossignols 
47550 Boé")</f>
        <v>7 rue des rossignols 
47550 Boé</v>
      </c>
      <c r="N5" s="196">
        <v>3</v>
      </c>
      <c r="O5" s="198"/>
    </row>
    <row r="6" spans="1:15" ht="12.6">
      <c r="A6" s="199" t="str">
        <f ca="1">IFERROR(__xludf.DUMMYFUNCTION("""COMPUTED_VALUE"""),"SEMA ")</f>
        <v xml:space="preserve">SEMA </v>
      </c>
      <c r="B6" s="188" t="str">
        <f ca="1">IFERROR(__xludf.DUMMYFUNCTION("""COMPUTED_VALUE"""),"Aldo")</f>
        <v>Aldo</v>
      </c>
      <c r="C6" s="189" t="e">
        <f t="shared" ca="1" si="0"/>
        <v>#REF!</v>
      </c>
      <c r="D6" s="190" t="e">
        <f ca="1">SUM(COUNTIFS(EDT!D$5:D$25,B6,EDT!F$5:F$25,"ACM"),COUNTIFS(EDT!G$5:G$25,B6,EDT!I$5:I$25,"ACM"),COUNTIFS(EDT!J$5:J$25,B6,EDT!L$5:L$25,"ACM"),COUNTIFS(EDT!M$5:M$25,B6,EDT!O$5:O$25,"ACM"),COUNTIFS(EDT!P$5:P$25,B6,EDT!R$5:R$25,"ACM"),COUNTIFS(EDT!D$43:D$60,B6,EDT!F$43:F$60,"ACM"),COUNTIFS(EDT!G$43:G$60,B6,EDT!I$43:I$60,"ACM"),COUNTIFS(EDT!J$43:J$60,B6,EDT!L$43:L$60,"ACM"),COUNTIFS(EDT!M$43:M$60,B6,EDT!O$43:O$60,"ACM"),COUNTIFS(EDT!P$43:P$60,B6,EDT!R$43:R$60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)*3
+SUM(COUNTIFS(EDT!D$33:D$42,B6,EDT!F$33:F$42,"ACM"),COUNTIFS(EDT!G$33:G$42,B6,EDT!I$33:I$42,"ACM"),COUNTIFS(EDT!J$33:J$42,B6,EDT!L$33:L$42,"ACM"),COUNTIFS(EDT!M$33:M$42,B6,EDT!O$33:O$42,"ACM"),COUNTIFS(EDT!P$33:P$42,B6,EDT!R$33:R$42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,COUNTIFS(#REF!,B6,#REF!,"ACM"))*2</f>
        <v>#REF!</v>
      </c>
      <c r="E6" s="190" t="e">
        <f ca="1">SUM(COUNTIFS(EDT!D$5:D$25,B6,EDT!F$5:F$25,"Répit"),COUNTIFS(EDT!G$5:G$25,B6,EDT!I$5:I$25,"Répit"),COUNTIFS(EDT!J$5:J$25,B6,EDT!L$5:L$25,"Répit"),COUNTIFS(EDT!M$5:M$25,B6,EDT!O$5:O$25,"Répit"),COUNTIFS(EDT!P$5:P$25,B6,EDT!R$5:R$25,"Répit"),COUNTIFS(EDT!D$43:D$60,B6,EDT!F$43:F$60,"Répit"),COUNTIFS(EDT!G$43:G$60,B6,EDT!I$43:I$60,"Répit"),COUNTIFS(EDT!J$43:J$60,B6,EDT!L$43:L$60,"Répit"),COUNTIFS(EDT!M$43:M$60,B6,EDT!O$43:O$60,"Répit"),COUNTIFS(EDT!P$43:P$60,B6,EDT!R$43:R$60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)*3
+SUM(COUNTIFS(EDT!D$33:D$42,B6,EDT!F$33:F$42,"Répit"),COUNTIFS(EDT!G$33:G$42,B6,EDT!I$33:I$42,"Répit"),COUNTIFS(EDT!J$33:J$42,B6,EDT!L$33:L$42,"Répit"),COUNTIFS(EDT!M$33:M$42,B6,EDT!O$33:O$42,"Répit"),COUNTIFS(EDT!P$33:P$42,B6,EDT!R$33:R$42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,COUNTIFS(#REF!,B6,#REF!,"Répit"))*2</f>
        <v>#REF!</v>
      </c>
      <c r="F6" s="191" t="e">
        <f t="shared" ca="1" si="1"/>
        <v>#REF!</v>
      </c>
      <c r="G6" s="185" t="e">
        <f ca="1">SUM(COUNTIFS(EDT!D$5:D$25,B6,EDT!E$5:E$25,"&gt;&lt;",EDT!F$5:F$25,"ACM"),COUNTIFS(EDT!G$5:G$25,B6,EDT!H$5:H$25,"&gt;&lt;",EDT!I$5:I$25,"ACM"),COUNTIFS(EDT!J$5:J$25,B6,EDT!K$5:K$25,"&gt;&lt;",EDT!L$5:L$25,"ACM"),COUNTIFS(EDT!M$5:M$25,B6,EDT!N$5:N$25,"&gt;&lt;",EDT!O$5:O$25,"ACM"),COUNTIFS(EDT!P$5:P$25,B6,EDT!Q$5:Q$25,"&gt;&lt;",EDT!R$5:R$25,"ACM"),COUNTIFS(EDT!D$43:D$60,B6,EDT!E$43:E$60,"&gt;&lt;",EDT!F$43:F$60,"ACM"),COUNTIFS(EDT!G$43:G$60,B6,EDT!H$43:H$60,"&gt;&lt;",EDT!I$43:I$60,"ACM"),COUNTIFS(EDT!J$43:J$60,B6,EDT!K$43:K$60,"&gt;&lt;",EDT!L$43:L$60,"ACM"),COUNTIFS(EDT!M$43:M$60,B6,EDT!N$43:N$60,"&gt;&lt;",EDT!O$43:O$60,"ACM"),COUNTIFS(EDT!P$43:P$60,B6,EDT!Q$43:Q$60,"&gt;&lt;",EDT!R$43:R$60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)*3
+SUM(COUNTIFS(EDT!D$33:D$42,B6,EDT!E$33:E$42,"&gt;&lt;",EDT!F$33:F$42,"ACM"),COUNTIFS(EDT!G$33:G$42,B6,EDT!H$33:H$42,"&gt;&lt;",EDT!I$33:I$42,"ACM"),COUNTIFS(EDT!J$33:J$42,B6,EDT!K$33:K$42,"&gt;&lt;",EDT!L$33:L$42,"ACM"),COUNTIFS(EDT!M$33:M$42,B6,EDT!N$33:N$42,"&gt;&lt;",EDT!O$33:O$42,"ACM"),COUNTIFS(EDT!P$33:P$42,B6,EDT!Q$33:Q$42,"&gt;&lt;",EDT!R$33:R$42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,COUNTIFS(#REF!,B6,#REF!,"&gt;&lt;",#REF!,"ACM"))*2</f>
        <v>#REF!</v>
      </c>
      <c r="H6" s="192">
        <v>9</v>
      </c>
      <c r="I6" s="193">
        <f ca="1">IFERROR(__xludf.DUMMYFUNCTION("""COMPUTED_VALUE"""),11.88)</f>
        <v>11.88</v>
      </c>
      <c r="J6" s="194">
        <f t="shared" ca="1" si="2"/>
        <v>106.92</v>
      </c>
      <c r="K6" s="195">
        <f t="shared" si="3"/>
        <v>1</v>
      </c>
      <c r="L6" s="195" t="str">
        <f ca="1">IFERROR(__xludf.DUMMYFUNCTION("""COMPUTED_VALUE"""),"Mme SEMA Gianna")</f>
        <v>Mme SEMA Gianna</v>
      </c>
      <c r="M6" s="200" t="str">
        <f ca="1">IFERROR(__xludf.DUMMYFUNCTION("""COMPUTED_VALUE"""),"28 rue place Jean Racine
apt 11 1e étage 
47000 Agen")</f>
        <v>28 rue place Jean Racine
apt 11 1e étage 
47000 Agen</v>
      </c>
      <c r="N6" s="196">
        <v>4</v>
      </c>
      <c r="O6" s="198"/>
    </row>
    <row r="7" spans="1:15" ht="12.6">
      <c r="A7" s="199" t="str">
        <f ca="1">IFERROR(__xludf.DUMMYFUNCTION("""COMPUTED_VALUE"""),"SUHARD")</f>
        <v>SUHARD</v>
      </c>
      <c r="B7" s="188" t="str">
        <f ca="1">IFERROR(__xludf.DUMMYFUNCTION("""COMPUTED_VALUE"""),"Anouk")</f>
        <v>Anouk</v>
      </c>
      <c r="C7" s="189" t="e">
        <f t="shared" ca="1" si="0"/>
        <v>#REF!</v>
      </c>
      <c r="D7" s="190" t="e">
        <f ca="1">SUM(COUNTIFS(EDT!D$5:D$25,B7,EDT!F$5:F$25,"ACM"),COUNTIFS(EDT!G$5:G$25,B7,EDT!I$5:I$25,"ACM"),COUNTIFS(EDT!J$5:J$25,B7,EDT!L$5:L$25,"ACM"),COUNTIFS(EDT!M$5:M$25,B7,EDT!O$5:O$25,"ACM"),COUNTIFS(EDT!P$5:P$25,B7,EDT!R$5:R$25,"ACM"),COUNTIFS(EDT!D$43:D$60,B7,EDT!F$43:F$60,"ACM"),COUNTIFS(EDT!G$43:G$60,B7,EDT!I$43:I$60,"ACM"),COUNTIFS(EDT!J$43:J$60,B7,EDT!L$43:L$60,"ACM"),COUNTIFS(EDT!M$43:M$60,B7,EDT!O$43:O$60,"ACM"),COUNTIFS(EDT!P$43:P$60,B7,EDT!R$43:R$60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)*3
+SUM(COUNTIFS(EDT!D$33:D$42,B7,EDT!F$33:F$42,"ACM"),COUNTIFS(EDT!G$33:G$42,B7,EDT!I$33:I$42,"ACM"),COUNTIFS(EDT!J$33:J$42,B7,EDT!L$33:L$42,"ACM"),COUNTIFS(EDT!M$33:M$42,B7,EDT!O$33:O$42,"ACM"),COUNTIFS(EDT!P$33:P$42,B7,EDT!R$33:R$42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,COUNTIFS(#REF!,B7,#REF!,"ACM"))*2</f>
        <v>#REF!</v>
      </c>
      <c r="E7" s="190" t="e">
        <f ca="1">SUM(COUNTIFS(EDT!D$5:D$25,B7,EDT!F$5:F$25,"Répit"),COUNTIFS(EDT!G$5:G$25,B7,EDT!I$5:I$25,"Répit"),COUNTIFS(EDT!J$5:J$25,B7,EDT!L$5:L$25,"Répit"),COUNTIFS(EDT!M$5:M$25,B7,EDT!O$5:O$25,"Répit"),COUNTIFS(EDT!P$5:P$25,B7,EDT!R$5:R$25,"Répit"),COUNTIFS(EDT!D$43:D$60,B7,EDT!F$43:F$60,"Répit"),COUNTIFS(EDT!G$43:G$60,B7,EDT!I$43:I$60,"Répit"),COUNTIFS(EDT!J$43:J$60,B7,EDT!L$43:L$60,"Répit"),COUNTIFS(EDT!M$43:M$60,B7,EDT!O$43:O$60,"Répit"),COUNTIFS(EDT!P$43:P$60,B7,EDT!R$43:R$60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)*3
+SUM(COUNTIFS(EDT!D$33:D$42,B7,EDT!F$33:F$42,"Répit"),COUNTIFS(EDT!G$33:G$42,B7,EDT!I$33:I$42,"Répit"),COUNTIFS(EDT!J$33:J$42,B7,EDT!L$33:L$42,"Répit"),COUNTIFS(EDT!M$33:M$42,B7,EDT!O$33:O$42,"Répit"),COUNTIFS(EDT!P$33:P$42,B7,EDT!R$33:R$42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,COUNTIFS(#REF!,B7,#REF!,"Répit"))*2</f>
        <v>#REF!</v>
      </c>
      <c r="F7" s="191" t="e">
        <f t="shared" ca="1" si="1"/>
        <v>#REF!</v>
      </c>
      <c r="G7" s="185" t="e">
        <f ca="1">SUM(COUNTIFS(EDT!D$5:D$25,B7,EDT!E$5:E$25,"&gt;&lt;",EDT!F$5:F$25,"ACM"),COUNTIFS(EDT!G$5:G$25,B7,EDT!H$5:H$25,"&gt;&lt;",EDT!I$5:I$25,"ACM"),COUNTIFS(EDT!J$5:J$25,B7,EDT!K$5:K$25,"&gt;&lt;",EDT!L$5:L$25,"ACM"),COUNTIFS(EDT!M$5:M$25,B7,EDT!N$5:N$25,"&gt;&lt;",EDT!O$5:O$25,"ACM"),COUNTIFS(EDT!P$5:P$25,B7,EDT!Q$5:Q$25,"&gt;&lt;",EDT!R$5:R$25,"ACM"),COUNTIFS(EDT!D$43:D$60,B7,EDT!E$43:E$60,"&gt;&lt;",EDT!F$43:F$60,"ACM"),COUNTIFS(EDT!G$43:G$60,B7,EDT!H$43:H$60,"&gt;&lt;",EDT!I$43:I$60,"ACM"),COUNTIFS(EDT!J$43:J$60,B7,EDT!K$43:K$60,"&gt;&lt;",EDT!L$43:L$60,"ACM"),COUNTIFS(EDT!M$43:M$60,B7,EDT!N$43:N$60,"&gt;&lt;",EDT!O$43:O$60,"ACM"),COUNTIFS(EDT!P$43:P$60,B7,EDT!Q$43:Q$60,"&gt;&lt;",EDT!R$43:R$60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)*3
+SUM(COUNTIFS(EDT!D$33:D$42,B7,EDT!E$33:E$42,"&gt;&lt;",EDT!F$33:F$42,"ACM"),COUNTIFS(EDT!G$33:G$42,B7,EDT!H$33:H$42,"&gt;&lt;",EDT!I$33:I$42,"ACM"),COUNTIFS(EDT!J$33:J$42,B7,EDT!K$33:K$42,"&gt;&lt;",EDT!L$33:L$42,"ACM"),COUNTIFS(EDT!M$33:M$42,B7,EDT!N$33:N$42,"&gt;&lt;",EDT!O$33:O$42,"ACM"),COUNTIFS(EDT!P$33:P$42,B7,EDT!Q$33:Q$42,"&gt;&lt;",EDT!R$33:R$42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,COUNTIFS(#REF!,B7,#REF!,"&gt;&lt;",#REF!,"ACM"))*2</f>
        <v>#REF!</v>
      </c>
      <c r="H7" s="192" t="e">
        <f ca="1">SUM(COUNTIFS(EDT!D$5:D$25,B7,EDT!E$5:E$25,"&gt;&lt;",EDT!F$5:F$25,"Répit"),COUNTIFS(EDT!G$5:G$25,B7,EDT!H$5:H$25,"&gt;&lt;",EDT!I$5:I$25,"Répit"),COUNTIFS(EDT!J$5:J$25,B7,EDT!K$5:K$25,"&gt;&lt;",EDT!L$5:L$25,"Répit"),COUNTIFS(EDT!M$5:M$25,B7,EDT!N$5:N$25,"&gt;&lt;",EDT!O$5:O$25,"Répit"),COUNTIFS(EDT!P$5:P$25,B7,EDT!Q$5:Q$25,"&gt;&lt;",EDT!R$5:R$25,"Répit"),COUNTIFS(EDT!D$43:D$60,B7,EDT!E$43:E$60,"&gt;&lt;",EDT!F$43:F$60,"Répit"),COUNTIFS(EDT!G$43:G$60,B7,EDT!H$43:H$60,"&gt;&lt;",EDT!I$43:I$60,"Répit"),COUNTIFS(EDT!J$43:J$60,B7,EDT!K$43:K$60,"&gt;&lt;",EDT!L$43:L$60,"Répit"),COUNTIFS(EDT!M$43:M$60,B7,EDT!N$43:N$60,"&gt;&lt;",EDT!O$43:O$60,"Répit"),COUNTIFS(EDT!P$43:P$60,B7,EDT!Q$43:Q$60,"&gt;&lt;",EDT!R$43:R$60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)*3
+SUM(COUNTIFS(EDT!D$33:D$42,B7,EDT!E$33:E$42,"&gt;&lt;",EDT!F$33:F$42,"Répit"),COUNTIFS(EDT!G$33:G$42,B7,EDT!H$33:H$42,"&gt;&lt;",EDT!I$33:I$42,"Répit"),COUNTIFS(EDT!J$33:J$42,B7,EDT!K$33:K$42,"&gt;&lt;",EDT!L$33:L$42,"Répit"),COUNTIFS(EDT!M$33:M$42,B7,EDT!N$33:N$42,"&gt;&lt;",EDT!O$33:O$42,"Répit"),COUNTIFS(EDT!P$33:P$42,B7,EDT!Q$33:Q$42,"&gt;&lt;",EDT!R$33:R$42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,COUNTIFS(#REF!,B7,#REF!,"&gt;&lt;",#REF!,"Répit"))*2</f>
        <v>#REF!</v>
      </c>
      <c r="I7" s="193">
        <f ca="1">IFERROR(__xludf.DUMMYFUNCTION("""COMPUTED_VALUE"""),11.88)</f>
        <v>11.88</v>
      </c>
      <c r="J7" s="194" t="e">
        <f t="shared" ca="1" si="2"/>
        <v>#REF!</v>
      </c>
      <c r="K7" s="195" t="e">
        <f t="shared" ca="1" si="3"/>
        <v>#REF!</v>
      </c>
      <c r="L7" s="195" t="str">
        <f ca="1">IFERROR(__xludf.DUMMYFUNCTION("""COMPUTED_VALUE"""),"Mme Matilda SYLVANDER")</f>
        <v>Mme Matilda SYLVANDER</v>
      </c>
      <c r="M7" s="200" t="str">
        <f ca="1">IFERROR(__xludf.DUMMYFUNCTION("""COMPUTED_VALUE"""),"133 rue Ferdinand David 
47000 Agen ")</f>
        <v xml:space="preserve">133 rue Ferdinand David 
47000 Agen </v>
      </c>
      <c r="N7" s="196">
        <v>5</v>
      </c>
      <c r="O7" s="198"/>
    </row>
    <row r="8" spans="1:15" ht="12.6">
      <c r="A8" s="199" t="str">
        <f ca="1">IFERROR(__xludf.DUMMYFUNCTION("""COMPUTED_VALUE"""),"CACERES")</f>
        <v>CACERES</v>
      </c>
      <c r="B8" s="188" t="str">
        <f ca="1">IFERROR(__xludf.DUMMYFUNCTION("""COMPUTED_VALUE"""),"Augustin")</f>
        <v>Augustin</v>
      </c>
      <c r="C8" s="189" t="e">
        <f t="shared" ca="1" si="0"/>
        <v>#REF!</v>
      </c>
      <c r="D8" s="190" t="e">
        <f ca="1">SUM(COUNTIFS(EDT!D$5:D$25,B8,EDT!F$5:F$25,"ACM"),COUNTIFS(EDT!G$5:G$25,B8,EDT!I$5:I$25,"ACM"),COUNTIFS(EDT!J$5:J$25,B8,EDT!L$5:L$25,"ACM"),COUNTIFS(EDT!M$5:M$25,B8,EDT!O$5:O$25,"ACM"),COUNTIFS(EDT!P$5:P$25,B8,EDT!R$5:R$25,"ACM"),COUNTIFS(EDT!D$43:D$60,B8,EDT!F$43:F$60,"ACM"),COUNTIFS(EDT!G$43:G$60,B8,EDT!I$43:I$60,"ACM"),COUNTIFS(EDT!J$43:J$60,B8,EDT!L$43:L$60,"ACM"),COUNTIFS(EDT!M$43:M$60,B8,EDT!O$43:O$60,"ACM"),COUNTIFS(EDT!P$43:P$60,B8,EDT!R$43:R$60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)*3
+SUM(COUNTIFS(EDT!D$33:D$42,B8,EDT!F$33:F$42,"ACM"),COUNTIFS(EDT!G$33:G$42,B8,EDT!I$33:I$42,"ACM"),COUNTIFS(EDT!J$33:J$42,B8,EDT!L$33:L$42,"ACM"),COUNTIFS(EDT!M$33:M$42,B8,EDT!O$33:O$42,"ACM"),COUNTIFS(EDT!P$33:P$42,B8,EDT!R$33:R$42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,COUNTIFS(#REF!,B8,#REF!,"ACM"))*2</f>
        <v>#REF!</v>
      </c>
      <c r="E8" s="190" t="e">
        <f ca="1">SUM(COUNTIFS(EDT!D$5:D$25,B8,EDT!F$5:F$25,"Répit"),COUNTIFS(EDT!G$5:G$25,B8,EDT!I$5:I$25,"Répit"),COUNTIFS(EDT!J$5:J$25,B8,EDT!L$5:L$25,"Répit"),COUNTIFS(EDT!M$5:M$25,B8,EDT!O$5:O$25,"Répit"),COUNTIFS(EDT!P$5:P$25,B8,EDT!R$5:R$25,"Répit"),COUNTIFS(EDT!D$43:D$60,B8,EDT!F$43:F$60,"Répit"),COUNTIFS(EDT!G$43:G$60,B8,EDT!I$43:I$60,"Répit"),COUNTIFS(EDT!J$43:J$60,B8,EDT!L$43:L$60,"Répit"),COUNTIFS(EDT!M$43:M$60,B8,EDT!O$43:O$60,"Répit"),COUNTIFS(EDT!P$43:P$60,B8,EDT!R$43:R$60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)*3
+SUM(COUNTIFS(EDT!D$33:D$42,B8,EDT!F$33:F$42,"Répit"),COUNTIFS(EDT!G$33:G$42,B8,EDT!I$33:I$42,"Répit"),COUNTIFS(EDT!J$33:J$42,B8,EDT!L$33:L$42,"Répit"),COUNTIFS(EDT!M$33:M$42,B8,EDT!O$33:O$42,"Répit"),COUNTIFS(EDT!P$33:P$42,B8,EDT!R$33:R$42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,COUNTIFS(#REF!,B8,#REF!,"Répit"))*2</f>
        <v>#REF!</v>
      </c>
      <c r="F8" s="191" t="e">
        <f t="shared" ca="1" si="1"/>
        <v>#REF!</v>
      </c>
      <c r="G8" s="185" t="e">
        <f ca="1">SUM(COUNTIFS(EDT!D$5:D$25,B8,EDT!E$5:E$25,"&gt;&lt;",EDT!F$5:F$25,"ACM"),COUNTIFS(EDT!G$5:G$25,B8,EDT!H$5:H$25,"&gt;&lt;",EDT!I$5:I$25,"ACM"),COUNTIFS(EDT!J$5:J$25,B8,EDT!K$5:K$25,"&gt;&lt;",EDT!L$5:L$25,"ACM"),COUNTIFS(EDT!M$5:M$25,B8,EDT!N$5:N$25,"&gt;&lt;",EDT!O$5:O$25,"ACM"),COUNTIFS(EDT!P$5:P$25,B8,EDT!Q$5:Q$25,"&gt;&lt;",EDT!R$5:R$25,"ACM"),COUNTIFS(EDT!D$43:D$60,B8,EDT!E$43:E$60,"&gt;&lt;",EDT!F$43:F$60,"ACM"),COUNTIFS(EDT!G$43:G$60,B8,EDT!H$43:H$60,"&gt;&lt;",EDT!I$43:I$60,"ACM"),COUNTIFS(EDT!J$43:J$60,B8,EDT!K$43:K$60,"&gt;&lt;",EDT!L$43:L$60,"ACM"),COUNTIFS(EDT!M$43:M$60,B8,EDT!N$43:N$60,"&gt;&lt;",EDT!O$43:O$60,"ACM"),COUNTIFS(EDT!P$43:P$60,B8,EDT!Q$43:Q$60,"&gt;&lt;",EDT!R$43:R$60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)*3
+SUM(COUNTIFS(EDT!D$33:D$42,B8,EDT!E$33:E$42,"&gt;&lt;",EDT!F$33:F$42,"ACM"),COUNTIFS(EDT!G$33:G$42,B8,EDT!H$33:H$42,"&gt;&lt;",EDT!I$33:I$42,"ACM"),COUNTIFS(EDT!J$33:J$42,B8,EDT!K$33:K$42,"&gt;&lt;",EDT!L$33:L$42,"ACM"),COUNTIFS(EDT!M$33:M$42,B8,EDT!N$33:N$42,"&gt;&lt;",EDT!O$33:O$42,"ACM"),COUNTIFS(EDT!P$33:P$42,B8,EDT!Q$33:Q$42,"&gt;&lt;",EDT!R$33:R$42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,COUNTIFS(#REF!,B8,#REF!,"&gt;&lt;",#REF!,"ACM"))*2</f>
        <v>#REF!</v>
      </c>
      <c r="H8" s="192" t="e">
        <f ca="1">SUM(COUNTIFS(EDT!D$5:D$25,B8,EDT!E$5:E$25,"&gt;&lt;",EDT!F$5:F$25,"Répit"),COUNTIFS(EDT!G$5:G$25,B8,EDT!H$5:H$25,"&gt;&lt;",EDT!I$5:I$25,"Répit"),COUNTIFS(EDT!J$5:J$25,B8,EDT!K$5:K$25,"&gt;&lt;",EDT!L$5:L$25,"Répit"),COUNTIFS(EDT!M$5:M$25,B8,EDT!N$5:N$25,"&gt;&lt;",EDT!O$5:O$25,"Répit"),COUNTIFS(EDT!P$5:P$25,B8,EDT!Q$5:Q$25,"&gt;&lt;",EDT!R$5:R$25,"Répit"),COUNTIFS(EDT!D$43:D$60,B8,EDT!E$43:E$60,"&gt;&lt;",EDT!F$43:F$60,"Répit"),COUNTIFS(EDT!G$43:G$60,B8,EDT!H$43:H$60,"&gt;&lt;",EDT!I$43:I$60,"Répit"),COUNTIFS(EDT!J$43:J$60,B8,EDT!K$43:K$60,"&gt;&lt;",EDT!L$43:L$60,"Répit"),COUNTIFS(EDT!M$43:M$60,B8,EDT!N$43:N$60,"&gt;&lt;",EDT!O$43:O$60,"Répit"),COUNTIFS(EDT!P$43:P$60,B8,EDT!Q$43:Q$60,"&gt;&lt;",EDT!R$43:R$60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)*3
+SUM(COUNTIFS(EDT!D$33:D$42,B8,EDT!E$33:E$42,"&gt;&lt;",EDT!F$33:F$42,"Répit"),COUNTIFS(EDT!G$33:G$42,B8,EDT!H$33:H$42,"&gt;&lt;",EDT!I$33:I$42,"Répit"),COUNTIFS(EDT!J$33:J$42,B8,EDT!K$33:K$42,"&gt;&lt;",EDT!L$33:L$42,"Répit"),COUNTIFS(EDT!M$33:M$42,B8,EDT!N$33:N$42,"&gt;&lt;",EDT!O$33:O$42,"Répit"),COUNTIFS(EDT!P$33:P$42,B8,EDT!Q$33:Q$42,"&gt;&lt;",EDT!R$33:R$42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,COUNTIFS(#REF!,B8,#REF!,"&gt;&lt;",#REF!,"Répit"))*2</f>
        <v>#REF!</v>
      </c>
      <c r="I8" s="193">
        <f ca="1">IFERROR(__xludf.DUMMYFUNCTION("""COMPUTED_VALUE"""),11.88)</f>
        <v>11.88</v>
      </c>
      <c r="J8" s="194" t="e">
        <f t="shared" ca="1" si="2"/>
        <v>#REF!</v>
      </c>
      <c r="K8" s="195" t="e">
        <f t="shared" ca="1" si="3"/>
        <v>#REF!</v>
      </c>
      <c r="L8" s="195" t="str">
        <f ca="1">IFERROR(__xludf.DUMMYFUNCTION("""COMPUTED_VALUE"""),"Mme CACERES")</f>
        <v>Mme CACERES</v>
      </c>
      <c r="M8" s="200" t="str">
        <f ca="1">IFERROR(__xludf.DUMMYFUNCTION("""COMPUTED_VALUE"""),"241 chemin de Pargade
47600 Montagnac sur Auvignon ")</f>
        <v xml:space="preserve">241 chemin de Pargade
47600 Montagnac sur Auvignon </v>
      </c>
      <c r="N8" s="196">
        <v>6</v>
      </c>
      <c r="O8" s="198"/>
    </row>
    <row r="9" spans="1:15" ht="12.6">
      <c r="A9" s="199" t="str">
        <f ca="1">IFERROR(__xludf.DUMMYFUNCTION("""COMPUTED_VALUE"""),"AJIMI")</f>
        <v>AJIMI</v>
      </c>
      <c r="B9" s="188" t="str">
        <f ca="1">IFERROR(__xludf.DUMMYFUNCTION("""COMPUTED_VALUE"""),"Anissa")</f>
        <v>Anissa</v>
      </c>
      <c r="C9" s="189" t="e">
        <f t="shared" ca="1" si="0"/>
        <v>#REF!</v>
      </c>
      <c r="D9" s="190" t="e">
        <f ca="1">SUM(COUNTIFS(EDT!D$5:D$25,B9,EDT!F$5:F$25,"ACM"),COUNTIFS(EDT!G$5:G$25,B9,EDT!I$5:I$25,"ACM"),COUNTIFS(EDT!J$5:J$25,B9,EDT!L$5:L$25,"ACM"),COUNTIFS(EDT!M$5:M$25,B9,EDT!O$5:O$25,"ACM"),COUNTIFS(EDT!P$5:P$25,B9,EDT!R$5:R$25,"ACM"),COUNTIFS(EDT!D$43:D$60,B9,EDT!F$43:F$60,"ACM"),COUNTIFS(EDT!G$43:G$60,B9,EDT!I$43:I$60,"ACM"),COUNTIFS(EDT!J$43:J$60,B9,EDT!L$43:L$60,"ACM"),COUNTIFS(EDT!M$43:M$60,B9,EDT!O$43:O$60,"ACM"),COUNTIFS(EDT!P$43:P$60,B9,EDT!R$43:R$60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)*3
+SUM(COUNTIFS(EDT!D$33:D$42,B9,EDT!F$33:F$42,"ACM"),COUNTIFS(EDT!G$33:G$42,B9,EDT!I$33:I$42,"ACM"),COUNTIFS(EDT!J$33:J$42,B9,EDT!L$33:L$42,"ACM"),COUNTIFS(EDT!M$33:M$42,B9,EDT!O$33:O$42,"ACM"),COUNTIFS(EDT!P$33:P$42,B9,EDT!R$33:R$42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,COUNTIFS(#REF!,B9,#REF!,"ACM"))*2</f>
        <v>#REF!</v>
      </c>
      <c r="E9" s="190" t="e">
        <f ca="1">SUM(COUNTIFS(EDT!D$5:D$25,B9,EDT!F$5:F$25,"Répit"),COUNTIFS(EDT!G$5:G$25,B9,EDT!I$5:I$25,"Répit"),COUNTIFS(EDT!J$5:J$25,B9,EDT!L$5:L$25,"Répit"),COUNTIFS(EDT!M$5:M$25,B9,EDT!O$5:O$25,"Répit"),COUNTIFS(EDT!P$5:P$25,B9,EDT!R$5:R$25,"Répit"),COUNTIFS(EDT!D$43:D$60,B9,EDT!F$43:F$60,"Répit"),COUNTIFS(EDT!G$43:G$60,B9,EDT!I$43:I$60,"Répit"),COUNTIFS(EDT!J$43:J$60,B9,EDT!L$43:L$60,"Répit"),COUNTIFS(EDT!M$43:M$60,B9,EDT!O$43:O$60,"Répit"),COUNTIFS(EDT!P$43:P$60,B9,EDT!R$43:R$60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)*3
+SUM(COUNTIFS(EDT!D$33:D$42,B9,EDT!F$33:F$42,"Répit"),COUNTIFS(EDT!G$33:G$42,B9,EDT!I$33:I$42,"Répit"),COUNTIFS(EDT!J$33:J$42,B9,EDT!L$33:L$42,"Répit"),COUNTIFS(EDT!M$33:M$42,B9,EDT!O$33:O$42,"Répit"),COUNTIFS(EDT!P$33:P$42,B9,EDT!R$33:R$42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,COUNTIFS(#REF!,B9,#REF!,"Répit"))*2</f>
        <v>#REF!</v>
      </c>
      <c r="F9" s="191" t="e">
        <f t="shared" ca="1" si="1"/>
        <v>#REF!</v>
      </c>
      <c r="G9" s="185" t="e">
        <f ca="1">SUM(COUNTIFS(EDT!D$5:D$25,B9,EDT!E$5:E$25,"&gt;&lt;",EDT!F$5:F$25,"ACM"),COUNTIFS(EDT!G$5:G$25,B9,EDT!H$5:H$25,"&gt;&lt;",EDT!I$5:I$25,"ACM"),COUNTIFS(EDT!J$5:J$25,B9,EDT!K$5:K$25,"&gt;&lt;",EDT!L$5:L$25,"ACM"),COUNTIFS(EDT!M$5:M$25,B9,EDT!N$5:N$25,"&gt;&lt;",EDT!O$5:O$25,"ACM"),COUNTIFS(EDT!P$5:P$25,B9,EDT!Q$5:Q$25,"&gt;&lt;",EDT!R$5:R$25,"ACM"),COUNTIFS(EDT!D$43:D$60,B9,EDT!E$43:E$60,"&gt;&lt;",EDT!F$43:F$60,"ACM"),COUNTIFS(EDT!G$43:G$60,B9,EDT!H$43:H$60,"&gt;&lt;",EDT!I$43:I$60,"ACM"),COUNTIFS(EDT!J$43:J$60,B9,EDT!K$43:K$60,"&gt;&lt;",EDT!L$43:L$60,"ACM"),COUNTIFS(EDT!M$43:M$60,B9,EDT!N$43:N$60,"&gt;&lt;",EDT!O$43:O$60,"ACM"),COUNTIFS(EDT!P$43:P$60,B9,EDT!Q$43:Q$60,"&gt;&lt;",EDT!R$43:R$60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)*3
+SUM(COUNTIFS(EDT!D$33:D$42,B9,EDT!E$33:E$42,"&gt;&lt;",EDT!F$33:F$42,"ACM"),COUNTIFS(EDT!G$33:G$42,B9,EDT!H$33:H$42,"&gt;&lt;",EDT!I$33:I$42,"ACM"),COUNTIFS(EDT!J$33:J$42,B9,EDT!K$33:K$42,"&gt;&lt;",EDT!L$33:L$42,"ACM"),COUNTIFS(EDT!M$33:M$42,B9,EDT!N$33:N$42,"&gt;&lt;",EDT!O$33:O$42,"ACM"),COUNTIFS(EDT!P$33:P$42,B9,EDT!Q$33:Q$42,"&gt;&lt;",EDT!R$33:R$42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,COUNTIFS(#REF!,B9,#REF!,"&gt;&lt;",#REF!,"ACM"))*2</f>
        <v>#REF!</v>
      </c>
      <c r="H9" s="192" t="e">
        <f ca="1">SUM(COUNTIFS(EDT!D$5:D$25,B9,EDT!E$5:E$25,"&gt;&lt;",EDT!F$5:F$25,"Répit"),COUNTIFS(EDT!G$5:G$25,B9,EDT!H$5:H$25,"&gt;&lt;",EDT!I$5:I$25,"Répit"),COUNTIFS(EDT!J$5:J$25,B9,EDT!K$5:K$25,"&gt;&lt;",EDT!L$5:L$25,"Répit"),COUNTIFS(EDT!M$5:M$25,B9,EDT!N$5:N$25,"&gt;&lt;",EDT!O$5:O$25,"Répit"),COUNTIFS(EDT!P$5:P$25,B9,EDT!Q$5:Q$25,"&gt;&lt;",EDT!R$5:R$25,"Répit"),COUNTIFS(EDT!D$43:D$60,B9,EDT!E$43:E$60,"&gt;&lt;",EDT!F$43:F$60,"Répit"),COUNTIFS(EDT!G$43:G$60,B9,EDT!H$43:H$60,"&gt;&lt;",EDT!I$43:I$60,"Répit"),COUNTIFS(EDT!J$43:J$60,B9,EDT!K$43:K$60,"&gt;&lt;",EDT!L$43:L$60,"Répit"),COUNTIFS(EDT!M$43:M$60,B9,EDT!N$43:N$60,"&gt;&lt;",EDT!O$43:O$60,"Répit"),COUNTIFS(EDT!P$43:P$60,B9,EDT!Q$43:Q$60,"&gt;&lt;",EDT!R$43:R$60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)*3
+SUM(COUNTIFS(EDT!D$33:D$42,B9,EDT!E$33:E$42,"&gt;&lt;",EDT!F$33:F$42,"Répit"),COUNTIFS(EDT!G$33:G$42,B9,EDT!H$33:H$42,"&gt;&lt;",EDT!I$33:I$42,"Répit"),COUNTIFS(EDT!J$33:J$42,B9,EDT!K$33:K$42,"&gt;&lt;",EDT!L$33:L$42,"Répit"),COUNTIFS(EDT!M$33:M$42,B9,EDT!N$33:N$42,"&gt;&lt;",EDT!O$33:O$42,"Répit"),COUNTIFS(EDT!P$33:P$42,B9,EDT!Q$33:Q$42,"&gt;&lt;",EDT!R$33:R$42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,COUNTIFS(#REF!,B9,#REF!,"&gt;&lt;",#REF!,"Répit"))*2</f>
        <v>#REF!</v>
      </c>
      <c r="I9" s="201">
        <f ca="1">IFERROR(__xludf.DUMMYFUNCTION("""COMPUTED_VALUE"""),11.88)</f>
        <v>11.88</v>
      </c>
      <c r="J9" s="202" t="e">
        <f t="shared" ca="1" si="2"/>
        <v>#REF!</v>
      </c>
      <c r="K9" s="195" t="e">
        <f t="shared" ca="1" si="3"/>
        <v>#REF!</v>
      </c>
      <c r="L9" s="195" t="str">
        <f ca="1">IFERROR(__xludf.DUMMYFUNCTION("""COMPUTED_VALUE"""),"Monsieur AJIMI ")</f>
        <v xml:space="preserve">Monsieur AJIMI </v>
      </c>
      <c r="M9" s="200" t="str">
        <f ca="1">IFERROR(__xludf.DUMMYFUNCTION("""COMPUTED_VALUE"""),"17 ter rue Jean de la Fontaine
47480 PDC")</f>
        <v>17 ter rue Jean de la Fontaine
47480 PDC</v>
      </c>
      <c r="N9" s="196">
        <v>7</v>
      </c>
      <c r="O9" s="198"/>
    </row>
    <row r="10" spans="1:15" ht="12.6">
      <c r="A10" s="199" t="str">
        <f ca="1">IFERROR(__xludf.DUMMYFUNCTION("""COMPUTED_VALUE"""),"GAVRILOFF")</f>
        <v>GAVRILOFF</v>
      </c>
      <c r="B10" s="188" t="str">
        <f ca="1">IFERROR(__xludf.DUMMYFUNCTION("""COMPUTED_VALUE"""),"Elijah")</f>
        <v>Elijah</v>
      </c>
      <c r="C10" s="189" t="e">
        <f t="shared" ca="1" si="0"/>
        <v>#REF!</v>
      </c>
      <c r="D10" s="190" t="e">
        <f ca="1">SUM(COUNTIFS(EDT!D$5:D$25,B10,EDT!F$5:F$25,"ACM"),COUNTIFS(EDT!G$5:G$25,B10,EDT!I$5:I$25,"ACM"),COUNTIFS(EDT!J$5:J$25,B10,EDT!L$5:L$25,"ACM"),COUNTIFS(EDT!M$5:M$25,B10,EDT!O$5:O$25,"ACM"),COUNTIFS(EDT!P$5:P$25,B10,EDT!R$5:R$25,"ACM"),COUNTIFS(EDT!D$43:D$60,B10,EDT!F$43:F$60,"ACM"),COUNTIFS(EDT!G$43:G$60,B10,EDT!I$43:I$60,"ACM"),COUNTIFS(EDT!J$43:J$60,B10,EDT!L$43:L$60,"ACM"),COUNTIFS(EDT!M$43:M$60,B10,EDT!O$43:O$60,"ACM"),COUNTIFS(EDT!P$43:P$60,B10,EDT!R$43:R$60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)*3
+SUM(COUNTIFS(EDT!D$33:D$42,B10,EDT!F$33:F$42,"ACM"),COUNTIFS(EDT!G$33:G$42,B10,EDT!I$33:I$42,"ACM"),COUNTIFS(EDT!J$33:J$42,B10,EDT!L$33:L$42,"ACM"),COUNTIFS(EDT!M$33:M$42,B10,EDT!O$33:O$42,"ACM"),COUNTIFS(EDT!P$33:P$42,B10,EDT!R$33:R$42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,COUNTIFS(#REF!,B10,#REF!,"ACM"))*2</f>
        <v>#REF!</v>
      </c>
      <c r="E10" s="190" t="e">
        <f ca="1">SUM(COUNTIFS(EDT!D$5:D$25,B10,EDT!F$5:F$25,"Répit"),COUNTIFS(EDT!G$5:G$25,B10,EDT!I$5:I$25,"Répit"),COUNTIFS(EDT!J$5:J$25,B10,EDT!L$5:L$25,"Répit"),COUNTIFS(EDT!M$5:M$25,B10,EDT!O$5:O$25,"Répit"),COUNTIFS(EDT!P$5:P$25,B10,EDT!R$5:R$25,"Répit"),COUNTIFS(EDT!D$43:D$60,B10,EDT!F$43:F$60,"Répit"),COUNTIFS(EDT!G$43:G$60,B10,EDT!I$43:I$60,"Répit"),COUNTIFS(EDT!J$43:J$60,B10,EDT!L$43:L$60,"Répit"),COUNTIFS(EDT!M$43:M$60,B10,EDT!O$43:O$60,"Répit"),COUNTIFS(EDT!P$43:P$60,B10,EDT!R$43:R$60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)*3
+SUM(COUNTIFS(EDT!D$33:D$42,B10,EDT!F$33:F$42,"Répit"),COUNTIFS(EDT!G$33:G$42,B10,EDT!I$33:I$42,"Répit"),COUNTIFS(EDT!J$33:J$42,B10,EDT!L$33:L$42,"Répit"),COUNTIFS(EDT!M$33:M$42,B10,EDT!O$33:O$42,"Répit"),COUNTIFS(EDT!P$33:P$42,B10,EDT!R$33:R$42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,COUNTIFS(#REF!,B10,#REF!,"Répit"))*2</f>
        <v>#REF!</v>
      </c>
      <c r="F10" s="191" t="e">
        <f t="shared" ca="1" si="1"/>
        <v>#REF!</v>
      </c>
      <c r="G10" s="185" t="e">
        <f ca="1">SUM(COUNTIFS(EDT!D$5:D$25,B10,EDT!E$5:E$25,"&gt;&lt;",EDT!F$5:F$25,"ACM"),COUNTIFS(EDT!G$5:G$25,B10,EDT!H$5:H$25,"&gt;&lt;",EDT!I$5:I$25,"ACM"),COUNTIFS(EDT!J$5:J$25,B10,EDT!K$5:K$25,"&gt;&lt;",EDT!L$5:L$25,"ACM"),COUNTIFS(EDT!M$5:M$25,B10,EDT!N$5:N$25,"&gt;&lt;",EDT!O$5:O$25,"ACM"),COUNTIFS(EDT!P$5:P$25,B10,EDT!Q$5:Q$25,"&gt;&lt;",EDT!R$5:R$25,"ACM"),COUNTIFS(EDT!D$43:D$60,B10,EDT!E$43:E$60,"&gt;&lt;",EDT!F$43:F$60,"ACM"),COUNTIFS(EDT!G$43:G$60,B10,EDT!H$43:H$60,"&gt;&lt;",EDT!I$43:I$60,"ACM"),COUNTIFS(EDT!J$43:J$60,B10,EDT!K$43:K$60,"&gt;&lt;",EDT!L$43:L$60,"ACM"),COUNTIFS(EDT!M$43:M$60,B10,EDT!N$43:N$60,"&gt;&lt;",EDT!O$43:O$60,"ACM"),COUNTIFS(EDT!P$43:P$60,B10,EDT!Q$43:Q$60,"&gt;&lt;",EDT!R$43:R$60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)*3
+SUM(COUNTIFS(EDT!D$33:D$42,B10,EDT!E$33:E$42,"&gt;&lt;",EDT!F$33:F$42,"ACM"),COUNTIFS(EDT!G$33:G$42,B10,EDT!H$33:H$42,"&gt;&lt;",EDT!I$33:I$42,"ACM"),COUNTIFS(EDT!J$33:J$42,B10,EDT!K$33:K$42,"&gt;&lt;",EDT!L$33:L$42,"ACM"),COUNTIFS(EDT!M$33:M$42,B10,EDT!N$33:N$42,"&gt;&lt;",EDT!O$33:O$42,"ACM"),COUNTIFS(EDT!P$33:P$42,B10,EDT!Q$33:Q$42,"&gt;&lt;",EDT!R$33:R$42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,COUNTIFS(#REF!,B10,#REF!,"&gt;&lt;",#REF!,"ACM"))*2</f>
        <v>#REF!</v>
      </c>
      <c r="H10" s="192" t="e">
        <f ca="1">SUM(COUNTIFS(EDT!D$5:D$25,B10,EDT!E$5:E$25,"&gt;&lt;",EDT!F$5:F$25,"Répit"),COUNTIFS(EDT!G$5:G$25,B10,EDT!H$5:H$25,"&gt;&lt;",EDT!I$5:I$25,"Répit"),COUNTIFS(EDT!J$5:J$25,B10,EDT!K$5:K$25,"&gt;&lt;",EDT!L$5:L$25,"Répit"),COUNTIFS(EDT!M$5:M$25,B10,EDT!N$5:N$25,"&gt;&lt;",EDT!O$5:O$25,"Répit"),COUNTIFS(EDT!P$5:P$25,B10,EDT!Q$5:Q$25,"&gt;&lt;",EDT!R$5:R$25,"Répit"),COUNTIFS(EDT!D$43:D$60,B10,EDT!E$43:E$60,"&gt;&lt;",EDT!F$43:F$60,"Répit"),COUNTIFS(EDT!G$43:G$60,B10,EDT!H$43:H$60,"&gt;&lt;",EDT!I$43:I$60,"Répit"),COUNTIFS(EDT!J$43:J$60,B10,EDT!K$43:K$60,"&gt;&lt;",EDT!L$43:L$60,"Répit"),COUNTIFS(EDT!M$43:M$60,B10,EDT!N$43:N$60,"&gt;&lt;",EDT!O$43:O$60,"Répit"),COUNTIFS(EDT!P$43:P$60,B10,EDT!Q$43:Q$60,"&gt;&lt;",EDT!R$43:R$60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)*3
+SUM(COUNTIFS(EDT!D$33:D$42,B10,EDT!E$33:E$42,"&gt;&lt;",EDT!F$33:F$42,"Répit"),COUNTIFS(EDT!G$33:G$42,B10,EDT!H$33:H$42,"&gt;&lt;",EDT!I$33:I$42,"Répit"),COUNTIFS(EDT!J$33:J$42,B10,EDT!K$33:K$42,"&gt;&lt;",EDT!L$33:L$42,"Répit"),COUNTIFS(EDT!M$33:M$42,B10,EDT!N$33:N$42,"&gt;&lt;",EDT!O$33:O$42,"Répit"),COUNTIFS(EDT!P$33:P$42,B10,EDT!Q$33:Q$42,"&gt;&lt;",EDT!R$33:R$42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,COUNTIFS(#REF!,B10,#REF!,"&gt;&lt;",#REF!,"Répit"))*2</f>
        <v>#REF!</v>
      </c>
      <c r="I10" s="193">
        <f ca="1">IFERROR(__xludf.DUMMYFUNCTION("""COMPUTED_VALUE"""),11.88)</f>
        <v>11.88</v>
      </c>
      <c r="J10" s="194" t="e">
        <f t="shared" ca="1" si="2"/>
        <v>#REF!</v>
      </c>
      <c r="K10" s="195" t="e">
        <f t="shared" ca="1" si="3"/>
        <v>#REF!</v>
      </c>
      <c r="L10" s="195" t="str">
        <f ca="1">IFERROR(__xludf.DUMMYFUNCTION("""COMPUTED_VALUE"""),"Mme LACOUDE")</f>
        <v>Mme LACOUDE</v>
      </c>
      <c r="M10" s="200" t="str">
        <f ca="1">IFERROR(__xludf.DUMMYFUNCTION("""COMPUTED_VALUE"""),"41 rue Tout y croit
47300 VSL")</f>
        <v>41 rue Tout y croit
47300 VSL</v>
      </c>
      <c r="N10" s="196">
        <v>8</v>
      </c>
      <c r="O10" s="198"/>
    </row>
    <row r="11" spans="1:15" ht="12.6">
      <c r="A11" s="199" t="str">
        <f ca="1">IFERROR(__xludf.DUMMYFUNCTION("""COMPUTED_VALUE"""),"LEORZA")</f>
        <v>LEORZA</v>
      </c>
      <c r="B11" s="188" t="str">
        <f ca="1">IFERROR(__xludf.DUMMYFUNCTION("""COMPUTED_VALUE"""),"Elisa")</f>
        <v>Elisa</v>
      </c>
      <c r="C11" s="189" t="e">
        <f t="shared" ca="1" si="0"/>
        <v>#REF!</v>
      </c>
      <c r="D11" s="190" t="e">
        <f ca="1">SUM(COUNTIFS(EDT!D$5:D$25,B11,EDT!F$5:F$25,"ACM"),COUNTIFS(EDT!G$5:G$25,B11,EDT!I$5:I$25,"ACM"),COUNTIFS(EDT!J$5:J$25,B11,EDT!L$5:L$25,"ACM"),COUNTIFS(EDT!M$5:M$25,B11,EDT!O$5:O$25,"ACM"),COUNTIFS(EDT!P$5:P$25,B11,EDT!R$5:R$25,"ACM"),COUNTIFS(EDT!D$43:D$60,B11,EDT!F$43:F$60,"ACM"),COUNTIFS(EDT!G$43:G$60,B11,EDT!I$43:I$60,"ACM"),COUNTIFS(EDT!J$43:J$60,B11,EDT!L$43:L$60,"ACM"),COUNTIFS(EDT!M$43:M$60,B11,EDT!O$43:O$60,"ACM"),COUNTIFS(EDT!P$43:P$60,B11,EDT!R$43:R$60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)*3
+SUM(COUNTIFS(EDT!D$33:D$42,B11,EDT!F$33:F$42,"ACM"),COUNTIFS(EDT!G$33:G$42,B11,EDT!I$33:I$42,"ACM"),COUNTIFS(EDT!J$33:J$42,B11,EDT!L$33:L$42,"ACM"),COUNTIFS(EDT!M$33:M$42,B11,EDT!O$33:O$42,"ACM"),COUNTIFS(EDT!P$33:P$42,B11,EDT!R$33:R$42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,COUNTIFS(#REF!,B11,#REF!,"ACM"))*2</f>
        <v>#REF!</v>
      </c>
      <c r="E11" s="190" t="e">
        <f ca="1">SUM(COUNTIFS(EDT!D$5:D$25,B11,EDT!F$5:F$25,"Répit"),COUNTIFS(EDT!G$5:G$25,B11,EDT!I$5:I$25,"Répit"),COUNTIFS(EDT!J$5:J$25,B11,EDT!L$5:L$25,"Répit"),COUNTIFS(EDT!M$5:M$25,B11,EDT!O$5:O$25,"Répit"),COUNTIFS(EDT!P$5:P$25,B11,EDT!R$5:R$25,"Répit"),COUNTIFS(EDT!D$43:D$60,B11,EDT!F$43:F$60,"Répit"),COUNTIFS(EDT!G$43:G$60,B11,EDT!I$43:I$60,"Répit"),COUNTIFS(EDT!J$43:J$60,B11,EDT!L$43:L$60,"Répit"),COUNTIFS(EDT!M$43:M$60,B11,EDT!O$43:O$60,"Répit"),COUNTIFS(EDT!P$43:P$60,B11,EDT!R$43:R$60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)*3
+SUM(COUNTIFS(EDT!D$33:D$42,B11,EDT!F$33:F$42,"Répit"),COUNTIFS(EDT!G$33:G$42,B11,EDT!I$33:I$42,"Répit"),COUNTIFS(EDT!J$33:J$42,B11,EDT!L$33:L$42,"Répit"),COUNTIFS(EDT!M$33:M$42,B11,EDT!O$33:O$42,"Répit"),COUNTIFS(EDT!P$33:P$42,B11,EDT!R$33:R$42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,COUNTIFS(#REF!,B11,#REF!,"Répit"))*2</f>
        <v>#REF!</v>
      </c>
      <c r="F11" s="191" t="e">
        <f t="shared" ca="1" si="1"/>
        <v>#REF!</v>
      </c>
      <c r="G11" s="185" t="e">
        <f ca="1">SUM(COUNTIFS(EDT!D$5:D$25,B11,EDT!E$5:E$25,"&gt;&lt;",EDT!F$5:F$25,"ACM"),COUNTIFS(EDT!G$5:G$25,B11,EDT!H$5:H$25,"&gt;&lt;",EDT!I$5:I$25,"ACM"),COUNTIFS(EDT!J$5:J$25,B11,EDT!K$5:K$25,"&gt;&lt;",EDT!L$5:L$25,"ACM"),COUNTIFS(EDT!M$5:M$25,B11,EDT!N$5:N$25,"&gt;&lt;",EDT!O$5:O$25,"ACM"),COUNTIFS(EDT!P$5:P$25,B11,EDT!Q$5:Q$25,"&gt;&lt;",EDT!R$5:R$25,"ACM"),COUNTIFS(EDT!D$43:D$60,B11,EDT!E$43:E$60,"&gt;&lt;",EDT!F$43:F$60,"ACM"),COUNTIFS(EDT!G$43:G$60,B11,EDT!H$43:H$60,"&gt;&lt;",EDT!I$43:I$60,"ACM"),COUNTIFS(EDT!J$43:J$60,B11,EDT!K$43:K$60,"&gt;&lt;",EDT!L$43:L$60,"ACM"),COUNTIFS(EDT!M$43:M$60,B11,EDT!N$43:N$60,"&gt;&lt;",EDT!O$43:O$60,"ACM"),COUNTIFS(EDT!P$43:P$60,B11,EDT!Q$43:Q$60,"&gt;&lt;",EDT!R$43:R$60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)*3
+SUM(COUNTIFS(EDT!D$33:D$42,B11,EDT!E$33:E$42,"&gt;&lt;",EDT!F$33:F$42,"ACM"),COUNTIFS(EDT!G$33:G$42,B11,EDT!H$33:H$42,"&gt;&lt;",EDT!I$33:I$42,"ACM"),COUNTIFS(EDT!J$33:J$42,B11,EDT!K$33:K$42,"&gt;&lt;",EDT!L$33:L$42,"ACM"),COUNTIFS(EDT!M$33:M$42,B11,EDT!N$33:N$42,"&gt;&lt;",EDT!O$33:O$42,"ACM"),COUNTIFS(EDT!P$33:P$42,B11,EDT!Q$33:Q$42,"&gt;&lt;",EDT!R$33:R$42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,COUNTIFS(#REF!,B11,#REF!,"&gt;&lt;",#REF!,"ACM"))*2</f>
        <v>#REF!</v>
      </c>
      <c r="H11" s="192" t="e">
        <f ca="1">SUM(COUNTIFS(EDT!D$5:D$25,B11,EDT!E$5:E$25,"&gt;&lt;",EDT!F$5:F$25,"Répit"),COUNTIFS(EDT!G$5:G$25,B11,EDT!H$5:H$25,"&gt;&lt;",EDT!I$5:I$25,"Répit"),COUNTIFS(EDT!J$5:J$25,B11,EDT!K$5:K$25,"&gt;&lt;",EDT!L$5:L$25,"Répit"),COUNTIFS(EDT!M$5:M$25,B11,EDT!N$5:N$25,"&gt;&lt;",EDT!O$5:O$25,"Répit"),COUNTIFS(EDT!P$5:P$25,B11,EDT!Q$5:Q$25,"&gt;&lt;",EDT!R$5:R$25,"Répit"),COUNTIFS(EDT!D$43:D$60,B11,EDT!E$43:E$60,"&gt;&lt;",EDT!F$43:F$60,"Répit"),COUNTIFS(EDT!G$43:G$60,B11,EDT!H$43:H$60,"&gt;&lt;",EDT!I$43:I$60,"Répit"),COUNTIFS(EDT!J$43:J$60,B11,EDT!K$43:K$60,"&gt;&lt;",EDT!L$43:L$60,"Répit"),COUNTIFS(EDT!M$43:M$60,B11,EDT!N$43:N$60,"&gt;&lt;",EDT!O$43:O$60,"Répit"),COUNTIFS(EDT!P$43:P$60,B11,EDT!Q$43:Q$60,"&gt;&lt;",EDT!R$43:R$60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)*3
+SUM(COUNTIFS(EDT!D$33:D$42,B11,EDT!E$33:E$42,"&gt;&lt;",EDT!F$33:F$42,"Répit"),COUNTIFS(EDT!G$33:G$42,B11,EDT!H$33:H$42,"&gt;&lt;",EDT!I$33:I$42,"Répit"),COUNTIFS(EDT!J$33:J$42,B11,EDT!K$33:K$42,"&gt;&lt;",EDT!L$33:L$42,"Répit"),COUNTIFS(EDT!M$33:M$42,B11,EDT!N$33:N$42,"&gt;&lt;",EDT!O$33:O$42,"Répit"),COUNTIFS(EDT!P$33:P$42,B11,EDT!Q$33:Q$42,"&gt;&lt;",EDT!R$33:R$42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,COUNTIFS(#REF!,B11,#REF!,"&gt;&lt;",#REF!,"Répit"))*2</f>
        <v>#REF!</v>
      </c>
      <c r="I11" s="193">
        <f ca="1">IFERROR(__xludf.DUMMYFUNCTION("""COMPUTED_VALUE"""),11.88)</f>
        <v>11.88</v>
      </c>
      <c r="J11" s="194" t="e">
        <f t="shared" ca="1" si="2"/>
        <v>#REF!</v>
      </c>
      <c r="K11" s="195" t="e">
        <f t="shared" ca="1" si="3"/>
        <v>#REF!</v>
      </c>
      <c r="L11" s="195" t="str">
        <f ca="1">IFERROR(__xludf.DUMMYFUNCTION("""COMPUTED_VALUE"""),"Mme CUVELIER ")</f>
        <v xml:space="preserve">Mme CUVELIER </v>
      </c>
      <c r="M11" s="200" t="str">
        <f ca="1">IFERROR(__xludf.DUMMYFUNCTION("""COMPUTED_VALUE"""),"20 chemin des chevreuils 
47310 Roquefort")</f>
        <v>20 chemin des chevreuils 
47310 Roquefort</v>
      </c>
      <c r="N11" s="196">
        <v>9</v>
      </c>
      <c r="O11" s="198"/>
    </row>
    <row r="12" spans="1:15" ht="12.6">
      <c r="A12" s="199" t="str">
        <f ca="1">IFERROR(__xludf.DUMMYFUNCTION("""COMPUTED_VALUE"""),"DIAS-VERNIS")</f>
        <v>DIAS-VERNIS</v>
      </c>
      <c r="B12" s="188" t="str">
        <f ca="1">IFERROR(__xludf.DUMMYFUNCTION("""COMPUTED_VALUE"""),"Enzo")</f>
        <v>Enzo</v>
      </c>
      <c r="C12" s="189" t="e">
        <f t="shared" ca="1" si="0"/>
        <v>#REF!</v>
      </c>
      <c r="D12" s="190" t="e">
        <f ca="1">SUM(COUNTIFS(EDT!D$5:D$25,B12,EDT!F$5:F$25,"ACM"),COUNTIFS(EDT!G$5:G$25,B12,EDT!I$5:I$25,"ACM"),COUNTIFS(EDT!J$5:J$25,B12,EDT!L$5:L$25,"ACM"),COUNTIFS(EDT!M$5:M$25,B12,EDT!O$5:O$25,"ACM"),COUNTIFS(EDT!P$5:P$25,B12,EDT!R$5:R$25,"ACM"),COUNTIFS(EDT!D$43:D$60,B12,EDT!F$43:F$60,"ACM"),COUNTIFS(EDT!G$43:G$60,B12,EDT!I$43:I$60,"ACM"),COUNTIFS(EDT!J$43:J$60,B12,EDT!L$43:L$60,"ACM"),COUNTIFS(EDT!M$43:M$60,B12,EDT!O$43:O$60,"ACM"),COUNTIFS(EDT!P$43:P$60,B12,EDT!R$43:R$60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)*3
+SUM(COUNTIFS(EDT!D$33:D$42,B12,EDT!F$33:F$42,"ACM"),COUNTIFS(EDT!G$33:G$42,B12,EDT!I$33:I$42,"ACM"),COUNTIFS(EDT!J$33:J$42,B12,EDT!L$33:L$42,"ACM"),COUNTIFS(EDT!M$33:M$42,B12,EDT!O$33:O$42,"ACM"),COUNTIFS(EDT!P$33:P$42,B12,EDT!R$33:R$42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,COUNTIFS(#REF!,B12,#REF!,"ACM"))*2</f>
        <v>#REF!</v>
      </c>
      <c r="E12" s="190" t="e">
        <f ca="1">SUM(COUNTIFS(EDT!D$5:D$25,B12,EDT!F$5:F$25,"Répit"),COUNTIFS(EDT!G$5:G$25,B12,EDT!I$5:I$25,"Répit"),COUNTIFS(EDT!J$5:J$25,B12,EDT!L$5:L$25,"Répit"),COUNTIFS(EDT!M$5:M$25,B12,EDT!O$5:O$25,"Répit"),COUNTIFS(EDT!P$5:P$25,B12,EDT!R$5:R$25,"Répit"),COUNTIFS(EDT!D$43:D$60,B12,EDT!F$43:F$60,"Répit"),COUNTIFS(EDT!G$43:G$60,B12,EDT!I$43:I$60,"Répit"),COUNTIFS(EDT!J$43:J$60,B12,EDT!L$43:L$60,"Répit"),COUNTIFS(EDT!M$43:M$60,B12,EDT!O$43:O$60,"Répit"),COUNTIFS(EDT!P$43:P$60,B12,EDT!R$43:R$60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)*3
+SUM(COUNTIFS(EDT!D$33:D$42,B12,EDT!F$33:F$42,"Répit"),COUNTIFS(EDT!G$33:G$42,B12,EDT!I$33:I$42,"Répit"),COUNTIFS(EDT!J$33:J$42,B12,EDT!L$33:L$42,"Répit"),COUNTIFS(EDT!M$33:M$42,B12,EDT!O$33:O$42,"Répit"),COUNTIFS(EDT!P$33:P$42,B12,EDT!R$33:R$42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,COUNTIFS(#REF!,B12,#REF!,"Répit"))*2</f>
        <v>#REF!</v>
      </c>
      <c r="F12" s="191" t="e">
        <f t="shared" ca="1" si="1"/>
        <v>#REF!</v>
      </c>
      <c r="G12" s="185" t="e">
        <f ca="1">SUM(COUNTIFS(EDT!D$5:D$25,B12,EDT!E$5:E$25,"&gt;&lt;",EDT!F$5:F$25,"ACM"),COUNTIFS(EDT!G$5:G$25,B12,EDT!H$5:H$25,"&gt;&lt;",EDT!I$5:I$25,"ACM"),COUNTIFS(EDT!J$5:J$25,B12,EDT!K$5:K$25,"&gt;&lt;",EDT!L$5:L$25,"ACM"),COUNTIFS(EDT!M$5:M$25,B12,EDT!N$5:N$25,"&gt;&lt;",EDT!O$5:O$25,"ACM"),COUNTIFS(EDT!P$5:P$25,B12,EDT!Q$5:Q$25,"&gt;&lt;",EDT!R$5:R$25,"ACM"),COUNTIFS(EDT!D$43:D$60,B12,EDT!E$43:E$60,"&gt;&lt;",EDT!F$43:F$60,"ACM"),COUNTIFS(EDT!G$43:G$60,B12,EDT!H$43:H$60,"&gt;&lt;",EDT!I$43:I$60,"ACM"),COUNTIFS(EDT!J$43:J$60,B12,EDT!K$43:K$60,"&gt;&lt;",EDT!L$43:L$60,"ACM"),COUNTIFS(EDT!M$43:M$60,B12,EDT!N$43:N$60,"&gt;&lt;",EDT!O$43:O$60,"ACM"),COUNTIFS(EDT!P$43:P$60,B12,EDT!Q$43:Q$60,"&gt;&lt;",EDT!R$43:R$60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)*3
+SUM(COUNTIFS(EDT!D$33:D$42,B12,EDT!E$33:E$42,"&gt;&lt;",EDT!F$33:F$42,"ACM"),COUNTIFS(EDT!G$33:G$42,B12,EDT!H$33:H$42,"&gt;&lt;",EDT!I$33:I$42,"ACM"),COUNTIFS(EDT!J$33:J$42,B12,EDT!K$33:K$42,"&gt;&lt;",EDT!L$33:L$42,"ACM"),COUNTIFS(EDT!M$33:M$42,B12,EDT!N$33:N$42,"&gt;&lt;",EDT!O$33:O$42,"ACM"),COUNTIFS(EDT!P$33:P$42,B12,EDT!Q$33:Q$42,"&gt;&lt;",EDT!R$33:R$42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,COUNTIFS(#REF!,B12,#REF!,"&gt;&lt;",#REF!,"ACM"))*2</f>
        <v>#REF!</v>
      </c>
      <c r="H12" s="192" t="e">
        <f ca="1">SUM(COUNTIFS(EDT!D$5:D$25,B12,EDT!E$5:E$25,"&gt;&lt;",EDT!F$5:F$25,"Répit"),COUNTIFS(EDT!G$5:G$25,B12,EDT!H$5:H$25,"&gt;&lt;",EDT!I$5:I$25,"Répit"),COUNTIFS(EDT!J$5:J$25,B12,EDT!K$5:K$25,"&gt;&lt;",EDT!L$5:L$25,"Répit"),COUNTIFS(EDT!M$5:M$25,B12,EDT!N$5:N$25,"&gt;&lt;",EDT!O$5:O$25,"Répit"),COUNTIFS(EDT!P$5:P$25,B12,EDT!Q$5:Q$25,"&gt;&lt;",EDT!R$5:R$25,"Répit"),COUNTIFS(EDT!D$43:D$60,B12,EDT!E$43:E$60,"&gt;&lt;",EDT!F$43:F$60,"Répit"),COUNTIFS(EDT!G$43:G$60,B12,EDT!H$43:H$60,"&gt;&lt;",EDT!I$43:I$60,"Répit"),COUNTIFS(EDT!J$43:J$60,B12,EDT!K$43:K$60,"&gt;&lt;",EDT!L$43:L$60,"Répit"),COUNTIFS(EDT!M$43:M$60,B12,EDT!N$43:N$60,"&gt;&lt;",EDT!O$43:O$60,"Répit"),COUNTIFS(EDT!P$43:P$60,B12,EDT!Q$43:Q$60,"&gt;&lt;",EDT!R$43:R$60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)*3
+SUM(COUNTIFS(EDT!D$33:D$42,B12,EDT!E$33:E$42,"&gt;&lt;",EDT!F$33:F$42,"Répit"),COUNTIFS(EDT!G$33:G$42,B12,EDT!H$33:H$42,"&gt;&lt;",EDT!I$33:I$42,"Répit"),COUNTIFS(EDT!J$33:J$42,B12,EDT!K$33:K$42,"&gt;&lt;",EDT!L$33:L$42,"Répit"),COUNTIFS(EDT!M$33:M$42,B12,EDT!N$33:N$42,"&gt;&lt;",EDT!O$33:O$42,"Répit"),COUNTIFS(EDT!P$33:P$42,B12,EDT!Q$33:Q$42,"&gt;&lt;",EDT!R$33:R$42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,COUNTIFS(#REF!,B12,#REF!,"&gt;&lt;",#REF!,"Répit"))*2</f>
        <v>#REF!</v>
      </c>
      <c r="I12" s="193">
        <f ca="1">IFERROR(__xludf.DUMMYFUNCTION("""COMPUTED_VALUE"""),11.88)</f>
        <v>11.88</v>
      </c>
      <c r="J12" s="194" t="e">
        <f t="shared" ca="1" si="2"/>
        <v>#REF!</v>
      </c>
      <c r="K12" s="195" t="e">
        <f t="shared" ca="1" si="3"/>
        <v>#REF!</v>
      </c>
      <c r="L12" s="195" t="str">
        <f ca="1">IFERROR(__xludf.DUMMYFUNCTION("""COMPUTED_VALUE"""),"Mme et M DIAS Catarina et VERNIS Yohann")</f>
        <v>Mme et M DIAS Catarina et VERNIS Yohann</v>
      </c>
      <c r="M12" s="200" t="str">
        <f ca="1">IFERROR(__xludf.DUMMYFUNCTION("""COMPUTED_VALUE"""),"19 Terasses Saint Vincent 47240 Bon-Encontre")</f>
        <v>19 Terasses Saint Vincent 47240 Bon-Encontre</v>
      </c>
      <c r="N12" s="196">
        <v>10</v>
      </c>
      <c r="O12" s="198"/>
    </row>
    <row r="13" spans="1:15" ht="12.6">
      <c r="A13" s="199" t="str">
        <f ca="1">IFERROR(__xludf.DUMMYFUNCTION("""COMPUTED_VALUE"""),"IBRAHIM")</f>
        <v>IBRAHIM</v>
      </c>
      <c r="B13" s="188" t="str">
        <f ca="1">IFERROR(__xludf.DUMMYFUNCTION("""COMPUTED_VALUE"""),"Fahad")</f>
        <v>Fahad</v>
      </c>
      <c r="C13" s="189" t="e">
        <f t="shared" ca="1" si="0"/>
        <v>#REF!</v>
      </c>
      <c r="D13" s="190" t="e">
        <f ca="1">SUM(COUNTIFS(EDT!D$5:D$25,B13,EDT!F$5:F$25,"ACM"),COUNTIFS(EDT!G$5:G$25,B13,EDT!I$5:I$25,"ACM"),COUNTIFS(EDT!J$5:J$25,B13,EDT!L$5:L$25,"ACM"),COUNTIFS(EDT!M$5:M$25,B13,EDT!O$5:O$25,"ACM"),COUNTIFS(EDT!P$5:P$25,B13,EDT!R$5:R$25,"ACM"),COUNTIFS(EDT!D$43:D$60,B13,EDT!F$43:F$60,"ACM"),COUNTIFS(EDT!G$43:G$60,B13,EDT!I$43:I$60,"ACM"),COUNTIFS(EDT!J$43:J$60,B13,EDT!L$43:L$60,"ACM"),COUNTIFS(EDT!M$43:M$60,B13,EDT!O$43:O$60,"ACM"),COUNTIFS(EDT!P$43:P$60,B13,EDT!R$43:R$60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)*3
+SUM(COUNTIFS(EDT!D$33:D$42,B13,EDT!F$33:F$42,"ACM"),COUNTIFS(EDT!G$33:G$42,B13,EDT!I$33:I$42,"ACM"),COUNTIFS(EDT!J$33:J$42,B13,EDT!L$33:L$42,"ACM"),COUNTIFS(EDT!M$33:M$42,B13,EDT!O$33:O$42,"ACM"),COUNTIFS(EDT!P$33:P$42,B13,EDT!R$33:R$42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,COUNTIFS(#REF!,B13,#REF!,"ACM"))*2</f>
        <v>#REF!</v>
      </c>
      <c r="E13" s="190" t="e">
        <f ca="1">SUM(COUNTIFS(EDT!D$5:D$25,B13,EDT!F$5:F$25,"Répit"),COUNTIFS(EDT!G$5:G$25,B13,EDT!I$5:I$25,"Répit"),COUNTIFS(EDT!J$5:J$25,B13,EDT!L$5:L$25,"Répit"),COUNTIFS(EDT!M$5:M$25,B13,EDT!O$5:O$25,"Répit"),COUNTIFS(EDT!P$5:P$25,B13,EDT!R$5:R$25,"Répit"),COUNTIFS(EDT!D$43:D$60,B13,EDT!F$43:F$60,"Répit"),COUNTIFS(EDT!G$43:G$60,B13,EDT!I$43:I$60,"Répit"),COUNTIFS(EDT!J$43:J$60,B13,EDT!L$43:L$60,"Répit"),COUNTIFS(EDT!M$43:M$60,B13,EDT!O$43:O$60,"Répit"),COUNTIFS(EDT!P$43:P$60,B13,EDT!R$43:R$60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)*3
+SUM(COUNTIFS(EDT!D$33:D$42,B13,EDT!F$33:F$42,"Répit"),COUNTIFS(EDT!G$33:G$42,B13,EDT!I$33:I$42,"Répit"),COUNTIFS(EDT!J$33:J$42,B13,EDT!L$33:L$42,"Répit"),COUNTIFS(EDT!M$33:M$42,B13,EDT!O$33:O$42,"Répit"),COUNTIFS(EDT!P$33:P$42,B13,EDT!R$33:R$42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,COUNTIFS(#REF!,B13,#REF!,"Répit"))*2</f>
        <v>#REF!</v>
      </c>
      <c r="F13" s="191" t="e">
        <f t="shared" ca="1" si="1"/>
        <v>#REF!</v>
      </c>
      <c r="G13" s="185" t="e">
        <f ca="1">SUM(COUNTIFS(EDT!D$5:D$25,B13,EDT!E$5:E$25,"&gt;&lt;",EDT!F$5:F$25,"ACM"),COUNTIFS(EDT!G$5:G$25,B13,EDT!H$5:H$25,"&gt;&lt;",EDT!I$5:I$25,"ACM"),COUNTIFS(EDT!J$5:J$25,B13,EDT!K$5:K$25,"&gt;&lt;",EDT!L$5:L$25,"ACM"),COUNTIFS(EDT!M$5:M$25,B13,EDT!N$5:N$25,"&gt;&lt;",EDT!O$5:O$25,"ACM"),COUNTIFS(EDT!P$5:P$25,B13,EDT!Q$5:Q$25,"&gt;&lt;",EDT!R$5:R$25,"ACM"),COUNTIFS(EDT!D$43:D$60,B13,EDT!E$43:E$60,"&gt;&lt;",EDT!F$43:F$60,"ACM"),COUNTIFS(EDT!G$43:G$60,B13,EDT!H$43:H$60,"&gt;&lt;",EDT!I$43:I$60,"ACM"),COUNTIFS(EDT!J$43:J$60,B13,EDT!K$43:K$60,"&gt;&lt;",EDT!L$43:L$60,"ACM"),COUNTIFS(EDT!M$43:M$60,B13,EDT!N$43:N$60,"&gt;&lt;",EDT!O$43:O$60,"ACM"),COUNTIFS(EDT!P$43:P$60,B13,EDT!Q$43:Q$60,"&gt;&lt;",EDT!R$43:R$60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)*3
+SUM(COUNTIFS(EDT!D$33:D$42,B13,EDT!E$33:E$42,"&gt;&lt;",EDT!F$33:F$42,"ACM"),COUNTIFS(EDT!G$33:G$42,B13,EDT!H$33:H$42,"&gt;&lt;",EDT!I$33:I$42,"ACM"),COUNTIFS(EDT!J$33:J$42,B13,EDT!K$33:K$42,"&gt;&lt;",EDT!L$33:L$42,"ACM"),COUNTIFS(EDT!M$33:M$42,B13,EDT!N$33:N$42,"&gt;&lt;",EDT!O$33:O$42,"ACM"),COUNTIFS(EDT!P$33:P$42,B13,EDT!Q$33:Q$42,"&gt;&lt;",EDT!R$33:R$42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,COUNTIFS(#REF!,B13,#REF!,"&gt;&lt;",#REF!,"ACM"))*2</f>
        <v>#REF!</v>
      </c>
      <c r="H13" s="192" t="e">
        <f ca="1">SUM(COUNTIFS(EDT!D$5:D$25,B13,EDT!E$5:E$25,"&gt;&lt;",EDT!F$5:F$25,"Répit"),COUNTIFS(EDT!G$5:G$25,B13,EDT!H$5:H$25,"&gt;&lt;",EDT!I$5:I$25,"Répit"),COUNTIFS(EDT!J$5:J$25,B13,EDT!K$5:K$25,"&gt;&lt;",EDT!L$5:L$25,"Répit"),COUNTIFS(EDT!M$5:M$25,B13,EDT!N$5:N$25,"&gt;&lt;",EDT!O$5:O$25,"Répit"),COUNTIFS(EDT!P$5:P$25,B13,EDT!Q$5:Q$25,"&gt;&lt;",EDT!R$5:R$25,"Répit"),COUNTIFS(EDT!D$43:D$60,B13,EDT!E$43:E$60,"&gt;&lt;",EDT!F$43:F$60,"Répit"),COUNTIFS(EDT!G$43:G$60,B13,EDT!H$43:H$60,"&gt;&lt;",EDT!I$43:I$60,"Répit"),COUNTIFS(EDT!J$43:J$60,B13,EDT!K$43:K$60,"&gt;&lt;",EDT!L$43:L$60,"Répit"),COUNTIFS(EDT!M$43:M$60,B13,EDT!N$43:N$60,"&gt;&lt;",EDT!O$43:O$60,"Répit"),COUNTIFS(EDT!P$43:P$60,B13,EDT!Q$43:Q$60,"&gt;&lt;",EDT!R$43:R$60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)*3
+SUM(COUNTIFS(EDT!D$33:D$42,B13,EDT!E$33:E$42,"&gt;&lt;",EDT!F$33:F$42,"Répit"),COUNTIFS(EDT!G$33:G$42,B13,EDT!H$33:H$42,"&gt;&lt;",EDT!I$33:I$42,"Répit"),COUNTIFS(EDT!J$33:J$42,B13,EDT!K$33:K$42,"&gt;&lt;",EDT!L$33:L$42,"Répit"),COUNTIFS(EDT!M$33:M$42,B13,EDT!N$33:N$42,"&gt;&lt;",EDT!O$33:O$42,"Répit"),COUNTIFS(EDT!P$33:P$42,B13,EDT!Q$33:Q$42,"&gt;&lt;",EDT!R$33:R$42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,COUNTIFS(#REF!,B13,#REF!,"&gt;&lt;",#REF!,"Répit"))*2</f>
        <v>#REF!</v>
      </c>
      <c r="I13" s="193">
        <f ca="1">IFERROR(__xludf.DUMMYFUNCTION("""COMPUTED_VALUE"""),11.88)</f>
        <v>11.88</v>
      </c>
      <c r="J13" s="194" t="e">
        <f t="shared" ca="1" si="2"/>
        <v>#REF!</v>
      </c>
      <c r="K13" s="195" t="e">
        <f t="shared" ca="1" si="3"/>
        <v>#REF!</v>
      </c>
      <c r="L13" s="195" t="str">
        <f ca="1">IFERROR(__xludf.DUMMYFUNCTION("""COMPUTED_VALUE"""),"M FRANÇOIS Gibert")</f>
        <v>M FRANÇOIS Gibert</v>
      </c>
      <c r="M13" s="200" t="str">
        <f ca="1">IFERROR(__xludf.DUMMYFUNCTION("""COMPUTED_VALUE"""),"8 place de la mairie 
Laugnac")</f>
        <v>8 place de la mairie 
Laugnac</v>
      </c>
      <c r="N13" s="196">
        <v>11</v>
      </c>
      <c r="O13" s="198"/>
    </row>
    <row r="14" spans="1:15" ht="12.6">
      <c r="A14" s="199" t="str">
        <f ca="1">IFERROR(__xludf.DUMMYFUNCTION("""COMPUTED_VALUE"""),"ZEGGAG")</f>
        <v>ZEGGAG</v>
      </c>
      <c r="B14" s="188" t="str">
        <f ca="1">IFERROR(__xludf.DUMMYFUNCTION("""COMPUTED_VALUE"""),"Faris")</f>
        <v>Faris</v>
      </c>
      <c r="C14" s="189" t="e">
        <f t="shared" ca="1" si="0"/>
        <v>#REF!</v>
      </c>
      <c r="D14" s="190" t="e">
        <f ca="1">SUM(COUNTIFS(EDT!D$5:D$25,B14,EDT!F$5:F$25,"ACM"),COUNTIFS(EDT!G$5:G$25,B14,EDT!I$5:I$25,"ACM"),COUNTIFS(EDT!J$5:J$25,B14,EDT!L$5:L$25,"ACM"),COUNTIFS(EDT!M$5:M$25,B14,EDT!O$5:O$25,"ACM"),COUNTIFS(EDT!P$5:P$25,B14,EDT!R$5:R$25,"ACM"),COUNTIFS(EDT!D$43:D$60,B14,EDT!F$43:F$60,"ACM"),COUNTIFS(EDT!G$43:G$60,B14,EDT!I$43:I$60,"ACM"),COUNTIFS(EDT!J$43:J$60,B14,EDT!L$43:L$60,"ACM"),COUNTIFS(EDT!M$43:M$60,B14,EDT!O$43:O$60,"ACM"),COUNTIFS(EDT!P$43:P$60,B14,EDT!R$43:R$60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)*3
+SUM(COUNTIFS(EDT!D$33:D$42,B14,EDT!F$33:F$42,"ACM"),COUNTIFS(EDT!G$33:G$42,B14,EDT!I$33:I$42,"ACM"),COUNTIFS(EDT!J$33:J$42,B14,EDT!L$33:L$42,"ACM"),COUNTIFS(EDT!M$33:M$42,B14,EDT!O$33:O$42,"ACM"),COUNTIFS(EDT!P$33:P$42,B14,EDT!R$33:R$42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,COUNTIFS(#REF!,B14,#REF!,"ACM"))*2</f>
        <v>#REF!</v>
      </c>
      <c r="E14" s="190" t="e">
        <f ca="1">SUM(COUNTIFS(EDT!D$5:D$25,B14,EDT!F$5:F$25,"Répit"),COUNTIFS(EDT!G$5:G$25,B14,EDT!I$5:I$25,"Répit"),COUNTIFS(EDT!J$5:J$25,B14,EDT!L$5:L$25,"Répit"),COUNTIFS(EDT!M$5:M$25,B14,EDT!O$5:O$25,"Répit"),COUNTIFS(EDT!P$5:P$25,B14,EDT!R$5:R$25,"Répit"),COUNTIFS(EDT!D$43:D$60,B14,EDT!F$43:F$60,"Répit"),COUNTIFS(EDT!G$43:G$60,B14,EDT!I$43:I$60,"Répit"),COUNTIFS(EDT!J$43:J$60,B14,EDT!L$43:L$60,"Répit"),COUNTIFS(EDT!M$43:M$60,B14,EDT!O$43:O$60,"Répit"),COUNTIFS(EDT!P$43:P$60,B14,EDT!R$43:R$60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)*3
+SUM(COUNTIFS(EDT!D$33:D$42,B14,EDT!F$33:F$42,"Répit"),COUNTIFS(EDT!G$33:G$42,B14,EDT!I$33:I$42,"Répit"),COUNTIFS(EDT!J$33:J$42,B14,EDT!L$33:L$42,"Répit"),COUNTIFS(EDT!M$33:M$42,B14,EDT!O$33:O$42,"Répit"),COUNTIFS(EDT!P$33:P$42,B14,EDT!R$33:R$42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,COUNTIFS(#REF!,B14,#REF!,"Répit"))*2</f>
        <v>#REF!</v>
      </c>
      <c r="F14" s="191" t="e">
        <f t="shared" ca="1" si="1"/>
        <v>#REF!</v>
      </c>
      <c r="G14" s="185" t="e">
        <f ca="1">SUM(COUNTIFS(EDT!D$5:D$25,B14,EDT!E$5:E$25,"&gt;&lt;",EDT!F$5:F$25,"ACM"),COUNTIFS(EDT!G$5:G$25,B14,EDT!H$5:H$25,"&gt;&lt;",EDT!I$5:I$25,"ACM"),COUNTIFS(EDT!J$5:J$25,B14,EDT!K$5:K$25,"&gt;&lt;",EDT!L$5:L$25,"ACM"),COUNTIFS(EDT!M$5:M$25,B14,EDT!N$5:N$25,"&gt;&lt;",EDT!O$5:O$25,"ACM"),COUNTIFS(EDT!P$5:P$25,B14,EDT!Q$5:Q$25,"&gt;&lt;",EDT!R$5:R$25,"ACM"),COUNTIFS(EDT!D$43:D$60,B14,EDT!E$43:E$60,"&gt;&lt;",EDT!F$43:F$60,"ACM"),COUNTIFS(EDT!G$43:G$60,B14,EDT!H$43:H$60,"&gt;&lt;",EDT!I$43:I$60,"ACM"),COUNTIFS(EDT!J$43:J$60,B14,EDT!K$43:K$60,"&gt;&lt;",EDT!L$43:L$60,"ACM"),COUNTIFS(EDT!M$43:M$60,B14,EDT!N$43:N$60,"&gt;&lt;",EDT!O$43:O$60,"ACM"),COUNTIFS(EDT!P$43:P$60,B14,EDT!Q$43:Q$60,"&gt;&lt;",EDT!R$43:R$60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)*3
+SUM(COUNTIFS(EDT!D$33:D$42,B14,EDT!E$33:E$42,"&gt;&lt;",EDT!F$33:F$42,"ACM"),COUNTIFS(EDT!G$33:G$42,B14,EDT!H$33:H$42,"&gt;&lt;",EDT!I$33:I$42,"ACM"),COUNTIFS(EDT!J$33:J$42,B14,EDT!K$33:K$42,"&gt;&lt;",EDT!L$33:L$42,"ACM"),COUNTIFS(EDT!M$33:M$42,B14,EDT!N$33:N$42,"&gt;&lt;",EDT!O$33:O$42,"ACM"),COUNTIFS(EDT!P$33:P$42,B14,EDT!Q$33:Q$42,"&gt;&lt;",EDT!R$33:R$42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,COUNTIFS(#REF!,B14,#REF!,"&gt;&lt;",#REF!,"ACM"))*2</f>
        <v>#REF!</v>
      </c>
      <c r="H14" s="192">
        <v>9</v>
      </c>
      <c r="I14" s="193">
        <f ca="1">IFERROR(__xludf.DUMMYFUNCTION("""COMPUTED_VALUE"""),11.88)</f>
        <v>11.88</v>
      </c>
      <c r="J14" s="194">
        <f t="shared" ca="1" si="2"/>
        <v>106.92</v>
      </c>
      <c r="K14" s="195">
        <f t="shared" si="3"/>
        <v>1</v>
      </c>
      <c r="L14" s="195" t="str">
        <f ca="1">IFERROR(__xludf.DUMMYFUNCTION("""COMPUTED_VALUE"""),"Mme SLASSI Kawtar")</f>
        <v>Mme SLASSI Kawtar</v>
      </c>
      <c r="M14" s="200" t="str">
        <f ca="1">IFERROR(__xludf.DUMMYFUNCTION("""COMPUTED_VALUE"""),"872 rue PP de Riquet 
Agen")</f>
        <v>872 rue PP de Riquet 
Agen</v>
      </c>
      <c r="N14" s="196">
        <v>12</v>
      </c>
      <c r="O14" s="198"/>
    </row>
    <row r="15" spans="1:15" ht="12.6">
      <c r="A15" s="199" t="str">
        <f ca="1">IFERROR(__xludf.DUMMYFUNCTION("""COMPUTED_VALUE"""),"TRABELSI ")</f>
        <v xml:space="preserve">TRABELSI </v>
      </c>
      <c r="B15" s="188" t="str">
        <f ca="1">IFERROR(__xludf.DUMMYFUNCTION("""COMPUTED_VALUE"""),"Faycal")</f>
        <v>Faycal</v>
      </c>
      <c r="C15" s="189" t="e">
        <f t="shared" ca="1" si="0"/>
        <v>#REF!</v>
      </c>
      <c r="D15" s="190" t="e">
        <f ca="1">SUM(COUNTIFS(EDT!D$5:D$25,B15,EDT!F$5:F$25,"ACM"),COUNTIFS(EDT!G$5:G$25,B15,EDT!I$5:I$25,"ACM"),COUNTIFS(EDT!J$5:J$25,B15,EDT!L$5:L$25,"ACM"),COUNTIFS(EDT!M$5:M$25,B15,EDT!O$5:O$25,"ACM"),COUNTIFS(EDT!P$5:P$25,B15,EDT!R$5:R$25,"ACM"),COUNTIFS(EDT!D$43:D$60,B15,EDT!F$43:F$60,"ACM"),COUNTIFS(EDT!G$43:G$60,B15,EDT!I$43:I$60,"ACM"),COUNTIFS(EDT!J$43:J$60,B15,EDT!L$43:L$60,"ACM"),COUNTIFS(EDT!M$43:M$60,B15,EDT!O$43:O$60,"ACM"),COUNTIFS(EDT!P$43:P$60,B15,EDT!R$43:R$60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)*3
+SUM(COUNTIFS(EDT!D$33:D$42,B15,EDT!F$33:F$42,"ACM"),COUNTIFS(EDT!G$33:G$42,B15,EDT!I$33:I$42,"ACM"),COUNTIFS(EDT!J$33:J$42,B15,EDT!L$33:L$42,"ACM"),COUNTIFS(EDT!M$33:M$42,B15,EDT!O$33:O$42,"ACM"),COUNTIFS(EDT!P$33:P$42,B15,EDT!R$33:R$42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,COUNTIFS(#REF!,B15,#REF!,"ACM"))*2</f>
        <v>#REF!</v>
      </c>
      <c r="E15" s="190" t="e">
        <f ca="1">SUM(COUNTIFS(EDT!D$5:D$25,B15,EDT!F$5:F$25,"Répit"),COUNTIFS(EDT!G$5:G$25,B15,EDT!I$5:I$25,"Répit"),COUNTIFS(EDT!J$5:J$25,B15,EDT!L$5:L$25,"Répit"),COUNTIFS(EDT!M$5:M$25,B15,EDT!O$5:O$25,"Répit"),COUNTIFS(EDT!P$5:P$25,B15,EDT!R$5:R$25,"Répit"),COUNTIFS(EDT!D$43:D$60,B15,EDT!F$43:F$60,"Répit"),COUNTIFS(EDT!G$43:G$60,B15,EDT!I$43:I$60,"Répit"),COUNTIFS(EDT!J$43:J$60,B15,EDT!L$43:L$60,"Répit"),COUNTIFS(EDT!M$43:M$60,B15,EDT!O$43:O$60,"Répit"),COUNTIFS(EDT!P$43:P$60,B15,EDT!R$43:R$60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)*3
+SUM(COUNTIFS(EDT!D$33:D$42,B15,EDT!F$33:F$42,"Répit"),COUNTIFS(EDT!G$33:G$42,B15,EDT!I$33:I$42,"Répit"),COUNTIFS(EDT!J$33:J$42,B15,EDT!L$33:L$42,"Répit"),COUNTIFS(EDT!M$33:M$42,B15,EDT!O$33:O$42,"Répit"),COUNTIFS(EDT!P$33:P$42,B15,EDT!R$33:R$42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,COUNTIFS(#REF!,B15,#REF!,"Répit"))*2</f>
        <v>#REF!</v>
      </c>
      <c r="F15" s="191" t="e">
        <f t="shared" ca="1" si="1"/>
        <v>#REF!</v>
      </c>
      <c r="G15" s="185" t="e">
        <f ca="1">SUM(COUNTIFS(EDT!D$5:D$25,B15,EDT!E$5:E$25,"&gt;&lt;",EDT!F$5:F$25,"ACM"),COUNTIFS(EDT!G$5:G$25,B15,EDT!H$5:H$25,"&gt;&lt;",EDT!I$5:I$25,"ACM"),COUNTIFS(EDT!J$5:J$25,B15,EDT!K$5:K$25,"&gt;&lt;",EDT!L$5:L$25,"ACM"),COUNTIFS(EDT!M$5:M$25,B15,EDT!N$5:N$25,"&gt;&lt;",EDT!O$5:O$25,"ACM"),COUNTIFS(EDT!P$5:P$25,B15,EDT!Q$5:Q$25,"&gt;&lt;",EDT!R$5:R$25,"ACM"),COUNTIFS(EDT!D$43:D$60,B15,EDT!E$43:E$60,"&gt;&lt;",EDT!F$43:F$60,"ACM"),COUNTIFS(EDT!G$43:G$60,B15,EDT!H$43:H$60,"&gt;&lt;",EDT!I$43:I$60,"ACM"),COUNTIFS(EDT!J$43:J$60,B15,EDT!K$43:K$60,"&gt;&lt;",EDT!L$43:L$60,"ACM"),COUNTIFS(EDT!M$43:M$60,B15,EDT!N$43:N$60,"&gt;&lt;",EDT!O$43:O$60,"ACM"),COUNTIFS(EDT!P$43:P$60,B15,EDT!Q$43:Q$60,"&gt;&lt;",EDT!R$43:R$60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)*3
+SUM(COUNTIFS(EDT!D$33:D$42,B15,EDT!E$33:E$42,"&gt;&lt;",EDT!F$33:F$42,"ACM"),COUNTIFS(EDT!G$33:G$42,B15,EDT!H$33:H$42,"&gt;&lt;",EDT!I$33:I$42,"ACM"),COUNTIFS(EDT!J$33:J$42,B15,EDT!K$33:K$42,"&gt;&lt;",EDT!L$33:L$42,"ACM"),COUNTIFS(EDT!M$33:M$42,B15,EDT!N$33:N$42,"&gt;&lt;",EDT!O$33:O$42,"ACM"),COUNTIFS(EDT!P$33:P$42,B15,EDT!Q$33:Q$42,"&gt;&lt;",EDT!R$33:R$42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,COUNTIFS(#REF!,B15,#REF!,"&gt;&lt;",#REF!,"ACM"))*2</f>
        <v>#REF!</v>
      </c>
      <c r="H15" s="192">
        <v>23</v>
      </c>
      <c r="I15" s="193">
        <f ca="1">IFERROR(__xludf.DUMMYFUNCTION("""COMPUTED_VALUE"""),11.88)</f>
        <v>11.88</v>
      </c>
      <c r="J15" s="194">
        <f t="shared" ca="1" si="2"/>
        <v>273.24</v>
      </c>
      <c r="K15" s="195">
        <f t="shared" si="3"/>
        <v>1</v>
      </c>
      <c r="L15" s="195" t="str">
        <f ca="1">IFERROR(__xludf.DUMMYFUNCTION("""COMPUTED_VALUE"""),"Mme Trabelsi ")</f>
        <v xml:space="preserve">Mme Trabelsi </v>
      </c>
      <c r="M15" s="200" t="str">
        <f ca="1">IFERROR(__xludf.DUMMYFUNCTION("""COMPUTED_VALUE"""),"76 C allée Passdeygues 
apt 221 
47000 Agen ")</f>
        <v xml:space="preserve">76 C allée Passdeygues 
apt 221 
47000 Agen </v>
      </c>
      <c r="N15" s="196">
        <v>13</v>
      </c>
      <c r="O15" s="198"/>
    </row>
    <row r="16" spans="1:15" ht="12.6">
      <c r="A16" s="199" t="str">
        <f ca="1">IFERROR(__xludf.DUMMYFUNCTION("""COMPUTED_VALUE"""),"RENAUD")</f>
        <v>RENAUD</v>
      </c>
      <c r="B16" s="188" t="str">
        <f ca="1">IFERROR(__xludf.DUMMYFUNCTION("""COMPUTED_VALUE"""),"Faustine")</f>
        <v>Faustine</v>
      </c>
      <c r="C16" s="189" t="e">
        <f t="shared" ca="1" si="0"/>
        <v>#REF!</v>
      </c>
      <c r="D16" s="190" t="e">
        <f ca="1">SUM(COUNTIFS(EDT!D$5:D$25,B16,EDT!F$5:F$25,"ACM"),COUNTIFS(EDT!G$5:G$25,B16,EDT!I$5:I$25,"ACM"),COUNTIFS(EDT!J$5:J$25,B16,EDT!L$5:L$25,"ACM"),COUNTIFS(EDT!M$5:M$25,B16,EDT!O$5:O$25,"ACM"),COUNTIFS(EDT!P$5:P$25,B16,EDT!R$5:R$25,"ACM"),COUNTIFS(EDT!D$43:D$60,B16,EDT!F$43:F$60,"ACM"),COUNTIFS(EDT!G$43:G$60,B16,EDT!I$43:I$60,"ACM"),COUNTIFS(EDT!J$43:J$60,B16,EDT!L$43:L$60,"ACM"),COUNTIFS(EDT!M$43:M$60,B16,EDT!O$43:O$60,"ACM"),COUNTIFS(EDT!P$43:P$60,B16,EDT!R$43:R$60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)*3
+SUM(COUNTIFS(EDT!D$33:D$42,B16,EDT!F$33:F$42,"ACM"),COUNTIFS(EDT!G$33:G$42,B16,EDT!I$33:I$42,"ACM"),COUNTIFS(EDT!J$33:J$42,B16,EDT!L$33:L$42,"ACM"),COUNTIFS(EDT!M$33:M$42,B16,EDT!O$33:O$42,"ACM"),COUNTIFS(EDT!P$33:P$42,B16,EDT!R$33:R$42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,COUNTIFS(#REF!,B16,#REF!,"ACM"))*2</f>
        <v>#REF!</v>
      </c>
      <c r="E16" s="190" t="e">
        <f ca="1">SUM(COUNTIFS(EDT!D$5:D$25,B16,EDT!F$5:F$25,"Répit"),COUNTIFS(EDT!G$5:G$25,B16,EDT!I$5:I$25,"Répit"),COUNTIFS(EDT!J$5:J$25,B16,EDT!L$5:L$25,"Répit"),COUNTIFS(EDT!M$5:M$25,B16,EDT!O$5:O$25,"Répit"),COUNTIFS(EDT!P$5:P$25,B16,EDT!R$5:R$25,"Répit"),COUNTIFS(EDT!D$43:D$60,B16,EDT!F$43:F$60,"Répit"),COUNTIFS(EDT!G$43:G$60,B16,EDT!I$43:I$60,"Répit"),COUNTIFS(EDT!J$43:J$60,B16,EDT!L$43:L$60,"Répit"),COUNTIFS(EDT!M$43:M$60,B16,EDT!O$43:O$60,"Répit"),COUNTIFS(EDT!P$43:P$60,B16,EDT!R$43:R$60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)*3
+SUM(COUNTIFS(EDT!D$33:D$42,B16,EDT!F$33:F$42,"Répit"),COUNTIFS(EDT!G$33:G$42,B16,EDT!I$33:I$42,"Répit"),COUNTIFS(EDT!J$33:J$42,B16,EDT!L$33:L$42,"Répit"),COUNTIFS(EDT!M$33:M$42,B16,EDT!O$33:O$42,"Répit"),COUNTIFS(EDT!P$33:P$42,B16,EDT!R$33:R$42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,COUNTIFS(#REF!,B16,#REF!,"Répit"))*2</f>
        <v>#REF!</v>
      </c>
      <c r="F16" s="191" t="e">
        <f t="shared" ca="1" si="1"/>
        <v>#REF!</v>
      </c>
      <c r="G16" s="185" t="e">
        <f ca="1">SUM(COUNTIFS(EDT!D$5:D$25,B16,EDT!E$5:E$25,"&gt;&lt;",EDT!F$5:F$25,"ACM"),COUNTIFS(EDT!G$5:G$25,B16,EDT!H$5:H$25,"&gt;&lt;",EDT!I$5:I$25,"ACM"),COUNTIFS(EDT!J$5:J$25,B16,EDT!K$5:K$25,"&gt;&lt;",EDT!L$5:L$25,"ACM"),COUNTIFS(EDT!M$5:M$25,B16,EDT!N$5:N$25,"&gt;&lt;",EDT!O$5:O$25,"ACM"),COUNTIFS(EDT!P$5:P$25,B16,EDT!Q$5:Q$25,"&gt;&lt;",EDT!R$5:R$25,"ACM"),COUNTIFS(EDT!D$43:D$60,B16,EDT!E$43:E$60,"&gt;&lt;",EDT!F$43:F$60,"ACM"),COUNTIFS(EDT!G$43:G$60,B16,EDT!H$43:H$60,"&gt;&lt;",EDT!I$43:I$60,"ACM"),COUNTIFS(EDT!J$43:J$60,B16,EDT!K$43:K$60,"&gt;&lt;",EDT!L$43:L$60,"ACM"),COUNTIFS(EDT!M$43:M$60,B16,EDT!N$43:N$60,"&gt;&lt;",EDT!O$43:O$60,"ACM"),COUNTIFS(EDT!P$43:P$60,B16,EDT!Q$43:Q$60,"&gt;&lt;",EDT!R$43:R$60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)*3
+SUM(COUNTIFS(EDT!D$33:D$42,B16,EDT!E$33:E$42,"&gt;&lt;",EDT!F$33:F$42,"ACM"),COUNTIFS(EDT!G$33:G$42,B16,EDT!H$33:H$42,"&gt;&lt;",EDT!I$33:I$42,"ACM"),COUNTIFS(EDT!J$33:J$42,B16,EDT!K$33:K$42,"&gt;&lt;",EDT!L$33:L$42,"ACM"),COUNTIFS(EDT!M$33:M$42,B16,EDT!N$33:N$42,"&gt;&lt;",EDT!O$33:O$42,"ACM"),COUNTIFS(EDT!P$33:P$42,B16,EDT!Q$33:Q$42,"&gt;&lt;",EDT!R$33:R$42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,COUNTIFS(#REF!,B16,#REF!,"&gt;&lt;",#REF!,"ACM"))*2</f>
        <v>#REF!</v>
      </c>
      <c r="H16" s="192" t="e">
        <f ca="1">SUM(COUNTIFS(EDT!D$5:D$25,B16,EDT!E$5:E$25,"&gt;&lt;",EDT!F$5:F$25,"Répit"),COUNTIFS(EDT!G$5:G$25,B16,EDT!H$5:H$25,"&gt;&lt;",EDT!I$5:I$25,"Répit"),COUNTIFS(EDT!J$5:J$25,B16,EDT!K$5:K$25,"&gt;&lt;",EDT!L$5:L$25,"Répit"),COUNTIFS(EDT!M$5:M$25,B16,EDT!N$5:N$25,"&gt;&lt;",EDT!O$5:O$25,"Répit"),COUNTIFS(EDT!P$5:P$25,B16,EDT!Q$5:Q$25,"&gt;&lt;",EDT!R$5:R$25,"Répit"),COUNTIFS(EDT!D$43:D$60,B16,EDT!E$43:E$60,"&gt;&lt;",EDT!F$43:F$60,"Répit"),COUNTIFS(EDT!G$43:G$60,B16,EDT!H$43:H$60,"&gt;&lt;",EDT!I$43:I$60,"Répit"),COUNTIFS(EDT!J$43:J$60,B16,EDT!K$43:K$60,"&gt;&lt;",EDT!L$43:L$60,"Répit"),COUNTIFS(EDT!M$43:M$60,B16,EDT!N$43:N$60,"&gt;&lt;",EDT!O$43:O$60,"Répit"),COUNTIFS(EDT!P$43:P$60,B16,EDT!Q$43:Q$60,"&gt;&lt;",EDT!R$43:R$60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)*3
+SUM(COUNTIFS(EDT!D$33:D$42,B16,EDT!E$33:E$42,"&gt;&lt;",EDT!F$33:F$42,"Répit"),COUNTIFS(EDT!G$33:G$42,B16,EDT!H$33:H$42,"&gt;&lt;",EDT!I$33:I$42,"Répit"),COUNTIFS(EDT!J$33:J$42,B16,EDT!K$33:K$42,"&gt;&lt;",EDT!L$33:L$42,"Répit"),COUNTIFS(EDT!M$33:M$42,B16,EDT!N$33:N$42,"&gt;&lt;",EDT!O$33:O$42,"Répit"),COUNTIFS(EDT!P$33:P$42,B16,EDT!Q$33:Q$42,"&gt;&lt;",EDT!R$33:R$42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,COUNTIFS(#REF!,B16,#REF!,"&gt;&lt;",#REF!,"Répit"))*2</f>
        <v>#REF!</v>
      </c>
      <c r="I16" s="193">
        <f ca="1">IFERROR(__xludf.DUMMYFUNCTION("""COMPUTED_VALUE"""),11.88)</f>
        <v>11.88</v>
      </c>
      <c r="J16" s="194" t="e">
        <f t="shared" ca="1" si="2"/>
        <v>#REF!</v>
      </c>
      <c r="K16" s="195" t="e">
        <f t="shared" ca="1" si="3"/>
        <v>#REF!</v>
      </c>
      <c r="L16" s="195" t="str">
        <f ca="1">IFERROR(__xludf.DUMMYFUNCTION("""COMPUTED_VALUE"""),"M RENAUD Quentin")</f>
        <v>M RENAUD Quentin</v>
      </c>
      <c r="M16" s="200" t="str">
        <f ca="1">IFERROR(__xludf.DUMMYFUNCTION("""COMPUTED_VALUE"""),"20 avenue de la plateforme 
47220 Astaffort ")</f>
        <v xml:space="preserve">20 avenue de la plateforme 
47220 Astaffort </v>
      </c>
      <c r="N16" s="196">
        <v>14</v>
      </c>
      <c r="O16" s="198"/>
    </row>
    <row r="17" spans="1:15" ht="12.6">
      <c r="A17" s="199" t="str">
        <f ca="1">IFERROR(__xludf.DUMMYFUNCTION("""COMPUTED_VALUE"""),"JAZIEH")</f>
        <v>JAZIEH</v>
      </c>
      <c r="B17" s="188" t="str">
        <f ca="1">IFERROR(__xludf.DUMMYFUNCTION("""COMPUTED_VALUE"""),"Iman")</f>
        <v>Iman</v>
      </c>
      <c r="C17" s="189" t="e">
        <f t="shared" ca="1" si="0"/>
        <v>#REF!</v>
      </c>
      <c r="D17" s="190" t="e">
        <f ca="1">SUM(COUNTIFS(EDT!D$5:D$25,B17,EDT!F$5:F$25,"ACM"),COUNTIFS(EDT!G$5:G$25,B17,EDT!I$5:I$25,"ACM"),COUNTIFS(EDT!J$5:J$25,B17,EDT!L$5:L$25,"ACM"),COUNTIFS(EDT!M$5:M$25,B17,EDT!O$5:O$25,"ACM"),COUNTIFS(EDT!P$5:P$25,B17,EDT!R$5:R$25,"ACM"),COUNTIFS(EDT!D$43:D$60,B17,EDT!F$43:F$60,"ACM"),COUNTIFS(EDT!G$43:G$60,B17,EDT!I$43:I$60,"ACM"),COUNTIFS(EDT!J$43:J$60,B17,EDT!L$43:L$60,"ACM"),COUNTIFS(EDT!M$43:M$60,B17,EDT!O$43:O$60,"ACM"),COUNTIFS(EDT!P$43:P$60,B17,EDT!R$43:R$60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)*3
+SUM(COUNTIFS(EDT!D$33:D$42,B17,EDT!F$33:F$42,"ACM"),COUNTIFS(EDT!G$33:G$42,B17,EDT!I$33:I$42,"ACM"),COUNTIFS(EDT!J$33:J$42,B17,EDT!L$33:L$42,"ACM"),COUNTIFS(EDT!M$33:M$42,B17,EDT!O$33:O$42,"ACM"),COUNTIFS(EDT!P$33:P$42,B17,EDT!R$33:R$42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,COUNTIFS(#REF!,B17,#REF!,"ACM"))*2</f>
        <v>#REF!</v>
      </c>
      <c r="E17" s="190" t="e">
        <f ca="1">SUM(COUNTIFS(EDT!D$5:D$25,B17,EDT!F$5:F$25,"Répit"),COUNTIFS(EDT!G$5:G$25,B17,EDT!I$5:I$25,"Répit"),COUNTIFS(EDT!J$5:J$25,B17,EDT!L$5:L$25,"Répit"),COUNTIFS(EDT!M$5:M$25,B17,EDT!O$5:O$25,"Répit"),COUNTIFS(EDT!P$5:P$25,B17,EDT!R$5:R$25,"Répit"),COUNTIFS(EDT!D$43:D$60,B17,EDT!F$43:F$60,"Répit"),COUNTIFS(EDT!G$43:G$60,B17,EDT!I$43:I$60,"Répit"),COUNTIFS(EDT!J$43:J$60,B17,EDT!L$43:L$60,"Répit"),COUNTIFS(EDT!M$43:M$60,B17,EDT!O$43:O$60,"Répit"),COUNTIFS(EDT!P$43:P$60,B17,EDT!R$43:R$60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)*3
+SUM(COUNTIFS(EDT!D$33:D$42,B17,EDT!F$33:F$42,"Répit"),COUNTIFS(EDT!G$33:G$42,B17,EDT!I$33:I$42,"Répit"),COUNTIFS(EDT!J$33:J$42,B17,EDT!L$33:L$42,"Répit"),COUNTIFS(EDT!M$33:M$42,B17,EDT!O$33:O$42,"Répit"),COUNTIFS(EDT!P$33:P$42,B17,EDT!R$33:R$42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,COUNTIFS(#REF!,B17,#REF!,"Répit"))*2</f>
        <v>#REF!</v>
      </c>
      <c r="F17" s="191" t="e">
        <f t="shared" ca="1" si="1"/>
        <v>#REF!</v>
      </c>
      <c r="G17" s="185" t="e">
        <f ca="1">SUM(COUNTIFS(EDT!D$5:D$25,B17,EDT!E$5:E$25,"&gt;&lt;",EDT!F$5:F$25,"ACM"),COUNTIFS(EDT!G$5:G$25,B17,EDT!H$5:H$25,"&gt;&lt;",EDT!I$5:I$25,"ACM"),COUNTIFS(EDT!J$5:J$25,B17,EDT!K$5:K$25,"&gt;&lt;",EDT!L$5:L$25,"ACM"),COUNTIFS(EDT!M$5:M$25,B17,EDT!N$5:N$25,"&gt;&lt;",EDT!O$5:O$25,"ACM"),COUNTIFS(EDT!P$5:P$25,B17,EDT!Q$5:Q$25,"&gt;&lt;",EDT!R$5:R$25,"ACM"),COUNTIFS(EDT!D$43:D$60,B17,EDT!E$43:E$60,"&gt;&lt;",EDT!F$43:F$60,"ACM"),COUNTIFS(EDT!G$43:G$60,B17,EDT!H$43:H$60,"&gt;&lt;",EDT!I$43:I$60,"ACM"),COUNTIFS(EDT!J$43:J$60,B17,EDT!K$43:K$60,"&gt;&lt;",EDT!L$43:L$60,"ACM"),COUNTIFS(EDT!M$43:M$60,B17,EDT!N$43:N$60,"&gt;&lt;",EDT!O$43:O$60,"ACM"),COUNTIFS(EDT!P$43:P$60,B17,EDT!Q$43:Q$60,"&gt;&lt;",EDT!R$43:R$60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)*3
+SUM(COUNTIFS(EDT!D$33:D$42,B17,EDT!E$33:E$42,"&gt;&lt;",EDT!F$33:F$42,"ACM"),COUNTIFS(EDT!G$33:G$42,B17,EDT!H$33:H$42,"&gt;&lt;",EDT!I$33:I$42,"ACM"),COUNTIFS(EDT!J$33:J$42,B17,EDT!K$33:K$42,"&gt;&lt;",EDT!L$33:L$42,"ACM"),COUNTIFS(EDT!M$33:M$42,B17,EDT!N$33:N$42,"&gt;&lt;",EDT!O$33:O$42,"ACM"),COUNTIFS(EDT!P$33:P$42,B17,EDT!Q$33:Q$42,"&gt;&lt;",EDT!R$33:R$42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,COUNTIFS(#REF!,B17,#REF!,"&gt;&lt;",#REF!,"ACM"))*2</f>
        <v>#REF!</v>
      </c>
      <c r="H17" s="192">
        <v>6</v>
      </c>
      <c r="I17" s="201">
        <f ca="1">IFERROR(__xludf.DUMMYFUNCTION("""COMPUTED_VALUE"""),11.88)</f>
        <v>11.88</v>
      </c>
      <c r="J17" s="202">
        <f t="shared" ca="1" si="2"/>
        <v>71.28</v>
      </c>
      <c r="K17" s="195">
        <f t="shared" si="3"/>
        <v>1</v>
      </c>
      <c r="L17" s="195" t="str">
        <f ca="1">IFERROR(__xludf.DUMMYFUNCTION("""COMPUTED_VALUE"""),"Mme JAZIEH")</f>
        <v>Mme JAZIEH</v>
      </c>
      <c r="M17" s="200" t="str">
        <f ca="1">IFERROR(__xludf.DUMMYFUNCTION("""COMPUTED_VALUE"""),"22 avenue Georges Cuvier 
apt 13 
Agen ")</f>
        <v xml:space="preserve">22 avenue Georges Cuvier 
apt 13 
Agen </v>
      </c>
      <c r="N17" s="196">
        <v>15</v>
      </c>
      <c r="O17" s="198"/>
    </row>
    <row r="18" spans="1:15" ht="12.6">
      <c r="A18" s="199" t="str">
        <f ca="1">IFERROR(__xludf.DUMMYFUNCTION("""COMPUTED_VALUE"""),"EL YAAKOUBI")</f>
        <v>EL YAAKOUBI</v>
      </c>
      <c r="B18" s="188" t="str">
        <f ca="1">IFERROR(__xludf.DUMMYFUNCTION("""COMPUTED_VALUE"""),"Imran")</f>
        <v>Imran</v>
      </c>
      <c r="C18" s="189" t="e">
        <f t="shared" ca="1" si="0"/>
        <v>#REF!</v>
      </c>
      <c r="D18" s="190" t="e">
        <f ca="1">SUM(COUNTIFS(EDT!D$5:D$25,B18,EDT!F$5:F$25,"ACM"),COUNTIFS(EDT!G$5:G$25,B18,EDT!I$5:I$25,"ACM"),COUNTIFS(EDT!J$5:J$25,B18,EDT!L$5:L$25,"ACM"),COUNTIFS(EDT!M$5:M$25,B18,EDT!O$5:O$25,"ACM"),COUNTIFS(EDT!P$5:P$25,B18,EDT!R$5:R$25,"ACM"),COUNTIFS(EDT!D$43:D$60,B18,EDT!F$43:F$60,"ACM"),COUNTIFS(EDT!G$43:G$60,B18,EDT!I$43:I$60,"ACM"),COUNTIFS(EDT!J$43:J$60,B18,EDT!L$43:L$60,"ACM"),COUNTIFS(EDT!M$43:M$60,B18,EDT!O$43:O$60,"ACM"),COUNTIFS(EDT!P$43:P$60,B18,EDT!R$43:R$60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)*3
+SUM(COUNTIFS(EDT!D$33:D$42,B18,EDT!F$33:F$42,"ACM"),COUNTIFS(EDT!G$33:G$42,B18,EDT!I$33:I$42,"ACM"),COUNTIFS(EDT!J$33:J$42,B18,EDT!L$33:L$42,"ACM"),COUNTIFS(EDT!M$33:M$42,B18,EDT!O$33:O$42,"ACM"),COUNTIFS(EDT!P$33:P$42,B18,EDT!R$33:R$42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,COUNTIFS(#REF!,B18,#REF!,"ACM"))*2</f>
        <v>#REF!</v>
      </c>
      <c r="E18" s="190" t="e">
        <f ca="1">SUM(COUNTIFS(EDT!D$5:D$25,B18,EDT!F$5:F$25,"Répit"),COUNTIFS(EDT!G$5:G$25,B18,EDT!I$5:I$25,"Répit"),COUNTIFS(EDT!J$5:J$25,B18,EDT!L$5:L$25,"Répit"),COUNTIFS(EDT!M$5:M$25,B18,EDT!O$5:O$25,"Répit"),COUNTIFS(EDT!P$5:P$25,B18,EDT!R$5:R$25,"Répit"),COUNTIFS(EDT!D$43:D$60,B18,EDT!F$43:F$60,"Répit"),COUNTIFS(EDT!G$43:G$60,B18,EDT!I$43:I$60,"Répit"),COUNTIFS(EDT!J$43:J$60,B18,EDT!L$43:L$60,"Répit"),COUNTIFS(EDT!M$43:M$60,B18,EDT!O$43:O$60,"Répit"),COUNTIFS(EDT!P$43:P$60,B18,EDT!R$43:R$60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)*3
+SUM(COUNTIFS(EDT!D$33:D$42,B18,EDT!F$33:F$42,"Répit"),COUNTIFS(EDT!G$33:G$42,B18,EDT!I$33:I$42,"Répit"),COUNTIFS(EDT!J$33:J$42,B18,EDT!L$33:L$42,"Répit"),COUNTIFS(EDT!M$33:M$42,B18,EDT!O$33:O$42,"Répit"),COUNTIFS(EDT!P$33:P$42,B18,EDT!R$33:R$42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,COUNTIFS(#REF!,B18,#REF!,"Répit"))*2</f>
        <v>#REF!</v>
      </c>
      <c r="F18" s="191" t="e">
        <f t="shared" ca="1" si="1"/>
        <v>#REF!</v>
      </c>
      <c r="G18" s="185" t="e">
        <f ca="1">SUM(COUNTIFS(EDT!D$5:D$25,B18,EDT!E$5:E$25,"&gt;&lt;",EDT!F$5:F$25,"ACM"),COUNTIFS(EDT!G$5:G$25,B18,EDT!H$5:H$25,"&gt;&lt;",EDT!I$5:I$25,"ACM"),COUNTIFS(EDT!J$5:J$25,B18,EDT!K$5:K$25,"&gt;&lt;",EDT!L$5:L$25,"ACM"),COUNTIFS(EDT!M$5:M$25,B18,EDT!N$5:N$25,"&gt;&lt;",EDT!O$5:O$25,"ACM"),COUNTIFS(EDT!P$5:P$25,B18,EDT!Q$5:Q$25,"&gt;&lt;",EDT!R$5:R$25,"ACM"),COUNTIFS(EDT!D$43:D$60,B18,EDT!E$43:E$60,"&gt;&lt;",EDT!F$43:F$60,"ACM"),COUNTIFS(EDT!G$43:G$60,B18,EDT!H$43:H$60,"&gt;&lt;",EDT!I$43:I$60,"ACM"),COUNTIFS(EDT!J$43:J$60,B18,EDT!K$43:K$60,"&gt;&lt;",EDT!L$43:L$60,"ACM"),COUNTIFS(EDT!M$43:M$60,B18,EDT!N$43:N$60,"&gt;&lt;",EDT!O$43:O$60,"ACM"),COUNTIFS(EDT!P$43:P$60,B18,EDT!Q$43:Q$60,"&gt;&lt;",EDT!R$43:R$60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)*3
+SUM(COUNTIFS(EDT!D$33:D$42,B18,EDT!E$33:E$42,"&gt;&lt;",EDT!F$33:F$42,"ACM"),COUNTIFS(EDT!G$33:G$42,B18,EDT!H$33:H$42,"&gt;&lt;",EDT!I$33:I$42,"ACM"),COUNTIFS(EDT!J$33:J$42,B18,EDT!K$33:K$42,"&gt;&lt;",EDT!L$33:L$42,"ACM"),COUNTIFS(EDT!M$33:M$42,B18,EDT!N$33:N$42,"&gt;&lt;",EDT!O$33:O$42,"ACM"),COUNTIFS(EDT!P$33:P$42,B18,EDT!Q$33:Q$42,"&gt;&lt;",EDT!R$33:R$42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,COUNTIFS(#REF!,B18,#REF!,"&gt;&lt;",#REF!,"ACM"))*2</f>
        <v>#REF!</v>
      </c>
      <c r="H18" s="192" t="e">
        <f ca="1">SUM(COUNTIFS(EDT!D$5:D$25,B18,EDT!E$5:E$25,"&gt;&lt;",EDT!F$5:F$25,"Répit"),COUNTIFS(EDT!G$5:G$25,B18,EDT!H$5:H$25,"&gt;&lt;",EDT!I$5:I$25,"Répit"),COUNTIFS(EDT!J$5:J$25,B18,EDT!K$5:K$25,"&gt;&lt;",EDT!L$5:L$25,"Répit"),COUNTIFS(EDT!M$5:M$25,B18,EDT!N$5:N$25,"&gt;&lt;",EDT!O$5:O$25,"Répit"),COUNTIFS(EDT!P$5:P$25,B18,EDT!Q$5:Q$25,"&gt;&lt;",EDT!R$5:R$25,"Répit"),COUNTIFS(EDT!D$43:D$60,B18,EDT!E$43:E$60,"&gt;&lt;",EDT!F$43:F$60,"Répit"),COUNTIFS(EDT!G$43:G$60,B18,EDT!H$43:H$60,"&gt;&lt;",EDT!I$43:I$60,"Répit"),COUNTIFS(EDT!J$43:J$60,B18,EDT!K$43:K$60,"&gt;&lt;",EDT!L$43:L$60,"Répit"),COUNTIFS(EDT!M$43:M$60,B18,EDT!N$43:N$60,"&gt;&lt;",EDT!O$43:O$60,"Répit"),COUNTIFS(EDT!P$43:P$60,B18,EDT!Q$43:Q$60,"&gt;&lt;",EDT!R$43:R$60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)*3
+SUM(COUNTIFS(EDT!D$33:D$42,B18,EDT!E$33:E$42,"&gt;&lt;",EDT!F$33:F$42,"Répit"),COUNTIFS(EDT!G$33:G$42,B18,EDT!H$33:H$42,"&gt;&lt;",EDT!I$33:I$42,"Répit"),COUNTIFS(EDT!J$33:J$42,B18,EDT!K$33:K$42,"&gt;&lt;",EDT!L$33:L$42,"Répit"),COUNTIFS(EDT!M$33:M$42,B18,EDT!N$33:N$42,"&gt;&lt;",EDT!O$33:O$42,"Répit"),COUNTIFS(EDT!P$33:P$42,B18,EDT!Q$33:Q$42,"&gt;&lt;",EDT!R$33:R$42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,COUNTIFS(#REF!,B18,#REF!,"&gt;&lt;",#REF!,"Répit"))*2</f>
        <v>#REF!</v>
      </c>
      <c r="I18" s="193">
        <f ca="1">IFERROR(__xludf.DUMMYFUNCTION("""COMPUTED_VALUE"""),11.88)</f>
        <v>11.88</v>
      </c>
      <c r="J18" s="194" t="e">
        <f t="shared" ca="1" si="2"/>
        <v>#REF!</v>
      </c>
      <c r="K18" s="195" t="e">
        <f t="shared" ca="1" si="3"/>
        <v>#REF!</v>
      </c>
      <c r="L18" s="195" t="str">
        <f ca="1">IFERROR(__xludf.DUMMYFUNCTION("""COMPUTED_VALUE"""),"Mme ILHAM")</f>
        <v>Mme ILHAM</v>
      </c>
      <c r="M18" s="200" t="str">
        <f ca="1">IFERROR(__xludf.DUMMYFUNCTION("""COMPUTED_VALUE"""),"Mme DAOUDI Ilham47000 Agen")</f>
        <v>Mme DAOUDI Ilham47000 Agen</v>
      </c>
      <c r="N18" s="196">
        <v>16</v>
      </c>
      <c r="O18" s="198"/>
    </row>
    <row r="19" spans="1:15" ht="12.6">
      <c r="A19" s="199" t="str">
        <f ca="1">IFERROR(__xludf.DUMMYFUNCTION("""COMPUTED_VALUE"""),"JULIEN")</f>
        <v>JULIEN</v>
      </c>
      <c r="B19" s="188" t="str">
        <f ca="1">IFERROR(__xludf.DUMMYFUNCTION("""COMPUTED_VALUE"""),"Jean")</f>
        <v>Jean</v>
      </c>
      <c r="C19" s="189" t="e">
        <f t="shared" ca="1" si="0"/>
        <v>#REF!</v>
      </c>
      <c r="D19" s="190" t="e">
        <f ca="1">SUM(COUNTIFS(EDT!D$5:D$25,B19,EDT!F$5:F$25,"ACM"),COUNTIFS(EDT!G$5:G$25,B19,EDT!I$5:I$25,"ACM"),COUNTIFS(EDT!J$5:J$25,B19,EDT!L$5:L$25,"ACM"),COUNTIFS(EDT!M$5:M$25,B19,EDT!O$5:O$25,"ACM"),COUNTIFS(EDT!P$5:P$25,B19,EDT!R$5:R$25,"ACM"),COUNTIFS(EDT!D$43:D$60,B19,EDT!F$43:F$60,"ACM"),COUNTIFS(EDT!G$43:G$60,B19,EDT!I$43:I$60,"ACM"),COUNTIFS(EDT!J$43:J$60,B19,EDT!L$43:L$60,"ACM"),COUNTIFS(EDT!M$43:M$60,B19,EDT!O$43:O$60,"ACM"),COUNTIFS(EDT!P$43:P$60,B19,EDT!R$43:R$60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)*3
+SUM(COUNTIFS(EDT!D$33:D$42,B19,EDT!F$33:F$42,"ACM"),COUNTIFS(EDT!G$33:G$42,B19,EDT!I$33:I$42,"ACM"),COUNTIFS(EDT!J$33:J$42,B19,EDT!L$33:L$42,"ACM"),COUNTIFS(EDT!M$33:M$42,B19,EDT!O$33:O$42,"ACM"),COUNTIFS(EDT!P$33:P$42,B19,EDT!R$33:R$42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,COUNTIFS(#REF!,B19,#REF!,"ACM"))*2</f>
        <v>#REF!</v>
      </c>
      <c r="E19" s="190" t="e">
        <f ca="1">SUM(COUNTIFS(EDT!D$5:D$25,B19,EDT!F$5:F$25,"Répit"),COUNTIFS(EDT!G$5:G$25,B19,EDT!I$5:I$25,"Répit"),COUNTIFS(EDT!J$5:J$25,B19,EDT!L$5:L$25,"Répit"),COUNTIFS(EDT!M$5:M$25,B19,EDT!O$5:O$25,"Répit"),COUNTIFS(EDT!P$5:P$25,B19,EDT!R$5:R$25,"Répit"),COUNTIFS(EDT!D$43:D$60,B19,EDT!F$43:F$60,"Répit"),COUNTIFS(EDT!G$43:G$60,B19,EDT!I$43:I$60,"Répit"),COUNTIFS(EDT!J$43:J$60,B19,EDT!L$43:L$60,"Répit"),COUNTIFS(EDT!M$43:M$60,B19,EDT!O$43:O$60,"Répit"),COUNTIFS(EDT!P$43:P$60,B19,EDT!R$43:R$60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)*3
+SUM(COUNTIFS(EDT!D$33:D$42,B19,EDT!F$33:F$42,"Répit"),COUNTIFS(EDT!G$33:G$42,B19,EDT!I$33:I$42,"Répit"),COUNTIFS(EDT!J$33:J$42,B19,EDT!L$33:L$42,"Répit"),COUNTIFS(EDT!M$33:M$42,B19,EDT!O$33:O$42,"Répit"),COUNTIFS(EDT!P$33:P$42,B19,EDT!R$33:R$42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,COUNTIFS(#REF!,B19,#REF!,"Répit"))*2</f>
        <v>#REF!</v>
      </c>
      <c r="F19" s="191" t="e">
        <f t="shared" ca="1" si="1"/>
        <v>#REF!</v>
      </c>
      <c r="G19" s="185" t="e">
        <f ca="1">SUM(COUNTIFS(EDT!D$5:D$25,B19,EDT!E$5:E$25,"&gt;&lt;",EDT!F$5:F$25,"ACM"),COUNTIFS(EDT!G$5:G$25,B19,EDT!H$5:H$25,"&gt;&lt;",EDT!I$5:I$25,"ACM"),COUNTIFS(EDT!J$5:J$25,B19,EDT!K$5:K$25,"&gt;&lt;",EDT!L$5:L$25,"ACM"),COUNTIFS(EDT!M$5:M$25,B19,EDT!N$5:N$25,"&gt;&lt;",EDT!O$5:O$25,"ACM"),COUNTIFS(EDT!P$5:P$25,B19,EDT!Q$5:Q$25,"&gt;&lt;",EDT!R$5:R$25,"ACM"),COUNTIFS(EDT!D$43:D$60,B19,EDT!E$43:E$60,"&gt;&lt;",EDT!F$43:F$60,"ACM"),COUNTIFS(EDT!G$43:G$60,B19,EDT!H$43:H$60,"&gt;&lt;",EDT!I$43:I$60,"ACM"),COUNTIFS(EDT!J$43:J$60,B19,EDT!K$43:K$60,"&gt;&lt;",EDT!L$43:L$60,"ACM"),COUNTIFS(EDT!M$43:M$60,B19,EDT!N$43:N$60,"&gt;&lt;",EDT!O$43:O$60,"ACM"),COUNTIFS(EDT!P$43:P$60,B19,EDT!Q$43:Q$60,"&gt;&lt;",EDT!R$43:R$60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)*3
+SUM(COUNTIFS(EDT!D$33:D$42,B19,EDT!E$33:E$42,"&gt;&lt;",EDT!F$33:F$42,"ACM"),COUNTIFS(EDT!G$33:G$42,B19,EDT!H$33:H$42,"&gt;&lt;",EDT!I$33:I$42,"ACM"),COUNTIFS(EDT!J$33:J$42,B19,EDT!K$33:K$42,"&gt;&lt;",EDT!L$33:L$42,"ACM"),COUNTIFS(EDT!M$33:M$42,B19,EDT!N$33:N$42,"&gt;&lt;",EDT!O$33:O$42,"ACM"),COUNTIFS(EDT!P$33:P$42,B19,EDT!Q$33:Q$42,"&gt;&lt;",EDT!R$33:R$42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,COUNTIFS(#REF!,B19,#REF!,"&gt;&lt;",#REF!,"ACM"))*2</f>
        <v>#REF!</v>
      </c>
      <c r="H19" s="192" t="e">
        <f ca="1">SUM(COUNTIFS(EDT!D$5:D$25,B19,EDT!E$5:E$25,"&gt;&lt;",EDT!F$5:F$25,"Répit"),COUNTIFS(EDT!G$5:G$25,B19,EDT!H$5:H$25,"&gt;&lt;",EDT!I$5:I$25,"Répit"),COUNTIFS(EDT!J$5:J$25,B19,EDT!K$5:K$25,"&gt;&lt;",EDT!L$5:L$25,"Répit"),COUNTIFS(EDT!M$5:M$25,B19,EDT!N$5:N$25,"&gt;&lt;",EDT!O$5:O$25,"Répit"),COUNTIFS(EDT!P$5:P$25,B19,EDT!Q$5:Q$25,"&gt;&lt;",EDT!R$5:R$25,"Répit"),COUNTIFS(EDT!D$43:D$60,B19,EDT!E$43:E$60,"&gt;&lt;",EDT!F$43:F$60,"Répit"),COUNTIFS(EDT!G$43:G$60,B19,EDT!H$43:H$60,"&gt;&lt;",EDT!I$43:I$60,"Répit"),COUNTIFS(EDT!J$43:J$60,B19,EDT!K$43:K$60,"&gt;&lt;",EDT!L$43:L$60,"Répit"),COUNTIFS(EDT!M$43:M$60,B19,EDT!N$43:N$60,"&gt;&lt;",EDT!O$43:O$60,"Répit"),COUNTIFS(EDT!P$43:P$60,B19,EDT!Q$43:Q$60,"&gt;&lt;",EDT!R$43:R$60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)*3
+SUM(COUNTIFS(EDT!D$33:D$42,B19,EDT!E$33:E$42,"&gt;&lt;",EDT!F$33:F$42,"Répit"),COUNTIFS(EDT!G$33:G$42,B19,EDT!H$33:H$42,"&gt;&lt;",EDT!I$33:I$42,"Répit"),COUNTIFS(EDT!J$33:J$42,B19,EDT!K$33:K$42,"&gt;&lt;",EDT!L$33:L$42,"Répit"),COUNTIFS(EDT!M$33:M$42,B19,EDT!N$33:N$42,"&gt;&lt;",EDT!O$33:O$42,"Répit"),COUNTIFS(EDT!P$33:P$42,B19,EDT!Q$33:Q$42,"&gt;&lt;",EDT!R$33:R$42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,COUNTIFS(#REF!,B19,#REF!,"&gt;&lt;",#REF!,"Répit"))*2</f>
        <v>#REF!</v>
      </c>
      <c r="I19" s="193">
        <f ca="1">IFERROR(__xludf.DUMMYFUNCTION("""COMPUTED_VALUE"""),11.88)</f>
        <v>11.88</v>
      </c>
      <c r="J19" s="194" t="e">
        <f t="shared" ca="1" si="2"/>
        <v>#REF!</v>
      </c>
      <c r="K19" s="195" t="e">
        <f t="shared" ca="1" si="3"/>
        <v>#REF!</v>
      </c>
      <c r="L19" s="195" t="str">
        <f ca="1">IFERROR(__xludf.DUMMYFUNCTION("""COMPUTED_VALUE"""),"Mme BONGIBAUT-JULIEN Nathalie")</f>
        <v>Mme BONGIBAUT-JULIEN Nathalie</v>
      </c>
      <c r="M19" s="200" t="str">
        <f ca="1">IFERROR(__xludf.DUMMYFUNCTION("""COMPUTED_VALUE"""),"80 allée de Tournadel 47550 Boé")</f>
        <v>80 allée de Tournadel 47550 Boé</v>
      </c>
      <c r="N19" s="196">
        <v>17</v>
      </c>
      <c r="O19" s="198"/>
    </row>
    <row r="20" spans="1:15" ht="12.6">
      <c r="A20" s="199" t="str">
        <f ca="1">IFERROR(__xludf.DUMMYFUNCTION("""COMPUTED_VALUE"""),"FILLOL")</f>
        <v>FILLOL</v>
      </c>
      <c r="B20" s="188" t="str">
        <f ca="1">IFERROR(__xludf.DUMMYFUNCTION("""COMPUTED_VALUE"""),"Jenna")</f>
        <v>Jenna</v>
      </c>
      <c r="C20" s="189" t="e">
        <f t="shared" ca="1" si="0"/>
        <v>#REF!</v>
      </c>
      <c r="D20" s="190" t="e">
        <f ca="1">SUM(COUNTIFS(EDT!D$5:D$25,B20,EDT!F$5:F$25,"ACM"),COUNTIFS(EDT!G$5:G$25,B20,EDT!I$5:I$25,"ACM"),COUNTIFS(EDT!J$5:J$25,B20,EDT!L$5:L$25,"ACM"),COUNTIFS(EDT!M$5:M$25,B20,EDT!O$5:O$25,"ACM"),COUNTIFS(EDT!P$5:P$25,B20,EDT!R$5:R$25,"ACM"),COUNTIFS(EDT!D$43:D$60,B20,EDT!F$43:F$60,"ACM"),COUNTIFS(EDT!G$43:G$60,B20,EDT!I$43:I$60,"ACM"),COUNTIFS(EDT!J$43:J$60,B20,EDT!L$43:L$60,"ACM"),COUNTIFS(EDT!M$43:M$60,B20,EDT!O$43:O$60,"ACM"),COUNTIFS(EDT!P$43:P$60,B20,EDT!R$43:R$60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)*3
+SUM(COUNTIFS(EDT!D$33:D$42,B20,EDT!F$33:F$42,"ACM"),COUNTIFS(EDT!G$33:G$42,B20,EDT!I$33:I$42,"ACM"),COUNTIFS(EDT!J$33:J$42,B20,EDT!L$33:L$42,"ACM"),COUNTIFS(EDT!M$33:M$42,B20,EDT!O$33:O$42,"ACM"),COUNTIFS(EDT!P$33:P$42,B20,EDT!R$33:R$42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,COUNTIFS(#REF!,B20,#REF!,"ACM"))*2</f>
        <v>#REF!</v>
      </c>
      <c r="E20" s="190" t="e">
        <f ca="1">SUM(COUNTIFS(EDT!D$5:D$25,B20,EDT!F$5:F$25,"Répit"),COUNTIFS(EDT!G$5:G$25,B20,EDT!I$5:I$25,"Répit"),COUNTIFS(EDT!J$5:J$25,B20,EDT!L$5:L$25,"Répit"),COUNTIFS(EDT!M$5:M$25,B20,EDT!O$5:O$25,"Répit"),COUNTIFS(EDT!P$5:P$25,B20,EDT!R$5:R$25,"Répit"),COUNTIFS(EDT!D$43:D$60,B20,EDT!F$43:F$60,"Répit"),COUNTIFS(EDT!G$43:G$60,B20,EDT!I$43:I$60,"Répit"),COUNTIFS(EDT!J$43:J$60,B20,EDT!L$43:L$60,"Répit"),COUNTIFS(EDT!M$43:M$60,B20,EDT!O$43:O$60,"Répit"),COUNTIFS(EDT!P$43:P$60,B20,EDT!R$43:R$60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)*3
+SUM(COUNTIFS(EDT!D$33:D$42,B20,EDT!F$33:F$42,"Répit"),COUNTIFS(EDT!G$33:G$42,B20,EDT!I$33:I$42,"Répit"),COUNTIFS(EDT!J$33:J$42,B20,EDT!L$33:L$42,"Répit"),COUNTIFS(EDT!M$33:M$42,B20,EDT!O$33:O$42,"Répit"),COUNTIFS(EDT!P$33:P$42,B20,EDT!R$33:R$42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,COUNTIFS(#REF!,B20,#REF!,"Répit"))*2</f>
        <v>#REF!</v>
      </c>
      <c r="F20" s="191" t="e">
        <f t="shared" ca="1" si="1"/>
        <v>#REF!</v>
      </c>
      <c r="G20" s="185" t="e">
        <f ca="1">SUM(COUNTIFS(EDT!D$5:D$25,B20,EDT!E$5:E$25,"&gt;&lt;",EDT!F$5:F$25,"ACM"),COUNTIFS(EDT!G$5:G$25,B20,EDT!H$5:H$25,"&gt;&lt;",EDT!I$5:I$25,"ACM"),COUNTIFS(EDT!J$5:J$25,B20,EDT!K$5:K$25,"&gt;&lt;",EDT!L$5:L$25,"ACM"),COUNTIFS(EDT!M$5:M$25,B20,EDT!N$5:N$25,"&gt;&lt;",EDT!O$5:O$25,"ACM"),COUNTIFS(EDT!P$5:P$25,B20,EDT!Q$5:Q$25,"&gt;&lt;",EDT!R$5:R$25,"ACM"),COUNTIFS(EDT!D$43:D$60,B20,EDT!E$43:E$60,"&gt;&lt;",EDT!F$43:F$60,"ACM"),COUNTIFS(EDT!G$43:G$60,B20,EDT!H$43:H$60,"&gt;&lt;",EDT!I$43:I$60,"ACM"),COUNTIFS(EDT!J$43:J$60,B20,EDT!K$43:K$60,"&gt;&lt;",EDT!L$43:L$60,"ACM"),COUNTIFS(EDT!M$43:M$60,B20,EDT!N$43:N$60,"&gt;&lt;",EDT!O$43:O$60,"ACM"),COUNTIFS(EDT!P$43:P$60,B20,EDT!Q$43:Q$60,"&gt;&lt;",EDT!R$43:R$60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)*3
+SUM(COUNTIFS(EDT!D$33:D$42,B20,EDT!E$33:E$42,"&gt;&lt;",EDT!F$33:F$42,"ACM"),COUNTIFS(EDT!G$33:G$42,B20,EDT!H$33:H$42,"&gt;&lt;",EDT!I$33:I$42,"ACM"),COUNTIFS(EDT!J$33:J$42,B20,EDT!K$33:K$42,"&gt;&lt;",EDT!L$33:L$42,"ACM"),COUNTIFS(EDT!M$33:M$42,B20,EDT!N$33:N$42,"&gt;&lt;",EDT!O$33:O$42,"ACM"),COUNTIFS(EDT!P$33:P$42,B20,EDT!Q$33:Q$42,"&gt;&lt;",EDT!R$33:R$42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,COUNTIFS(#REF!,B20,#REF!,"&gt;&lt;",#REF!,"ACM"))*2</f>
        <v>#REF!</v>
      </c>
      <c r="H20" s="192" t="e">
        <f ca="1">SUM(COUNTIFS(EDT!D$5:D$25,B20,EDT!E$5:E$25,"&gt;&lt;",EDT!F$5:F$25,"Répit"),COUNTIFS(EDT!G$5:G$25,B20,EDT!H$5:H$25,"&gt;&lt;",EDT!I$5:I$25,"Répit"),COUNTIFS(EDT!J$5:J$25,B20,EDT!K$5:K$25,"&gt;&lt;",EDT!L$5:L$25,"Répit"),COUNTIFS(EDT!M$5:M$25,B20,EDT!N$5:N$25,"&gt;&lt;",EDT!O$5:O$25,"Répit"),COUNTIFS(EDT!P$5:P$25,B20,EDT!Q$5:Q$25,"&gt;&lt;",EDT!R$5:R$25,"Répit"),COUNTIFS(EDT!D$43:D$60,B20,EDT!E$43:E$60,"&gt;&lt;",EDT!F$43:F$60,"Répit"),COUNTIFS(EDT!G$43:G$60,B20,EDT!H$43:H$60,"&gt;&lt;",EDT!I$43:I$60,"Répit"),COUNTIFS(EDT!J$43:J$60,B20,EDT!K$43:K$60,"&gt;&lt;",EDT!L$43:L$60,"Répit"),COUNTIFS(EDT!M$43:M$60,B20,EDT!N$43:N$60,"&gt;&lt;",EDT!O$43:O$60,"Répit"),COUNTIFS(EDT!P$43:P$60,B20,EDT!Q$43:Q$60,"&gt;&lt;",EDT!R$43:R$60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)*3
+SUM(COUNTIFS(EDT!D$33:D$42,B20,EDT!E$33:E$42,"&gt;&lt;",EDT!F$33:F$42,"Répit"),COUNTIFS(EDT!G$33:G$42,B20,EDT!H$33:H$42,"&gt;&lt;",EDT!I$33:I$42,"Répit"),COUNTIFS(EDT!J$33:J$42,B20,EDT!K$33:K$42,"&gt;&lt;",EDT!L$33:L$42,"Répit"),COUNTIFS(EDT!M$33:M$42,B20,EDT!N$33:N$42,"&gt;&lt;",EDT!O$33:O$42,"Répit"),COUNTIFS(EDT!P$33:P$42,B20,EDT!Q$33:Q$42,"&gt;&lt;",EDT!R$33:R$42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,COUNTIFS(#REF!,B20,#REF!,"&gt;&lt;",#REF!,"Répit"))*2</f>
        <v>#REF!</v>
      </c>
      <c r="I20" s="193">
        <f ca="1">IFERROR(__xludf.DUMMYFUNCTION("""COMPUTED_VALUE"""),11.88)</f>
        <v>11.88</v>
      </c>
      <c r="J20" s="194" t="e">
        <f t="shared" ca="1" si="2"/>
        <v>#REF!</v>
      </c>
      <c r="K20" s="195" t="e">
        <f t="shared" ca="1" si="3"/>
        <v>#REF!</v>
      </c>
      <c r="L20" s="195" t="str">
        <f ca="1">IFERROR(__xludf.DUMMYFUNCTION("""COMPUTED_VALUE"""),"Mme MANSOURI
Myriam")</f>
        <v>Mme MANSOURI
Myriam</v>
      </c>
      <c r="M20" s="200" t="str">
        <f ca="1">IFERROR(__xludf.DUMMYFUNCTION("""COMPUTED_VALUE"""),"3 rue du Comte de monte Cristo 
47480 Pont du Casse")</f>
        <v>3 rue du Comte de monte Cristo 
47480 Pont du Casse</v>
      </c>
      <c r="N20" s="196">
        <v>18</v>
      </c>
      <c r="O20" s="198"/>
    </row>
    <row r="21" spans="1:15" ht="12.6">
      <c r="A21" s="199" t="str">
        <f ca="1">IFERROR(__xludf.DUMMYFUNCTION("""COMPUTED_VALUE"""),"TOLSAU")</f>
        <v>TOLSAU</v>
      </c>
      <c r="B21" s="188" t="str">
        <f ca="1">IFERROR(__xludf.DUMMYFUNCTION("""COMPUTED_VALUE"""),"Kévin")</f>
        <v>Kévin</v>
      </c>
      <c r="C21" s="189" t="e">
        <f t="shared" ca="1" si="0"/>
        <v>#REF!</v>
      </c>
      <c r="D21" s="190" t="e">
        <f ca="1">SUM(COUNTIFS(EDT!D$5:D$25,B21,EDT!F$5:F$25,"ACM"),COUNTIFS(EDT!G$5:G$25,B21,EDT!I$5:I$25,"ACM"),COUNTIFS(EDT!J$5:J$25,B21,EDT!L$5:L$25,"ACM"),COUNTIFS(EDT!M$5:M$25,B21,EDT!O$5:O$25,"ACM"),COUNTIFS(EDT!P$5:P$25,B21,EDT!R$5:R$25,"ACM"),COUNTIFS(EDT!D$43:D$60,B21,EDT!F$43:F$60,"ACM"),COUNTIFS(EDT!G$43:G$60,B21,EDT!I$43:I$60,"ACM"),COUNTIFS(EDT!J$43:J$60,B21,EDT!L$43:L$60,"ACM"),COUNTIFS(EDT!M$43:M$60,B21,EDT!O$43:O$60,"ACM"),COUNTIFS(EDT!P$43:P$60,B21,EDT!R$43:R$60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)*3
+SUM(COUNTIFS(EDT!D$33:D$42,B21,EDT!F$33:F$42,"ACM"),COUNTIFS(EDT!G$33:G$42,B21,EDT!I$33:I$42,"ACM"),COUNTIFS(EDT!J$33:J$42,B21,EDT!L$33:L$42,"ACM"),COUNTIFS(EDT!M$33:M$42,B21,EDT!O$33:O$42,"ACM"),COUNTIFS(EDT!P$33:P$42,B21,EDT!R$33:R$42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,COUNTIFS(#REF!,B21,#REF!,"ACM"))*2</f>
        <v>#REF!</v>
      </c>
      <c r="E21" s="190" t="e">
        <f ca="1">SUM(COUNTIFS(EDT!D$5:D$25,B21,EDT!F$5:F$25,"Répit"),COUNTIFS(EDT!G$5:G$25,B21,EDT!I$5:I$25,"Répit"),COUNTIFS(EDT!J$5:J$25,B21,EDT!L$5:L$25,"Répit"),COUNTIFS(EDT!M$5:M$25,B21,EDT!O$5:O$25,"Répit"),COUNTIFS(EDT!P$5:P$25,B21,EDT!R$5:R$25,"Répit"),COUNTIFS(EDT!D$43:D$60,B21,EDT!F$43:F$60,"Répit"),COUNTIFS(EDT!G$43:G$60,B21,EDT!I$43:I$60,"Répit"),COUNTIFS(EDT!J$43:J$60,B21,EDT!L$43:L$60,"Répit"),COUNTIFS(EDT!M$43:M$60,B21,EDT!O$43:O$60,"Répit"),COUNTIFS(EDT!P$43:P$60,B21,EDT!R$43:R$60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)*3
+SUM(COUNTIFS(EDT!D$33:D$42,B21,EDT!F$33:F$42,"Répit"),COUNTIFS(EDT!G$33:G$42,B21,EDT!I$33:I$42,"Répit"),COUNTIFS(EDT!J$33:J$42,B21,EDT!L$33:L$42,"Répit"),COUNTIFS(EDT!M$33:M$42,B21,EDT!O$33:O$42,"Répit"),COUNTIFS(EDT!P$33:P$42,B21,EDT!R$33:R$42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,COUNTIFS(#REF!,B21,#REF!,"Répit"))*2</f>
        <v>#REF!</v>
      </c>
      <c r="F21" s="191" t="e">
        <f t="shared" ca="1" si="1"/>
        <v>#REF!</v>
      </c>
      <c r="G21" s="185" t="e">
        <f ca="1">SUM(COUNTIFS(EDT!D$5:D$25,B21,EDT!E$5:E$25,"&gt;&lt;",EDT!F$5:F$25,"ACM"),COUNTIFS(EDT!G$5:G$25,B21,EDT!H$5:H$25,"&gt;&lt;",EDT!I$5:I$25,"ACM"),COUNTIFS(EDT!J$5:J$25,B21,EDT!K$5:K$25,"&gt;&lt;",EDT!L$5:L$25,"ACM"),COUNTIFS(EDT!M$5:M$25,B21,EDT!N$5:N$25,"&gt;&lt;",EDT!O$5:O$25,"ACM"),COUNTIFS(EDT!P$5:P$25,B21,EDT!Q$5:Q$25,"&gt;&lt;",EDT!R$5:R$25,"ACM"),COUNTIFS(EDT!D$43:D$60,B21,EDT!E$43:E$60,"&gt;&lt;",EDT!F$43:F$60,"ACM"),COUNTIFS(EDT!G$43:G$60,B21,EDT!H$43:H$60,"&gt;&lt;",EDT!I$43:I$60,"ACM"),COUNTIFS(EDT!J$43:J$60,B21,EDT!K$43:K$60,"&gt;&lt;",EDT!L$43:L$60,"ACM"),COUNTIFS(EDT!M$43:M$60,B21,EDT!N$43:N$60,"&gt;&lt;",EDT!O$43:O$60,"ACM"),COUNTIFS(EDT!P$43:P$60,B21,EDT!Q$43:Q$60,"&gt;&lt;",EDT!R$43:R$60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)*3
+SUM(COUNTIFS(EDT!D$33:D$42,B21,EDT!E$33:E$42,"&gt;&lt;",EDT!F$33:F$42,"ACM"),COUNTIFS(EDT!G$33:G$42,B21,EDT!H$33:H$42,"&gt;&lt;",EDT!I$33:I$42,"ACM"),COUNTIFS(EDT!J$33:J$42,B21,EDT!K$33:K$42,"&gt;&lt;",EDT!L$33:L$42,"ACM"),COUNTIFS(EDT!M$33:M$42,B21,EDT!N$33:N$42,"&gt;&lt;",EDT!O$33:O$42,"ACM"),COUNTIFS(EDT!P$33:P$42,B21,EDT!Q$33:Q$42,"&gt;&lt;",EDT!R$33:R$42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,COUNTIFS(#REF!,B21,#REF!,"&gt;&lt;",#REF!,"ACM"))*2</f>
        <v>#REF!</v>
      </c>
      <c r="H21" s="192" t="e">
        <f ca="1">SUM(COUNTIFS(EDT!D$5:D$25,B21,EDT!E$5:E$25,"&gt;&lt;",EDT!F$5:F$25,"Répit"),COUNTIFS(EDT!G$5:G$25,B21,EDT!H$5:H$25,"&gt;&lt;",EDT!I$5:I$25,"Répit"),COUNTIFS(EDT!J$5:J$25,B21,EDT!K$5:K$25,"&gt;&lt;",EDT!L$5:L$25,"Répit"),COUNTIFS(EDT!M$5:M$25,B21,EDT!N$5:N$25,"&gt;&lt;",EDT!O$5:O$25,"Répit"),COUNTIFS(EDT!P$5:P$25,B21,EDT!Q$5:Q$25,"&gt;&lt;",EDT!R$5:R$25,"Répit"),COUNTIFS(EDT!D$43:D$60,B21,EDT!E$43:E$60,"&gt;&lt;",EDT!F$43:F$60,"Répit"),COUNTIFS(EDT!G$43:G$60,B21,EDT!H$43:H$60,"&gt;&lt;",EDT!I$43:I$60,"Répit"),COUNTIFS(EDT!J$43:J$60,B21,EDT!K$43:K$60,"&gt;&lt;",EDT!L$43:L$60,"Répit"),COUNTIFS(EDT!M$43:M$60,B21,EDT!N$43:N$60,"&gt;&lt;",EDT!O$43:O$60,"Répit"),COUNTIFS(EDT!P$43:P$60,B21,EDT!Q$43:Q$60,"&gt;&lt;",EDT!R$43:R$60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)*3
+SUM(COUNTIFS(EDT!D$33:D$42,B21,EDT!E$33:E$42,"&gt;&lt;",EDT!F$33:F$42,"Répit"),COUNTIFS(EDT!G$33:G$42,B21,EDT!H$33:H$42,"&gt;&lt;",EDT!I$33:I$42,"Répit"),COUNTIFS(EDT!J$33:J$42,B21,EDT!K$33:K$42,"&gt;&lt;",EDT!L$33:L$42,"Répit"),COUNTIFS(EDT!M$33:M$42,B21,EDT!N$33:N$42,"&gt;&lt;",EDT!O$33:O$42,"Répit"),COUNTIFS(EDT!P$33:P$42,B21,EDT!Q$33:Q$42,"&gt;&lt;",EDT!R$33:R$42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,COUNTIFS(#REF!,B21,#REF!,"&gt;&lt;",#REF!,"Répit"))*2</f>
        <v>#REF!</v>
      </c>
      <c r="I21" s="193">
        <f ca="1">IFERROR(__xludf.DUMMYFUNCTION("""COMPUTED_VALUE"""),11.88)</f>
        <v>11.88</v>
      </c>
      <c r="J21" s="194" t="e">
        <f t="shared" ca="1" si="2"/>
        <v>#REF!</v>
      </c>
      <c r="K21" s="195" t="e">
        <f t="shared" ca="1" si="3"/>
        <v>#REF!</v>
      </c>
      <c r="L21" s="195" t="str">
        <f ca="1">IFERROR(__xludf.DUMMYFUNCTION("""COMPUTED_VALUE"""),"Mr TOLSAU Kévin ")</f>
        <v xml:space="preserve">Mr TOLSAU Kévin </v>
      </c>
      <c r="M21" s="200" t="str">
        <f ca="1">IFERROR(__xludf.DUMMYFUNCTION("""COMPUTED_VALUE"""),"lieu dit quinquonces 
2572 route de l'église d'Allez 
47110 Allez et Cazeneuve")</f>
        <v>lieu dit quinquonces 
2572 route de l'église d'Allez 
47110 Allez et Cazeneuve</v>
      </c>
      <c r="N21" s="196">
        <v>19</v>
      </c>
      <c r="O21" s="198"/>
    </row>
    <row r="22" spans="1:15" ht="12.6">
      <c r="A22" s="199" t="str">
        <f ca="1">IFERROR(__xludf.DUMMYFUNCTION("""COMPUTED_VALUE"""),"BOUREAU")</f>
        <v>BOUREAU</v>
      </c>
      <c r="B22" s="188" t="str">
        <f ca="1">IFERROR(__xludf.DUMMYFUNCTION("""COMPUTED_VALUE"""),"Killian")</f>
        <v>Killian</v>
      </c>
      <c r="C22" s="189" t="e">
        <f t="shared" ca="1" si="0"/>
        <v>#REF!</v>
      </c>
      <c r="D22" s="190" t="e">
        <f ca="1">SUM(COUNTIFS(EDT!D$5:D$25,B22,EDT!F$5:F$25,"ACM"),COUNTIFS(EDT!G$5:G$25,B22,EDT!I$5:I$25,"ACM"),COUNTIFS(EDT!J$5:J$25,B22,EDT!L$5:L$25,"ACM"),COUNTIFS(EDT!M$5:M$25,B22,EDT!O$5:O$25,"ACM"),COUNTIFS(EDT!P$5:P$25,B22,EDT!R$5:R$25,"ACM"),COUNTIFS(EDT!D$43:D$60,B22,EDT!F$43:F$60,"ACM"),COUNTIFS(EDT!G$43:G$60,B22,EDT!I$43:I$60,"ACM"),COUNTIFS(EDT!J$43:J$60,B22,EDT!L$43:L$60,"ACM"),COUNTIFS(EDT!M$43:M$60,B22,EDT!O$43:O$60,"ACM"),COUNTIFS(EDT!P$43:P$60,B22,EDT!R$43:R$60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)*3
+SUM(COUNTIFS(EDT!D$33:D$42,B22,EDT!F$33:F$42,"ACM"),COUNTIFS(EDT!G$33:G$42,B22,EDT!I$33:I$42,"ACM"),COUNTIFS(EDT!J$33:J$42,B22,EDT!L$33:L$42,"ACM"),COUNTIFS(EDT!M$33:M$42,B22,EDT!O$33:O$42,"ACM"),COUNTIFS(EDT!P$33:P$42,B22,EDT!R$33:R$42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,COUNTIFS(#REF!,B22,#REF!,"ACM"))*2</f>
        <v>#REF!</v>
      </c>
      <c r="E22" s="190" t="e">
        <f ca="1">SUM(COUNTIFS(EDT!D$5:D$25,B22,EDT!F$5:F$25,"Répit"),COUNTIFS(EDT!G$5:G$25,B22,EDT!I$5:I$25,"Répit"),COUNTIFS(EDT!J$5:J$25,B22,EDT!L$5:L$25,"Répit"),COUNTIFS(EDT!M$5:M$25,B22,EDT!O$5:O$25,"Répit"),COUNTIFS(EDT!P$5:P$25,B22,EDT!R$5:R$25,"Répit"),COUNTIFS(EDT!D$43:D$60,B22,EDT!F$43:F$60,"Répit"),COUNTIFS(EDT!G$43:G$60,B22,EDT!I$43:I$60,"Répit"),COUNTIFS(EDT!J$43:J$60,B22,EDT!L$43:L$60,"Répit"),COUNTIFS(EDT!M$43:M$60,B22,EDT!O$43:O$60,"Répit"),COUNTIFS(EDT!P$43:P$60,B22,EDT!R$43:R$60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)*3
+SUM(COUNTIFS(EDT!D$33:D$42,B22,EDT!F$33:F$42,"Répit"),COUNTIFS(EDT!G$33:G$42,B22,EDT!I$33:I$42,"Répit"),COUNTIFS(EDT!J$33:J$42,B22,EDT!L$33:L$42,"Répit"),COUNTIFS(EDT!M$33:M$42,B22,EDT!O$33:O$42,"Répit"),COUNTIFS(EDT!P$33:P$42,B22,EDT!R$33:R$42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,COUNTIFS(#REF!,B22,#REF!,"Répit"))*2</f>
        <v>#REF!</v>
      </c>
      <c r="F22" s="191" t="e">
        <f t="shared" ca="1" si="1"/>
        <v>#REF!</v>
      </c>
      <c r="G22" s="185" t="e">
        <f ca="1">SUM(COUNTIFS(EDT!D$5:D$25,B22,EDT!E$5:E$25,"&gt;&lt;",EDT!F$5:F$25,"ACM"),COUNTIFS(EDT!G$5:G$25,B22,EDT!H$5:H$25,"&gt;&lt;",EDT!I$5:I$25,"ACM"),COUNTIFS(EDT!J$5:J$25,B22,EDT!K$5:K$25,"&gt;&lt;",EDT!L$5:L$25,"ACM"),COUNTIFS(EDT!M$5:M$25,B22,EDT!N$5:N$25,"&gt;&lt;",EDT!O$5:O$25,"ACM"),COUNTIFS(EDT!P$5:P$25,B22,EDT!Q$5:Q$25,"&gt;&lt;",EDT!R$5:R$25,"ACM"),COUNTIFS(EDT!D$43:D$60,B22,EDT!E$43:E$60,"&gt;&lt;",EDT!F$43:F$60,"ACM"),COUNTIFS(EDT!G$43:G$60,B22,EDT!H$43:H$60,"&gt;&lt;",EDT!I$43:I$60,"ACM"),COUNTIFS(EDT!J$43:J$60,B22,EDT!K$43:K$60,"&gt;&lt;",EDT!L$43:L$60,"ACM"),COUNTIFS(EDT!M$43:M$60,B22,EDT!N$43:N$60,"&gt;&lt;",EDT!O$43:O$60,"ACM"),COUNTIFS(EDT!P$43:P$60,B22,EDT!Q$43:Q$60,"&gt;&lt;",EDT!R$43:R$60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)*3
+SUM(COUNTIFS(EDT!D$33:D$42,B22,EDT!E$33:E$42,"&gt;&lt;",EDT!F$33:F$42,"ACM"),COUNTIFS(EDT!G$33:G$42,B22,EDT!H$33:H$42,"&gt;&lt;",EDT!I$33:I$42,"ACM"),COUNTIFS(EDT!J$33:J$42,B22,EDT!K$33:K$42,"&gt;&lt;",EDT!L$33:L$42,"ACM"),COUNTIFS(EDT!M$33:M$42,B22,EDT!N$33:N$42,"&gt;&lt;",EDT!O$33:O$42,"ACM"),COUNTIFS(EDT!P$33:P$42,B22,EDT!Q$33:Q$42,"&gt;&lt;",EDT!R$33:R$42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,COUNTIFS(#REF!,B22,#REF!,"&gt;&lt;",#REF!,"ACM"))*2</f>
        <v>#REF!</v>
      </c>
      <c r="H22" s="192" t="e">
        <f ca="1">SUM(COUNTIFS(EDT!D$5:D$25,B22,EDT!E$5:E$25,"&gt;&lt;",EDT!F$5:F$25,"Répit"),COUNTIFS(EDT!G$5:G$25,B22,EDT!H$5:H$25,"&gt;&lt;",EDT!I$5:I$25,"Répit"),COUNTIFS(EDT!J$5:J$25,B22,EDT!K$5:K$25,"&gt;&lt;",EDT!L$5:L$25,"Répit"),COUNTIFS(EDT!M$5:M$25,B22,EDT!N$5:N$25,"&gt;&lt;",EDT!O$5:O$25,"Répit"),COUNTIFS(EDT!P$5:P$25,B22,EDT!Q$5:Q$25,"&gt;&lt;",EDT!R$5:R$25,"Répit"),COUNTIFS(EDT!D$43:D$60,B22,EDT!E$43:E$60,"&gt;&lt;",EDT!F$43:F$60,"Répit"),COUNTIFS(EDT!G$43:G$60,B22,EDT!H$43:H$60,"&gt;&lt;",EDT!I$43:I$60,"Répit"),COUNTIFS(EDT!J$43:J$60,B22,EDT!K$43:K$60,"&gt;&lt;",EDT!L$43:L$60,"Répit"),COUNTIFS(EDT!M$43:M$60,B22,EDT!N$43:N$60,"&gt;&lt;",EDT!O$43:O$60,"Répit"),COUNTIFS(EDT!P$43:P$60,B22,EDT!Q$43:Q$60,"&gt;&lt;",EDT!R$43:R$60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)*3
+SUM(COUNTIFS(EDT!D$33:D$42,B22,EDT!E$33:E$42,"&gt;&lt;",EDT!F$33:F$42,"Répit"),COUNTIFS(EDT!G$33:G$42,B22,EDT!H$33:H$42,"&gt;&lt;",EDT!I$33:I$42,"Répit"),COUNTIFS(EDT!J$33:J$42,B22,EDT!K$33:K$42,"&gt;&lt;",EDT!L$33:L$42,"Répit"),COUNTIFS(EDT!M$33:M$42,B22,EDT!N$33:N$42,"&gt;&lt;",EDT!O$33:O$42,"Répit"),COUNTIFS(EDT!P$33:P$42,B22,EDT!Q$33:Q$42,"&gt;&lt;",EDT!R$33:R$42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,COUNTIFS(#REF!,B22,#REF!,"&gt;&lt;",#REF!,"Répit"))*2</f>
        <v>#REF!</v>
      </c>
      <c r="I22" s="193">
        <f ca="1">IFERROR(__xludf.DUMMYFUNCTION("""COMPUTED_VALUE"""),11.88)</f>
        <v>11.88</v>
      </c>
      <c r="J22" s="194" t="e">
        <f t="shared" ca="1" si="2"/>
        <v>#REF!</v>
      </c>
      <c r="K22" s="195" t="e">
        <f t="shared" ca="1" si="3"/>
        <v>#REF!</v>
      </c>
      <c r="L22" s="195" t="str">
        <f ca="1">IFERROR(__xludf.DUMMYFUNCTION("""COMPUTED_VALUE"""),"Mme Bourriez Mansencal Séverine")</f>
        <v>Mme Bourriez Mansencal Séverine</v>
      </c>
      <c r="M22" s="200" t="str">
        <f ca="1">IFERROR(__xludf.DUMMYFUNCTION("""COMPUTED_VALUE"""),"17 E rue Bajon 
Bat 1 Porte 2
47000 Agen ")</f>
        <v xml:space="preserve">17 E rue Bajon 
Bat 1 Porte 2
47000 Agen </v>
      </c>
      <c r="N22" s="196">
        <v>20</v>
      </c>
      <c r="O22" s="198"/>
    </row>
    <row r="23" spans="1:15" ht="12.6">
      <c r="A23" s="199" t="str">
        <f ca="1">IFERROR(__xludf.DUMMYFUNCTION("""COMPUTED_VALUE"""),"LAFONTAINE")</f>
        <v>LAFONTAINE</v>
      </c>
      <c r="B23" s="188" t="str">
        <f ca="1">IFERROR(__xludf.DUMMYFUNCTION("""COMPUTED_VALUE"""),"Lucas F.")</f>
        <v>Lucas F.</v>
      </c>
      <c r="C23" s="189" t="e">
        <f t="shared" ca="1" si="0"/>
        <v>#REF!</v>
      </c>
      <c r="D23" s="190" t="e">
        <f ca="1">SUM(COUNTIFS(EDT!D$5:D$25,B23,EDT!F$5:F$25,"ACM"),COUNTIFS(EDT!G$5:G$25,B23,EDT!I$5:I$25,"ACM"),COUNTIFS(EDT!J$5:J$25,B23,EDT!L$5:L$25,"ACM"),COUNTIFS(EDT!M$5:M$25,B23,EDT!O$5:O$25,"ACM"),COUNTIFS(EDT!P$5:P$25,B23,EDT!R$5:R$25,"ACM"),COUNTIFS(EDT!D$43:D$60,B23,EDT!F$43:F$60,"ACM"),COUNTIFS(EDT!G$43:G$60,B23,EDT!I$43:I$60,"ACM"),COUNTIFS(EDT!J$43:J$60,B23,EDT!L$43:L$60,"ACM"),COUNTIFS(EDT!M$43:M$60,B23,EDT!O$43:O$60,"ACM"),COUNTIFS(EDT!P$43:P$60,B23,EDT!R$43:R$60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)*3
+SUM(COUNTIFS(EDT!D$33:D$42,B23,EDT!F$33:F$42,"ACM"),COUNTIFS(EDT!G$33:G$42,B23,EDT!I$33:I$42,"ACM"),COUNTIFS(EDT!J$33:J$42,B23,EDT!L$33:L$42,"ACM"),COUNTIFS(EDT!M$33:M$42,B23,EDT!O$33:O$42,"ACM"),COUNTIFS(EDT!P$33:P$42,B23,EDT!R$33:R$42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,COUNTIFS(#REF!,B23,#REF!,"ACM"))*2</f>
        <v>#REF!</v>
      </c>
      <c r="E23" s="190" t="e">
        <f ca="1">SUM(COUNTIFS(EDT!D$5:D$25,B23,EDT!F$5:F$25,"Répit"),COUNTIFS(EDT!G$5:G$25,B23,EDT!I$5:I$25,"Répit"),COUNTIFS(EDT!J$5:J$25,B23,EDT!L$5:L$25,"Répit"),COUNTIFS(EDT!M$5:M$25,B23,EDT!O$5:O$25,"Répit"),COUNTIFS(EDT!P$5:P$25,B23,EDT!R$5:R$25,"Répit"),COUNTIFS(EDT!D$43:D$60,B23,EDT!F$43:F$60,"Répit"),COUNTIFS(EDT!G$43:G$60,B23,EDT!I$43:I$60,"Répit"),COUNTIFS(EDT!J$43:J$60,B23,EDT!L$43:L$60,"Répit"),COUNTIFS(EDT!M$43:M$60,B23,EDT!O$43:O$60,"Répit"),COUNTIFS(EDT!P$43:P$60,B23,EDT!R$43:R$60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)*3
+SUM(COUNTIFS(EDT!D$33:D$42,B23,EDT!F$33:F$42,"Répit"),COUNTIFS(EDT!G$33:G$42,B23,EDT!I$33:I$42,"Répit"),COUNTIFS(EDT!J$33:J$42,B23,EDT!L$33:L$42,"Répit"),COUNTIFS(EDT!M$33:M$42,B23,EDT!O$33:O$42,"Répit"),COUNTIFS(EDT!P$33:P$42,B23,EDT!R$33:R$42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,COUNTIFS(#REF!,B23,#REF!,"Répit"))*2</f>
        <v>#REF!</v>
      </c>
      <c r="F23" s="191" t="e">
        <f t="shared" ca="1" si="1"/>
        <v>#REF!</v>
      </c>
      <c r="G23" s="185" t="e">
        <f ca="1">SUM(COUNTIFS(EDT!D$5:D$25,B23,EDT!E$5:E$25,"&gt;&lt;",EDT!F$5:F$25,"ACM"),COUNTIFS(EDT!G$5:G$25,B23,EDT!H$5:H$25,"&gt;&lt;",EDT!I$5:I$25,"ACM"),COUNTIFS(EDT!J$5:J$25,B23,EDT!K$5:K$25,"&gt;&lt;",EDT!L$5:L$25,"ACM"),COUNTIFS(EDT!M$5:M$25,B23,EDT!N$5:N$25,"&gt;&lt;",EDT!O$5:O$25,"ACM"),COUNTIFS(EDT!P$5:P$25,B23,EDT!Q$5:Q$25,"&gt;&lt;",EDT!R$5:R$25,"ACM"),COUNTIFS(EDT!D$43:D$60,B23,EDT!E$43:E$60,"&gt;&lt;",EDT!F$43:F$60,"ACM"),COUNTIFS(EDT!G$43:G$60,B23,EDT!H$43:H$60,"&gt;&lt;",EDT!I$43:I$60,"ACM"),COUNTIFS(EDT!J$43:J$60,B23,EDT!K$43:K$60,"&gt;&lt;",EDT!L$43:L$60,"ACM"),COUNTIFS(EDT!M$43:M$60,B23,EDT!N$43:N$60,"&gt;&lt;",EDT!O$43:O$60,"ACM"),COUNTIFS(EDT!P$43:P$60,B23,EDT!Q$43:Q$60,"&gt;&lt;",EDT!R$43:R$60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)*3
+SUM(COUNTIFS(EDT!D$33:D$42,B23,EDT!E$33:E$42,"&gt;&lt;",EDT!F$33:F$42,"ACM"),COUNTIFS(EDT!G$33:G$42,B23,EDT!H$33:H$42,"&gt;&lt;",EDT!I$33:I$42,"ACM"),COUNTIFS(EDT!J$33:J$42,B23,EDT!K$33:K$42,"&gt;&lt;",EDT!L$33:L$42,"ACM"),COUNTIFS(EDT!M$33:M$42,B23,EDT!N$33:N$42,"&gt;&lt;",EDT!O$33:O$42,"ACM"),COUNTIFS(EDT!P$33:P$42,B23,EDT!Q$33:Q$42,"&gt;&lt;",EDT!R$33:R$42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,COUNTIFS(#REF!,B23,#REF!,"&gt;&lt;",#REF!,"ACM"))*2</f>
        <v>#REF!</v>
      </c>
      <c r="H23" s="192" t="e">
        <f ca="1">SUM(COUNTIFS(EDT!D$5:D$25,B23,EDT!E$5:E$25,"&gt;&lt;",EDT!F$5:F$25,"Répit"),COUNTIFS(EDT!G$5:G$25,B23,EDT!H$5:H$25,"&gt;&lt;",EDT!I$5:I$25,"Répit"),COUNTIFS(EDT!J$5:J$25,B23,EDT!K$5:K$25,"&gt;&lt;",EDT!L$5:L$25,"Répit"),COUNTIFS(EDT!M$5:M$25,B23,EDT!N$5:N$25,"&gt;&lt;",EDT!O$5:O$25,"Répit"),COUNTIFS(EDT!P$5:P$25,B23,EDT!Q$5:Q$25,"&gt;&lt;",EDT!R$5:R$25,"Répit"),COUNTIFS(EDT!D$43:D$60,B23,EDT!E$43:E$60,"&gt;&lt;",EDT!F$43:F$60,"Répit"),COUNTIFS(EDT!G$43:G$60,B23,EDT!H$43:H$60,"&gt;&lt;",EDT!I$43:I$60,"Répit"),COUNTIFS(EDT!J$43:J$60,B23,EDT!K$43:K$60,"&gt;&lt;",EDT!L$43:L$60,"Répit"),COUNTIFS(EDT!M$43:M$60,B23,EDT!N$43:N$60,"&gt;&lt;",EDT!O$43:O$60,"Répit"),COUNTIFS(EDT!P$43:P$60,B23,EDT!Q$43:Q$60,"&gt;&lt;",EDT!R$43:R$60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)*3
+SUM(COUNTIFS(EDT!D$33:D$42,B23,EDT!E$33:E$42,"&gt;&lt;",EDT!F$33:F$42,"Répit"),COUNTIFS(EDT!G$33:G$42,B23,EDT!H$33:H$42,"&gt;&lt;",EDT!I$33:I$42,"Répit"),COUNTIFS(EDT!J$33:J$42,B23,EDT!K$33:K$42,"&gt;&lt;",EDT!L$33:L$42,"Répit"),COUNTIFS(EDT!M$33:M$42,B23,EDT!N$33:N$42,"&gt;&lt;",EDT!O$33:O$42,"Répit"),COUNTIFS(EDT!P$33:P$42,B23,EDT!Q$33:Q$42,"&gt;&lt;",EDT!R$33:R$42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,COUNTIFS(#REF!,B23,#REF!,"&gt;&lt;",#REF!,"Répit"))*2</f>
        <v>#REF!</v>
      </c>
      <c r="I23" s="193">
        <f ca="1">IFERROR(__xludf.DUMMYFUNCTION("""COMPUTED_VALUE"""),11.88)</f>
        <v>11.88</v>
      </c>
      <c r="J23" s="194" t="e">
        <f t="shared" ca="1" si="2"/>
        <v>#REF!</v>
      </c>
      <c r="K23" s="195" t="e">
        <f t="shared" ca="1" si="3"/>
        <v>#REF!</v>
      </c>
      <c r="L23" s="195" t="str">
        <f ca="1">IFERROR(__xludf.DUMMYFUNCTION("""COMPUTED_VALUE"""),"Mme GOURGUES Nelly")</f>
        <v>Mme GOURGUES Nelly</v>
      </c>
      <c r="M23" s="200" t="str">
        <f ca="1">IFERROR(__xludf.DUMMYFUNCTION("""COMPUTED_VALUE"""),"6 B impasse la goulfie 
Appartement A1 
47000 Agen ")</f>
        <v xml:space="preserve">6 B impasse la goulfie 
Appartement A1 
47000 Agen </v>
      </c>
      <c r="N23" s="196">
        <v>21</v>
      </c>
      <c r="O23" s="198"/>
    </row>
    <row r="24" spans="1:15" ht="12.6">
      <c r="A24" s="199" t="str">
        <f ca="1">IFERROR(__xludf.DUMMYFUNCTION("""COMPUTED_VALUE"""),"DEMEULENAERE")</f>
        <v>DEMEULENAERE</v>
      </c>
      <c r="B24" s="188" t="str">
        <f ca="1">IFERROR(__xludf.DUMMYFUNCTION("""COMPUTED_VALUE"""),"Lucas D.")</f>
        <v>Lucas D.</v>
      </c>
      <c r="C24" s="189" t="e">
        <f t="shared" ca="1" si="0"/>
        <v>#REF!</v>
      </c>
      <c r="D24" s="190" t="e">
        <f ca="1">SUM(COUNTIFS(EDT!D$5:D$25,B24,EDT!F$5:F$25,"ACM"),COUNTIFS(EDT!G$5:G$25,B24,EDT!I$5:I$25,"ACM"),COUNTIFS(EDT!J$5:J$25,B24,EDT!L$5:L$25,"ACM"),COUNTIFS(EDT!M$5:M$25,B24,EDT!O$5:O$25,"ACM"),COUNTIFS(EDT!P$5:P$25,B24,EDT!R$5:R$25,"ACM"),COUNTIFS(EDT!D$43:D$60,B24,EDT!F$43:F$60,"ACM"),COUNTIFS(EDT!G$43:G$60,B24,EDT!I$43:I$60,"ACM"),COUNTIFS(EDT!J$43:J$60,B24,EDT!L$43:L$60,"ACM"),COUNTIFS(EDT!M$43:M$60,B24,EDT!O$43:O$60,"ACM"),COUNTIFS(EDT!P$43:P$60,B24,EDT!R$43:R$60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)*3
+SUM(COUNTIFS(EDT!D$33:D$42,B24,EDT!F$33:F$42,"ACM"),COUNTIFS(EDT!G$33:G$42,B24,EDT!I$33:I$42,"ACM"),COUNTIFS(EDT!J$33:J$42,B24,EDT!L$33:L$42,"ACM"),COUNTIFS(EDT!M$33:M$42,B24,EDT!O$33:O$42,"ACM"),COUNTIFS(EDT!P$33:P$42,B24,EDT!R$33:R$42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,COUNTIFS(#REF!,B24,#REF!,"ACM"))*2</f>
        <v>#REF!</v>
      </c>
      <c r="E24" s="190" t="e">
        <f ca="1">SUM(COUNTIFS(EDT!D$5:D$25,B24,EDT!F$5:F$25,"Répit"),COUNTIFS(EDT!G$5:G$25,B24,EDT!I$5:I$25,"Répit"),COUNTIFS(EDT!J$5:J$25,B24,EDT!L$5:L$25,"Répit"),COUNTIFS(EDT!M$5:M$25,B24,EDT!O$5:O$25,"Répit"),COUNTIFS(EDT!P$5:P$25,B24,EDT!R$5:R$25,"Répit"),COUNTIFS(EDT!D$43:D$60,B24,EDT!F$43:F$60,"Répit"),COUNTIFS(EDT!G$43:G$60,B24,EDT!I$43:I$60,"Répit"),COUNTIFS(EDT!J$43:J$60,B24,EDT!L$43:L$60,"Répit"),COUNTIFS(EDT!M$43:M$60,B24,EDT!O$43:O$60,"Répit"),COUNTIFS(EDT!P$43:P$60,B24,EDT!R$43:R$60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)*3
+SUM(COUNTIFS(EDT!D$33:D$42,B24,EDT!F$33:F$42,"Répit"),COUNTIFS(EDT!G$33:G$42,B24,EDT!I$33:I$42,"Répit"),COUNTIFS(EDT!J$33:J$42,B24,EDT!L$33:L$42,"Répit"),COUNTIFS(EDT!M$33:M$42,B24,EDT!O$33:O$42,"Répit"),COUNTIFS(EDT!P$33:P$42,B24,EDT!R$33:R$42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,COUNTIFS(#REF!,B24,#REF!,"Répit"))*2</f>
        <v>#REF!</v>
      </c>
      <c r="F24" s="191" t="e">
        <f t="shared" ca="1" si="1"/>
        <v>#REF!</v>
      </c>
      <c r="G24" s="185" t="e">
        <f ca="1">SUM(COUNTIFS(EDT!D$5:D$25,B24,EDT!E$5:E$25,"&gt;&lt;",EDT!F$5:F$25,"ACM"),COUNTIFS(EDT!G$5:G$25,B24,EDT!H$5:H$25,"&gt;&lt;",EDT!I$5:I$25,"ACM"),COUNTIFS(EDT!J$5:J$25,B24,EDT!K$5:K$25,"&gt;&lt;",EDT!L$5:L$25,"ACM"),COUNTIFS(EDT!M$5:M$25,B24,EDT!N$5:N$25,"&gt;&lt;",EDT!O$5:O$25,"ACM"),COUNTIFS(EDT!P$5:P$25,B24,EDT!Q$5:Q$25,"&gt;&lt;",EDT!R$5:R$25,"ACM"),COUNTIFS(EDT!D$43:D$60,B24,EDT!E$43:E$60,"&gt;&lt;",EDT!F$43:F$60,"ACM"),COUNTIFS(EDT!G$43:G$60,B24,EDT!H$43:H$60,"&gt;&lt;",EDT!I$43:I$60,"ACM"),COUNTIFS(EDT!J$43:J$60,B24,EDT!K$43:K$60,"&gt;&lt;",EDT!L$43:L$60,"ACM"),COUNTIFS(EDT!M$43:M$60,B24,EDT!N$43:N$60,"&gt;&lt;",EDT!O$43:O$60,"ACM"),COUNTIFS(EDT!P$43:P$60,B24,EDT!Q$43:Q$60,"&gt;&lt;",EDT!R$43:R$60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)*3
+SUM(COUNTIFS(EDT!D$33:D$42,B24,EDT!E$33:E$42,"&gt;&lt;",EDT!F$33:F$42,"ACM"),COUNTIFS(EDT!G$33:G$42,B24,EDT!H$33:H$42,"&gt;&lt;",EDT!I$33:I$42,"ACM"),COUNTIFS(EDT!J$33:J$42,B24,EDT!K$33:K$42,"&gt;&lt;",EDT!L$33:L$42,"ACM"),COUNTIFS(EDT!M$33:M$42,B24,EDT!N$33:N$42,"&gt;&lt;",EDT!O$33:O$42,"ACM"),COUNTIFS(EDT!P$33:P$42,B24,EDT!Q$33:Q$42,"&gt;&lt;",EDT!R$33:R$42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,COUNTIFS(#REF!,B24,#REF!,"&gt;&lt;",#REF!,"ACM"))*2</f>
        <v>#REF!</v>
      </c>
      <c r="H24" s="192" t="e">
        <f ca="1">SUM(COUNTIFS(EDT!D$5:D$25,B24,EDT!E$5:E$25,"&gt;&lt;",EDT!F$5:F$25,"Répit"),COUNTIFS(EDT!G$5:G$25,B24,EDT!H$5:H$25,"&gt;&lt;",EDT!I$5:I$25,"Répit"),COUNTIFS(EDT!J$5:J$25,B24,EDT!K$5:K$25,"&gt;&lt;",EDT!L$5:L$25,"Répit"),COUNTIFS(EDT!M$5:M$25,B24,EDT!N$5:N$25,"&gt;&lt;",EDT!O$5:O$25,"Répit"),COUNTIFS(EDT!P$5:P$25,B24,EDT!Q$5:Q$25,"&gt;&lt;",EDT!R$5:R$25,"Répit"),COUNTIFS(EDT!D$43:D$60,B24,EDT!E$43:E$60,"&gt;&lt;",EDT!F$43:F$60,"Répit"),COUNTIFS(EDT!G$43:G$60,B24,EDT!H$43:H$60,"&gt;&lt;",EDT!I$43:I$60,"Répit"),COUNTIFS(EDT!J$43:J$60,B24,EDT!K$43:K$60,"&gt;&lt;",EDT!L$43:L$60,"Répit"),COUNTIFS(EDT!M$43:M$60,B24,EDT!N$43:N$60,"&gt;&lt;",EDT!O$43:O$60,"Répit"),COUNTIFS(EDT!P$43:P$60,B24,EDT!Q$43:Q$60,"&gt;&lt;",EDT!R$43:R$60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)*3
+SUM(COUNTIFS(EDT!D$33:D$42,B24,EDT!E$33:E$42,"&gt;&lt;",EDT!F$33:F$42,"Répit"),COUNTIFS(EDT!G$33:G$42,B24,EDT!H$33:H$42,"&gt;&lt;",EDT!I$33:I$42,"Répit"),COUNTIFS(EDT!J$33:J$42,B24,EDT!K$33:K$42,"&gt;&lt;",EDT!L$33:L$42,"Répit"),COUNTIFS(EDT!M$33:M$42,B24,EDT!N$33:N$42,"&gt;&lt;",EDT!O$33:O$42,"Répit"),COUNTIFS(EDT!P$33:P$42,B24,EDT!Q$33:Q$42,"&gt;&lt;",EDT!R$33:R$42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,COUNTIFS(#REF!,B24,#REF!,"&gt;&lt;",#REF!,"Répit"))*2</f>
        <v>#REF!</v>
      </c>
      <c r="I24" s="201">
        <f ca="1">IFERROR(__xludf.DUMMYFUNCTION("""COMPUTED_VALUE"""),11.88)</f>
        <v>11.88</v>
      </c>
      <c r="J24" s="202" t="e">
        <f t="shared" ca="1" si="2"/>
        <v>#REF!</v>
      </c>
      <c r="K24" s="195" t="e">
        <f t="shared" ca="1" si="3"/>
        <v>#REF!</v>
      </c>
      <c r="L24" s="195"/>
      <c r="M24" s="200" t="str">
        <f ca="1">IFERROR(__xludf.DUMMYFUNCTION("""COMPUTED_VALUE"""),"290 rue Gilbert Sartolou
Caudecoste ")</f>
        <v xml:space="preserve">290 rue Gilbert Sartolou
Caudecoste </v>
      </c>
      <c r="N24" s="196">
        <v>22</v>
      </c>
      <c r="O24" s="198"/>
    </row>
    <row r="25" spans="1:15" ht="12.6">
      <c r="A25" s="199" t="str">
        <f ca="1">IFERROR(__xludf.DUMMYFUNCTION("""COMPUTED_VALUE"""),"PRADERE ")</f>
        <v xml:space="preserve">PRADERE </v>
      </c>
      <c r="B25" s="188" t="str">
        <f ca="1">IFERROR(__xludf.DUMMYFUNCTION("""COMPUTED_VALUE"""),"Marie")</f>
        <v>Marie</v>
      </c>
      <c r="C25" s="189" t="e">
        <f t="shared" ca="1" si="0"/>
        <v>#REF!</v>
      </c>
      <c r="D25" s="190" t="e">
        <f ca="1">SUM(COUNTIFS(EDT!D$5:D$25,B25,EDT!F$5:F$25,"ACM"),COUNTIFS(EDT!G$5:G$25,B25,EDT!I$5:I$25,"ACM"),COUNTIFS(EDT!J$5:J$25,B25,EDT!L$5:L$25,"ACM"),COUNTIFS(EDT!M$5:M$25,B25,EDT!O$5:O$25,"ACM"),COUNTIFS(EDT!P$5:P$25,B25,EDT!R$5:R$25,"ACM"),COUNTIFS(EDT!D$43:D$60,B25,EDT!F$43:F$60,"ACM"),COUNTIFS(EDT!G$43:G$60,B25,EDT!I$43:I$60,"ACM"),COUNTIFS(EDT!J$43:J$60,B25,EDT!L$43:L$60,"ACM"),COUNTIFS(EDT!M$43:M$60,B25,EDT!O$43:O$60,"ACM"),COUNTIFS(EDT!P$43:P$60,B25,EDT!R$43:R$60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)*3
+SUM(COUNTIFS(EDT!D$33:D$42,B25,EDT!F$33:F$42,"ACM"),COUNTIFS(EDT!G$33:G$42,B25,EDT!I$33:I$42,"ACM"),COUNTIFS(EDT!J$33:J$42,B25,EDT!L$33:L$42,"ACM"),COUNTIFS(EDT!M$33:M$42,B25,EDT!O$33:O$42,"ACM"),COUNTIFS(EDT!P$33:P$42,B25,EDT!R$33:R$42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,COUNTIFS(#REF!,B25,#REF!,"ACM"))*2</f>
        <v>#REF!</v>
      </c>
      <c r="E25" s="190" t="e">
        <f ca="1">SUM(COUNTIFS(EDT!D$5:D$25,B25,EDT!F$5:F$25,"Répit"),COUNTIFS(EDT!G$5:G$25,B25,EDT!I$5:I$25,"Répit"),COUNTIFS(EDT!J$5:J$25,B25,EDT!L$5:L$25,"Répit"),COUNTIFS(EDT!M$5:M$25,B25,EDT!O$5:O$25,"Répit"),COUNTIFS(EDT!P$5:P$25,B25,EDT!R$5:R$25,"Répit"),COUNTIFS(EDT!D$43:D$60,B25,EDT!F$43:F$60,"Répit"),COUNTIFS(EDT!G$43:G$60,B25,EDT!I$43:I$60,"Répit"),COUNTIFS(EDT!J$43:J$60,B25,EDT!L$43:L$60,"Répit"),COUNTIFS(EDT!M$43:M$60,B25,EDT!O$43:O$60,"Répit"),COUNTIFS(EDT!P$43:P$60,B25,EDT!R$43:R$60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)*3
+SUM(COUNTIFS(EDT!D$33:D$42,B25,EDT!F$33:F$42,"Répit"),COUNTIFS(EDT!G$33:G$42,B25,EDT!I$33:I$42,"Répit"),COUNTIFS(EDT!J$33:J$42,B25,EDT!L$33:L$42,"Répit"),COUNTIFS(EDT!M$33:M$42,B25,EDT!O$33:O$42,"Répit"),COUNTIFS(EDT!P$33:P$42,B25,EDT!R$33:R$42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,COUNTIFS(#REF!,B25,#REF!,"Répit"))*2</f>
        <v>#REF!</v>
      </c>
      <c r="F25" s="191" t="e">
        <f t="shared" ca="1" si="1"/>
        <v>#REF!</v>
      </c>
      <c r="G25" s="185" t="e">
        <f ca="1">SUM(COUNTIFS(EDT!D$5:D$25,B25,EDT!E$5:E$25,"&gt;&lt;",EDT!F$5:F$25,"ACM"),COUNTIFS(EDT!G$5:G$25,B25,EDT!H$5:H$25,"&gt;&lt;",EDT!I$5:I$25,"ACM"),COUNTIFS(EDT!J$5:J$25,B25,EDT!K$5:K$25,"&gt;&lt;",EDT!L$5:L$25,"ACM"),COUNTIFS(EDT!M$5:M$25,B25,EDT!N$5:N$25,"&gt;&lt;",EDT!O$5:O$25,"ACM"),COUNTIFS(EDT!P$5:P$25,B25,EDT!Q$5:Q$25,"&gt;&lt;",EDT!R$5:R$25,"ACM"),COUNTIFS(EDT!D$43:D$60,B25,EDT!E$43:E$60,"&gt;&lt;",EDT!F$43:F$60,"ACM"),COUNTIFS(EDT!G$43:G$60,B25,EDT!H$43:H$60,"&gt;&lt;",EDT!I$43:I$60,"ACM"),COUNTIFS(EDT!J$43:J$60,B25,EDT!K$43:K$60,"&gt;&lt;",EDT!L$43:L$60,"ACM"),COUNTIFS(EDT!M$43:M$60,B25,EDT!N$43:N$60,"&gt;&lt;",EDT!O$43:O$60,"ACM"),COUNTIFS(EDT!P$43:P$60,B25,EDT!Q$43:Q$60,"&gt;&lt;",EDT!R$43:R$60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)*3
+SUM(COUNTIFS(EDT!D$33:D$42,B25,EDT!E$33:E$42,"&gt;&lt;",EDT!F$33:F$42,"ACM"),COUNTIFS(EDT!G$33:G$42,B25,EDT!H$33:H$42,"&gt;&lt;",EDT!I$33:I$42,"ACM"),COUNTIFS(EDT!J$33:J$42,B25,EDT!K$33:K$42,"&gt;&lt;",EDT!L$33:L$42,"ACM"),COUNTIFS(EDT!M$33:M$42,B25,EDT!N$33:N$42,"&gt;&lt;",EDT!O$33:O$42,"ACM"),COUNTIFS(EDT!P$33:P$42,B25,EDT!Q$33:Q$42,"&gt;&lt;",EDT!R$33:R$42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,COUNTIFS(#REF!,B25,#REF!,"&gt;&lt;",#REF!,"ACM"))*2</f>
        <v>#REF!</v>
      </c>
      <c r="H25" s="192">
        <v>12</v>
      </c>
      <c r="I25" s="193">
        <f ca="1">IFERROR(__xludf.DUMMYFUNCTION("""COMPUTED_VALUE"""),11.88)</f>
        <v>11.88</v>
      </c>
      <c r="J25" s="194">
        <f t="shared" ca="1" si="2"/>
        <v>142.56</v>
      </c>
      <c r="K25" s="195">
        <f t="shared" si="3"/>
        <v>1</v>
      </c>
      <c r="L25" s="195" t="str">
        <f ca="1">IFERROR(__xludf.DUMMYFUNCTION("""COMPUTED_VALUE"""),"Mme PRADERE Marie")</f>
        <v>Mme PRADERE Marie</v>
      </c>
      <c r="M25" s="200" t="str">
        <f ca="1">IFERROR(__xludf.DUMMYFUNCTION("""COMPUTED_VALUE"""),"54 rue Jules Romain
 47520 Le passage")</f>
        <v>54 rue Jules Romain
 47520 Le passage</v>
      </c>
      <c r="N25" s="196">
        <v>23</v>
      </c>
      <c r="O25" s="198"/>
    </row>
    <row r="26" spans="1:15" ht="12.6">
      <c r="A26" s="199" t="str">
        <f ca="1">IFERROR(__xludf.DUMMYFUNCTION("""COMPUTED_VALUE"""),"COCHARD")</f>
        <v>COCHARD</v>
      </c>
      <c r="B26" s="188" t="str">
        <f ca="1">IFERROR(__xludf.DUMMYFUNCTION("""COMPUTED_VALUE"""),"Mathilde C. M")</f>
        <v>Mathilde C. M</v>
      </c>
      <c r="C26" s="189" t="e">
        <f t="shared" ca="1" si="0"/>
        <v>#REF!</v>
      </c>
      <c r="D26" s="190" t="e">
        <f ca="1">SUM(COUNTIFS(EDT!D$5:D$25,B26,EDT!F$5:F$25,"ACM"),COUNTIFS(EDT!G$5:G$25,B26,EDT!I$5:I$25,"ACM"),COUNTIFS(EDT!J$5:J$25,B26,EDT!L$5:L$25,"ACM"),COUNTIFS(EDT!M$5:M$25,B26,EDT!O$5:O$25,"ACM"),COUNTIFS(EDT!P$5:P$25,B26,EDT!R$5:R$25,"ACM"),COUNTIFS(EDT!D$43:D$60,B26,EDT!F$43:F$60,"ACM"),COUNTIFS(EDT!G$43:G$60,B26,EDT!I$43:I$60,"ACM"),COUNTIFS(EDT!J$43:J$60,B26,EDT!L$43:L$60,"ACM"),COUNTIFS(EDT!M$43:M$60,B26,EDT!O$43:O$60,"ACM"),COUNTIFS(EDT!P$43:P$60,B26,EDT!R$43:R$60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)*3
+SUM(COUNTIFS(EDT!D$33:D$42,B26,EDT!F$33:F$42,"ACM"),COUNTIFS(EDT!G$33:G$42,B26,EDT!I$33:I$42,"ACM"),COUNTIFS(EDT!J$33:J$42,B26,EDT!L$33:L$42,"ACM"),COUNTIFS(EDT!M$33:M$42,B26,EDT!O$33:O$42,"ACM"),COUNTIFS(EDT!P$33:P$42,B26,EDT!R$33:R$42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,COUNTIFS(#REF!,B26,#REF!,"ACM"))*2</f>
        <v>#REF!</v>
      </c>
      <c r="E26" s="190" t="e">
        <f ca="1">SUM(COUNTIFS(EDT!D$5:D$25,B26,EDT!F$5:F$25,"Répit"),COUNTIFS(EDT!G$5:G$25,B26,EDT!I$5:I$25,"Répit"),COUNTIFS(EDT!J$5:J$25,B26,EDT!L$5:L$25,"Répit"),COUNTIFS(EDT!M$5:M$25,B26,EDT!O$5:O$25,"Répit"),COUNTIFS(EDT!P$5:P$25,B26,EDT!R$5:R$25,"Répit"),COUNTIFS(EDT!D$43:D$60,B26,EDT!F$43:F$60,"Répit"),COUNTIFS(EDT!G$43:G$60,B26,EDT!I$43:I$60,"Répit"),COUNTIFS(EDT!J$43:J$60,B26,EDT!L$43:L$60,"Répit"),COUNTIFS(EDT!M$43:M$60,B26,EDT!O$43:O$60,"Répit"),COUNTIFS(EDT!P$43:P$60,B26,EDT!R$43:R$60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)*3
+SUM(COUNTIFS(EDT!D$33:D$42,B26,EDT!F$33:F$42,"Répit"),COUNTIFS(EDT!G$33:G$42,B26,EDT!I$33:I$42,"Répit"),COUNTIFS(EDT!J$33:J$42,B26,EDT!L$33:L$42,"Répit"),COUNTIFS(EDT!M$33:M$42,B26,EDT!O$33:O$42,"Répit"),COUNTIFS(EDT!P$33:P$42,B26,EDT!R$33:R$42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,COUNTIFS(#REF!,B26,#REF!,"Répit"))*2</f>
        <v>#REF!</v>
      </c>
      <c r="F26" s="191" t="e">
        <f t="shared" ca="1" si="1"/>
        <v>#REF!</v>
      </c>
      <c r="G26" s="185" t="e">
        <f ca="1">SUM(COUNTIFS(EDT!D$5:D$25,B26,EDT!E$5:E$25,"&gt;&lt;",EDT!F$5:F$25,"ACM"),COUNTIFS(EDT!G$5:G$25,B26,EDT!H$5:H$25,"&gt;&lt;",EDT!I$5:I$25,"ACM"),COUNTIFS(EDT!J$5:J$25,B26,EDT!K$5:K$25,"&gt;&lt;",EDT!L$5:L$25,"ACM"),COUNTIFS(EDT!M$5:M$25,B26,EDT!N$5:N$25,"&gt;&lt;",EDT!O$5:O$25,"ACM"),COUNTIFS(EDT!P$5:P$25,B26,EDT!Q$5:Q$25,"&gt;&lt;",EDT!R$5:R$25,"ACM"),COUNTIFS(EDT!D$43:D$60,B26,EDT!E$43:E$60,"&gt;&lt;",EDT!F$43:F$60,"ACM"),COUNTIFS(EDT!G$43:G$60,B26,EDT!H$43:H$60,"&gt;&lt;",EDT!I$43:I$60,"ACM"),COUNTIFS(EDT!J$43:J$60,B26,EDT!K$43:K$60,"&gt;&lt;",EDT!L$43:L$60,"ACM"),COUNTIFS(EDT!M$43:M$60,B26,EDT!N$43:N$60,"&gt;&lt;",EDT!O$43:O$60,"ACM"),COUNTIFS(EDT!P$43:P$60,B26,EDT!Q$43:Q$60,"&gt;&lt;",EDT!R$43:R$60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)*3
+SUM(COUNTIFS(EDT!D$33:D$42,B26,EDT!E$33:E$42,"&gt;&lt;",EDT!F$33:F$42,"ACM"),COUNTIFS(EDT!G$33:G$42,B26,EDT!H$33:H$42,"&gt;&lt;",EDT!I$33:I$42,"ACM"),COUNTIFS(EDT!J$33:J$42,B26,EDT!K$33:K$42,"&gt;&lt;",EDT!L$33:L$42,"ACM"),COUNTIFS(EDT!M$33:M$42,B26,EDT!N$33:N$42,"&gt;&lt;",EDT!O$33:O$42,"ACM"),COUNTIFS(EDT!P$33:P$42,B26,EDT!Q$33:Q$42,"&gt;&lt;",EDT!R$33:R$42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,COUNTIFS(#REF!,B26,#REF!,"&gt;&lt;",#REF!,"ACM"))*2</f>
        <v>#REF!</v>
      </c>
      <c r="H26" s="192">
        <v>9</v>
      </c>
      <c r="I26" s="193">
        <f ca="1">IFERROR(__xludf.DUMMYFUNCTION("""COMPUTED_VALUE"""),11.88)</f>
        <v>11.88</v>
      </c>
      <c r="J26" s="194">
        <f t="shared" ca="1" si="2"/>
        <v>106.92</v>
      </c>
      <c r="K26" s="195">
        <f t="shared" si="3"/>
        <v>1</v>
      </c>
      <c r="L26" s="195" t="str">
        <f ca="1">IFERROR(__xludf.DUMMYFUNCTION("""COMPUTED_VALUE"""),"Mme DAGORY Bénédicte")</f>
        <v>Mme DAGORY Bénédicte</v>
      </c>
      <c r="M26" s="200" t="str">
        <f ca="1">IFERROR(__xludf.DUMMYFUNCTION("""COMPUTED_VALUE"""),"8 rue de Romas
 47000 Agen")</f>
        <v>8 rue de Romas
 47000 Agen</v>
      </c>
      <c r="N26" s="196">
        <v>24</v>
      </c>
      <c r="O26" s="198"/>
    </row>
    <row r="27" spans="1:15" ht="12.6">
      <c r="A27" s="199" t="str">
        <f ca="1">IFERROR(__xludf.DUMMYFUNCTION("""COMPUTED_VALUE"""),"COCHARD")</f>
        <v>COCHARD</v>
      </c>
      <c r="B27" s="188" t="str">
        <f ca="1">IFERROR(__xludf.DUMMYFUNCTION("""COMPUTED_VALUE"""),"Mathilde C. P")</f>
        <v>Mathilde C. P</v>
      </c>
      <c r="C27" s="189" t="e">
        <f t="shared" ca="1" si="0"/>
        <v>#REF!</v>
      </c>
      <c r="D27" s="190" t="e">
        <f ca="1">SUM(COUNTIFS(EDT!D$5:D$25,B27,EDT!F$5:F$25,"ACM"),COUNTIFS(EDT!G$5:G$25,B27,EDT!I$5:I$25,"ACM"),COUNTIFS(EDT!J$5:J$25,B27,EDT!L$5:L$25,"ACM"),COUNTIFS(EDT!M$5:M$25,B27,EDT!O$5:O$25,"ACM"),COUNTIFS(EDT!P$5:P$25,B27,EDT!R$5:R$25,"ACM"),COUNTIFS(EDT!D$43:D$60,B27,EDT!F$43:F$60,"ACM"),COUNTIFS(EDT!G$43:G$60,B27,EDT!I$43:I$60,"ACM"),COUNTIFS(EDT!J$43:J$60,B27,EDT!L$43:L$60,"ACM"),COUNTIFS(EDT!M$43:M$60,B27,EDT!O$43:O$60,"ACM"),COUNTIFS(EDT!P$43:P$60,B27,EDT!R$43:R$60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)*3
+SUM(COUNTIFS(EDT!D$33:D$42,B27,EDT!F$33:F$42,"ACM"),COUNTIFS(EDT!G$33:G$42,B27,EDT!I$33:I$42,"ACM"),COUNTIFS(EDT!J$33:J$42,B27,EDT!L$33:L$42,"ACM"),COUNTIFS(EDT!M$33:M$42,B27,EDT!O$33:O$42,"ACM"),COUNTIFS(EDT!P$33:P$42,B27,EDT!R$33:R$42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,COUNTIFS(#REF!,B27,#REF!,"ACM"))*2</f>
        <v>#REF!</v>
      </c>
      <c r="E27" s="190" t="e">
        <f ca="1">SUM(COUNTIFS(EDT!D$5:D$25,B27,EDT!F$5:F$25,"Répit"),COUNTIFS(EDT!G$5:G$25,B27,EDT!I$5:I$25,"Répit"),COUNTIFS(EDT!J$5:J$25,B27,EDT!L$5:L$25,"Répit"),COUNTIFS(EDT!M$5:M$25,B27,EDT!O$5:O$25,"Répit"),COUNTIFS(EDT!P$5:P$25,B27,EDT!R$5:R$25,"Répit"),COUNTIFS(EDT!D$43:D$60,B27,EDT!F$43:F$60,"Répit"),COUNTIFS(EDT!G$43:G$60,B27,EDT!I$43:I$60,"Répit"),COUNTIFS(EDT!J$43:J$60,B27,EDT!L$43:L$60,"Répit"),COUNTIFS(EDT!M$43:M$60,B27,EDT!O$43:O$60,"Répit"),COUNTIFS(EDT!P$43:P$60,B27,EDT!R$43:R$60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)*3
+SUM(COUNTIFS(EDT!D$33:D$42,B27,EDT!F$33:F$42,"Répit"),COUNTIFS(EDT!G$33:G$42,B27,EDT!I$33:I$42,"Répit"),COUNTIFS(EDT!J$33:J$42,B27,EDT!L$33:L$42,"Répit"),COUNTIFS(EDT!M$33:M$42,B27,EDT!O$33:O$42,"Répit"),COUNTIFS(EDT!P$33:P$42,B27,EDT!R$33:R$42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,COUNTIFS(#REF!,B27,#REF!,"Répit"))*2</f>
        <v>#REF!</v>
      </c>
      <c r="F27" s="191" t="e">
        <f t="shared" ca="1" si="1"/>
        <v>#REF!</v>
      </c>
      <c r="G27" s="185" t="e">
        <f ca="1">SUM(COUNTIFS(EDT!D$5:D$25,B27,EDT!E$5:E$25,"&gt;&lt;",EDT!F$5:F$25,"ACM"),COUNTIFS(EDT!G$5:G$25,B27,EDT!H$5:H$25,"&gt;&lt;",EDT!I$5:I$25,"ACM"),COUNTIFS(EDT!J$5:J$25,B27,EDT!K$5:K$25,"&gt;&lt;",EDT!L$5:L$25,"ACM"),COUNTIFS(EDT!M$5:M$25,B27,EDT!N$5:N$25,"&gt;&lt;",EDT!O$5:O$25,"ACM"),COUNTIFS(EDT!P$5:P$25,B27,EDT!Q$5:Q$25,"&gt;&lt;",EDT!R$5:R$25,"ACM"),COUNTIFS(EDT!D$43:D$60,B27,EDT!E$43:E$60,"&gt;&lt;",EDT!F$43:F$60,"ACM"),COUNTIFS(EDT!G$43:G$60,B27,EDT!H$43:H$60,"&gt;&lt;",EDT!I$43:I$60,"ACM"),COUNTIFS(EDT!J$43:J$60,B27,EDT!K$43:K$60,"&gt;&lt;",EDT!L$43:L$60,"ACM"),COUNTIFS(EDT!M$43:M$60,B27,EDT!N$43:N$60,"&gt;&lt;",EDT!O$43:O$60,"ACM"),COUNTIFS(EDT!P$43:P$60,B27,EDT!Q$43:Q$60,"&gt;&lt;",EDT!R$43:R$60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)*3
+SUM(COUNTIFS(EDT!D$33:D$42,B27,EDT!E$33:E$42,"&gt;&lt;",EDT!F$33:F$42,"ACM"),COUNTIFS(EDT!G$33:G$42,B27,EDT!H$33:H$42,"&gt;&lt;",EDT!I$33:I$42,"ACM"),COUNTIFS(EDT!J$33:J$42,B27,EDT!K$33:K$42,"&gt;&lt;",EDT!L$33:L$42,"ACM"),COUNTIFS(EDT!M$33:M$42,B27,EDT!N$33:N$42,"&gt;&lt;",EDT!O$33:O$42,"ACM"),COUNTIFS(EDT!P$33:P$42,B27,EDT!Q$33:Q$42,"&gt;&lt;",EDT!R$33:R$42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,COUNTIFS(#REF!,B27,#REF!,"&gt;&lt;",#REF!,"ACM"))*2</f>
        <v>#REF!</v>
      </c>
      <c r="H27" s="192" t="e">
        <f ca="1">SUM(COUNTIFS(EDT!D$5:D$25,B27,EDT!E$5:E$25,"&gt;&lt;",EDT!F$5:F$25,"Répit"),COUNTIFS(EDT!G$5:G$25,B27,EDT!H$5:H$25,"&gt;&lt;",EDT!I$5:I$25,"Répit"),COUNTIFS(EDT!J$5:J$25,B27,EDT!K$5:K$25,"&gt;&lt;",EDT!L$5:L$25,"Répit"),COUNTIFS(EDT!M$5:M$25,B27,EDT!N$5:N$25,"&gt;&lt;",EDT!O$5:O$25,"Répit"),COUNTIFS(EDT!P$5:P$25,B27,EDT!Q$5:Q$25,"&gt;&lt;",EDT!R$5:R$25,"Répit"),COUNTIFS(EDT!D$43:D$60,B27,EDT!E$43:E$60,"&gt;&lt;",EDT!F$43:F$60,"Répit"),COUNTIFS(EDT!G$43:G$60,B27,EDT!H$43:H$60,"&gt;&lt;",EDT!I$43:I$60,"Répit"),COUNTIFS(EDT!J$43:J$60,B27,EDT!K$43:K$60,"&gt;&lt;",EDT!L$43:L$60,"Répit"),COUNTIFS(EDT!M$43:M$60,B27,EDT!N$43:N$60,"&gt;&lt;",EDT!O$43:O$60,"Répit"),COUNTIFS(EDT!P$43:P$60,B27,EDT!Q$43:Q$60,"&gt;&lt;",EDT!R$43:R$60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)*3
+SUM(COUNTIFS(EDT!D$33:D$42,B27,EDT!E$33:E$42,"&gt;&lt;",EDT!F$33:F$42,"Répit"),COUNTIFS(EDT!G$33:G$42,B27,EDT!H$33:H$42,"&gt;&lt;",EDT!I$33:I$42,"Répit"),COUNTIFS(EDT!J$33:J$42,B27,EDT!K$33:K$42,"&gt;&lt;",EDT!L$33:L$42,"Répit"),COUNTIFS(EDT!M$33:M$42,B27,EDT!N$33:N$42,"&gt;&lt;",EDT!O$33:O$42,"Répit"),COUNTIFS(EDT!P$33:P$42,B27,EDT!Q$33:Q$42,"&gt;&lt;",EDT!R$33:R$42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,COUNTIFS(#REF!,B27,#REF!,"&gt;&lt;",#REF!,"Répit"))*2</f>
        <v>#REF!</v>
      </c>
      <c r="I27" s="193">
        <f ca="1">IFERROR(__xludf.DUMMYFUNCTION("""COMPUTED_VALUE"""),11.88)</f>
        <v>11.88</v>
      </c>
      <c r="J27" s="194" t="e">
        <f t="shared" ca="1" si="2"/>
        <v>#REF!</v>
      </c>
      <c r="K27" s="195" t="e">
        <f t="shared" ca="1" si="3"/>
        <v>#REF!</v>
      </c>
      <c r="L27" s="195" t="str">
        <f ca="1">IFERROR(__xludf.DUMMYFUNCTION("""COMPUTED_VALUE"""),"M COCHARD Christophe")</f>
        <v>M COCHARD Christophe</v>
      </c>
      <c r="M27" s="200" t="str">
        <f ca="1">IFERROR(__xludf.DUMMYFUNCTION("""COMPUTED_VALUE"""),"Lieu dit ""Aux Lardinats"" 47390 Layrac")</f>
        <v>Lieu dit "Aux Lardinats" 47390 Layrac</v>
      </c>
      <c r="N27" s="196">
        <v>25</v>
      </c>
      <c r="O27" s="198"/>
    </row>
    <row r="28" spans="1:15" ht="12.6">
      <c r="A28" s="199" t="str">
        <f ca="1">IFERROR(__xludf.DUMMYFUNCTION("""COMPUTED_VALUE"""),"HADDAD")</f>
        <v>HADDAD</v>
      </c>
      <c r="B28" s="188" t="str">
        <f ca="1">IFERROR(__xludf.DUMMYFUNCTION("""COMPUTED_VALUE"""),"Mohamed Haddad")</f>
        <v>Mohamed Haddad</v>
      </c>
      <c r="C28" s="189" t="e">
        <f t="shared" ca="1" si="0"/>
        <v>#REF!</v>
      </c>
      <c r="D28" s="190" t="e">
        <f ca="1">SUM(COUNTIFS(EDT!D$5:D$25,B28,EDT!F$5:F$25,"ACM"),COUNTIFS(EDT!G$5:G$25,B28,EDT!I$5:I$25,"ACM"),COUNTIFS(EDT!J$5:J$25,B28,EDT!L$5:L$25,"ACM"),COUNTIFS(EDT!M$5:M$25,B28,EDT!O$5:O$25,"ACM"),COUNTIFS(EDT!P$5:P$25,B28,EDT!R$5:R$25,"ACM"),COUNTIFS(EDT!D$43:D$60,B28,EDT!F$43:F$60,"ACM"),COUNTIFS(EDT!G$43:G$60,B28,EDT!I$43:I$60,"ACM"),COUNTIFS(EDT!J$43:J$60,B28,EDT!L$43:L$60,"ACM"),COUNTIFS(EDT!M$43:M$60,B28,EDT!O$43:O$60,"ACM"),COUNTIFS(EDT!P$43:P$60,B28,EDT!R$43:R$60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)*3
+SUM(COUNTIFS(EDT!D$33:D$42,B28,EDT!F$33:F$42,"ACM"),COUNTIFS(EDT!G$33:G$42,B28,EDT!I$33:I$42,"ACM"),COUNTIFS(EDT!J$33:J$42,B28,EDT!L$33:L$42,"ACM"),COUNTIFS(EDT!M$33:M$42,B28,EDT!O$33:O$42,"ACM"),COUNTIFS(EDT!P$33:P$42,B28,EDT!R$33:R$42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,COUNTIFS(#REF!,B28,#REF!,"ACM"))*2</f>
        <v>#REF!</v>
      </c>
      <c r="E28" s="190" t="e">
        <f ca="1">SUM(COUNTIFS(EDT!D$5:D$25,B28,EDT!F$5:F$25,"Répit"),COUNTIFS(EDT!G$5:G$25,B28,EDT!I$5:I$25,"Répit"),COUNTIFS(EDT!J$5:J$25,B28,EDT!L$5:L$25,"Répit"),COUNTIFS(EDT!M$5:M$25,B28,EDT!O$5:O$25,"Répit"),COUNTIFS(EDT!P$5:P$25,B28,EDT!R$5:R$25,"Répit"),COUNTIFS(EDT!D$43:D$60,B28,EDT!F$43:F$60,"Répit"),COUNTIFS(EDT!G$43:G$60,B28,EDT!I$43:I$60,"Répit"),COUNTIFS(EDT!J$43:J$60,B28,EDT!L$43:L$60,"Répit"),COUNTIFS(EDT!M$43:M$60,B28,EDT!O$43:O$60,"Répit"),COUNTIFS(EDT!P$43:P$60,B28,EDT!R$43:R$60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)*3
+SUM(COUNTIFS(EDT!D$33:D$42,B28,EDT!F$33:F$42,"Répit"),COUNTIFS(EDT!G$33:G$42,B28,EDT!I$33:I$42,"Répit"),COUNTIFS(EDT!J$33:J$42,B28,EDT!L$33:L$42,"Répit"),COUNTIFS(EDT!M$33:M$42,B28,EDT!O$33:O$42,"Répit"),COUNTIFS(EDT!P$33:P$42,B28,EDT!R$33:R$42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,COUNTIFS(#REF!,B28,#REF!,"Répit"))*2</f>
        <v>#REF!</v>
      </c>
      <c r="F28" s="191" t="e">
        <f t="shared" ca="1" si="1"/>
        <v>#REF!</v>
      </c>
      <c r="G28" s="185" t="e">
        <f ca="1">SUM(COUNTIFS(EDT!D$5:D$25,B28,EDT!E$5:E$25,"&gt;&lt;",EDT!F$5:F$25,"ACM"),COUNTIFS(EDT!G$5:G$25,B28,EDT!H$5:H$25,"&gt;&lt;",EDT!I$5:I$25,"ACM"),COUNTIFS(EDT!J$5:J$25,B28,EDT!K$5:K$25,"&gt;&lt;",EDT!L$5:L$25,"ACM"),COUNTIFS(EDT!M$5:M$25,B28,EDT!N$5:N$25,"&gt;&lt;",EDT!O$5:O$25,"ACM"),COUNTIFS(EDT!P$5:P$25,B28,EDT!Q$5:Q$25,"&gt;&lt;",EDT!R$5:R$25,"ACM"),COUNTIFS(EDT!D$43:D$60,B28,EDT!E$43:E$60,"&gt;&lt;",EDT!F$43:F$60,"ACM"),COUNTIFS(EDT!G$43:G$60,B28,EDT!H$43:H$60,"&gt;&lt;",EDT!I$43:I$60,"ACM"),COUNTIFS(EDT!J$43:J$60,B28,EDT!K$43:K$60,"&gt;&lt;",EDT!L$43:L$60,"ACM"),COUNTIFS(EDT!M$43:M$60,B28,EDT!N$43:N$60,"&gt;&lt;",EDT!O$43:O$60,"ACM"),COUNTIFS(EDT!P$43:P$60,B28,EDT!Q$43:Q$60,"&gt;&lt;",EDT!R$43:R$60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)*3
+SUM(COUNTIFS(EDT!D$33:D$42,B28,EDT!E$33:E$42,"&gt;&lt;",EDT!F$33:F$42,"ACM"),COUNTIFS(EDT!G$33:G$42,B28,EDT!H$33:H$42,"&gt;&lt;",EDT!I$33:I$42,"ACM"),COUNTIFS(EDT!J$33:J$42,B28,EDT!K$33:K$42,"&gt;&lt;",EDT!L$33:L$42,"ACM"),COUNTIFS(EDT!M$33:M$42,B28,EDT!N$33:N$42,"&gt;&lt;",EDT!O$33:O$42,"ACM"),COUNTIFS(EDT!P$33:P$42,B28,EDT!Q$33:Q$42,"&gt;&lt;",EDT!R$33:R$42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,COUNTIFS(#REF!,B28,#REF!,"&gt;&lt;",#REF!,"ACM"))*2</f>
        <v>#REF!</v>
      </c>
      <c r="H28" s="192">
        <v>3</v>
      </c>
      <c r="I28" s="193">
        <f ca="1">IFERROR(__xludf.DUMMYFUNCTION("""COMPUTED_VALUE"""),11.88)</f>
        <v>11.88</v>
      </c>
      <c r="J28" s="194">
        <f t="shared" ca="1" si="2"/>
        <v>35.64</v>
      </c>
      <c r="K28" s="195">
        <f t="shared" si="3"/>
        <v>1</v>
      </c>
      <c r="L28" s="195" t="str">
        <f ca="1">IFERROR(__xludf.DUMMYFUNCTION("""COMPUTED_VALUE"""),"Mr HADDAD 
")</f>
        <v xml:space="preserve">Mr HADDAD 
</v>
      </c>
      <c r="M28" s="200" t="str">
        <f ca="1">IFERROR(__xludf.DUMMYFUNCTION("""COMPUTED_VALUE"""),"98 Boulevard Sylvain Dumond 
Apt 43  
47000 Agen ")</f>
        <v xml:space="preserve">98 Boulevard Sylvain Dumond 
Apt 43  
47000 Agen </v>
      </c>
      <c r="N28" s="196">
        <v>26</v>
      </c>
      <c r="O28" s="198"/>
    </row>
    <row r="29" spans="1:15" ht="12.6">
      <c r="A29" s="199" t="str">
        <f ca="1">IFERROR(__xludf.DUMMYFUNCTION("""COMPUTED_VALUE"""),"HADJEBA")</f>
        <v>HADJEBA</v>
      </c>
      <c r="B29" s="188" t="str">
        <f ca="1">IFERROR(__xludf.DUMMYFUNCTION("""COMPUTED_VALUE"""),"Mohamed HADJEBA")</f>
        <v>Mohamed HADJEBA</v>
      </c>
      <c r="C29" s="189" t="e">
        <f t="shared" ca="1" si="0"/>
        <v>#REF!</v>
      </c>
      <c r="D29" s="190" t="e">
        <f ca="1">SUM(COUNTIFS(EDT!D$5:D$25,B29,EDT!F$5:F$25,"ACM"),COUNTIFS(EDT!G$5:G$25,B29,EDT!I$5:I$25,"ACM"),COUNTIFS(EDT!J$5:J$25,B29,EDT!L$5:L$25,"ACM"),COUNTIFS(EDT!M$5:M$25,B29,EDT!O$5:O$25,"ACM"),COUNTIFS(EDT!P$5:P$25,B29,EDT!R$5:R$25,"ACM"),COUNTIFS(EDT!D$43:D$60,B29,EDT!F$43:F$60,"ACM"),COUNTIFS(EDT!G$43:G$60,B29,EDT!I$43:I$60,"ACM"),COUNTIFS(EDT!J$43:J$60,B29,EDT!L$43:L$60,"ACM"),COUNTIFS(EDT!M$43:M$60,B29,EDT!O$43:O$60,"ACM"),COUNTIFS(EDT!P$43:P$60,B29,EDT!R$43:R$60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)*3
+SUM(COUNTIFS(EDT!D$33:D$42,B29,EDT!F$33:F$42,"ACM"),COUNTIFS(EDT!G$33:G$42,B29,EDT!I$33:I$42,"ACM"),COUNTIFS(EDT!J$33:J$42,B29,EDT!L$33:L$42,"ACM"),COUNTIFS(EDT!M$33:M$42,B29,EDT!O$33:O$42,"ACM"),COUNTIFS(EDT!P$33:P$42,B29,EDT!R$33:R$42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,COUNTIFS(#REF!,B29,#REF!,"ACM"))*2</f>
        <v>#REF!</v>
      </c>
      <c r="E29" s="190" t="e">
        <f ca="1">SUM(COUNTIFS(EDT!D$5:D$25,B29,EDT!F$5:F$25,"Répit"),COUNTIFS(EDT!G$5:G$25,B29,EDT!I$5:I$25,"Répit"),COUNTIFS(EDT!J$5:J$25,B29,EDT!L$5:L$25,"Répit"),COUNTIFS(EDT!M$5:M$25,B29,EDT!O$5:O$25,"Répit"),COUNTIFS(EDT!P$5:P$25,B29,EDT!R$5:R$25,"Répit"),COUNTIFS(EDT!D$43:D$60,B29,EDT!F$43:F$60,"Répit"),COUNTIFS(EDT!G$43:G$60,B29,EDT!I$43:I$60,"Répit"),COUNTIFS(EDT!J$43:J$60,B29,EDT!L$43:L$60,"Répit"),COUNTIFS(EDT!M$43:M$60,B29,EDT!O$43:O$60,"Répit"),COUNTIFS(EDT!P$43:P$60,B29,EDT!R$43:R$60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)*3
+SUM(COUNTIFS(EDT!D$33:D$42,B29,EDT!F$33:F$42,"Répit"),COUNTIFS(EDT!G$33:G$42,B29,EDT!I$33:I$42,"Répit"),COUNTIFS(EDT!J$33:J$42,B29,EDT!L$33:L$42,"Répit"),COUNTIFS(EDT!M$33:M$42,B29,EDT!O$33:O$42,"Répit"),COUNTIFS(EDT!P$33:P$42,B29,EDT!R$33:R$42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,COUNTIFS(#REF!,B29,#REF!,"Répit"))*2</f>
        <v>#REF!</v>
      </c>
      <c r="F29" s="191" t="e">
        <f t="shared" ca="1" si="1"/>
        <v>#REF!</v>
      </c>
      <c r="G29" s="185" t="e">
        <f ca="1">SUM(COUNTIFS(EDT!D$5:D$25,B29,EDT!E$5:E$25,"&gt;&lt;",EDT!F$5:F$25,"ACM"),COUNTIFS(EDT!G$5:G$25,B29,EDT!H$5:H$25,"&gt;&lt;",EDT!I$5:I$25,"ACM"),COUNTIFS(EDT!J$5:J$25,B29,EDT!K$5:K$25,"&gt;&lt;",EDT!L$5:L$25,"ACM"),COUNTIFS(EDT!M$5:M$25,B29,EDT!N$5:N$25,"&gt;&lt;",EDT!O$5:O$25,"ACM"),COUNTIFS(EDT!P$5:P$25,B29,EDT!Q$5:Q$25,"&gt;&lt;",EDT!R$5:R$25,"ACM"),COUNTIFS(EDT!D$43:D$60,B29,EDT!E$43:E$60,"&gt;&lt;",EDT!F$43:F$60,"ACM"),COUNTIFS(EDT!G$43:G$60,B29,EDT!H$43:H$60,"&gt;&lt;",EDT!I$43:I$60,"ACM"),COUNTIFS(EDT!J$43:J$60,B29,EDT!K$43:K$60,"&gt;&lt;",EDT!L$43:L$60,"ACM"),COUNTIFS(EDT!M$43:M$60,B29,EDT!N$43:N$60,"&gt;&lt;",EDT!O$43:O$60,"ACM"),COUNTIFS(EDT!P$43:P$60,B29,EDT!Q$43:Q$60,"&gt;&lt;",EDT!R$43:R$60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)*3
+SUM(COUNTIFS(EDT!D$33:D$42,B29,EDT!E$33:E$42,"&gt;&lt;",EDT!F$33:F$42,"ACM"),COUNTIFS(EDT!G$33:G$42,B29,EDT!H$33:H$42,"&gt;&lt;",EDT!I$33:I$42,"ACM"),COUNTIFS(EDT!J$33:J$42,B29,EDT!K$33:K$42,"&gt;&lt;",EDT!L$33:L$42,"ACM"),COUNTIFS(EDT!M$33:M$42,B29,EDT!N$33:N$42,"&gt;&lt;",EDT!O$33:O$42,"ACM"),COUNTIFS(EDT!P$33:P$42,B29,EDT!Q$33:Q$42,"&gt;&lt;",EDT!R$33:R$42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,COUNTIFS(#REF!,B29,#REF!,"&gt;&lt;",#REF!,"ACM"))*2</f>
        <v>#REF!</v>
      </c>
      <c r="H29" s="192" t="e">
        <f ca="1">SUM(COUNTIFS(EDT!D$5:D$25,B29,EDT!E$5:E$25,"&gt;&lt;",EDT!F$5:F$25,"Répit"),COUNTIFS(EDT!G$5:G$25,B29,EDT!H$5:H$25,"&gt;&lt;",EDT!I$5:I$25,"Répit"),COUNTIFS(EDT!J$5:J$25,B29,EDT!K$5:K$25,"&gt;&lt;",EDT!L$5:L$25,"Répit"),COUNTIFS(EDT!M$5:M$25,B29,EDT!N$5:N$25,"&gt;&lt;",EDT!O$5:O$25,"Répit"),COUNTIFS(EDT!P$5:P$25,B29,EDT!Q$5:Q$25,"&gt;&lt;",EDT!R$5:R$25,"Répit"),COUNTIFS(EDT!D$43:D$60,B29,EDT!E$43:E$60,"&gt;&lt;",EDT!F$43:F$60,"Répit"),COUNTIFS(EDT!G$43:G$60,B29,EDT!H$43:H$60,"&gt;&lt;",EDT!I$43:I$60,"Répit"),COUNTIFS(EDT!J$43:J$60,B29,EDT!K$43:K$60,"&gt;&lt;",EDT!L$43:L$60,"Répit"),COUNTIFS(EDT!M$43:M$60,B29,EDT!N$43:N$60,"&gt;&lt;",EDT!O$43:O$60,"Répit"),COUNTIFS(EDT!P$43:P$60,B29,EDT!Q$43:Q$60,"&gt;&lt;",EDT!R$43:R$60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)*3
+SUM(COUNTIFS(EDT!D$33:D$42,B29,EDT!E$33:E$42,"&gt;&lt;",EDT!F$33:F$42,"Répit"),COUNTIFS(EDT!G$33:G$42,B29,EDT!H$33:H$42,"&gt;&lt;",EDT!I$33:I$42,"Répit"),COUNTIFS(EDT!J$33:J$42,B29,EDT!K$33:K$42,"&gt;&lt;",EDT!L$33:L$42,"Répit"),COUNTIFS(EDT!M$33:M$42,B29,EDT!N$33:N$42,"&gt;&lt;",EDT!O$33:O$42,"Répit"),COUNTIFS(EDT!P$33:P$42,B29,EDT!Q$33:Q$42,"&gt;&lt;",EDT!R$33:R$42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,COUNTIFS(#REF!,B29,#REF!,"&gt;&lt;",#REF!,"Répit"))*2</f>
        <v>#REF!</v>
      </c>
      <c r="I29" s="193">
        <f ca="1">IFERROR(__xludf.DUMMYFUNCTION("""COMPUTED_VALUE"""),11.88)</f>
        <v>11.88</v>
      </c>
      <c r="J29" s="194" t="e">
        <f t="shared" ca="1" si="2"/>
        <v>#REF!</v>
      </c>
      <c r="K29" s="195" t="e">
        <f t="shared" ca="1" si="3"/>
        <v>#REF!</v>
      </c>
      <c r="L29" s="195" t="str">
        <f ca="1">IFERROR(__xludf.DUMMYFUNCTION("""COMPUTED_VALUE"""),"Mme HADJEBA")</f>
        <v>Mme HADJEBA</v>
      </c>
      <c r="M29" s="200" t="str">
        <f ca="1">IFERROR(__xludf.DUMMYFUNCTION("""COMPUTED_VALUE"""),"5 place JJ Rousseau
47000 Agen ")</f>
        <v xml:space="preserve">5 place JJ Rousseau
47000 Agen </v>
      </c>
      <c r="N29" s="196">
        <v>27</v>
      </c>
      <c r="O29" s="198"/>
    </row>
    <row r="30" spans="1:15" ht="12.6">
      <c r="A30" s="199" t="str">
        <f ca="1">IFERROR(__xludf.DUMMYFUNCTION("""COMPUTED_VALUE"""),"PELLETIER")</f>
        <v>PELLETIER</v>
      </c>
      <c r="B30" s="188" t="str">
        <f ca="1">IFERROR(__xludf.DUMMYFUNCTION("""COMPUTED_VALUE"""),"Nathan")</f>
        <v>Nathan</v>
      </c>
      <c r="C30" s="189" t="e">
        <f t="shared" ca="1" si="0"/>
        <v>#REF!</v>
      </c>
      <c r="D30" s="190" t="e">
        <f ca="1">SUM(COUNTIFS(EDT!D$5:D$25,B30,EDT!F$5:F$25,"ACM"),COUNTIFS(EDT!G$5:G$25,B30,EDT!I$5:I$25,"ACM"),COUNTIFS(EDT!J$5:J$25,B30,EDT!L$5:L$25,"ACM"),COUNTIFS(EDT!M$5:M$25,B30,EDT!O$5:O$25,"ACM"),COUNTIFS(EDT!P$5:P$25,B30,EDT!R$5:R$25,"ACM"),COUNTIFS(EDT!D$43:D$60,B30,EDT!F$43:F$60,"ACM"),COUNTIFS(EDT!G$43:G$60,B30,EDT!I$43:I$60,"ACM"),COUNTIFS(EDT!J$43:J$60,B30,EDT!L$43:L$60,"ACM"),COUNTIFS(EDT!M$43:M$60,B30,EDT!O$43:O$60,"ACM"),COUNTIFS(EDT!P$43:P$60,B30,EDT!R$43:R$60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)*3
+SUM(COUNTIFS(EDT!D$33:D$42,B30,EDT!F$33:F$42,"ACM"),COUNTIFS(EDT!G$33:G$42,B30,EDT!I$33:I$42,"ACM"),COUNTIFS(EDT!J$33:J$42,B30,EDT!L$33:L$42,"ACM"),COUNTIFS(EDT!M$33:M$42,B30,EDT!O$33:O$42,"ACM"),COUNTIFS(EDT!P$33:P$42,B30,EDT!R$33:R$42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,COUNTIFS(#REF!,B30,#REF!,"ACM"))*2</f>
        <v>#REF!</v>
      </c>
      <c r="E30" s="190" t="e">
        <f ca="1">SUM(COUNTIFS(EDT!D$5:D$25,B30,EDT!F$5:F$25,"Répit"),COUNTIFS(EDT!G$5:G$25,B30,EDT!I$5:I$25,"Répit"),COUNTIFS(EDT!J$5:J$25,B30,EDT!L$5:L$25,"Répit"),COUNTIFS(EDT!M$5:M$25,B30,EDT!O$5:O$25,"Répit"),COUNTIFS(EDT!P$5:P$25,B30,EDT!R$5:R$25,"Répit"),COUNTIFS(EDT!D$43:D$60,B30,EDT!F$43:F$60,"Répit"),COUNTIFS(EDT!G$43:G$60,B30,EDT!I$43:I$60,"Répit"),COUNTIFS(EDT!J$43:J$60,B30,EDT!L$43:L$60,"Répit"),COUNTIFS(EDT!M$43:M$60,B30,EDT!O$43:O$60,"Répit"),COUNTIFS(EDT!P$43:P$60,B30,EDT!R$43:R$60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)*3
+SUM(COUNTIFS(EDT!D$33:D$42,B30,EDT!F$33:F$42,"Répit"),COUNTIFS(EDT!G$33:G$42,B30,EDT!I$33:I$42,"Répit"),COUNTIFS(EDT!J$33:J$42,B30,EDT!L$33:L$42,"Répit"),COUNTIFS(EDT!M$33:M$42,B30,EDT!O$33:O$42,"Répit"),COUNTIFS(EDT!P$33:P$42,B30,EDT!R$33:R$42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,COUNTIFS(#REF!,B30,#REF!,"Répit"))*2</f>
        <v>#REF!</v>
      </c>
      <c r="F30" s="191" t="e">
        <f t="shared" ca="1" si="1"/>
        <v>#REF!</v>
      </c>
      <c r="G30" s="185" t="e">
        <f ca="1">SUM(COUNTIFS(EDT!D$5:D$25,B30,EDT!E$5:E$25,"&gt;&lt;",EDT!F$5:F$25,"ACM"),COUNTIFS(EDT!G$5:G$25,B30,EDT!H$5:H$25,"&gt;&lt;",EDT!I$5:I$25,"ACM"),COUNTIFS(EDT!J$5:J$25,B30,EDT!K$5:K$25,"&gt;&lt;",EDT!L$5:L$25,"ACM"),COUNTIFS(EDT!M$5:M$25,B30,EDT!N$5:N$25,"&gt;&lt;",EDT!O$5:O$25,"ACM"),COUNTIFS(EDT!P$5:P$25,B30,EDT!Q$5:Q$25,"&gt;&lt;",EDT!R$5:R$25,"ACM"),COUNTIFS(EDT!D$43:D$60,B30,EDT!E$43:E$60,"&gt;&lt;",EDT!F$43:F$60,"ACM"),COUNTIFS(EDT!G$43:G$60,B30,EDT!H$43:H$60,"&gt;&lt;",EDT!I$43:I$60,"ACM"),COUNTIFS(EDT!J$43:J$60,B30,EDT!K$43:K$60,"&gt;&lt;",EDT!L$43:L$60,"ACM"),COUNTIFS(EDT!M$43:M$60,B30,EDT!N$43:N$60,"&gt;&lt;",EDT!O$43:O$60,"ACM"),COUNTIFS(EDT!P$43:P$60,B30,EDT!Q$43:Q$60,"&gt;&lt;",EDT!R$43:R$60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)*3
+SUM(COUNTIFS(EDT!D$33:D$42,B30,EDT!E$33:E$42,"&gt;&lt;",EDT!F$33:F$42,"ACM"),COUNTIFS(EDT!G$33:G$42,B30,EDT!H$33:H$42,"&gt;&lt;",EDT!I$33:I$42,"ACM"),COUNTIFS(EDT!J$33:J$42,B30,EDT!K$33:K$42,"&gt;&lt;",EDT!L$33:L$42,"ACM"),COUNTIFS(EDT!M$33:M$42,B30,EDT!N$33:N$42,"&gt;&lt;",EDT!O$33:O$42,"ACM"),COUNTIFS(EDT!P$33:P$42,B30,EDT!Q$33:Q$42,"&gt;&lt;",EDT!R$33:R$42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,COUNTIFS(#REF!,B30,#REF!,"&gt;&lt;",#REF!,"ACM"))*2</f>
        <v>#REF!</v>
      </c>
      <c r="H30" s="192">
        <v>13</v>
      </c>
      <c r="I30" s="193">
        <f ca="1">IFERROR(__xludf.DUMMYFUNCTION("""COMPUTED_VALUE"""),11.88)</f>
        <v>11.88</v>
      </c>
      <c r="J30" s="194">
        <f t="shared" ca="1" si="2"/>
        <v>154.44</v>
      </c>
      <c r="K30" s="195">
        <f t="shared" si="3"/>
        <v>1</v>
      </c>
      <c r="L30" s="195" t="str">
        <f ca="1">IFERROR(__xludf.DUMMYFUNCTION("""COMPUTED_VALUE"""),"Mme PELLETIER
Sandra")</f>
        <v>Mme PELLETIER
Sandra</v>
      </c>
      <c r="M30" s="200" t="str">
        <f ca="1">IFERROR(__xludf.DUMMYFUNCTION("""COMPUTED_VALUE"""),"460 route de Lacaussade 
47510 Foulayronnes")</f>
        <v>460 route de Lacaussade 
47510 Foulayronnes</v>
      </c>
      <c r="N30" s="196">
        <v>28</v>
      </c>
      <c r="O30" s="198"/>
    </row>
    <row r="31" spans="1:15" ht="12.6">
      <c r="A31" s="199" t="str">
        <f ca="1">IFERROR(__xludf.DUMMYFUNCTION("""COMPUTED_VALUE"""),"GRESEL")</f>
        <v>GRESEL</v>
      </c>
      <c r="B31" s="188" t="str">
        <f ca="1">IFERROR(__xludf.DUMMYFUNCTION("""COMPUTED_VALUE"""),"Noah G.")</f>
        <v>Noah G.</v>
      </c>
      <c r="C31" s="189" t="e">
        <f t="shared" ca="1" si="0"/>
        <v>#REF!</v>
      </c>
      <c r="D31" s="190" t="e">
        <f ca="1">SUM(COUNTIFS(EDT!D$5:D$25,B31,EDT!F$5:F$25,"ACM"),COUNTIFS(EDT!G$5:G$25,B31,EDT!I$5:I$25,"ACM"),COUNTIFS(EDT!J$5:J$25,B31,EDT!L$5:L$25,"ACM"),COUNTIFS(EDT!M$5:M$25,B31,EDT!O$5:O$25,"ACM"),COUNTIFS(EDT!P$5:P$25,B31,EDT!R$5:R$25,"ACM"),COUNTIFS(EDT!D$43:D$60,B31,EDT!F$43:F$60,"ACM"),COUNTIFS(EDT!G$43:G$60,B31,EDT!I$43:I$60,"ACM"),COUNTIFS(EDT!J$43:J$60,B31,EDT!L$43:L$60,"ACM"),COUNTIFS(EDT!M$43:M$60,B31,EDT!O$43:O$60,"ACM"),COUNTIFS(EDT!P$43:P$60,B31,EDT!R$43:R$60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)*3
+SUM(COUNTIFS(EDT!D$33:D$42,B31,EDT!F$33:F$42,"ACM"),COUNTIFS(EDT!G$33:G$42,B31,EDT!I$33:I$42,"ACM"),COUNTIFS(EDT!J$33:J$42,B31,EDT!L$33:L$42,"ACM"),COUNTIFS(EDT!M$33:M$42,B31,EDT!O$33:O$42,"ACM"),COUNTIFS(EDT!P$33:P$42,B31,EDT!R$33:R$42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,COUNTIFS(#REF!,B31,#REF!,"ACM"))*2</f>
        <v>#REF!</v>
      </c>
      <c r="E31" s="190" t="e">
        <f ca="1">SUM(COUNTIFS(EDT!D$5:D$25,B31,EDT!F$5:F$25,"Répit"),COUNTIFS(EDT!G$5:G$25,B31,EDT!I$5:I$25,"Répit"),COUNTIFS(EDT!J$5:J$25,B31,EDT!L$5:L$25,"Répit"),COUNTIFS(EDT!M$5:M$25,B31,EDT!O$5:O$25,"Répit"),COUNTIFS(EDT!P$5:P$25,B31,EDT!R$5:R$25,"Répit"),COUNTIFS(EDT!D$43:D$60,B31,EDT!F$43:F$60,"Répit"),COUNTIFS(EDT!G$43:G$60,B31,EDT!I$43:I$60,"Répit"),COUNTIFS(EDT!J$43:J$60,B31,EDT!L$43:L$60,"Répit"),COUNTIFS(EDT!M$43:M$60,B31,EDT!O$43:O$60,"Répit"),COUNTIFS(EDT!P$43:P$60,B31,EDT!R$43:R$60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)*3
+SUM(COUNTIFS(EDT!D$33:D$42,B31,EDT!F$33:F$42,"Répit"),COUNTIFS(EDT!G$33:G$42,B31,EDT!I$33:I$42,"Répit"),COUNTIFS(EDT!J$33:J$42,B31,EDT!L$33:L$42,"Répit"),COUNTIFS(EDT!M$33:M$42,B31,EDT!O$33:O$42,"Répit"),COUNTIFS(EDT!P$33:P$42,B31,EDT!R$33:R$42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,COUNTIFS(#REF!,B31,#REF!,"Répit"))*2</f>
        <v>#REF!</v>
      </c>
      <c r="F31" s="191" t="e">
        <f t="shared" ca="1" si="1"/>
        <v>#REF!</v>
      </c>
      <c r="G31" s="185" t="e">
        <f ca="1">SUM(COUNTIFS(EDT!D$5:D$25,B31,EDT!E$5:E$25,"&gt;&lt;",EDT!F$5:F$25,"ACM"),COUNTIFS(EDT!G$5:G$25,B31,EDT!H$5:H$25,"&gt;&lt;",EDT!I$5:I$25,"ACM"),COUNTIFS(EDT!J$5:J$25,B31,EDT!K$5:K$25,"&gt;&lt;",EDT!L$5:L$25,"ACM"),COUNTIFS(EDT!M$5:M$25,B31,EDT!N$5:N$25,"&gt;&lt;",EDT!O$5:O$25,"ACM"),COUNTIFS(EDT!P$5:P$25,B31,EDT!Q$5:Q$25,"&gt;&lt;",EDT!R$5:R$25,"ACM"),COUNTIFS(EDT!D$43:D$60,B31,EDT!E$43:E$60,"&gt;&lt;",EDT!F$43:F$60,"ACM"),COUNTIFS(EDT!G$43:G$60,B31,EDT!H$43:H$60,"&gt;&lt;",EDT!I$43:I$60,"ACM"),COUNTIFS(EDT!J$43:J$60,B31,EDT!K$43:K$60,"&gt;&lt;",EDT!L$43:L$60,"ACM"),COUNTIFS(EDT!M$43:M$60,B31,EDT!N$43:N$60,"&gt;&lt;",EDT!O$43:O$60,"ACM"),COUNTIFS(EDT!P$43:P$60,B31,EDT!Q$43:Q$60,"&gt;&lt;",EDT!R$43:R$60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)*3
+SUM(COUNTIFS(EDT!D$33:D$42,B31,EDT!E$33:E$42,"&gt;&lt;",EDT!F$33:F$42,"ACM"),COUNTIFS(EDT!G$33:G$42,B31,EDT!H$33:H$42,"&gt;&lt;",EDT!I$33:I$42,"ACM"),COUNTIFS(EDT!J$33:J$42,B31,EDT!K$33:K$42,"&gt;&lt;",EDT!L$33:L$42,"ACM"),COUNTIFS(EDT!M$33:M$42,B31,EDT!N$33:N$42,"&gt;&lt;",EDT!O$33:O$42,"ACM"),COUNTIFS(EDT!P$33:P$42,B31,EDT!Q$33:Q$42,"&gt;&lt;",EDT!R$33:R$42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,COUNTIFS(#REF!,B31,#REF!,"&gt;&lt;",#REF!,"ACM"))*2</f>
        <v>#REF!</v>
      </c>
      <c r="H31" s="192">
        <v>15</v>
      </c>
      <c r="I31" s="193">
        <f ca="1">IFERROR(__xludf.DUMMYFUNCTION("""COMPUTED_VALUE"""),11.88)</f>
        <v>11.88</v>
      </c>
      <c r="J31" s="194">
        <f t="shared" ca="1" si="2"/>
        <v>178.20000000000002</v>
      </c>
      <c r="K31" s="195">
        <f t="shared" si="3"/>
        <v>1</v>
      </c>
      <c r="L31" s="195" t="str">
        <f ca="1">IFERROR(__xludf.DUMMYFUNCTION("""COMPUTED_VALUE"""),"Mme GULAREK Alexandra")</f>
        <v>Mme GULAREK Alexandra</v>
      </c>
      <c r="M31" s="200" t="str">
        <f ca="1">IFERROR(__xludf.DUMMYFUNCTION("""COMPUTED_VALUE"""),"5 allée de Bruxelles 
résidence cantharelle 
47520 Le passage ")</f>
        <v xml:space="preserve">5 allée de Bruxelles 
résidence cantharelle 
47520 Le passage </v>
      </c>
      <c r="N31" s="196">
        <v>29</v>
      </c>
      <c r="O31" s="198"/>
    </row>
    <row r="32" spans="1:15" ht="12.6">
      <c r="A32" s="199" t="str">
        <f ca="1">IFERROR(__xludf.DUMMYFUNCTION("""COMPUTED_VALUE"""),"GRANDA")</f>
        <v>GRANDA</v>
      </c>
      <c r="B32" s="188" t="str">
        <f ca="1">IFERROR(__xludf.DUMMYFUNCTION("""COMPUTED_VALUE"""),"Noah GR")</f>
        <v>Noah GR</v>
      </c>
      <c r="C32" s="189" t="e">
        <f t="shared" ca="1" si="0"/>
        <v>#REF!</v>
      </c>
      <c r="D32" s="190" t="e">
        <f ca="1">SUM(COUNTIFS(EDT!D$5:D$25,B32,EDT!F$5:F$25,"ACM"),COUNTIFS(EDT!G$5:G$25,B32,EDT!I$5:I$25,"ACM"),COUNTIFS(EDT!J$5:J$25,B32,EDT!L$5:L$25,"ACM"),COUNTIFS(EDT!M$5:M$25,B32,EDT!O$5:O$25,"ACM"),COUNTIFS(EDT!P$5:P$25,B32,EDT!R$5:R$25,"ACM"),COUNTIFS(EDT!D$43:D$60,B32,EDT!F$43:F$60,"ACM"),COUNTIFS(EDT!G$43:G$60,B32,EDT!I$43:I$60,"ACM"),COUNTIFS(EDT!J$43:J$60,B32,EDT!L$43:L$60,"ACM"),COUNTIFS(EDT!M$43:M$60,B32,EDT!O$43:O$60,"ACM"),COUNTIFS(EDT!P$43:P$60,B32,EDT!R$43:R$60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)*3
+SUM(COUNTIFS(EDT!D$33:D$42,B32,EDT!F$33:F$42,"ACM"),COUNTIFS(EDT!G$33:G$42,B32,EDT!I$33:I$42,"ACM"),COUNTIFS(EDT!J$33:J$42,B32,EDT!L$33:L$42,"ACM"),COUNTIFS(EDT!M$33:M$42,B32,EDT!O$33:O$42,"ACM"),COUNTIFS(EDT!P$33:P$42,B32,EDT!R$33:R$42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,COUNTIFS(#REF!,B32,#REF!,"ACM"))*2</f>
        <v>#REF!</v>
      </c>
      <c r="E32" s="190" t="e">
        <f ca="1">SUM(COUNTIFS(EDT!D$5:D$25,B32,EDT!F$5:F$25,"Répit"),COUNTIFS(EDT!G$5:G$25,B32,EDT!I$5:I$25,"Répit"),COUNTIFS(EDT!J$5:J$25,B32,EDT!L$5:L$25,"Répit"),COUNTIFS(EDT!M$5:M$25,B32,EDT!O$5:O$25,"Répit"),COUNTIFS(EDT!P$5:P$25,B32,EDT!R$5:R$25,"Répit"),COUNTIFS(EDT!D$43:D$60,B32,EDT!F$43:F$60,"Répit"),COUNTIFS(EDT!G$43:G$60,B32,EDT!I$43:I$60,"Répit"),COUNTIFS(EDT!J$43:J$60,B32,EDT!L$43:L$60,"Répit"),COUNTIFS(EDT!M$43:M$60,B32,EDT!O$43:O$60,"Répit"),COUNTIFS(EDT!P$43:P$60,B32,EDT!R$43:R$60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)*3
+SUM(COUNTIFS(EDT!D$33:D$42,B32,EDT!F$33:F$42,"Répit"),COUNTIFS(EDT!G$33:G$42,B32,EDT!I$33:I$42,"Répit"),COUNTIFS(EDT!J$33:J$42,B32,EDT!L$33:L$42,"Répit"),COUNTIFS(EDT!M$33:M$42,B32,EDT!O$33:O$42,"Répit"),COUNTIFS(EDT!P$33:P$42,B32,EDT!R$33:R$42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,COUNTIFS(#REF!,B32,#REF!,"Répit"))*2</f>
        <v>#REF!</v>
      </c>
      <c r="F32" s="191" t="e">
        <f t="shared" ca="1" si="1"/>
        <v>#REF!</v>
      </c>
      <c r="G32" s="185" t="e">
        <f ca="1">SUM(COUNTIFS(EDT!D$5:D$25,B32,EDT!E$5:E$25,"&gt;&lt;",EDT!F$5:F$25,"ACM"),COUNTIFS(EDT!G$5:G$25,B32,EDT!H$5:H$25,"&gt;&lt;",EDT!I$5:I$25,"ACM"),COUNTIFS(EDT!J$5:J$25,B32,EDT!K$5:K$25,"&gt;&lt;",EDT!L$5:L$25,"ACM"),COUNTIFS(EDT!M$5:M$25,B32,EDT!N$5:N$25,"&gt;&lt;",EDT!O$5:O$25,"ACM"),COUNTIFS(EDT!P$5:P$25,B32,EDT!Q$5:Q$25,"&gt;&lt;",EDT!R$5:R$25,"ACM"),COUNTIFS(EDT!D$43:D$60,B32,EDT!E$43:E$60,"&gt;&lt;",EDT!F$43:F$60,"ACM"),COUNTIFS(EDT!G$43:G$60,B32,EDT!H$43:H$60,"&gt;&lt;",EDT!I$43:I$60,"ACM"),COUNTIFS(EDT!J$43:J$60,B32,EDT!K$43:K$60,"&gt;&lt;",EDT!L$43:L$60,"ACM"),COUNTIFS(EDT!M$43:M$60,B32,EDT!N$43:N$60,"&gt;&lt;",EDT!O$43:O$60,"ACM"),COUNTIFS(EDT!P$43:P$60,B32,EDT!Q$43:Q$60,"&gt;&lt;",EDT!R$43:R$60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)*3
+SUM(COUNTIFS(EDT!D$33:D$42,B32,EDT!E$33:E$42,"&gt;&lt;",EDT!F$33:F$42,"ACM"),COUNTIFS(EDT!G$33:G$42,B32,EDT!H$33:H$42,"&gt;&lt;",EDT!I$33:I$42,"ACM"),COUNTIFS(EDT!J$33:J$42,B32,EDT!K$33:K$42,"&gt;&lt;",EDT!L$33:L$42,"ACM"),COUNTIFS(EDT!M$33:M$42,B32,EDT!N$33:N$42,"&gt;&lt;",EDT!O$33:O$42,"ACM"),COUNTIFS(EDT!P$33:P$42,B32,EDT!Q$33:Q$42,"&gt;&lt;",EDT!R$33:R$42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,COUNTIFS(#REF!,B32,#REF!,"&gt;&lt;",#REF!,"ACM"))*2</f>
        <v>#REF!</v>
      </c>
      <c r="H32" s="192" t="e">
        <f ca="1">SUM(COUNTIFS(EDT!D$5:D$25,B32,EDT!E$5:E$25,"&gt;&lt;",EDT!F$5:F$25,"Répit"),COUNTIFS(EDT!G$5:G$25,B32,EDT!H$5:H$25,"&gt;&lt;",EDT!I$5:I$25,"Répit"),COUNTIFS(EDT!J$5:J$25,B32,EDT!K$5:K$25,"&gt;&lt;",EDT!L$5:L$25,"Répit"),COUNTIFS(EDT!M$5:M$25,B32,EDT!N$5:N$25,"&gt;&lt;",EDT!O$5:O$25,"Répit"),COUNTIFS(EDT!P$5:P$25,B32,EDT!Q$5:Q$25,"&gt;&lt;",EDT!R$5:R$25,"Répit"),COUNTIFS(EDT!D$43:D$60,B32,EDT!E$43:E$60,"&gt;&lt;",EDT!F$43:F$60,"Répit"),COUNTIFS(EDT!G$43:G$60,B32,EDT!H$43:H$60,"&gt;&lt;",EDT!I$43:I$60,"Répit"),COUNTIFS(EDT!J$43:J$60,B32,EDT!K$43:K$60,"&gt;&lt;",EDT!L$43:L$60,"Répit"),COUNTIFS(EDT!M$43:M$60,B32,EDT!N$43:N$60,"&gt;&lt;",EDT!O$43:O$60,"Répit"),COUNTIFS(EDT!P$43:P$60,B32,EDT!Q$43:Q$60,"&gt;&lt;",EDT!R$43:R$60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)*3
+SUM(COUNTIFS(EDT!D$33:D$42,B32,EDT!E$33:E$42,"&gt;&lt;",EDT!F$33:F$42,"Répit"),COUNTIFS(EDT!G$33:G$42,B32,EDT!H$33:H$42,"&gt;&lt;",EDT!I$33:I$42,"Répit"),COUNTIFS(EDT!J$33:J$42,B32,EDT!K$33:K$42,"&gt;&lt;",EDT!L$33:L$42,"Répit"),COUNTIFS(EDT!M$33:M$42,B32,EDT!N$33:N$42,"&gt;&lt;",EDT!O$33:O$42,"Répit"),COUNTIFS(EDT!P$33:P$42,B32,EDT!Q$33:Q$42,"&gt;&lt;",EDT!R$33:R$42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,COUNTIFS(#REF!,B32,#REF!,"&gt;&lt;",#REF!,"Répit"))*2</f>
        <v>#REF!</v>
      </c>
      <c r="I32" s="193">
        <f ca="1">IFERROR(__xludf.DUMMYFUNCTION("""COMPUTED_VALUE"""),11.88)</f>
        <v>11.88</v>
      </c>
      <c r="J32" s="194" t="e">
        <f t="shared" ca="1" si="2"/>
        <v>#REF!</v>
      </c>
      <c r="K32" s="195" t="e">
        <f t="shared" ca="1" si="3"/>
        <v>#REF!</v>
      </c>
      <c r="L32" s="195" t="str">
        <f ca="1">IFERROR(__xludf.DUMMYFUNCTION("""COMPUTED_VALUE"""),"Mme PERES 
Laetitia")</f>
        <v>Mme PERES 
Laetitia</v>
      </c>
      <c r="M32" s="200" t="str">
        <f ca="1">IFERROR(__xludf.DUMMYFUNCTION("""COMPUTED_VALUE"""),"13 rue Valence 
Agen ")</f>
        <v xml:space="preserve">13 rue Valence 
Agen </v>
      </c>
      <c r="N32" s="196">
        <v>30</v>
      </c>
      <c r="O32" s="198"/>
    </row>
    <row r="33" spans="1:15" ht="12.6">
      <c r="A33" s="199" t="str">
        <f ca="1">IFERROR(__xludf.DUMMYFUNCTION("""COMPUTED_VALUE"""),"SARRAZIN BERTRANEU")</f>
        <v>SARRAZIN BERTRANEU</v>
      </c>
      <c r="B33" s="188" t="str">
        <f ca="1">IFERROR(__xludf.DUMMYFUNCTION("""COMPUTED_VALUE"""),"Nicolas ")</f>
        <v xml:space="preserve">Nicolas </v>
      </c>
      <c r="C33" s="189" t="e">
        <f t="shared" ca="1" si="0"/>
        <v>#REF!</v>
      </c>
      <c r="D33" s="190" t="e">
        <f ca="1">SUM(COUNTIFS(EDT!D$5:D$25,B33,EDT!F$5:F$25,"ACM"),COUNTIFS(EDT!G$5:G$25,B33,EDT!I$5:I$25,"ACM"),COUNTIFS(EDT!J$5:J$25,B33,EDT!L$5:L$25,"ACM"),COUNTIFS(EDT!M$5:M$25,B33,EDT!O$5:O$25,"ACM"),COUNTIFS(EDT!P$5:P$25,B33,EDT!R$5:R$25,"ACM"),COUNTIFS(EDT!D$43:D$60,B33,EDT!F$43:F$60,"ACM"),COUNTIFS(EDT!G$43:G$60,B33,EDT!I$43:I$60,"ACM"),COUNTIFS(EDT!J$43:J$60,B33,EDT!L$43:L$60,"ACM"),COUNTIFS(EDT!M$43:M$60,B33,EDT!O$43:O$60,"ACM"),COUNTIFS(EDT!P$43:P$60,B33,EDT!R$43:R$60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)*3
+SUM(COUNTIFS(EDT!D$33:D$42,B33,EDT!F$33:F$42,"ACM"),COUNTIFS(EDT!G$33:G$42,B33,EDT!I$33:I$42,"ACM"),COUNTIFS(EDT!J$33:J$42,B33,EDT!L$33:L$42,"ACM"),COUNTIFS(EDT!M$33:M$42,B33,EDT!O$33:O$42,"ACM"),COUNTIFS(EDT!P$33:P$42,B33,EDT!R$33:R$42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,COUNTIFS(#REF!,B33,#REF!,"ACM"))*2</f>
        <v>#REF!</v>
      </c>
      <c r="E33" s="190" t="e">
        <f ca="1">SUM(COUNTIFS(EDT!D$5:D$25,B33,EDT!F$5:F$25,"Répit"),COUNTIFS(EDT!G$5:G$25,B33,EDT!I$5:I$25,"Répit"),COUNTIFS(EDT!J$5:J$25,B33,EDT!L$5:L$25,"Répit"),COUNTIFS(EDT!M$5:M$25,B33,EDT!O$5:O$25,"Répit"),COUNTIFS(EDT!P$5:P$25,B33,EDT!R$5:R$25,"Répit"),COUNTIFS(EDT!D$43:D$60,B33,EDT!F$43:F$60,"Répit"),COUNTIFS(EDT!G$43:G$60,B33,EDT!I$43:I$60,"Répit"),COUNTIFS(EDT!J$43:J$60,B33,EDT!L$43:L$60,"Répit"),COUNTIFS(EDT!M$43:M$60,B33,EDT!O$43:O$60,"Répit"),COUNTIFS(EDT!P$43:P$60,B33,EDT!R$43:R$60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)*3
+SUM(COUNTIFS(EDT!D$33:D$42,B33,EDT!F$33:F$42,"Répit"),COUNTIFS(EDT!G$33:G$42,B33,EDT!I$33:I$42,"Répit"),COUNTIFS(EDT!J$33:J$42,B33,EDT!L$33:L$42,"Répit"),COUNTIFS(EDT!M$33:M$42,B33,EDT!O$33:O$42,"Répit"),COUNTIFS(EDT!P$33:P$42,B33,EDT!R$33:R$42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,COUNTIFS(#REF!,B33,#REF!,"Répit"))*2</f>
        <v>#REF!</v>
      </c>
      <c r="F33" s="191" t="e">
        <f t="shared" ca="1" si="1"/>
        <v>#REF!</v>
      </c>
      <c r="G33" s="185" t="e">
        <f ca="1">SUM(COUNTIFS(EDT!D$5:D$25,B33,EDT!E$5:E$25,"&gt;&lt;",EDT!F$5:F$25,"ACM"),COUNTIFS(EDT!G$5:G$25,B33,EDT!H$5:H$25,"&gt;&lt;",EDT!I$5:I$25,"ACM"),COUNTIFS(EDT!J$5:J$25,B33,EDT!K$5:K$25,"&gt;&lt;",EDT!L$5:L$25,"ACM"),COUNTIFS(EDT!M$5:M$25,B33,EDT!N$5:N$25,"&gt;&lt;",EDT!O$5:O$25,"ACM"),COUNTIFS(EDT!P$5:P$25,B33,EDT!Q$5:Q$25,"&gt;&lt;",EDT!R$5:R$25,"ACM"),COUNTIFS(EDT!D$43:D$60,B33,EDT!E$43:E$60,"&gt;&lt;",EDT!F$43:F$60,"ACM"),COUNTIFS(EDT!G$43:G$60,B33,EDT!H$43:H$60,"&gt;&lt;",EDT!I$43:I$60,"ACM"),COUNTIFS(EDT!J$43:J$60,B33,EDT!K$43:K$60,"&gt;&lt;",EDT!L$43:L$60,"ACM"),COUNTIFS(EDT!M$43:M$60,B33,EDT!N$43:N$60,"&gt;&lt;",EDT!O$43:O$60,"ACM"),COUNTIFS(EDT!P$43:P$60,B33,EDT!Q$43:Q$60,"&gt;&lt;",EDT!R$43:R$60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)*3
+SUM(COUNTIFS(EDT!D$33:D$42,B33,EDT!E$33:E$42,"&gt;&lt;",EDT!F$33:F$42,"ACM"),COUNTIFS(EDT!G$33:G$42,B33,EDT!H$33:H$42,"&gt;&lt;",EDT!I$33:I$42,"ACM"),COUNTIFS(EDT!J$33:J$42,B33,EDT!K$33:K$42,"&gt;&lt;",EDT!L$33:L$42,"ACM"),COUNTIFS(EDT!M$33:M$42,B33,EDT!N$33:N$42,"&gt;&lt;",EDT!O$33:O$42,"ACM"),COUNTIFS(EDT!P$33:P$42,B33,EDT!Q$33:Q$42,"&gt;&lt;",EDT!R$33:R$42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,COUNTIFS(#REF!,B33,#REF!,"&gt;&lt;",#REF!,"ACM"))*2</f>
        <v>#REF!</v>
      </c>
      <c r="H33" s="192">
        <v>9</v>
      </c>
      <c r="I33" s="193">
        <f ca="1">IFERROR(__xludf.DUMMYFUNCTION("""COMPUTED_VALUE"""),11.88)</f>
        <v>11.88</v>
      </c>
      <c r="J33" s="194">
        <f t="shared" ca="1" si="2"/>
        <v>106.92</v>
      </c>
      <c r="K33" s="195">
        <f t="shared" si="3"/>
        <v>1</v>
      </c>
      <c r="L33" s="195" t="str">
        <f ca="1">IFERROR(__xludf.DUMMYFUNCTION("""COMPUTED_VALUE"""),"Mme SARRAZIN")</f>
        <v>Mme SARRAZIN</v>
      </c>
      <c r="M33" s="200" t="str">
        <f ca="1">IFERROR(__xludf.DUMMYFUNCTION("""COMPUTED_VALUE"""),"112 rue des glaieuls 
47520 Le passage ")</f>
        <v xml:space="preserve">112 rue des glaieuls 
47520 Le passage </v>
      </c>
      <c r="N33" s="196">
        <v>31</v>
      </c>
      <c r="O33" s="198"/>
    </row>
    <row r="34" spans="1:15" ht="12.6">
      <c r="A34" s="199" t="str">
        <f ca="1">IFERROR(__xludf.DUMMYFUNCTION("""COMPUTED_VALUE"""),"HANRYON")</f>
        <v>HANRYON</v>
      </c>
      <c r="B34" s="188" t="str">
        <f ca="1">IFERROR(__xludf.DUMMYFUNCTION("""COMPUTED_VALUE"""),"Noah H.")</f>
        <v>Noah H.</v>
      </c>
      <c r="C34" s="189" t="e">
        <f t="shared" ca="1" si="0"/>
        <v>#REF!</v>
      </c>
      <c r="D34" s="190" t="e">
        <f ca="1">SUM(COUNTIFS(EDT!D$5:D$25,B34,EDT!F$5:F$25,"ACM"),COUNTIFS(EDT!G$5:G$25,B34,EDT!I$5:I$25,"ACM"),COUNTIFS(EDT!J$5:J$25,B34,EDT!L$5:L$25,"ACM"),COUNTIFS(EDT!M$5:M$25,B34,EDT!O$5:O$25,"ACM"),COUNTIFS(EDT!P$5:P$25,B34,EDT!R$5:R$25,"ACM"),COUNTIFS(EDT!D$43:D$60,B34,EDT!F$43:F$60,"ACM"),COUNTIFS(EDT!G$43:G$60,B34,EDT!I$43:I$60,"ACM"),COUNTIFS(EDT!J$43:J$60,B34,EDT!L$43:L$60,"ACM"),COUNTIFS(EDT!M$43:M$60,B34,EDT!O$43:O$60,"ACM"),COUNTIFS(EDT!P$43:P$60,B34,EDT!R$43:R$60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)*3
+SUM(COUNTIFS(EDT!D$33:D$42,B34,EDT!F$33:F$42,"ACM"),COUNTIFS(EDT!G$33:G$42,B34,EDT!I$33:I$42,"ACM"),COUNTIFS(EDT!J$33:J$42,B34,EDT!L$33:L$42,"ACM"),COUNTIFS(EDT!M$33:M$42,B34,EDT!O$33:O$42,"ACM"),COUNTIFS(EDT!P$33:P$42,B34,EDT!R$33:R$42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,COUNTIFS(#REF!,B34,#REF!,"ACM"))*2</f>
        <v>#REF!</v>
      </c>
      <c r="E34" s="190" t="e">
        <f ca="1">SUM(COUNTIFS(EDT!D$5:D$25,B34,EDT!F$5:F$25,"Répit"),COUNTIFS(EDT!G$5:G$25,B34,EDT!I$5:I$25,"Répit"),COUNTIFS(EDT!J$5:J$25,B34,EDT!L$5:L$25,"Répit"),COUNTIFS(EDT!M$5:M$25,B34,EDT!O$5:O$25,"Répit"),COUNTIFS(EDT!P$5:P$25,B34,EDT!R$5:R$25,"Répit"),COUNTIFS(EDT!D$43:D$60,B34,EDT!F$43:F$60,"Répit"),COUNTIFS(EDT!G$43:G$60,B34,EDT!I$43:I$60,"Répit"),COUNTIFS(EDT!J$43:J$60,B34,EDT!L$43:L$60,"Répit"),COUNTIFS(EDT!M$43:M$60,B34,EDT!O$43:O$60,"Répit"),COUNTIFS(EDT!P$43:P$60,B34,EDT!R$43:R$60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)*3
+SUM(COUNTIFS(EDT!D$33:D$42,B34,EDT!F$33:F$42,"Répit"),COUNTIFS(EDT!G$33:G$42,B34,EDT!I$33:I$42,"Répit"),COUNTIFS(EDT!J$33:J$42,B34,EDT!L$33:L$42,"Répit"),COUNTIFS(EDT!M$33:M$42,B34,EDT!O$33:O$42,"Répit"),COUNTIFS(EDT!P$33:P$42,B34,EDT!R$33:R$42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,COUNTIFS(#REF!,B34,#REF!,"Répit"))*2</f>
        <v>#REF!</v>
      </c>
      <c r="F34" s="191" t="e">
        <f t="shared" ca="1" si="1"/>
        <v>#REF!</v>
      </c>
      <c r="G34" s="185" t="e">
        <f ca="1">SUM(COUNTIFS(EDT!D$5:D$25,B34,EDT!E$5:E$25,"&gt;&lt;",EDT!F$5:F$25,"ACM"),COUNTIFS(EDT!G$5:G$25,B34,EDT!H$5:H$25,"&gt;&lt;",EDT!I$5:I$25,"ACM"),COUNTIFS(EDT!J$5:J$25,B34,EDT!K$5:K$25,"&gt;&lt;",EDT!L$5:L$25,"ACM"),COUNTIFS(EDT!M$5:M$25,B34,EDT!N$5:N$25,"&gt;&lt;",EDT!O$5:O$25,"ACM"),COUNTIFS(EDT!P$5:P$25,B34,EDT!Q$5:Q$25,"&gt;&lt;",EDT!R$5:R$25,"ACM"),COUNTIFS(EDT!D$43:D$60,B34,EDT!E$43:E$60,"&gt;&lt;",EDT!F$43:F$60,"ACM"),COUNTIFS(EDT!G$43:G$60,B34,EDT!H$43:H$60,"&gt;&lt;",EDT!I$43:I$60,"ACM"),COUNTIFS(EDT!J$43:J$60,B34,EDT!K$43:K$60,"&gt;&lt;",EDT!L$43:L$60,"ACM"),COUNTIFS(EDT!M$43:M$60,B34,EDT!N$43:N$60,"&gt;&lt;",EDT!O$43:O$60,"ACM"),COUNTIFS(EDT!P$43:P$60,B34,EDT!Q$43:Q$60,"&gt;&lt;",EDT!R$43:R$60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)*3
+SUM(COUNTIFS(EDT!D$33:D$42,B34,EDT!E$33:E$42,"&gt;&lt;",EDT!F$33:F$42,"ACM"),COUNTIFS(EDT!G$33:G$42,B34,EDT!H$33:H$42,"&gt;&lt;",EDT!I$33:I$42,"ACM"),COUNTIFS(EDT!J$33:J$42,B34,EDT!K$33:K$42,"&gt;&lt;",EDT!L$33:L$42,"ACM"),COUNTIFS(EDT!M$33:M$42,B34,EDT!N$33:N$42,"&gt;&lt;",EDT!O$33:O$42,"ACM"),COUNTIFS(EDT!P$33:P$42,B34,EDT!Q$33:Q$42,"&gt;&lt;",EDT!R$33:R$42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,COUNTIFS(#REF!,B34,#REF!,"&gt;&lt;",#REF!,"ACM"))*2</f>
        <v>#REF!</v>
      </c>
      <c r="H34" s="192">
        <v>10</v>
      </c>
      <c r="I34" s="193">
        <f ca="1">IFERROR(__xludf.DUMMYFUNCTION("""COMPUTED_VALUE"""),11.88)</f>
        <v>11.88</v>
      </c>
      <c r="J34" s="194">
        <f t="shared" ca="1" si="2"/>
        <v>118.80000000000001</v>
      </c>
      <c r="K34" s="195">
        <f t="shared" si="3"/>
        <v>1</v>
      </c>
      <c r="L34" s="195" t="str">
        <f ca="1">IFERROR(__xludf.DUMMYFUNCTION("""COMPUTED_VALUE"""),"Mme HANRYON")</f>
        <v>Mme HANRYON</v>
      </c>
      <c r="M34" s="200" t="str">
        <f ca="1">IFERROR(__xludf.DUMMYFUNCTION("""COMPUTED_VALUE"""),"12 rue Montaigne 
47520 Le Passage")</f>
        <v>12 rue Montaigne 
47520 Le Passage</v>
      </c>
      <c r="N34" s="196">
        <v>32</v>
      </c>
      <c r="O34" s="198"/>
    </row>
    <row r="35" spans="1:15" ht="12.6">
      <c r="A35" s="199" t="str">
        <f ca="1">IFERROR(__xludf.DUMMYFUNCTION("""COMPUTED_VALUE"""),"SOUVANNACHOUKHAN")</f>
        <v>SOUVANNACHOUKHAN</v>
      </c>
      <c r="B35" s="188" t="str">
        <f ca="1">IFERROR(__xludf.DUMMYFUNCTION("""COMPUTED_VALUE"""),"Nollan")</f>
        <v>Nollan</v>
      </c>
      <c r="C35" s="189" t="e">
        <f t="shared" ca="1" si="0"/>
        <v>#REF!</v>
      </c>
      <c r="D35" s="190" t="e">
        <f ca="1">SUM(COUNTIFS(EDT!D$5:D$25,B35,EDT!F$5:F$25,"ACM"),COUNTIFS(EDT!G$5:G$25,B35,EDT!I$5:I$25,"ACM"),COUNTIFS(EDT!J$5:J$25,B35,EDT!L$5:L$25,"ACM"),COUNTIFS(EDT!M$5:M$25,B35,EDT!O$5:O$25,"ACM"),COUNTIFS(EDT!P$5:P$25,B35,EDT!R$5:R$25,"ACM"),COUNTIFS(EDT!D$43:D$60,B35,EDT!F$43:F$60,"ACM"),COUNTIFS(EDT!G$43:G$60,B35,EDT!I$43:I$60,"ACM"),COUNTIFS(EDT!J$43:J$60,B35,EDT!L$43:L$60,"ACM"),COUNTIFS(EDT!M$43:M$60,B35,EDT!O$43:O$60,"ACM"),COUNTIFS(EDT!P$43:P$60,B35,EDT!R$43:R$60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)*3
+SUM(COUNTIFS(EDT!D$33:D$42,B35,EDT!F$33:F$42,"ACM"),COUNTIFS(EDT!G$33:G$42,B35,EDT!I$33:I$42,"ACM"),COUNTIFS(EDT!J$33:J$42,B35,EDT!L$33:L$42,"ACM"),COUNTIFS(EDT!M$33:M$42,B35,EDT!O$33:O$42,"ACM"),COUNTIFS(EDT!P$33:P$42,B35,EDT!R$33:R$42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,COUNTIFS(#REF!,B35,#REF!,"ACM"))*2</f>
        <v>#REF!</v>
      </c>
      <c r="E35" s="190" t="e">
        <f ca="1">SUM(COUNTIFS(EDT!D$5:D$25,B35,EDT!F$5:F$25,"Répit"),COUNTIFS(EDT!G$5:G$25,B35,EDT!I$5:I$25,"Répit"),COUNTIFS(EDT!J$5:J$25,B35,EDT!L$5:L$25,"Répit"),COUNTIFS(EDT!M$5:M$25,B35,EDT!O$5:O$25,"Répit"),COUNTIFS(EDT!P$5:P$25,B35,EDT!R$5:R$25,"Répit"),COUNTIFS(EDT!D$43:D$60,B35,EDT!F$43:F$60,"Répit"),COUNTIFS(EDT!G$43:G$60,B35,EDT!I$43:I$60,"Répit"),COUNTIFS(EDT!J$43:J$60,B35,EDT!L$43:L$60,"Répit"),COUNTIFS(EDT!M$43:M$60,B35,EDT!O$43:O$60,"Répit"),COUNTIFS(EDT!P$43:P$60,B35,EDT!R$43:R$60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)*3
+SUM(COUNTIFS(EDT!D$33:D$42,B35,EDT!F$33:F$42,"Répit"),COUNTIFS(EDT!G$33:G$42,B35,EDT!I$33:I$42,"Répit"),COUNTIFS(EDT!J$33:J$42,B35,EDT!L$33:L$42,"Répit"),COUNTIFS(EDT!M$33:M$42,B35,EDT!O$33:O$42,"Répit"),COUNTIFS(EDT!P$33:P$42,B35,EDT!R$33:R$42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,COUNTIFS(#REF!,B35,#REF!,"Répit"))*2</f>
        <v>#REF!</v>
      </c>
      <c r="F35" s="191" t="e">
        <f t="shared" ca="1" si="1"/>
        <v>#REF!</v>
      </c>
      <c r="G35" s="185" t="e">
        <f ca="1">SUM(COUNTIFS(EDT!D$5:D$25,B35,EDT!E$5:E$25,"&gt;&lt;",EDT!F$5:F$25,"ACM"),COUNTIFS(EDT!G$5:G$25,B35,EDT!H$5:H$25,"&gt;&lt;",EDT!I$5:I$25,"ACM"),COUNTIFS(EDT!J$5:J$25,B35,EDT!K$5:K$25,"&gt;&lt;",EDT!L$5:L$25,"ACM"),COUNTIFS(EDT!M$5:M$25,B35,EDT!N$5:N$25,"&gt;&lt;",EDT!O$5:O$25,"ACM"),COUNTIFS(EDT!P$5:P$25,B35,EDT!Q$5:Q$25,"&gt;&lt;",EDT!R$5:R$25,"ACM"),COUNTIFS(EDT!D$43:D$60,B35,EDT!E$43:E$60,"&gt;&lt;",EDT!F$43:F$60,"ACM"),COUNTIFS(EDT!G$43:G$60,B35,EDT!H$43:H$60,"&gt;&lt;",EDT!I$43:I$60,"ACM"),COUNTIFS(EDT!J$43:J$60,B35,EDT!K$43:K$60,"&gt;&lt;",EDT!L$43:L$60,"ACM"),COUNTIFS(EDT!M$43:M$60,B35,EDT!N$43:N$60,"&gt;&lt;",EDT!O$43:O$60,"ACM"),COUNTIFS(EDT!P$43:P$60,B35,EDT!Q$43:Q$60,"&gt;&lt;",EDT!R$43:R$60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)*3
+SUM(COUNTIFS(EDT!D$33:D$42,B35,EDT!E$33:E$42,"&gt;&lt;",EDT!F$33:F$42,"ACM"),COUNTIFS(EDT!G$33:G$42,B35,EDT!H$33:H$42,"&gt;&lt;",EDT!I$33:I$42,"ACM"),COUNTIFS(EDT!J$33:J$42,B35,EDT!K$33:K$42,"&gt;&lt;",EDT!L$33:L$42,"ACM"),COUNTIFS(EDT!M$33:M$42,B35,EDT!N$33:N$42,"&gt;&lt;",EDT!O$33:O$42,"ACM"),COUNTIFS(EDT!P$33:P$42,B35,EDT!Q$33:Q$42,"&gt;&lt;",EDT!R$33:R$42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,COUNTIFS(#REF!,B35,#REF!,"&gt;&lt;",#REF!,"ACM"))*2</f>
        <v>#REF!</v>
      </c>
      <c r="H35" s="192" t="e">
        <f ca="1">SUM(COUNTIFS(EDT!D$5:D$25,B35,EDT!E$5:E$25,"&gt;&lt;",EDT!F$5:F$25,"Répit"),COUNTIFS(EDT!G$5:G$25,B35,EDT!H$5:H$25,"&gt;&lt;",EDT!I$5:I$25,"Répit"),COUNTIFS(EDT!J$5:J$25,B35,EDT!K$5:K$25,"&gt;&lt;",EDT!L$5:L$25,"Répit"),COUNTIFS(EDT!M$5:M$25,B35,EDT!N$5:N$25,"&gt;&lt;",EDT!O$5:O$25,"Répit"),COUNTIFS(EDT!P$5:P$25,B35,EDT!Q$5:Q$25,"&gt;&lt;",EDT!R$5:R$25,"Répit"),COUNTIFS(EDT!D$43:D$60,B35,EDT!E$43:E$60,"&gt;&lt;",EDT!F$43:F$60,"Répit"),COUNTIFS(EDT!G$43:G$60,B35,EDT!H$43:H$60,"&gt;&lt;",EDT!I$43:I$60,"Répit"),COUNTIFS(EDT!J$43:J$60,B35,EDT!K$43:K$60,"&gt;&lt;",EDT!L$43:L$60,"Répit"),COUNTIFS(EDT!M$43:M$60,B35,EDT!N$43:N$60,"&gt;&lt;",EDT!O$43:O$60,"Répit"),COUNTIFS(EDT!P$43:P$60,B35,EDT!Q$43:Q$60,"&gt;&lt;",EDT!R$43:R$60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)*3
+SUM(COUNTIFS(EDT!D$33:D$42,B35,EDT!E$33:E$42,"&gt;&lt;",EDT!F$33:F$42,"Répit"),COUNTIFS(EDT!G$33:G$42,B35,EDT!H$33:H$42,"&gt;&lt;",EDT!I$33:I$42,"Répit"),COUNTIFS(EDT!J$33:J$42,B35,EDT!K$33:K$42,"&gt;&lt;",EDT!L$33:L$42,"Répit"),COUNTIFS(EDT!M$33:M$42,B35,EDT!N$33:N$42,"&gt;&lt;",EDT!O$33:O$42,"Répit"),COUNTIFS(EDT!P$33:P$42,B35,EDT!Q$33:Q$42,"&gt;&lt;",EDT!R$33:R$42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,COUNTIFS(#REF!,B35,#REF!,"&gt;&lt;",#REF!,"Répit"))*2</f>
        <v>#REF!</v>
      </c>
      <c r="I35" s="201">
        <f ca="1">IFERROR(__xludf.DUMMYFUNCTION("""COMPUTED_VALUE"""),11.88)</f>
        <v>11.88</v>
      </c>
      <c r="J35" s="202" t="e">
        <f t="shared" ca="1" si="2"/>
        <v>#REF!</v>
      </c>
      <c r="K35" s="195" t="e">
        <f t="shared" ca="1" si="3"/>
        <v>#REF!</v>
      </c>
      <c r="L35" s="195"/>
      <c r="M35" s="200" t="str">
        <f ca="1">IFERROR(__xludf.DUMMYFUNCTION("""COMPUTED_VALUE"""),"7 rue d'épernon
47000 Agen")</f>
        <v>7 rue d'épernon
47000 Agen</v>
      </c>
      <c r="N35" s="196">
        <v>33</v>
      </c>
      <c r="O35" s="198"/>
    </row>
    <row r="36" spans="1:15" ht="12.6">
      <c r="A36" s="199" t="str">
        <f ca="1">IFERROR(__xludf.DUMMYFUNCTION("""COMPUTED_VALUE"""),"AMIRIAN")</f>
        <v>AMIRIAN</v>
      </c>
      <c r="B36" s="188" t="str">
        <f ca="1">IFERROR(__xludf.DUMMYFUNCTION("""COMPUTED_VALUE"""),"Rebecca")</f>
        <v>Rebecca</v>
      </c>
      <c r="C36" s="189" t="e">
        <f t="shared" ca="1" si="0"/>
        <v>#REF!</v>
      </c>
      <c r="D36" s="190" t="e">
        <f ca="1">SUM(COUNTIFS(EDT!D$5:D$25,B36,EDT!F$5:F$25,"ACM"),COUNTIFS(EDT!G$5:G$25,B36,EDT!I$5:I$25,"ACM"),COUNTIFS(EDT!J$5:J$25,B36,EDT!L$5:L$25,"ACM"),COUNTIFS(EDT!M$5:M$25,B36,EDT!O$5:O$25,"ACM"),COUNTIFS(EDT!P$5:P$25,B36,EDT!R$5:R$25,"ACM"),COUNTIFS(EDT!D$43:D$60,B36,EDT!F$43:F$60,"ACM"),COUNTIFS(EDT!G$43:G$60,B36,EDT!I$43:I$60,"ACM"),COUNTIFS(EDT!J$43:J$60,B36,EDT!L$43:L$60,"ACM"),COUNTIFS(EDT!M$43:M$60,B36,EDT!O$43:O$60,"ACM"),COUNTIFS(EDT!P$43:P$60,B36,EDT!R$43:R$60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)*3
+SUM(COUNTIFS(EDT!D$33:D$42,B36,EDT!F$33:F$42,"ACM"),COUNTIFS(EDT!G$33:G$42,B36,EDT!I$33:I$42,"ACM"),COUNTIFS(EDT!J$33:J$42,B36,EDT!L$33:L$42,"ACM"),COUNTIFS(EDT!M$33:M$42,B36,EDT!O$33:O$42,"ACM"),COUNTIFS(EDT!P$33:P$42,B36,EDT!R$33:R$42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,COUNTIFS(#REF!,B36,#REF!,"ACM"))*2</f>
        <v>#REF!</v>
      </c>
      <c r="E36" s="190" t="e">
        <f ca="1">SUM(COUNTIFS(EDT!D$5:D$25,B36,EDT!F$5:F$25,"Répit"),COUNTIFS(EDT!G$5:G$25,B36,EDT!I$5:I$25,"Répit"),COUNTIFS(EDT!J$5:J$25,B36,EDT!L$5:L$25,"Répit"),COUNTIFS(EDT!M$5:M$25,B36,EDT!O$5:O$25,"Répit"),COUNTIFS(EDT!P$5:P$25,B36,EDT!R$5:R$25,"Répit"),COUNTIFS(EDT!D$43:D$60,B36,EDT!F$43:F$60,"Répit"),COUNTIFS(EDT!G$43:G$60,B36,EDT!I$43:I$60,"Répit"),COUNTIFS(EDT!J$43:J$60,B36,EDT!L$43:L$60,"Répit"),COUNTIFS(EDT!M$43:M$60,B36,EDT!O$43:O$60,"Répit"),COUNTIFS(EDT!P$43:P$60,B36,EDT!R$43:R$60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)*3
+SUM(COUNTIFS(EDT!D$33:D$42,B36,EDT!F$33:F$42,"Répit"),COUNTIFS(EDT!G$33:G$42,B36,EDT!I$33:I$42,"Répit"),COUNTIFS(EDT!J$33:J$42,B36,EDT!L$33:L$42,"Répit"),COUNTIFS(EDT!M$33:M$42,B36,EDT!O$33:O$42,"Répit"),COUNTIFS(EDT!P$33:P$42,B36,EDT!R$33:R$42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,COUNTIFS(#REF!,B36,#REF!,"Répit"))*2</f>
        <v>#REF!</v>
      </c>
      <c r="F36" s="191" t="e">
        <f t="shared" ca="1" si="1"/>
        <v>#REF!</v>
      </c>
      <c r="G36" s="185" t="e">
        <f ca="1">SUM(COUNTIFS(EDT!D$5:D$25,B36,EDT!E$5:E$25,"&gt;&lt;",EDT!F$5:F$25,"ACM"),COUNTIFS(EDT!G$5:G$25,B36,EDT!H$5:H$25,"&gt;&lt;",EDT!I$5:I$25,"ACM"),COUNTIFS(EDT!J$5:J$25,B36,EDT!K$5:K$25,"&gt;&lt;",EDT!L$5:L$25,"ACM"),COUNTIFS(EDT!M$5:M$25,B36,EDT!N$5:N$25,"&gt;&lt;",EDT!O$5:O$25,"ACM"),COUNTIFS(EDT!P$5:P$25,B36,EDT!Q$5:Q$25,"&gt;&lt;",EDT!R$5:R$25,"ACM"),COUNTIFS(EDT!D$43:D$60,B36,EDT!E$43:E$60,"&gt;&lt;",EDT!F$43:F$60,"ACM"),COUNTIFS(EDT!G$43:G$60,B36,EDT!H$43:H$60,"&gt;&lt;",EDT!I$43:I$60,"ACM"),COUNTIFS(EDT!J$43:J$60,B36,EDT!K$43:K$60,"&gt;&lt;",EDT!L$43:L$60,"ACM"),COUNTIFS(EDT!M$43:M$60,B36,EDT!N$43:N$60,"&gt;&lt;",EDT!O$43:O$60,"ACM"),COUNTIFS(EDT!P$43:P$60,B36,EDT!Q$43:Q$60,"&gt;&lt;",EDT!R$43:R$60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)*3
+SUM(COUNTIFS(EDT!D$33:D$42,B36,EDT!E$33:E$42,"&gt;&lt;",EDT!F$33:F$42,"ACM"),COUNTIFS(EDT!G$33:G$42,B36,EDT!H$33:H$42,"&gt;&lt;",EDT!I$33:I$42,"ACM"),COUNTIFS(EDT!J$33:J$42,B36,EDT!K$33:K$42,"&gt;&lt;",EDT!L$33:L$42,"ACM"),COUNTIFS(EDT!M$33:M$42,B36,EDT!N$33:N$42,"&gt;&lt;",EDT!O$33:O$42,"ACM"),COUNTIFS(EDT!P$33:P$42,B36,EDT!Q$33:Q$42,"&gt;&lt;",EDT!R$33:R$42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,COUNTIFS(#REF!,B36,#REF!,"&gt;&lt;",#REF!,"ACM"))*2</f>
        <v>#REF!</v>
      </c>
      <c r="H36" s="192">
        <v>11</v>
      </c>
      <c r="I36" s="193">
        <f ca="1">IFERROR(__xludf.DUMMYFUNCTION("""COMPUTED_VALUE"""),11.88)</f>
        <v>11.88</v>
      </c>
      <c r="J36" s="194">
        <f t="shared" ca="1" si="2"/>
        <v>130.68</v>
      </c>
      <c r="K36" s="195">
        <f t="shared" si="3"/>
        <v>1</v>
      </c>
      <c r="L36" s="195" t="str">
        <f ca="1">IFERROR(__xludf.DUMMYFUNCTION("""COMPUTED_VALUE"""),"Mme Amirian")</f>
        <v>Mme Amirian</v>
      </c>
      <c r="M36" s="200" t="str">
        <f ca="1">IFERROR(__xludf.DUMMYFUNCTION("""COMPUTED_VALUE"""),"2 rue Paulin Régnier
47000 Agen")</f>
        <v>2 rue Paulin Régnier
47000 Agen</v>
      </c>
      <c r="N36" s="196">
        <v>34</v>
      </c>
      <c r="O36" s="198"/>
    </row>
    <row r="37" spans="1:15" ht="12.6">
      <c r="A37" s="199" t="str">
        <f ca="1">IFERROR(__xludf.DUMMYFUNCTION("""COMPUTED_VALUE"""),"FLEURY")</f>
        <v>FLEURY</v>
      </c>
      <c r="B37" s="188" t="str">
        <f ca="1">IFERROR(__xludf.DUMMYFUNCTION("""COMPUTED_VALUE"""),"Sanah")</f>
        <v>Sanah</v>
      </c>
      <c r="C37" s="189" t="e">
        <f t="shared" ca="1" si="0"/>
        <v>#REF!</v>
      </c>
      <c r="D37" s="190" t="e">
        <f ca="1">SUM(COUNTIFS(EDT!D$5:D$25,B37,EDT!F$5:F$25,"ACM"),COUNTIFS(EDT!G$5:G$25,B37,EDT!I$5:I$25,"ACM"),COUNTIFS(EDT!J$5:J$25,B37,EDT!L$5:L$25,"ACM"),COUNTIFS(EDT!M$5:M$25,B37,EDT!O$5:O$25,"ACM"),COUNTIFS(EDT!P$5:P$25,B37,EDT!R$5:R$25,"ACM"),COUNTIFS(EDT!D$43:D$60,B37,EDT!F$43:F$60,"ACM"),COUNTIFS(EDT!G$43:G$60,B37,EDT!I$43:I$60,"ACM"),COUNTIFS(EDT!J$43:J$60,B37,EDT!L$43:L$60,"ACM"),COUNTIFS(EDT!M$43:M$60,B37,EDT!O$43:O$60,"ACM"),COUNTIFS(EDT!P$43:P$60,B37,EDT!R$43:R$60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)*3
+SUM(COUNTIFS(EDT!D$33:D$42,B37,EDT!F$33:F$42,"ACM"),COUNTIFS(EDT!G$33:G$42,B37,EDT!I$33:I$42,"ACM"),COUNTIFS(EDT!J$33:J$42,B37,EDT!L$33:L$42,"ACM"),COUNTIFS(EDT!M$33:M$42,B37,EDT!O$33:O$42,"ACM"),COUNTIFS(EDT!P$33:P$42,B37,EDT!R$33:R$42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,COUNTIFS(#REF!,B37,#REF!,"ACM"))*2</f>
        <v>#REF!</v>
      </c>
      <c r="E37" s="190" t="e">
        <f ca="1">SUM(COUNTIFS(EDT!D$5:D$25,B37,EDT!F$5:F$25,"Répit"),COUNTIFS(EDT!G$5:G$25,B37,EDT!I$5:I$25,"Répit"),COUNTIFS(EDT!J$5:J$25,B37,EDT!L$5:L$25,"Répit"),COUNTIFS(EDT!M$5:M$25,B37,EDT!O$5:O$25,"Répit"),COUNTIFS(EDT!P$5:P$25,B37,EDT!R$5:R$25,"Répit"),COUNTIFS(EDT!D$43:D$60,B37,EDT!F$43:F$60,"Répit"),COUNTIFS(EDT!G$43:G$60,B37,EDT!I$43:I$60,"Répit"),COUNTIFS(EDT!J$43:J$60,B37,EDT!L$43:L$60,"Répit"),COUNTIFS(EDT!M$43:M$60,B37,EDT!O$43:O$60,"Répit"),COUNTIFS(EDT!P$43:P$60,B37,EDT!R$43:R$60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)*3
+SUM(COUNTIFS(EDT!D$33:D$42,B37,EDT!F$33:F$42,"Répit"),COUNTIFS(EDT!G$33:G$42,B37,EDT!I$33:I$42,"Répit"),COUNTIFS(EDT!J$33:J$42,B37,EDT!L$33:L$42,"Répit"),COUNTIFS(EDT!M$33:M$42,B37,EDT!O$33:O$42,"Répit"),COUNTIFS(EDT!P$33:P$42,B37,EDT!R$33:R$42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,COUNTIFS(#REF!,B37,#REF!,"Répit"))*2</f>
        <v>#REF!</v>
      </c>
      <c r="F37" s="191" t="e">
        <f t="shared" ca="1" si="1"/>
        <v>#REF!</v>
      </c>
      <c r="G37" s="185" t="e">
        <f ca="1">SUM(COUNTIFS(EDT!D$5:D$25,B37,EDT!E$5:E$25,"&gt;&lt;",EDT!F$5:F$25,"ACM"),COUNTIFS(EDT!G$5:G$25,B37,EDT!H$5:H$25,"&gt;&lt;",EDT!I$5:I$25,"ACM"),COUNTIFS(EDT!J$5:J$25,B37,EDT!K$5:K$25,"&gt;&lt;",EDT!L$5:L$25,"ACM"),COUNTIFS(EDT!M$5:M$25,B37,EDT!N$5:N$25,"&gt;&lt;",EDT!O$5:O$25,"ACM"),COUNTIFS(EDT!P$5:P$25,B37,EDT!Q$5:Q$25,"&gt;&lt;",EDT!R$5:R$25,"ACM"),COUNTIFS(EDT!D$43:D$60,B37,EDT!E$43:E$60,"&gt;&lt;",EDT!F$43:F$60,"ACM"),COUNTIFS(EDT!G$43:G$60,B37,EDT!H$43:H$60,"&gt;&lt;",EDT!I$43:I$60,"ACM"),COUNTIFS(EDT!J$43:J$60,B37,EDT!K$43:K$60,"&gt;&lt;",EDT!L$43:L$60,"ACM"),COUNTIFS(EDT!M$43:M$60,B37,EDT!N$43:N$60,"&gt;&lt;",EDT!O$43:O$60,"ACM"),COUNTIFS(EDT!P$43:P$60,B37,EDT!Q$43:Q$60,"&gt;&lt;",EDT!R$43:R$60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)*3
+SUM(COUNTIFS(EDT!D$33:D$42,B37,EDT!E$33:E$42,"&gt;&lt;",EDT!F$33:F$42,"ACM"),COUNTIFS(EDT!G$33:G$42,B37,EDT!H$33:H$42,"&gt;&lt;",EDT!I$33:I$42,"ACM"),COUNTIFS(EDT!J$33:J$42,B37,EDT!K$33:K$42,"&gt;&lt;",EDT!L$33:L$42,"ACM"),COUNTIFS(EDT!M$33:M$42,B37,EDT!N$33:N$42,"&gt;&lt;",EDT!O$33:O$42,"ACM"),COUNTIFS(EDT!P$33:P$42,B37,EDT!Q$33:Q$42,"&gt;&lt;",EDT!R$33:R$42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,COUNTIFS(#REF!,B37,#REF!,"&gt;&lt;",#REF!,"ACM"))*2</f>
        <v>#REF!</v>
      </c>
      <c r="H37" s="192" t="e">
        <f ca="1">SUM(COUNTIFS(EDT!D$5:D$25,B37,EDT!E$5:E$25,"&gt;&lt;",EDT!F$5:F$25,"Répit"),COUNTIFS(EDT!G$5:G$25,B37,EDT!H$5:H$25,"&gt;&lt;",EDT!I$5:I$25,"Répit"),COUNTIFS(EDT!J$5:J$25,B37,EDT!K$5:K$25,"&gt;&lt;",EDT!L$5:L$25,"Répit"),COUNTIFS(EDT!M$5:M$25,B37,EDT!N$5:N$25,"&gt;&lt;",EDT!O$5:O$25,"Répit"),COUNTIFS(EDT!P$5:P$25,B37,EDT!Q$5:Q$25,"&gt;&lt;",EDT!R$5:R$25,"Répit"),COUNTIFS(EDT!D$43:D$60,B37,EDT!E$43:E$60,"&gt;&lt;",EDT!F$43:F$60,"Répit"),COUNTIFS(EDT!G$43:G$60,B37,EDT!H$43:H$60,"&gt;&lt;",EDT!I$43:I$60,"Répit"),COUNTIFS(EDT!J$43:J$60,B37,EDT!K$43:K$60,"&gt;&lt;",EDT!L$43:L$60,"Répit"),COUNTIFS(EDT!M$43:M$60,B37,EDT!N$43:N$60,"&gt;&lt;",EDT!O$43:O$60,"Répit"),COUNTIFS(EDT!P$43:P$60,B37,EDT!Q$43:Q$60,"&gt;&lt;",EDT!R$43:R$60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)*3
+SUM(COUNTIFS(EDT!D$33:D$42,B37,EDT!E$33:E$42,"&gt;&lt;",EDT!F$33:F$42,"Répit"),COUNTIFS(EDT!G$33:G$42,B37,EDT!H$33:H$42,"&gt;&lt;",EDT!I$33:I$42,"Répit"),COUNTIFS(EDT!J$33:J$42,B37,EDT!K$33:K$42,"&gt;&lt;",EDT!L$33:L$42,"Répit"),COUNTIFS(EDT!M$33:M$42,B37,EDT!N$33:N$42,"&gt;&lt;",EDT!O$33:O$42,"Répit"),COUNTIFS(EDT!P$33:P$42,B37,EDT!Q$33:Q$42,"&gt;&lt;",EDT!R$33:R$42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,COUNTIFS(#REF!,B37,#REF!,"&gt;&lt;",#REF!,"Répit"))*2</f>
        <v>#REF!</v>
      </c>
      <c r="I37" s="193">
        <f ca="1">IFERROR(__xludf.DUMMYFUNCTION("""COMPUTED_VALUE"""),11.88)</f>
        <v>11.88</v>
      </c>
      <c r="J37" s="194" t="e">
        <f t="shared" ca="1" si="2"/>
        <v>#REF!</v>
      </c>
      <c r="K37" s="195" t="e">
        <f t="shared" ca="1" si="3"/>
        <v>#REF!</v>
      </c>
      <c r="L37" s="195" t="str">
        <f ca="1">IFERROR(__xludf.DUMMYFUNCTION("""COMPUTED_VALUE"""),"Mme GUILLAIN Inès")</f>
        <v>Mme GUILLAIN Inès</v>
      </c>
      <c r="M37" s="200" t="str">
        <f ca="1">IFERROR(__xludf.DUMMYFUNCTION("""COMPUTED_VALUE"""),"195 route de la gare 
47450 Colayrac")</f>
        <v>195 route de la gare 
47450 Colayrac</v>
      </c>
      <c r="N37" s="196">
        <v>35</v>
      </c>
      <c r="O37" s="198"/>
    </row>
    <row r="38" spans="1:15" ht="12.6">
      <c r="A38" s="199" t="str">
        <f ca="1">IFERROR(__xludf.DUMMYFUNCTION("""COMPUTED_VALUE"""),"BENAMARA ")</f>
        <v xml:space="preserve">BENAMARA </v>
      </c>
      <c r="B38" s="188" t="str">
        <f ca="1">IFERROR(__xludf.DUMMYFUNCTION("""COMPUTED_VALUE"""),"Sethi")</f>
        <v>Sethi</v>
      </c>
      <c r="C38" s="189" t="e">
        <f t="shared" ca="1" si="0"/>
        <v>#REF!</v>
      </c>
      <c r="D38" s="190" t="e">
        <f ca="1">SUM(COUNTIFS(EDT!D$5:D$25,B38,EDT!F$5:F$25,"ACM"),COUNTIFS(EDT!G$5:G$25,B38,EDT!I$5:I$25,"ACM"),COUNTIFS(EDT!J$5:J$25,B38,EDT!L$5:L$25,"ACM"),COUNTIFS(EDT!M$5:M$25,B38,EDT!O$5:O$25,"ACM"),COUNTIFS(EDT!P$5:P$25,B38,EDT!R$5:R$25,"ACM"),COUNTIFS(EDT!D$43:D$60,B38,EDT!F$43:F$60,"ACM"),COUNTIFS(EDT!G$43:G$60,B38,EDT!I$43:I$60,"ACM"),COUNTIFS(EDT!J$43:J$60,B38,EDT!L$43:L$60,"ACM"),COUNTIFS(EDT!M$43:M$60,B38,EDT!O$43:O$60,"ACM"),COUNTIFS(EDT!P$43:P$60,B38,EDT!R$43:R$60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)*3
+SUM(COUNTIFS(EDT!D$33:D$42,B38,EDT!F$33:F$42,"ACM"),COUNTIFS(EDT!G$33:G$42,B38,EDT!I$33:I$42,"ACM"),COUNTIFS(EDT!J$33:J$42,B38,EDT!L$33:L$42,"ACM"),COUNTIFS(EDT!M$33:M$42,B38,EDT!O$33:O$42,"ACM"),COUNTIFS(EDT!P$33:P$42,B38,EDT!R$33:R$42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,COUNTIFS(#REF!,B38,#REF!,"ACM"))*2</f>
        <v>#REF!</v>
      </c>
      <c r="E38" s="190" t="e">
        <f ca="1">SUM(COUNTIFS(EDT!D$5:D$25,B38,EDT!F$5:F$25,"Répit"),COUNTIFS(EDT!G$5:G$25,B38,EDT!I$5:I$25,"Répit"),COUNTIFS(EDT!J$5:J$25,B38,EDT!L$5:L$25,"Répit"),COUNTIFS(EDT!M$5:M$25,B38,EDT!O$5:O$25,"Répit"),COUNTIFS(EDT!P$5:P$25,B38,EDT!R$5:R$25,"Répit"),COUNTIFS(EDT!D$43:D$60,B38,EDT!F$43:F$60,"Répit"),COUNTIFS(EDT!G$43:G$60,B38,EDT!I$43:I$60,"Répit"),COUNTIFS(EDT!J$43:J$60,B38,EDT!L$43:L$60,"Répit"),COUNTIFS(EDT!M$43:M$60,B38,EDT!O$43:O$60,"Répit"),COUNTIFS(EDT!P$43:P$60,B38,EDT!R$43:R$60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)*3
+SUM(COUNTIFS(EDT!D$33:D$42,B38,EDT!F$33:F$42,"Répit"),COUNTIFS(EDT!G$33:G$42,B38,EDT!I$33:I$42,"Répit"),COUNTIFS(EDT!J$33:J$42,B38,EDT!L$33:L$42,"Répit"),COUNTIFS(EDT!M$33:M$42,B38,EDT!O$33:O$42,"Répit"),COUNTIFS(EDT!P$33:P$42,B38,EDT!R$33:R$42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,COUNTIFS(#REF!,B38,#REF!,"Répit"))*2</f>
        <v>#REF!</v>
      </c>
      <c r="F38" s="191" t="e">
        <f t="shared" ca="1" si="1"/>
        <v>#REF!</v>
      </c>
      <c r="G38" s="185" t="e">
        <f ca="1">SUM(COUNTIFS(EDT!D$5:D$25,B38,EDT!E$5:E$25,"&gt;&lt;",EDT!F$5:F$25,"ACM"),COUNTIFS(EDT!G$5:G$25,B38,EDT!H$5:H$25,"&gt;&lt;",EDT!I$5:I$25,"ACM"),COUNTIFS(EDT!J$5:J$25,B38,EDT!K$5:K$25,"&gt;&lt;",EDT!L$5:L$25,"ACM"),COUNTIFS(EDT!M$5:M$25,B38,EDT!N$5:N$25,"&gt;&lt;",EDT!O$5:O$25,"ACM"),COUNTIFS(EDT!P$5:P$25,B38,EDT!Q$5:Q$25,"&gt;&lt;",EDT!R$5:R$25,"ACM"),COUNTIFS(EDT!D$43:D$60,B38,EDT!E$43:E$60,"&gt;&lt;",EDT!F$43:F$60,"ACM"),COUNTIFS(EDT!G$43:G$60,B38,EDT!H$43:H$60,"&gt;&lt;",EDT!I$43:I$60,"ACM"),COUNTIFS(EDT!J$43:J$60,B38,EDT!K$43:K$60,"&gt;&lt;",EDT!L$43:L$60,"ACM"),COUNTIFS(EDT!M$43:M$60,B38,EDT!N$43:N$60,"&gt;&lt;",EDT!O$43:O$60,"ACM"),COUNTIFS(EDT!P$43:P$60,B38,EDT!Q$43:Q$60,"&gt;&lt;",EDT!R$43:R$60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)*3
+SUM(COUNTIFS(EDT!D$33:D$42,B38,EDT!E$33:E$42,"&gt;&lt;",EDT!F$33:F$42,"ACM"),COUNTIFS(EDT!G$33:G$42,B38,EDT!H$33:H$42,"&gt;&lt;",EDT!I$33:I$42,"ACM"),COUNTIFS(EDT!J$33:J$42,B38,EDT!K$33:K$42,"&gt;&lt;",EDT!L$33:L$42,"ACM"),COUNTIFS(EDT!M$33:M$42,B38,EDT!N$33:N$42,"&gt;&lt;",EDT!O$33:O$42,"ACM"),COUNTIFS(EDT!P$33:P$42,B38,EDT!Q$33:Q$42,"&gt;&lt;",EDT!R$33:R$42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,COUNTIFS(#REF!,B38,#REF!,"&gt;&lt;",#REF!,"ACM"))*2</f>
        <v>#REF!</v>
      </c>
      <c r="H38" s="192">
        <v>9</v>
      </c>
      <c r="I38" s="193">
        <f ca="1">IFERROR(__xludf.DUMMYFUNCTION("""COMPUTED_VALUE"""),11.88)</f>
        <v>11.88</v>
      </c>
      <c r="J38" s="194">
        <f t="shared" ca="1" si="2"/>
        <v>106.92</v>
      </c>
      <c r="K38" s="195">
        <f t="shared" si="3"/>
        <v>1</v>
      </c>
      <c r="L38" s="195" t="str">
        <f ca="1">IFERROR(__xludf.DUMMYFUNCTION("""COMPUTED_VALUE"""),"Mme VANNOYE Valérie")</f>
        <v>Mme VANNOYE Valérie</v>
      </c>
      <c r="M38" s="200" t="str">
        <f ca="1">IFERROR(__xludf.DUMMYFUNCTION("""COMPUTED_VALUE"""),"14 Rue Felix Cassagneau 
47220 Astaffort ")</f>
        <v xml:space="preserve">14 Rue Felix Cassagneau 
47220 Astaffort </v>
      </c>
      <c r="N38" s="196">
        <v>36</v>
      </c>
      <c r="O38" s="198"/>
    </row>
    <row r="39" spans="1:15" ht="12.6">
      <c r="A39" s="199" t="str">
        <f ca="1">IFERROR(__xludf.DUMMYFUNCTION("""COMPUTED_VALUE"""),"COLLIGNON")</f>
        <v>COLLIGNON</v>
      </c>
      <c r="B39" s="188" t="str">
        <f ca="1">IFERROR(__xludf.DUMMYFUNCTION("""COMPUTED_VALUE"""),"Simon")</f>
        <v>Simon</v>
      </c>
      <c r="C39" s="189" t="e">
        <f t="shared" ca="1" si="0"/>
        <v>#REF!</v>
      </c>
      <c r="D39" s="190" t="e">
        <f ca="1">SUM(COUNTIFS(EDT!D$5:D$25,B39,EDT!F$5:F$25,"ACM"),COUNTIFS(EDT!G$5:G$25,B39,EDT!I$5:I$25,"ACM"),COUNTIFS(EDT!J$5:J$25,B39,EDT!L$5:L$25,"ACM"),COUNTIFS(EDT!M$5:M$25,B39,EDT!O$5:O$25,"ACM"),COUNTIFS(EDT!P$5:P$25,B39,EDT!R$5:R$25,"ACM"),COUNTIFS(EDT!D$43:D$60,B39,EDT!F$43:F$60,"ACM"),COUNTIFS(EDT!G$43:G$60,B39,EDT!I$43:I$60,"ACM"),COUNTIFS(EDT!J$43:J$60,B39,EDT!L$43:L$60,"ACM"),COUNTIFS(EDT!M$43:M$60,B39,EDT!O$43:O$60,"ACM"),COUNTIFS(EDT!P$43:P$60,B39,EDT!R$43:R$60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)*3
+SUM(COUNTIFS(EDT!D$33:D$42,B39,EDT!F$33:F$42,"ACM"),COUNTIFS(EDT!G$33:G$42,B39,EDT!I$33:I$42,"ACM"),COUNTIFS(EDT!J$33:J$42,B39,EDT!L$33:L$42,"ACM"),COUNTIFS(EDT!M$33:M$42,B39,EDT!O$33:O$42,"ACM"),COUNTIFS(EDT!P$33:P$42,B39,EDT!R$33:R$42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,COUNTIFS(#REF!,B39,#REF!,"ACM"))*2</f>
        <v>#REF!</v>
      </c>
      <c r="E39" s="190" t="e">
        <f ca="1">SUM(COUNTIFS(EDT!D$5:D$25,B39,EDT!F$5:F$25,"Répit"),COUNTIFS(EDT!G$5:G$25,B39,EDT!I$5:I$25,"Répit"),COUNTIFS(EDT!J$5:J$25,B39,EDT!L$5:L$25,"Répit"),COUNTIFS(EDT!M$5:M$25,B39,EDT!O$5:O$25,"Répit"),COUNTIFS(EDT!P$5:P$25,B39,EDT!R$5:R$25,"Répit"),COUNTIFS(EDT!D$43:D$60,B39,EDT!F$43:F$60,"Répit"),COUNTIFS(EDT!G$43:G$60,B39,EDT!I$43:I$60,"Répit"),COUNTIFS(EDT!J$43:J$60,B39,EDT!L$43:L$60,"Répit"),COUNTIFS(EDT!M$43:M$60,B39,EDT!O$43:O$60,"Répit"),COUNTIFS(EDT!P$43:P$60,B39,EDT!R$43:R$60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)*3
+SUM(COUNTIFS(EDT!D$33:D$42,B39,EDT!F$33:F$42,"Répit"),COUNTIFS(EDT!G$33:G$42,B39,EDT!I$33:I$42,"Répit"),COUNTIFS(EDT!J$33:J$42,B39,EDT!L$33:L$42,"Répit"),COUNTIFS(EDT!M$33:M$42,B39,EDT!O$33:O$42,"Répit"),COUNTIFS(EDT!P$33:P$42,B39,EDT!R$33:R$42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,COUNTIFS(#REF!,B39,#REF!,"Répit"))*2</f>
        <v>#REF!</v>
      </c>
      <c r="F39" s="191" t="e">
        <f t="shared" ca="1" si="1"/>
        <v>#REF!</v>
      </c>
      <c r="G39" s="185" t="e">
        <f ca="1">SUM(COUNTIFS(EDT!D$5:D$25,B39,EDT!E$5:E$25,"&gt;&lt;",EDT!F$5:F$25,"ACM"),COUNTIFS(EDT!G$5:G$25,B39,EDT!H$5:H$25,"&gt;&lt;",EDT!I$5:I$25,"ACM"),COUNTIFS(EDT!J$5:J$25,B39,EDT!K$5:K$25,"&gt;&lt;",EDT!L$5:L$25,"ACM"),COUNTIFS(EDT!M$5:M$25,B39,EDT!N$5:N$25,"&gt;&lt;",EDT!O$5:O$25,"ACM"),COUNTIFS(EDT!P$5:P$25,B39,EDT!Q$5:Q$25,"&gt;&lt;",EDT!R$5:R$25,"ACM"),COUNTIFS(EDT!D$43:D$60,B39,EDT!E$43:E$60,"&gt;&lt;",EDT!F$43:F$60,"ACM"),COUNTIFS(EDT!G$43:G$60,B39,EDT!H$43:H$60,"&gt;&lt;",EDT!I$43:I$60,"ACM"),COUNTIFS(EDT!J$43:J$60,B39,EDT!K$43:K$60,"&gt;&lt;",EDT!L$43:L$60,"ACM"),COUNTIFS(EDT!M$43:M$60,B39,EDT!N$43:N$60,"&gt;&lt;",EDT!O$43:O$60,"ACM"),COUNTIFS(EDT!P$43:P$60,B39,EDT!Q$43:Q$60,"&gt;&lt;",EDT!R$43:R$60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)*3
+SUM(COUNTIFS(EDT!D$33:D$42,B39,EDT!E$33:E$42,"&gt;&lt;",EDT!F$33:F$42,"ACM"),COUNTIFS(EDT!G$33:G$42,B39,EDT!H$33:H$42,"&gt;&lt;",EDT!I$33:I$42,"ACM"),COUNTIFS(EDT!J$33:J$42,B39,EDT!K$33:K$42,"&gt;&lt;",EDT!L$33:L$42,"ACM"),COUNTIFS(EDT!M$33:M$42,B39,EDT!N$33:N$42,"&gt;&lt;",EDT!O$33:O$42,"ACM"),COUNTIFS(EDT!P$33:P$42,B39,EDT!Q$33:Q$42,"&gt;&lt;",EDT!R$33:R$42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,COUNTIFS(#REF!,B39,#REF!,"&gt;&lt;",#REF!,"ACM"))*2</f>
        <v>#REF!</v>
      </c>
      <c r="H39" s="192">
        <v>6</v>
      </c>
      <c r="I39" s="193">
        <f ca="1">IFERROR(__xludf.DUMMYFUNCTION("""COMPUTED_VALUE"""),11.88)</f>
        <v>11.88</v>
      </c>
      <c r="J39" s="194">
        <f t="shared" ca="1" si="2"/>
        <v>71.28</v>
      </c>
      <c r="K39" s="195">
        <f t="shared" si="3"/>
        <v>1</v>
      </c>
      <c r="L39" s="195" t="str">
        <f ca="1">IFERROR(__xludf.DUMMYFUNCTION("""COMPUTED_VALUE"""),"Mme COLLIGNON Hélène")</f>
        <v>Mme COLLIGNON Hélène</v>
      </c>
      <c r="M39" s="200" t="str">
        <f ca="1">IFERROR(__xludf.DUMMYFUNCTION("""COMPUTED_VALUE"""),"Lieu dit Vignoble 
47480 Pont Du Casse")</f>
        <v>Lieu dit Vignoble 
47480 Pont Du Casse</v>
      </c>
      <c r="N39" s="196">
        <v>37</v>
      </c>
      <c r="O39" s="198"/>
    </row>
    <row r="40" spans="1:15" ht="12.6">
      <c r="A40" s="199" t="str">
        <f ca="1">IFERROR(__xludf.DUMMYFUNCTION("""COMPUTED_VALUE"""),"EL JAOUDI")</f>
        <v>EL JAOUDI</v>
      </c>
      <c r="B40" s="188" t="str">
        <f ca="1">IFERROR(__xludf.DUMMYFUNCTION("""COMPUTED_VALUE"""),"Sohan")</f>
        <v>Sohan</v>
      </c>
      <c r="C40" s="189" t="e">
        <f t="shared" ca="1" si="0"/>
        <v>#REF!</v>
      </c>
      <c r="D40" s="190" t="e">
        <f ca="1">SUM(COUNTIFS(EDT!D$5:D$25,B40,EDT!F$5:F$25,"ACM"),COUNTIFS(EDT!G$5:G$25,B40,EDT!I$5:I$25,"ACM"),COUNTIFS(EDT!J$5:J$25,B40,EDT!L$5:L$25,"ACM"),COUNTIFS(EDT!M$5:M$25,B40,EDT!O$5:O$25,"ACM"),COUNTIFS(EDT!P$5:P$25,B40,EDT!R$5:R$25,"ACM"),COUNTIFS(EDT!D$43:D$60,B40,EDT!F$43:F$60,"ACM"),COUNTIFS(EDT!G$43:G$60,B40,EDT!I$43:I$60,"ACM"),COUNTIFS(EDT!J$43:J$60,B40,EDT!L$43:L$60,"ACM"),COUNTIFS(EDT!M$43:M$60,B40,EDT!O$43:O$60,"ACM"),COUNTIFS(EDT!P$43:P$60,B40,EDT!R$43:R$60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)*3
+SUM(COUNTIFS(EDT!D$33:D$42,B40,EDT!F$33:F$42,"ACM"),COUNTIFS(EDT!G$33:G$42,B40,EDT!I$33:I$42,"ACM"),COUNTIFS(EDT!J$33:J$42,B40,EDT!L$33:L$42,"ACM"),COUNTIFS(EDT!M$33:M$42,B40,EDT!O$33:O$42,"ACM"),COUNTIFS(EDT!P$33:P$42,B40,EDT!R$33:R$42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,COUNTIFS(#REF!,B40,#REF!,"ACM"))*2</f>
        <v>#REF!</v>
      </c>
      <c r="E40" s="190" t="e">
        <f ca="1">SUM(COUNTIFS(EDT!D$5:D$25,B40,EDT!F$5:F$25,"Répit"),COUNTIFS(EDT!G$5:G$25,B40,EDT!I$5:I$25,"Répit"),COUNTIFS(EDT!J$5:J$25,B40,EDT!L$5:L$25,"Répit"),COUNTIFS(EDT!M$5:M$25,B40,EDT!O$5:O$25,"Répit"),COUNTIFS(EDT!P$5:P$25,B40,EDT!R$5:R$25,"Répit"),COUNTIFS(EDT!D$43:D$60,B40,EDT!F$43:F$60,"Répit"),COUNTIFS(EDT!G$43:G$60,B40,EDT!I$43:I$60,"Répit"),COUNTIFS(EDT!J$43:J$60,B40,EDT!L$43:L$60,"Répit"),COUNTIFS(EDT!M$43:M$60,B40,EDT!O$43:O$60,"Répit"),COUNTIFS(EDT!P$43:P$60,B40,EDT!R$43:R$60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)*3
+SUM(COUNTIFS(EDT!D$33:D$42,B40,EDT!F$33:F$42,"Répit"),COUNTIFS(EDT!G$33:G$42,B40,EDT!I$33:I$42,"Répit"),COUNTIFS(EDT!J$33:J$42,B40,EDT!L$33:L$42,"Répit"),COUNTIFS(EDT!M$33:M$42,B40,EDT!O$33:O$42,"Répit"),COUNTIFS(EDT!P$33:P$42,B40,EDT!R$33:R$42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,COUNTIFS(#REF!,B40,#REF!,"Répit"))*2</f>
        <v>#REF!</v>
      </c>
      <c r="F40" s="191" t="e">
        <f t="shared" ca="1" si="1"/>
        <v>#REF!</v>
      </c>
      <c r="G40" s="185" t="e">
        <f ca="1">SUM(COUNTIFS(EDT!D$5:D$25,B40,EDT!E$5:E$25,"&gt;&lt;",EDT!F$5:F$25,"ACM"),COUNTIFS(EDT!G$5:G$25,B40,EDT!H$5:H$25,"&gt;&lt;",EDT!I$5:I$25,"ACM"),COUNTIFS(EDT!J$5:J$25,B40,EDT!K$5:K$25,"&gt;&lt;",EDT!L$5:L$25,"ACM"),COUNTIFS(EDT!M$5:M$25,B40,EDT!N$5:N$25,"&gt;&lt;",EDT!O$5:O$25,"ACM"),COUNTIFS(EDT!P$5:P$25,B40,EDT!Q$5:Q$25,"&gt;&lt;",EDT!R$5:R$25,"ACM"),COUNTIFS(EDT!D$43:D$60,B40,EDT!E$43:E$60,"&gt;&lt;",EDT!F$43:F$60,"ACM"),COUNTIFS(EDT!G$43:G$60,B40,EDT!H$43:H$60,"&gt;&lt;",EDT!I$43:I$60,"ACM"),COUNTIFS(EDT!J$43:J$60,B40,EDT!K$43:K$60,"&gt;&lt;",EDT!L$43:L$60,"ACM"),COUNTIFS(EDT!M$43:M$60,B40,EDT!N$43:N$60,"&gt;&lt;",EDT!O$43:O$60,"ACM"),COUNTIFS(EDT!P$43:P$60,B40,EDT!Q$43:Q$60,"&gt;&lt;",EDT!R$43:R$60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)*3
+SUM(COUNTIFS(EDT!D$33:D$42,B40,EDT!E$33:E$42,"&gt;&lt;",EDT!F$33:F$42,"ACM"),COUNTIFS(EDT!G$33:G$42,B40,EDT!H$33:H$42,"&gt;&lt;",EDT!I$33:I$42,"ACM"),COUNTIFS(EDT!J$33:J$42,B40,EDT!K$33:K$42,"&gt;&lt;",EDT!L$33:L$42,"ACM"),COUNTIFS(EDT!M$33:M$42,B40,EDT!N$33:N$42,"&gt;&lt;",EDT!O$33:O$42,"ACM"),COUNTIFS(EDT!P$33:P$42,B40,EDT!Q$33:Q$42,"&gt;&lt;",EDT!R$33:R$42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,COUNTIFS(#REF!,B40,#REF!,"&gt;&lt;",#REF!,"ACM"))*2</f>
        <v>#REF!</v>
      </c>
      <c r="H40" s="192" t="e">
        <f ca="1">SUM(COUNTIFS(EDT!D$5:D$25,B40,EDT!E$5:E$25,"&gt;&lt;",EDT!F$5:F$25,"Répit"),COUNTIFS(EDT!G$5:G$25,B40,EDT!H$5:H$25,"&gt;&lt;",EDT!I$5:I$25,"Répit"),COUNTIFS(EDT!J$5:J$25,B40,EDT!K$5:K$25,"&gt;&lt;",EDT!L$5:L$25,"Répit"),COUNTIFS(EDT!M$5:M$25,B40,EDT!N$5:N$25,"&gt;&lt;",EDT!O$5:O$25,"Répit"),COUNTIFS(EDT!P$5:P$25,B40,EDT!Q$5:Q$25,"&gt;&lt;",EDT!R$5:R$25,"Répit"),COUNTIFS(EDT!D$43:D$60,B40,EDT!E$43:E$60,"&gt;&lt;",EDT!F$43:F$60,"Répit"),COUNTIFS(EDT!G$43:G$60,B40,EDT!H$43:H$60,"&gt;&lt;",EDT!I$43:I$60,"Répit"),COUNTIFS(EDT!J$43:J$60,B40,EDT!K$43:K$60,"&gt;&lt;",EDT!L$43:L$60,"Répit"),COUNTIFS(EDT!M$43:M$60,B40,EDT!N$43:N$60,"&gt;&lt;",EDT!O$43:O$60,"Répit"),COUNTIFS(EDT!P$43:P$60,B40,EDT!Q$43:Q$60,"&gt;&lt;",EDT!R$43:R$60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)*3
+SUM(COUNTIFS(EDT!D$33:D$42,B40,EDT!E$33:E$42,"&gt;&lt;",EDT!F$33:F$42,"Répit"),COUNTIFS(EDT!G$33:G$42,B40,EDT!H$33:H$42,"&gt;&lt;",EDT!I$33:I$42,"Répit"),COUNTIFS(EDT!J$33:J$42,B40,EDT!K$33:K$42,"&gt;&lt;",EDT!L$33:L$42,"Répit"),COUNTIFS(EDT!M$33:M$42,B40,EDT!N$33:N$42,"&gt;&lt;",EDT!O$33:O$42,"Répit"),COUNTIFS(EDT!P$33:P$42,B40,EDT!Q$33:Q$42,"&gt;&lt;",EDT!R$33:R$42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,COUNTIFS(#REF!,B40,#REF!,"&gt;&lt;",#REF!,"Répit"))*2</f>
        <v>#REF!</v>
      </c>
      <c r="I40" s="193">
        <f ca="1">IFERROR(__xludf.DUMMYFUNCTION("""COMPUTED_VALUE"""),11.88)</f>
        <v>11.88</v>
      </c>
      <c r="J40" s="194" t="e">
        <f t="shared" ca="1" si="2"/>
        <v>#REF!</v>
      </c>
      <c r="K40" s="195" t="e">
        <f t="shared" ca="1" si="3"/>
        <v>#REF!</v>
      </c>
      <c r="L40" s="195" t="str">
        <f ca="1">IFERROR(__xludf.DUMMYFUNCTION("""COMPUTED_VALUE"""),"Mr et Mme El Jaoudi ")</f>
        <v xml:space="preserve">Mr et Mme El Jaoudi </v>
      </c>
      <c r="M40" s="200" t="str">
        <f ca="1">IFERROR(__xludf.DUMMYFUNCTION("""COMPUTED_VALUE"""),"959 Chemin de Pujols 
47310 Moirax")</f>
        <v>959 Chemin de Pujols 
47310 Moirax</v>
      </c>
      <c r="N40" s="196">
        <v>38</v>
      </c>
      <c r="O40" s="198"/>
    </row>
    <row r="41" spans="1:15" ht="12.6">
      <c r="A41" s="199" t="str">
        <f ca="1">IFERROR(__xludf.DUMMYFUNCTION("""COMPUTED_VALUE"""),"GOMEZ DE OLIVERA")</f>
        <v>GOMEZ DE OLIVERA</v>
      </c>
      <c r="B41" s="188" t="str">
        <f ca="1">IFERROR(__xludf.DUMMYFUNCTION("""COMPUTED_VALUE"""),"Valentin G.")</f>
        <v>Valentin G.</v>
      </c>
      <c r="C41" s="189" t="e">
        <f t="shared" ca="1" si="0"/>
        <v>#REF!</v>
      </c>
      <c r="D41" s="190" t="e">
        <f ca="1">SUM(COUNTIFS(EDT!D$5:D$25,B41,EDT!F$5:F$25,"ACM"),COUNTIFS(EDT!G$5:G$25,B41,EDT!I$5:I$25,"ACM"),COUNTIFS(EDT!J$5:J$25,B41,EDT!L$5:L$25,"ACM"),COUNTIFS(EDT!M$5:M$25,B41,EDT!O$5:O$25,"ACM"),COUNTIFS(EDT!P$5:P$25,B41,EDT!R$5:R$25,"ACM"),COUNTIFS(EDT!D$43:D$60,B41,EDT!F$43:F$60,"ACM"),COUNTIFS(EDT!G$43:G$60,B41,EDT!I$43:I$60,"ACM"),COUNTIFS(EDT!J$43:J$60,B41,EDT!L$43:L$60,"ACM"),COUNTIFS(EDT!M$43:M$60,B41,EDT!O$43:O$60,"ACM"),COUNTIFS(EDT!P$43:P$60,B41,EDT!R$43:R$60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)*3
+SUM(COUNTIFS(EDT!D$33:D$42,B41,EDT!F$33:F$42,"ACM"),COUNTIFS(EDT!G$33:G$42,B41,EDT!I$33:I$42,"ACM"),COUNTIFS(EDT!J$33:J$42,B41,EDT!L$33:L$42,"ACM"),COUNTIFS(EDT!M$33:M$42,B41,EDT!O$33:O$42,"ACM"),COUNTIFS(EDT!P$33:P$42,B41,EDT!R$33:R$42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,COUNTIFS(#REF!,B41,#REF!,"ACM"))*2</f>
        <v>#REF!</v>
      </c>
      <c r="E41" s="190" t="e">
        <f ca="1">SUM(COUNTIFS(EDT!D$5:D$25,B41,EDT!F$5:F$25,"Répit"),COUNTIFS(EDT!G$5:G$25,B41,EDT!I$5:I$25,"Répit"),COUNTIFS(EDT!J$5:J$25,B41,EDT!L$5:L$25,"Répit"),COUNTIFS(EDT!M$5:M$25,B41,EDT!O$5:O$25,"Répit"),COUNTIFS(EDT!P$5:P$25,B41,EDT!R$5:R$25,"Répit"),COUNTIFS(EDT!D$43:D$60,B41,EDT!F$43:F$60,"Répit"),COUNTIFS(EDT!G$43:G$60,B41,EDT!I$43:I$60,"Répit"),COUNTIFS(EDT!J$43:J$60,B41,EDT!L$43:L$60,"Répit"),COUNTIFS(EDT!M$43:M$60,B41,EDT!O$43:O$60,"Répit"),COUNTIFS(EDT!P$43:P$60,B41,EDT!R$43:R$60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)*3
+SUM(COUNTIFS(EDT!D$33:D$42,B41,EDT!F$33:F$42,"Répit"),COUNTIFS(EDT!G$33:G$42,B41,EDT!I$33:I$42,"Répit"),COUNTIFS(EDT!J$33:J$42,B41,EDT!L$33:L$42,"Répit"),COUNTIFS(EDT!M$33:M$42,B41,EDT!O$33:O$42,"Répit"),COUNTIFS(EDT!P$33:P$42,B41,EDT!R$33:R$42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,COUNTIFS(#REF!,B41,#REF!,"Répit"))*2</f>
        <v>#REF!</v>
      </c>
      <c r="F41" s="191" t="e">
        <f t="shared" ca="1" si="1"/>
        <v>#REF!</v>
      </c>
      <c r="G41" s="185" t="e">
        <f ca="1">SUM(COUNTIFS(EDT!D$5:D$25,B41,EDT!E$5:E$25,"&gt;&lt;",EDT!F$5:F$25,"ACM"),COUNTIFS(EDT!G$5:G$25,B41,EDT!H$5:H$25,"&gt;&lt;",EDT!I$5:I$25,"ACM"),COUNTIFS(EDT!J$5:J$25,B41,EDT!K$5:K$25,"&gt;&lt;",EDT!L$5:L$25,"ACM"),COUNTIFS(EDT!M$5:M$25,B41,EDT!N$5:N$25,"&gt;&lt;",EDT!O$5:O$25,"ACM"),COUNTIFS(EDT!P$5:P$25,B41,EDT!Q$5:Q$25,"&gt;&lt;",EDT!R$5:R$25,"ACM"),COUNTIFS(EDT!D$43:D$60,B41,EDT!E$43:E$60,"&gt;&lt;",EDT!F$43:F$60,"ACM"),COUNTIFS(EDT!G$43:G$60,B41,EDT!H$43:H$60,"&gt;&lt;",EDT!I$43:I$60,"ACM"),COUNTIFS(EDT!J$43:J$60,B41,EDT!K$43:K$60,"&gt;&lt;",EDT!L$43:L$60,"ACM"),COUNTIFS(EDT!M$43:M$60,B41,EDT!N$43:N$60,"&gt;&lt;",EDT!O$43:O$60,"ACM"),COUNTIFS(EDT!P$43:P$60,B41,EDT!Q$43:Q$60,"&gt;&lt;",EDT!R$43:R$60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)*3
+SUM(COUNTIFS(EDT!D$33:D$42,B41,EDT!E$33:E$42,"&gt;&lt;",EDT!F$33:F$42,"ACM"),COUNTIFS(EDT!G$33:G$42,B41,EDT!H$33:H$42,"&gt;&lt;",EDT!I$33:I$42,"ACM"),COUNTIFS(EDT!J$33:J$42,B41,EDT!K$33:K$42,"&gt;&lt;",EDT!L$33:L$42,"ACM"),COUNTIFS(EDT!M$33:M$42,B41,EDT!N$33:N$42,"&gt;&lt;",EDT!O$33:O$42,"ACM"),COUNTIFS(EDT!P$33:P$42,B41,EDT!Q$33:Q$42,"&gt;&lt;",EDT!R$33:R$42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,COUNTIFS(#REF!,B41,#REF!,"&gt;&lt;",#REF!,"ACM"))*2</f>
        <v>#REF!</v>
      </c>
      <c r="H41" s="192">
        <v>14</v>
      </c>
      <c r="I41" s="193">
        <f ca="1">IFERROR(__xludf.DUMMYFUNCTION("""COMPUTED_VALUE"""),11.88)</f>
        <v>11.88</v>
      </c>
      <c r="J41" s="194">
        <f t="shared" ca="1" si="2"/>
        <v>166.32000000000002</v>
      </c>
      <c r="K41" s="195">
        <f t="shared" si="3"/>
        <v>1</v>
      </c>
      <c r="L41" s="195" t="str">
        <f ca="1">IFERROR(__xludf.DUMMYFUNCTION("""COMPUTED_VALUE"""),"Mme DURY Céline")</f>
        <v>Mme DURY Céline</v>
      </c>
      <c r="M41" s="200" t="str">
        <f ca="1">IFERROR(__xludf.DUMMYFUNCTION("""COMPUTED_VALUE"""),"Lotissement Tuffal 
47270 Saint Caprès de Lerm")</f>
        <v>Lotissement Tuffal 
47270 Saint Caprès de Lerm</v>
      </c>
      <c r="N41" s="196">
        <v>39</v>
      </c>
      <c r="O41" s="198"/>
    </row>
    <row r="42" spans="1:15" ht="12.6">
      <c r="A42" s="199"/>
      <c r="B42" s="188"/>
      <c r="C42" s="189" t="e">
        <f t="shared" si="0"/>
        <v>#REF!</v>
      </c>
      <c r="D42" s="190" t="e">
        <f>SUM(COUNTIFS(EDT!D$5:D$25,B42,EDT!F$5:F$25,"ACM"),COUNTIFS(EDT!G$5:G$25,B42,EDT!I$5:I$25,"ACM"),COUNTIFS(EDT!J$5:J$25,B42,EDT!L$5:L$25,"ACM"),COUNTIFS(EDT!M$5:M$25,B42,EDT!O$5:O$25,"ACM"),COUNTIFS(EDT!P$5:P$25,B42,EDT!R$5:R$25,"ACM"),COUNTIFS(EDT!D$43:D$60,B42,EDT!F$43:F$60,"ACM"),COUNTIFS(EDT!G$43:G$60,B42,EDT!I$43:I$60,"ACM"),COUNTIFS(EDT!J$43:J$60,B42,EDT!L$43:L$60,"ACM"),COUNTIFS(EDT!M$43:M$60,B42,EDT!O$43:O$60,"ACM"),COUNTIFS(EDT!P$43:P$60,B42,EDT!R$43:R$60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)*3
+SUM(COUNTIFS(EDT!D$33:D$42,B42,EDT!F$33:F$42,"ACM"),COUNTIFS(EDT!G$33:G$42,B42,EDT!I$33:I$42,"ACM"),COUNTIFS(EDT!J$33:J$42,B42,EDT!L$33:L$42,"ACM"),COUNTIFS(EDT!M$33:M$42,B42,EDT!O$33:O$42,"ACM"),COUNTIFS(EDT!P$33:P$42,B42,EDT!R$33:R$42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,COUNTIFS(#REF!,B42,#REF!,"ACM"))*2</f>
        <v>#REF!</v>
      </c>
      <c r="E42" s="190" t="e">
        <f>SUM(COUNTIFS(EDT!D$5:D$25,B42,EDT!F$5:F$25,"Répit"),COUNTIFS(EDT!G$5:G$25,B42,EDT!I$5:I$25,"Répit"),COUNTIFS(EDT!J$5:J$25,B42,EDT!L$5:L$25,"Répit"),COUNTIFS(EDT!M$5:M$25,B42,EDT!O$5:O$25,"Répit"),COUNTIFS(EDT!P$5:P$25,B42,EDT!R$5:R$25,"Répit"),COUNTIFS(EDT!D$43:D$60,B42,EDT!F$43:F$60,"Répit"),COUNTIFS(EDT!G$43:G$60,B42,EDT!I$43:I$60,"Répit"),COUNTIFS(EDT!J$43:J$60,B42,EDT!L$43:L$60,"Répit"),COUNTIFS(EDT!M$43:M$60,B42,EDT!O$43:O$60,"Répit"),COUNTIFS(EDT!P$43:P$60,B42,EDT!R$43:R$60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)*3
+SUM(COUNTIFS(EDT!D$33:D$42,B42,EDT!F$33:F$42,"Répit"),COUNTIFS(EDT!G$33:G$42,B42,EDT!I$33:I$42,"Répit"),COUNTIFS(EDT!J$33:J$42,B42,EDT!L$33:L$42,"Répit"),COUNTIFS(EDT!M$33:M$42,B42,EDT!O$33:O$42,"Répit"),COUNTIFS(EDT!P$33:P$42,B42,EDT!R$33:R$42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,COUNTIFS(#REF!,B42,#REF!,"Répit"))*2</f>
        <v>#REF!</v>
      </c>
      <c r="F42" s="191" t="e">
        <f t="shared" si="1"/>
        <v>#REF!</v>
      </c>
      <c r="G42" s="185" t="e">
        <f>SUM(COUNTIFS(EDT!D$5:D$25,B42,EDT!E$5:E$25,"&gt;&lt;",EDT!F$5:F$25,"ACM"),COUNTIFS(EDT!G$5:G$25,B42,EDT!H$5:H$25,"&gt;&lt;",EDT!I$5:I$25,"ACM"),COUNTIFS(EDT!J$5:J$25,B42,EDT!K$5:K$25,"&gt;&lt;",EDT!L$5:L$25,"ACM"),COUNTIFS(EDT!M$5:M$25,B42,EDT!N$5:N$25,"&gt;&lt;",EDT!O$5:O$25,"ACM"),COUNTIFS(EDT!P$5:P$25,B42,EDT!Q$5:Q$25,"&gt;&lt;",EDT!R$5:R$25,"ACM"),COUNTIFS(EDT!D$43:D$60,B42,EDT!E$43:E$60,"&gt;&lt;",EDT!F$43:F$60,"ACM"),COUNTIFS(EDT!G$43:G$60,B42,EDT!H$43:H$60,"&gt;&lt;",EDT!I$43:I$60,"ACM"),COUNTIFS(EDT!J$43:J$60,B42,EDT!K$43:K$60,"&gt;&lt;",EDT!L$43:L$60,"ACM"),COUNTIFS(EDT!M$43:M$60,B42,EDT!N$43:N$60,"&gt;&lt;",EDT!O$43:O$60,"ACM"),COUNTIFS(EDT!P$43:P$60,B42,EDT!Q$43:Q$60,"&gt;&lt;",EDT!R$43:R$60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)*3
+SUM(COUNTIFS(EDT!D$33:D$42,B42,EDT!E$33:E$42,"&gt;&lt;",EDT!F$33:F$42,"ACM"),COUNTIFS(EDT!G$33:G$42,B42,EDT!H$33:H$42,"&gt;&lt;",EDT!I$33:I$42,"ACM"),COUNTIFS(EDT!J$33:J$42,B42,EDT!K$33:K$42,"&gt;&lt;",EDT!L$33:L$42,"ACM"),COUNTIFS(EDT!M$33:M$42,B42,EDT!N$33:N$42,"&gt;&lt;",EDT!O$33:O$42,"ACM"),COUNTIFS(EDT!P$33:P$42,B42,EDT!Q$33:Q$42,"&gt;&lt;",EDT!R$33:R$42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,COUNTIFS(#REF!,B42,#REF!,"&gt;&lt;",#REF!,"ACM"))*2</f>
        <v>#REF!</v>
      </c>
      <c r="H42" s="192" t="e">
        <f>SUM(COUNTIFS(EDT!D$5:D$25,B42,EDT!E$5:E$25,"&gt;&lt;",EDT!F$5:F$25,"Répit"),COUNTIFS(EDT!G$5:G$25,B42,EDT!H$5:H$25,"&gt;&lt;",EDT!I$5:I$25,"Répit"),COUNTIFS(EDT!J$5:J$25,B42,EDT!K$5:K$25,"&gt;&lt;",EDT!L$5:L$25,"Répit"),COUNTIFS(EDT!M$5:M$25,B42,EDT!N$5:N$25,"&gt;&lt;",EDT!O$5:O$25,"Répit"),COUNTIFS(EDT!P$5:P$25,B42,EDT!Q$5:Q$25,"&gt;&lt;",EDT!R$5:R$25,"Répit"),COUNTIFS(EDT!D$43:D$60,B42,EDT!E$43:E$60,"&gt;&lt;",EDT!F$43:F$60,"Répit"),COUNTIFS(EDT!G$43:G$60,B42,EDT!H$43:H$60,"&gt;&lt;",EDT!I$43:I$60,"Répit"),COUNTIFS(EDT!J$43:J$60,B42,EDT!K$43:K$60,"&gt;&lt;",EDT!L$43:L$60,"Répit"),COUNTIFS(EDT!M$43:M$60,B42,EDT!N$43:N$60,"&gt;&lt;",EDT!O$43:O$60,"Répit"),COUNTIFS(EDT!P$43:P$60,B42,EDT!Q$43:Q$60,"&gt;&lt;",EDT!R$43:R$60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)*3
+SUM(COUNTIFS(EDT!D$33:D$42,B42,EDT!E$33:E$42,"&gt;&lt;",EDT!F$33:F$42,"Répit"),COUNTIFS(EDT!G$33:G$42,B42,EDT!H$33:H$42,"&gt;&lt;",EDT!I$33:I$42,"Répit"),COUNTIFS(EDT!J$33:J$42,B42,EDT!K$33:K$42,"&gt;&lt;",EDT!L$33:L$42,"Répit"),COUNTIFS(EDT!M$33:M$42,B42,EDT!N$33:N$42,"&gt;&lt;",EDT!O$33:O$42,"Répit"),COUNTIFS(EDT!P$33:P$42,B42,EDT!Q$33:Q$42,"&gt;&lt;",EDT!R$33:R$42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,COUNTIFS(#REF!,B42,#REF!,"&gt;&lt;",#REF!,"Répit"))*2</f>
        <v>#REF!</v>
      </c>
      <c r="I42" s="201"/>
      <c r="J42" s="202" t="e">
        <f t="shared" si="2"/>
        <v>#REF!</v>
      </c>
      <c r="K42" s="195" t="e">
        <f t="shared" si="3"/>
        <v>#REF!</v>
      </c>
      <c r="L42" s="195"/>
      <c r="M42" s="195"/>
      <c r="N42" s="196">
        <v>40</v>
      </c>
      <c r="O42" s="198"/>
    </row>
    <row r="43" spans="1:15" ht="12.6">
      <c r="A43" s="199"/>
      <c r="B43" s="188"/>
      <c r="C43" s="189" t="e">
        <f t="shared" si="0"/>
        <v>#REF!</v>
      </c>
      <c r="D43" s="190" t="e">
        <f>SUM(COUNTIFS(EDT!D$5:D$25,B43,EDT!F$5:F$25,"ACM"),COUNTIFS(EDT!G$5:G$25,B43,EDT!I$5:I$25,"ACM"),COUNTIFS(EDT!J$5:J$25,B43,EDT!L$5:L$25,"ACM"),COUNTIFS(EDT!M$5:M$25,B43,EDT!O$5:O$25,"ACM"),COUNTIFS(EDT!P$5:P$25,B43,EDT!R$5:R$25,"ACM"),COUNTIFS(EDT!D$43:D$60,B43,EDT!F$43:F$60,"ACM"),COUNTIFS(EDT!G$43:G$60,B43,EDT!I$43:I$60,"ACM"),COUNTIFS(EDT!J$43:J$60,B43,EDT!L$43:L$60,"ACM"),COUNTIFS(EDT!M$43:M$60,B43,EDT!O$43:O$60,"ACM"),COUNTIFS(EDT!P$43:P$60,B43,EDT!R$43:R$60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)*3
+SUM(COUNTIFS(EDT!D$33:D$42,B43,EDT!F$33:F$42,"ACM"),COUNTIFS(EDT!G$33:G$42,B43,EDT!I$33:I$42,"ACM"),COUNTIFS(EDT!J$33:J$42,B43,EDT!L$33:L$42,"ACM"),COUNTIFS(EDT!M$33:M$42,B43,EDT!O$33:O$42,"ACM"),COUNTIFS(EDT!P$33:P$42,B43,EDT!R$33:R$42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,COUNTIFS(#REF!,B43,#REF!,"ACM"))*2</f>
        <v>#REF!</v>
      </c>
      <c r="E43" s="190" t="e">
        <f>SUM(COUNTIFS(EDT!D$5:D$25,B43,EDT!F$5:F$25,"Répit"),COUNTIFS(EDT!G$5:G$25,B43,EDT!I$5:I$25,"Répit"),COUNTIFS(EDT!J$5:J$25,B43,EDT!L$5:L$25,"Répit"),COUNTIFS(EDT!M$5:M$25,B43,EDT!O$5:O$25,"Répit"),COUNTIFS(EDT!P$5:P$25,B43,EDT!R$5:R$25,"Répit"),COUNTIFS(EDT!D$43:D$60,B43,EDT!F$43:F$60,"Répit"),COUNTIFS(EDT!G$43:G$60,B43,EDT!I$43:I$60,"Répit"),COUNTIFS(EDT!J$43:J$60,B43,EDT!L$43:L$60,"Répit"),COUNTIFS(EDT!M$43:M$60,B43,EDT!O$43:O$60,"Répit"),COUNTIFS(EDT!P$43:P$60,B43,EDT!R$43:R$60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)*3
+SUM(COUNTIFS(EDT!D$33:D$42,B43,EDT!F$33:F$42,"Répit"),COUNTIFS(EDT!G$33:G$42,B43,EDT!I$33:I$42,"Répit"),COUNTIFS(EDT!J$33:J$42,B43,EDT!L$33:L$42,"Répit"),COUNTIFS(EDT!M$33:M$42,B43,EDT!O$33:O$42,"Répit"),COUNTIFS(EDT!P$33:P$42,B43,EDT!R$33:R$42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,COUNTIFS(#REF!,B43,#REF!,"Répit"))*2</f>
        <v>#REF!</v>
      </c>
      <c r="F43" s="191" t="e">
        <f t="shared" si="1"/>
        <v>#REF!</v>
      </c>
      <c r="G43" s="185" t="e">
        <f>SUM(COUNTIFS(EDT!D$5:D$25,B43,EDT!E$5:E$25,"&gt;&lt;",EDT!F$5:F$25,"ACM"),COUNTIFS(EDT!G$5:G$25,B43,EDT!H$5:H$25,"&gt;&lt;",EDT!I$5:I$25,"ACM"),COUNTIFS(EDT!J$5:J$25,B43,EDT!K$5:K$25,"&gt;&lt;",EDT!L$5:L$25,"ACM"),COUNTIFS(EDT!M$5:M$25,B43,EDT!N$5:N$25,"&gt;&lt;",EDT!O$5:O$25,"ACM"),COUNTIFS(EDT!P$5:P$25,B43,EDT!Q$5:Q$25,"&gt;&lt;",EDT!R$5:R$25,"ACM"),COUNTIFS(EDT!D$43:D$60,B43,EDT!E$43:E$60,"&gt;&lt;",EDT!F$43:F$60,"ACM"),COUNTIFS(EDT!G$43:G$60,B43,EDT!H$43:H$60,"&gt;&lt;",EDT!I$43:I$60,"ACM"),COUNTIFS(EDT!J$43:J$60,B43,EDT!K$43:K$60,"&gt;&lt;",EDT!L$43:L$60,"ACM"),COUNTIFS(EDT!M$43:M$60,B43,EDT!N$43:N$60,"&gt;&lt;",EDT!O$43:O$60,"ACM"),COUNTIFS(EDT!P$43:P$60,B43,EDT!Q$43:Q$60,"&gt;&lt;",EDT!R$43:R$60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)*3
+SUM(COUNTIFS(EDT!D$33:D$42,B43,EDT!E$33:E$42,"&gt;&lt;",EDT!F$33:F$42,"ACM"),COUNTIFS(EDT!G$33:G$42,B43,EDT!H$33:H$42,"&gt;&lt;",EDT!I$33:I$42,"ACM"),COUNTIFS(EDT!J$33:J$42,B43,EDT!K$33:K$42,"&gt;&lt;",EDT!L$33:L$42,"ACM"),COUNTIFS(EDT!M$33:M$42,B43,EDT!N$33:N$42,"&gt;&lt;",EDT!O$33:O$42,"ACM"),COUNTIFS(EDT!P$33:P$42,B43,EDT!Q$33:Q$42,"&gt;&lt;",EDT!R$33:R$42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,COUNTIFS(#REF!,B43,#REF!,"&gt;&lt;",#REF!,"ACM"))*2</f>
        <v>#REF!</v>
      </c>
      <c r="H43" s="192">
        <v>6</v>
      </c>
      <c r="I43" s="201"/>
      <c r="J43" s="202">
        <f t="shared" si="2"/>
        <v>0</v>
      </c>
      <c r="K43" s="195">
        <f t="shared" si="3"/>
        <v>1</v>
      </c>
      <c r="L43" s="195"/>
      <c r="M43" s="195"/>
      <c r="N43" s="196">
        <v>41</v>
      </c>
      <c r="O43" s="198"/>
    </row>
    <row r="44" spans="1:15" ht="12.6">
      <c r="A44" s="199"/>
      <c r="B44" s="188"/>
      <c r="C44" s="189" t="e">
        <f t="shared" si="0"/>
        <v>#REF!</v>
      </c>
      <c r="D44" s="190" t="e">
        <f>SUM(COUNTIFS(EDT!D$5:D$25,B44,EDT!F$5:F$25,"ACM"),COUNTIFS(EDT!G$5:G$25,B44,EDT!I$5:I$25,"ACM"),COUNTIFS(EDT!J$5:J$25,B44,EDT!L$5:L$25,"ACM"),COUNTIFS(EDT!M$5:M$25,B44,EDT!O$5:O$25,"ACM"),COUNTIFS(EDT!P$5:P$25,B44,EDT!R$5:R$25,"ACM"),COUNTIFS(EDT!D$43:D$60,B44,EDT!F$43:F$60,"ACM"),COUNTIFS(EDT!G$43:G$60,B44,EDT!I$43:I$60,"ACM"),COUNTIFS(EDT!J$43:J$60,B44,EDT!L$43:L$60,"ACM"),COUNTIFS(EDT!M$43:M$60,B44,EDT!O$43:O$60,"ACM"),COUNTIFS(EDT!P$43:P$60,B44,EDT!R$43:R$60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)*3
+SUM(COUNTIFS(EDT!D$33:D$42,B44,EDT!F$33:F$42,"ACM"),COUNTIFS(EDT!G$33:G$42,B44,EDT!I$33:I$42,"ACM"),COUNTIFS(EDT!J$33:J$42,B44,EDT!L$33:L$42,"ACM"),COUNTIFS(EDT!M$33:M$42,B44,EDT!O$33:O$42,"ACM"),COUNTIFS(EDT!P$33:P$42,B44,EDT!R$33:R$42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,COUNTIFS(#REF!,B44,#REF!,"ACM"))*2</f>
        <v>#REF!</v>
      </c>
      <c r="E44" s="190" t="e">
        <f>SUM(COUNTIFS(EDT!D$5:D$25,B44,EDT!F$5:F$25,"Répit"),COUNTIFS(EDT!G$5:G$25,B44,EDT!I$5:I$25,"Répit"),COUNTIFS(EDT!J$5:J$25,B44,EDT!L$5:L$25,"Répit"),COUNTIFS(EDT!M$5:M$25,B44,EDT!O$5:O$25,"Répit"),COUNTIFS(EDT!P$5:P$25,B44,EDT!R$5:R$25,"Répit"),COUNTIFS(EDT!D$43:D$60,B44,EDT!F$43:F$60,"Répit"),COUNTIFS(EDT!G$43:G$60,B44,EDT!I$43:I$60,"Répit"),COUNTIFS(EDT!J$43:J$60,B44,EDT!L$43:L$60,"Répit"),COUNTIFS(EDT!M$43:M$60,B44,EDT!O$43:O$60,"Répit"),COUNTIFS(EDT!P$43:P$60,B44,EDT!R$43:R$60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)*3
+SUM(COUNTIFS(EDT!D$33:D$42,B44,EDT!F$33:F$42,"Répit"),COUNTIFS(EDT!G$33:G$42,B44,EDT!I$33:I$42,"Répit"),COUNTIFS(EDT!J$33:J$42,B44,EDT!L$33:L$42,"Répit"),COUNTIFS(EDT!M$33:M$42,B44,EDT!O$33:O$42,"Répit"),COUNTIFS(EDT!P$33:P$42,B44,EDT!R$33:R$42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,COUNTIFS(#REF!,B44,#REF!,"Répit"))*2</f>
        <v>#REF!</v>
      </c>
      <c r="F44" s="191" t="e">
        <f t="shared" si="1"/>
        <v>#REF!</v>
      </c>
      <c r="G44" s="185" t="e">
        <f>SUM(COUNTIFS(EDT!D$5:D$25,B44,EDT!E$5:E$25,"&gt;&lt;",EDT!F$5:F$25,"ACM"),COUNTIFS(EDT!G$5:G$25,B44,EDT!H$5:H$25,"&gt;&lt;",EDT!I$5:I$25,"ACM"),COUNTIFS(EDT!J$5:J$25,B44,EDT!K$5:K$25,"&gt;&lt;",EDT!L$5:L$25,"ACM"),COUNTIFS(EDT!M$5:M$25,B44,EDT!N$5:N$25,"&gt;&lt;",EDT!O$5:O$25,"ACM"),COUNTIFS(EDT!P$5:P$25,B44,EDT!Q$5:Q$25,"&gt;&lt;",EDT!R$5:R$25,"ACM"),COUNTIFS(EDT!D$43:D$60,B44,EDT!E$43:E$60,"&gt;&lt;",EDT!F$43:F$60,"ACM"),COUNTIFS(EDT!G$43:G$60,B44,EDT!H$43:H$60,"&gt;&lt;",EDT!I$43:I$60,"ACM"),COUNTIFS(EDT!J$43:J$60,B44,EDT!K$43:K$60,"&gt;&lt;",EDT!L$43:L$60,"ACM"),COUNTIFS(EDT!M$43:M$60,B44,EDT!N$43:N$60,"&gt;&lt;",EDT!O$43:O$60,"ACM"),COUNTIFS(EDT!P$43:P$60,B44,EDT!Q$43:Q$60,"&gt;&lt;",EDT!R$43:R$60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)*3
+SUM(COUNTIFS(EDT!D$33:D$42,B44,EDT!E$33:E$42,"&gt;&lt;",EDT!F$33:F$42,"ACM"),COUNTIFS(EDT!G$33:G$42,B44,EDT!H$33:H$42,"&gt;&lt;",EDT!I$33:I$42,"ACM"),COUNTIFS(EDT!J$33:J$42,B44,EDT!K$33:K$42,"&gt;&lt;",EDT!L$33:L$42,"ACM"),COUNTIFS(EDT!M$33:M$42,B44,EDT!N$33:N$42,"&gt;&lt;",EDT!O$33:O$42,"ACM"),COUNTIFS(EDT!P$33:P$42,B44,EDT!Q$33:Q$42,"&gt;&lt;",EDT!R$33:R$42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,COUNTIFS(#REF!,B44,#REF!,"&gt;&lt;",#REF!,"ACM"))*2</f>
        <v>#REF!</v>
      </c>
      <c r="H44" s="192" t="e">
        <f>SUM(COUNTIFS(EDT!D$5:D$25,B44,EDT!E$5:E$25,"&gt;&lt;",EDT!F$5:F$25,"Répit"),COUNTIFS(EDT!G$5:G$25,B44,EDT!H$5:H$25,"&gt;&lt;",EDT!I$5:I$25,"Répit"),COUNTIFS(EDT!J$5:J$25,B44,EDT!K$5:K$25,"&gt;&lt;",EDT!L$5:L$25,"Répit"),COUNTIFS(EDT!M$5:M$25,B44,EDT!N$5:N$25,"&gt;&lt;",EDT!O$5:O$25,"Répit"),COUNTIFS(EDT!P$5:P$25,B44,EDT!Q$5:Q$25,"&gt;&lt;",EDT!R$5:R$25,"Répit"),COUNTIFS(EDT!D$43:D$60,B44,EDT!E$43:E$60,"&gt;&lt;",EDT!F$43:F$60,"Répit"),COUNTIFS(EDT!G$43:G$60,B44,EDT!H$43:H$60,"&gt;&lt;",EDT!I$43:I$60,"Répit"),COUNTIFS(EDT!J$43:J$60,B44,EDT!K$43:K$60,"&gt;&lt;",EDT!L$43:L$60,"Répit"),COUNTIFS(EDT!M$43:M$60,B44,EDT!N$43:N$60,"&gt;&lt;",EDT!O$43:O$60,"Répit"),COUNTIFS(EDT!P$43:P$60,B44,EDT!Q$43:Q$60,"&gt;&lt;",EDT!R$43:R$60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)*3
+SUM(COUNTIFS(EDT!D$33:D$42,B44,EDT!E$33:E$42,"&gt;&lt;",EDT!F$33:F$42,"Répit"),COUNTIFS(EDT!G$33:G$42,B44,EDT!H$33:H$42,"&gt;&lt;",EDT!I$33:I$42,"Répit"),COUNTIFS(EDT!J$33:J$42,B44,EDT!K$33:K$42,"&gt;&lt;",EDT!L$33:L$42,"Répit"),COUNTIFS(EDT!M$33:M$42,B44,EDT!N$33:N$42,"&gt;&lt;",EDT!O$33:O$42,"Répit"),COUNTIFS(EDT!P$33:P$42,B44,EDT!Q$33:Q$42,"&gt;&lt;",EDT!R$33:R$42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,COUNTIFS(#REF!,B44,#REF!,"&gt;&lt;",#REF!,"Répit"))*2</f>
        <v>#REF!</v>
      </c>
      <c r="I44" s="201"/>
      <c r="J44" s="202" t="e">
        <f t="shared" si="2"/>
        <v>#REF!</v>
      </c>
      <c r="K44" s="195" t="e">
        <f t="shared" si="3"/>
        <v>#REF!</v>
      </c>
      <c r="L44" s="195"/>
      <c r="M44" s="195"/>
      <c r="N44" s="196">
        <v>42</v>
      </c>
      <c r="O44" s="198"/>
    </row>
    <row r="45" spans="1:15" ht="12.6">
      <c r="A45" s="199"/>
      <c r="B45" s="188"/>
      <c r="C45" s="189" t="e">
        <f t="shared" si="0"/>
        <v>#REF!</v>
      </c>
      <c r="D45" s="190" t="e">
        <f>SUM(COUNTIFS(EDT!D$5:D$25,B45,EDT!F$5:F$25,"ACM"),COUNTIFS(EDT!G$5:G$25,B45,EDT!I$5:I$25,"ACM"),COUNTIFS(EDT!J$5:J$25,B45,EDT!L$5:L$25,"ACM"),COUNTIFS(EDT!M$5:M$25,B45,EDT!O$5:O$25,"ACM"),COUNTIFS(EDT!P$5:P$25,B45,EDT!R$5:R$25,"ACM"),COUNTIFS(EDT!D$43:D$60,B45,EDT!F$43:F$60,"ACM"),COUNTIFS(EDT!G$43:G$60,B45,EDT!I$43:I$60,"ACM"),COUNTIFS(EDT!J$43:J$60,B45,EDT!L$43:L$60,"ACM"),COUNTIFS(EDT!M$43:M$60,B45,EDT!O$43:O$60,"ACM"),COUNTIFS(EDT!P$43:P$60,B45,EDT!R$43:R$60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)*3
+SUM(COUNTIFS(EDT!D$33:D$42,B45,EDT!F$33:F$42,"ACM"),COUNTIFS(EDT!G$33:G$42,B45,EDT!I$33:I$42,"ACM"),COUNTIFS(EDT!J$33:J$42,B45,EDT!L$33:L$42,"ACM"),COUNTIFS(EDT!M$33:M$42,B45,EDT!O$33:O$42,"ACM"),COUNTIFS(EDT!P$33:P$42,B45,EDT!R$33:R$42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,COUNTIFS(#REF!,B45,#REF!,"ACM"))*2</f>
        <v>#REF!</v>
      </c>
      <c r="E45" s="190" t="e">
        <f>SUM(COUNTIFS(EDT!D$5:D$25,B45,EDT!F$5:F$25,"Répit"),COUNTIFS(EDT!G$5:G$25,B45,EDT!I$5:I$25,"Répit"),COUNTIFS(EDT!J$5:J$25,B45,EDT!L$5:L$25,"Répit"),COUNTIFS(EDT!M$5:M$25,B45,EDT!O$5:O$25,"Répit"),COUNTIFS(EDT!P$5:P$25,B45,EDT!R$5:R$25,"Répit"),COUNTIFS(EDT!D$43:D$60,B45,EDT!F$43:F$60,"Répit"),COUNTIFS(EDT!G$43:G$60,B45,EDT!I$43:I$60,"Répit"),COUNTIFS(EDT!J$43:J$60,B45,EDT!L$43:L$60,"Répit"),COUNTIFS(EDT!M$43:M$60,B45,EDT!O$43:O$60,"Répit"),COUNTIFS(EDT!P$43:P$60,B45,EDT!R$43:R$60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)*3
+SUM(COUNTIFS(EDT!D$33:D$42,B45,EDT!F$33:F$42,"Répit"),COUNTIFS(EDT!G$33:G$42,B45,EDT!I$33:I$42,"Répit"),COUNTIFS(EDT!J$33:J$42,B45,EDT!L$33:L$42,"Répit"),COUNTIFS(EDT!M$33:M$42,B45,EDT!O$33:O$42,"Répit"),COUNTIFS(EDT!P$33:P$42,B45,EDT!R$33:R$42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,COUNTIFS(#REF!,B45,#REF!,"Répit"))*2</f>
        <v>#REF!</v>
      </c>
      <c r="F45" s="191" t="e">
        <f t="shared" si="1"/>
        <v>#REF!</v>
      </c>
      <c r="G45" s="185" t="e">
        <f>SUM(COUNTIFS(EDT!D$5:D$25,B45,EDT!E$5:E$25,"&gt;&lt;",EDT!F$5:F$25,"ACM"),COUNTIFS(EDT!G$5:G$25,B45,EDT!H$5:H$25,"&gt;&lt;",EDT!I$5:I$25,"ACM"),COUNTIFS(EDT!J$5:J$25,B45,EDT!K$5:K$25,"&gt;&lt;",EDT!L$5:L$25,"ACM"),COUNTIFS(EDT!M$5:M$25,B45,EDT!N$5:N$25,"&gt;&lt;",EDT!O$5:O$25,"ACM"),COUNTIFS(EDT!P$5:P$25,B45,EDT!Q$5:Q$25,"&gt;&lt;",EDT!R$5:R$25,"ACM"),COUNTIFS(EDT!D$43:D$60,B45,EDT!E$43:E$60,"&gt;&lt;",EDT!F$43:F$60,"ACM"),COUNTIFS(EDT!G$43:G$60,B45,EDT!H$43:H$60,"&gt;&lt;",EDT!I$43:I$60,"ACM"),COUNTIFS(EDT!J$43:J$60,B45,EDT!K$43:K$60,"&gt;&lt;",EDT!L$43:L$60,"ACM"),COUNTIFS(EDT!M$43:M$60,B45,EDT!N$43:N$60,"&gt;&lt;",EDT!O$43:O$60,"ACM"),COUNTIFS(EDT!P$43:P$60,B45,EDT!Q$43:Q$60,"&gt;&lt;",EDT!R$43:R$60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)*3
+SUM(COUNTIFS(EDT!D$33:D$42,B45,EDT!E$33:E$42,"&gt;&lt;",EDT!F$33:F$42,"ACM"),COUNTIFS(EDT!G$33:G$42,B45,EDT!H$33:H$42,"&gt;&lt;",EDT!I$33:I$42,"ACM"),COUNTIFS(EDT!J$33:J$42,B45,EDT!K$33:K$42,"&gt;&lt;",EDT!L$33:L$42,"ACM"),COUNTIFS(EDT!M$33:M$42,B45,EDT!N$33:N$42,"&gt;&lt;",EDT!O$33:O$42,"ACM"),COUNTIFS(EDT!P$33:P$42,B45,EDT!Q$33:Q$42,"&gt;&lt;",EDT!R$33:R$42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,COUNTIFS(#REF!,B45,#REF!,"&gt;&lt;",#REF!,"ACM"))*2</f>
        <v>#REF!</v>
      </c>
      <c r="H45" s="192">
        <v>12</v>
      </c>
      <c r="I45" s="201"/>
      <c r="J45" s="202">
        <f t="shared" si="2"/>
        <v>0</v>
      </c>
      <c r="K45" s="195">
        <f t="shared" si="3"/>
        <v>1</v>
      </c>
      <c r="L45" s="195"/>
      <c r="M45" s="195"/>
      <c r="N45" s="196">
        <v>43</v>
      </c>
      <c r="O45" s="198"/>
    </row>
    <row r="46" spans="1:15" ht="12.6">
      <c r="A46" s="199"/>
      <c r="B46" s="188"/>
      <c r="C46" s="189" t="e">
        <f t="shared" si="0"/>
        <v>#REF!</v>
      </c>
      <c r="D46" s="190" t="e">
        <f>SUM(COUNTIFS(EDT!D$5:D$25,B46,EDT!F$5:F$25,"ACM"),COUNTIFS(EDT!G$5:G$25,B46,EDT!I$5:I$25,"ACM"),COUNTIFS(EDT!J$5:J$25,B46,EDT!L$5:L$25,"ACM"),COUNTIFS(EDT!M$5:M$25,B46,EDT!O$5:O$25,"ACM"),COUNTIFS(EDT!P$5:P$25,B46,EDT!R$5:R$25,"ACM"),COUNTIFS(EDT!D$43:D$60,B46,EDT!F$43:F$60,"ACM"),COUNTIFS(EDT!G$43:G$60,B46,EDT!I$43:I$60,"ACM"),COUNTIFS(EDT!J$43:J$60,B46,EDT!L$43:L$60,"ACM"),COUNTIFS(EDT!M$43:M$60,B46,EDT!O$43:O$60,"ACM"),COUNTIFS(EDT!P$43:P$60,B46,EDT!R$43:R$60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)*3
+SUM(COUNTIFS(EDT!D$33:D$42,B46,EDT!F$33:F$42,"ACM"),COUNTIFS(EDT!G$33:G$42,B46,EDT!I$33:I$42,"ACM"),COUNTIFS(EDT!J$33:J$42,B46,EDT!L$33:L$42,"ACM"),COUNTIFS(EDT!M$33:M$42,B46,EDT!O$33:O$42,"ACM"),COUNTIFS(EDT!P$33:P$42,B46,EDT!R$33:R$42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,COUNTIFS(#REF!,B46,#REF!,"ACM"))*2</f>
        <v>#REF!</v>
      </c>
      <c r="E46" s="190" t="e">
        <f>SUM(COUNTIFS(EDT!D$5:D$25,B46,EDT!F$5:F$25,"Répit"),COUNTIFS(EDT!G$5:G$25,B46,EDT!I$5:I$25,"Répit"),COUNTIFS(EDT!J$5:J$25,B46,EDT!L$5:L$25,"Répit"),COUNTIFS(EDT!M$5:M$25,B46,EDT!O$5:O$25,"Répit"),COUNTIFS(EDT!P$5:P$25,B46,EDT!R$5:R$25,"Répit"),COUNTIFS(EDT!D$43:D$60,B46,EDT!F$43:F$60,"Répit"),COUNTIFS(EDT!G$43:G$60,B46,EDT!I$43:I$60,"Répit"),COUNTIFS(EDT!J$43:J$60,B46,EDT!L$43:L$60,"Répit"),COUNTIFS(EDT!M$43:M$60,B46,EDT!O$43:O$60,"Répit"),COUNTIFS(EDT!P$43:P$60,B46,EDT!R$43:R$60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)*3
+SUM(COUNTIFS(EDT!D$33:D$42,B46,EDT!F$33:F$42,"Répit"),COUNTIFS(EDT!G$33:G$42,B46,EDT!I$33:I$42,"Répit"),COUNTIFS(EDT!J$33:J$42,B46,EDT!L$33:L$42,"Répit"),COUNTIFS(EDT!M$33:M$42,B46,EDT!O$33:O$42,"Répit"),COUNTIFS(EDT!P$33:P$42,B46,EDT!R$33:R$42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,COUNTIFS(#REF!,B46,#REF!,"Répit"))*2</f>
        <v>#REF!</v>
      </c>
      <c r="F46" s="191" t="e">
        <f t="shared" si="1"/>
        <v>#REF!</v>
      </c>
      <c r="G46" s="185" t="e">
        <f>SUM(COUNTIFS(EDT!D$5:D$25,B46,EDT!E$5:E$25,"&gt;&lt;",EDT!F$5:F$25,"ACM"),COUNTIFS(EDT!G$5:G$25,B46,EDT!H$5:H$25,"&gt;&lt;",EDT!I$5:I$25,"ACM"),COUNTIFS(EDT!J$5:J$25,B46,EDT!K$5:K$25,"&gt;&lt;",EDT!L$5:L$25,"ACM"),COUNTIFS(EDT!M$5:M$25,B46,EDT!N$5:N$25,"&gt;&lt;",EDT!O$5:O$25,"ACM"),COUNTIFS(EDT!P$5:P$25,B46,EDT!Q$5:Q$25,"&gt;&lt;",EDT!R$5:R$25,"ACM"),COUNTIFS(EDT!D$43:D$60,B46,EDT!E$43:E$60,"&gt;&lt;",EDT!F$43:F$60,"ACM"),COUNTIFS(EDT!G$43:G$60,B46,EDT!H$43:H$60,"&gt;&lt;",EDT!I$43:I$60,"ACM"),COUNTIFS(EDT!J$43:J$60,B46,EDT!K$43:K$60,"&gt;&lt;",EDT!L$43:L$60,"ACM"),COUNTIFS(EDT!M$43:M$60,B46,EDT!N$43:N$60,"&gt;&lt;",EDT!O$43:O$60,"ACM"),COUNTIFS(EDT!P$43:P$60,B46,EDT!Q$43:Q$60,"&gt;&lt;",EDT!R$43:R$60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)*3
+SUM(COUNTIFS(EDT!D$33:D$42,B46,EDT!E$33:E$42,"&gt;&lt;",EDT!F$33:F$42,"ACM"),COUNTIFS(EDT!G$33:G$42,B46,EDT!H$33:H$42,"&gt;&lt;",EDT!I$33:I$42,"ACM"),COUNTIFS(EDT!J$33:J$42,B46,EDT!K$33:K$42,"&gt;&lt;",EDT!L$33:L$42,"ACM"),COUNTIFS(EDT!M$33:M$42,B46,EDT!N$33:N$42,"&gt;&lt;",EDT!O$33:O$42,"ACM"),COUNTIFS(EDT!P$33:P$42,B46,EDT!Q$33:Q$42,"&gt;&lt;",EDT!R$33:R$42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,COUNTIFS(#REF!,B46,#REF!,"&gt;&lt;",#REF!,"ACM"))*2</f>
        <v>#REF!</v>
      </c>
      <c r="H46" s="192" t="e">
        <f>SUM(COUNTIFS(EDT!D$5:D$25,B46,EDT!E$5:E$25,"&gt;&lt;",EDT!F$5:F$25,"Répit"),COUNTIFS(EDT!G$5:G$25,B46,EDT!H$5:H$25,"&gt;&lt;",EDT!I$5:I$25,"Répit"),COUNTIFS(EDT!J$5:J$25,B46,EDT!K$5:K$25,"&gt;&lt;",EDT!L$5:L$25,"Répit"),COUNTIFS(EDT!M$5:M$25,B46,EDT!N$5:N$25,"&gt;&lt;",EDT!O$5:O$25,"Répit"),COUNTIFS(EDT!P$5:P$25,B46,EDT!Q$5:Q$25,"&gt;&lt;",EDT!R$5:R$25,"Répit"),COUNTIFS(EDT!D$43:D$60,B46,EDT!E$43:E$60,"&gt;&lt;",EDT!F$43:F$60,"Répit"),COUNTIFS(EDT!G$43:G$60,B46,EDT!H$43:H$60,"&gt;&lt;",EDT!I$43:I$60,"Répit"),COUNTIFS(EDT!J$43:J$60,B46,EDT!K$43:K$60,"&gt;&lt;",EDT!L$43:L$60,"Répit"),COUNTIFS(EDT!M$43:M$60,B46,EDT!N$43:N$60,"&gt;&lt;",EDT!O$43:O$60,"Répit"),COUNTIFS(EDT!P$43:P$60,B46,EDT!Q$43:Q$60,"&gt;&lt;",EDT!R$43:R$60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)*3
+SUM(COUNTIFS(EDT!D$33:D$42,B46,EDT!E$33:E$42,"&gt;&lt;",EDT!F$33:F$42,"Répit"),COUNTIFS(EDT!G$33:G$42,B46,EDT!H$33:H$42,"&gt;&lt;",EDT!I$33:I$42,"Répit"),COUNTIFS(EDT!J$33:J$42,B46,EDT!K$33:K$42,"&gt;&lt;",EDT!L$33:L$42,"Répit"),COUNTIFS(EDT!M$33:M$42,B46,EDT!N$33:N$42,"&gt;&lt;",EDT!O$33:O$42,"Répit"),COUNTIFS(EDT!P$33:P$42,B46,EDT!Q$33:Q$42,"&gt;&lt;",EDT!R$33:R$42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,COUNTIFS(#REF!,B46,#REF!,"&gt;&lt;",#REF!,"Répit"))*2</f>
        <v>#REF!</v>
      </c>
      <c r="I46" s="201"/>
      <c r="J46" s="202" t="e">
        <f t="shared" si="2"/>
        <v>#REF!</v>
      </c>
      <c r="K46" s="195" t="e">
        <f t="shared" si="3"/>
        <v>#REF!</v>
      </c>
      <c r="L46" s="195"/>
      <c r="M46" s="195"/>
      <c r="N46" s="196">
        <v>44</v>
      </c>
      <c r="O46" s="198"/>
    </row>
    <row r="47" spans="1:15" ht="12.6">
      <c r="A47" s="199"/>
      <c r="B47" s="188"/>
      <c r="C47" s="189" t="e">
        <f t="shared" si="0"/>
        <v>#REF!</v>
      </c>
      <c r="D47" s="190" t="e">
        <f>SUM(COUNTIFS(EDT!D$5:D$25,B47,EDT!F$5:F$25,"ACM"),COUNTIFS(EDT!G$5:G$25,B47,EDT!I$5:I$25,"ACM"),COUNTIFS(EDT!J$5:J$25,B47,EDT!L$5:L$25,"ACM"),COUNTIFS(EDT!M$5:M$25,B47,EDT!O$5:O$25,"ACM"),COUNTIFS(EDT!P$5:P$25,B47,EDT!R$5:R$25,"ACM"),COUNTIFS(EDT!D$43:D$60,B47,EDT!F$43:F$60,"ACM"),COUNTIFS(EDT!G$43:G$60,B47,EDT!I$43:I$60,"ACM"),COUNTIFS(EDT!J$43:J$60,B47,EDT!L$43:L$60,"ACM"),COUNTIFS(EDT!M$43:M$60,B47,EDT!O$43:O$60,"ACM"),COUNTIFS(EDT!P$43:P$60,B47,EDT!R$43:R$60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)*3
+SUM(COUNTIFS(EDT!D$33:D$42,B47,EDT!F$33:F$42,"ACM"),COUNTIFS(EDT!G$33:G$42,B47,EDT!I$33:I$42,"ACM"),COUNTIFS(EDT!J$33:J$42,B47,EDT!L$33:L$42,"ACM"),COUNTIFS(EDT!M$33:M$42,B47,EDT!O$33:O$42,"ACM"),COUNTIFS(EDT!P$33:P$42,B47,EDT!R$33:R$42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,COUNTIFS(#REF!,B47,#REF!,"ACM"))*2</f>
        <v>#REF!</v>
      </c>
      <c r="E47" s="190" t="e">
        <f>SUM(COUNTIFS(EDT!D$5:D$25,B47,EDT!F$5:F$25,"Répit"),COUNTIFS(EDT!G$5:G$25,B47,EDT!I$5:I$25,"Répit"),COUNTIFS(EDT!J$5:J$25,B47,EDT!L$5:L$25,"Répit"),COUNTIFS(EDT!M$5:M$25,B47,EDT!O$5:O$25,"Répit"),COUNTIFS(EDT!P$5:P$25,B47,EDT!R$5:R$25,"Répit"),COUNTIFS(EDT!D$43:D$60,B47,EDT!F$43:F$60,"Répit"),COUNTIFS(EDT!G$43:G$60,B47,EDT!I$43:I$60,"Répit"),COUNTIFS(EDT!J$43:J$60,B47,EDT!L$43:L$60,"Répit"),COUNTIFS(EDT!M$43:M$60,B47,EDT!O$43:O$60,"Répit"),COUNTIFS(EDT!P$43:P$60,B47,EDT!R$43:R$60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)*3
+SUM(COUNTIFS(EDT!D$33:D$42,B47,EDT!F$33:F$42,"Répit"),COUNTIFS(EDT!G$33:G$42,B47,EDT!I$33:I$42,"Répit"),COUNTIFS(EDT!J$33:J$42,B47,EDT!L$33:L$42,"Répit"),COUNTIFS(EDT!M$33:M$42,B47,EDT!O$33:O$42,"Répit"),COUNTIFS(EDT!P$33:P$42,B47,EDT!R$33:R$42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,COUNTIFS(#REF!,B47,#REF!,"Répit"))*2</f>
        <v>#REF!</v>
      </c>
      <c r="F47" s="191" t="e">
        <f t="shared" si="1"/>
        <v>#REF!</v>
      </c>
      <c r="G47" s="185" t="e">
        <f>SUM(COUNTIFS(EDT!D$5:D$25,B47,EDT!E$5:E$25,"&gt;&lt;",EDT!F$5:F$25,"ACM"),COUNTIFS(EDT!G$5:G$25,B47,EDT!H$5:H$25,"&gt;&lt;",EDT!I$5:I$25,"ACM"),COUNTIFS(EDT!J$5:J$25,B47,EDT!K$5:K$25,"&gt;&lt;",EDT!L$5:L$25,"ACM"),COUNTIFS(EDT!M$5:M$25,B47,EDT!N$5:N$25,"&gt;&lt;",EDT!O$5:O$25,"ACM"),COUNTIFS(EDT!P$5:P$25,B47,EDT!Q$5:Q$25,"&gt;&lt;",EDT!R$5:R$25,"ACM"),COUNTIFS(EDT!D$43:D$60,B47,EDT!E$43:E$60,"&gt;&lt;",EDT!F$43:F$60,"ACM"),COUNTIFS(EDT!G$43:G$60,B47,EDT!H$43:H$60,"&gt;&lt;",EDT!I$43:I$60,"ACM"),COUNTIFS(EDT!J$43:J$60,B47,EDT!K$43:K$60,"&gt;&lt;",EDT!L$43:L$60,"ACM"),COUNTIFS(EDT!M$43:M$60,B47,EDT!N$43:N$60,"&gt;&lt;",EDT!O$43:O$60,"ACM"),COUNTIFS(EDT!P$43:P$60,B47,EDT!Q$43:Q$60,"&gt;&lt;",EDT!R$43:R$60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)*3
+SUM(COUNTIFS(EDT!D$33:D$42,B47,EDT!E$33:E$42,"&gt;&lt;",EDT!F$33:F$42,"ACM"),COUNTIFS(EDT!G$33:G$42,B47,EDT!H$33:H$42,"&gt;&lt;",EDT!I$33:I$42,"ACM"),COUNTIFS(EDT!J$33:J$42,B47,EDT!K$33:K$42,"&gt;&lt;",EDT!L$33:L$42,"ACM"),COUNTIFS(EDT!M$33:M$42,B47,EDT!N$33:N$42,"&gt;&lt;",EDT!O$33:O$42,"ACM"),COUNTIFS(EDT!P$33:P$42,B47,EDT!Q$33:Q$42,"&gt;&lt;",EDT!R$33:R$42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,COUNTIFS(#REF!,B47,#REF!,"&gt;&lt;",#REF!,"ACM"))*2</f>
        <v>#REF!</v>
      </c>
      <c r="H47" s="192">
        <v>3</v>
      </c>
      <c r="I47" s="201"/>
      <c r="J47" s="202">
        <f t="shared" si="2"/>
        <v>0</v>
      </c>
      <c r="K47" s="195">
        <f t="shared" si="3"/>
        <v>1</v>
      </c>
      <c r="L47" s="195"/>
      <c r="M47" s="195"/>
      <c r="N47" s="196">
        <v>45</v>
      </c>
      <c r="O47" s="198"/>
    </row>
    <row r="48" spans="1:15" ht="12.6">
      <c r="A48" s="199"/>
      <c r="B48" s="188"/>
      <c r="C48" s="189" t="e">
        <f t="shared" si="0"/>
        <v>#REF!</v>
      </c>
      <c r="D48" s="190" t="e">
        <f>SUM(COUNTIFS(EDT!D$5:D$25,B48,EDT!F$5:F$25,"ACM"),COUNTIFS(EDT!G$5:G$25,B48,EDT!I$5:I$25,"ACM"),COUNTIFS(EDT!J$5:J$25,B48,EDT!L$5:L$25,"ACM"),COUNTIFS(EDT!M$5:M$25,B48,EDT!O$5:O$25,"ACM"),COUNTIFS(EDT!P$5:P$25,B48,EDT!R$5:R$25,"ACM"),COUNTIFS(EDT!D$43:D$60,B48,EDT!F$43:F$60,"ACM"),COUNTIFS(EDT!G$43:G$60,B48,EDT!I$43:I$60,"ACM"),COUNTIFS(EDT!J$43:J$60,B48,EDT!L$43:L$60,"ACM"),COUNTIFS(EDT!M$43:M$60,B48,EDT!O$43:O$60,"ACM"),COUNTIFS(EDT!P$43:P$60,B48,EDT!R$43:R$60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)*3
+SUM(COUNTIFS(EDT!D$33:D$42,B48,EDT!F$33:F$42,"ACM"),COUNTIFS(EDT!G$33:G$42,B48,EDT!I$33:I$42,"ACM"),COUNTIFS(EDT!J$33:J$42,B48,EDT!L$33:L$42,"ACM"),COUNTIFS(EDT!M$33:M$42,B48,EDT!O$33:O$42,"ACM"),COUNTIFS(EDT!P$33:P$42,B48,EDT!R$33:R$42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,COUNTIFS(#REF!,B48,#REF!,"ACM"))*2</f>
        <v>#REF!</v>
      </c>
      <c r="E48" s="190" t="e">
        <f>SUM(COUNTIFS(EDT!D$5:D$25,B48,EDT!F$5:F$25,"Répit"),COUNTIFS(EDT!G$5:G$25,B48,EDT!I$5:I$25,"Répit"),COUNTIFS(EDT!J$5:J$25,B48,EDT!L$5:L$25,"Répit"),COUNTIFS(EDT!M$5:M$25,B48,EDT!O$5:O$25,"Répit"),COUNTIFS(EDT!P$5:P$25,B48,EDT!R$5:R$25,"Répit"),COUNTIFS(EDT!D$43:D$60,B48,EDT!F$43:F$60,"Répit"),COUNTIFS(EDT!G$43:G$60,B48,EDT!I$43:I$60,"Répit"),COUNTIFS(EDT!J$43:J$60,B48,EDT!L$43:L$60,"Répit"),COUNTIFS(EDT!M$43:M$60,B48,EDT!O$43:O$60,"Répit"),COUNTIFS(EDT!P$43:P$60,B48,EDT!R$43:R$60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)*3
+SUM(COUNTIFS(EDT!D$33:D$42,B48,EDT!F$33:F$42,"Répit"),COUNTIFS(EDT!G$33:G$42,B48,EDT!I$33:I$42,"Répit"),COUNTIFS(EDT!J$33:J$42,B48,EDT!L$33:L$42,"Répit"),COUNTIFS(EDT!M$33:M$42,B48,EDT!O$33:O$42,"Répit"),COUNTIFS(EDT!P$33:P$42,B48,EDT!R$33:R$42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,COUNTIFS(#REF!,B48,#REF!,"Répit"))*2</f>
        <v>#REF!</v>
      </c>
      <c r="F48" s="191" t="e">
        <f t="shared" si="1"/>
        <v>#REF!</v>
      </c>
      <c r="G48" s="185" t="e">
        <f>SUM(COUNTIFS(EDT!D$5:D$25,B48,EDT!E$5:E$25,"&gt;&lt;",EDT!F$5:F$25,"ACM"),COUNTIFS(EDT!G$5:G$25,B48,EDT!H$5:H$25,"&gt;&lt;",EDT!I$5:I$25,"ACM"),COUNTIFS(EDT!J$5:J$25,B48,EDT!K$5:K$25,"&gt;&lt;",EDT!L$5:L$25,"ACM"),COUNTIFS(EDT!M$5:M$25,B48,EDT!N$5:N$25,"&gt;&lt;",EDT!O$5:O$25,"ACM"),COUNTIFS(EDT!P$5:P$25,B48,EDT!Q$5:Q$25,"&gt;&lt;",EDT!R$5:R$25,"ACM"),COUNTIFS(EDT!D$43:D$60,B48,EDT!E$43:E$60,"&gt;&lt;",EDT!F$43:F$60,"ACM"),COUNTIFS(EDT!G$43:G$60,B48,EDT!H$43:H$60,"&gt;&lt;",EDT!I$43:I$60,"ACM"),COUNTIFS(EDT!J$43:J$60,B48,EDT!K$43:K$60,"&gt;&lt;",EDT!L$43:L$60,"ACM"),COUNTIFS(EDT!M$43:M$60,B48,EDT!N$43:N$60,"&gt;&lt;",EDT!O$43:O$60,"ACM"),COUNTIFS(EDT!P$43:P$60,B48,EDT!Q$43:Q$60,"&gt;&lt;",EDT!R$43:R$60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)*3
+SUM(COUNTIFS(EDT!D$33:D$42,B48,EDT!E$33:E$42,"&gt;&lt;",EDT!F$33:F$42,"ACM"),COUNTIFS(EDT!G$33:G$42,B48,EDT!H$33:H$42,"&gt;&lt;",EDT!I$33:I$42,"ACM"),COUNTIFS(EDT!J$33:J$42,B48,EDT!K$33:K$42,"&gt;&lt;",EDT!L$33:L$42,"ACM"),COUNTIFS(EDT!M$33:M$42,B48,EDT!N$33:N$42,"&gt;&lt;",EDT!O$33:O$42,"ACM"),COUNTIFS(EDT!P$33:P$42,B48,EDT!Q$33:Q$42,"&gt;&lt;",EDT!R$33:R$42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,COUNTIFS(#REF!,B48,#REF!,"&gt;&lt;",#REF!,"ACM"))*2</f>
        <v>#REF!</v>
      </c>
      <c r="H48" s="192">
        <v>6</v>
      </c>
      <c r="I48" s="201"/>
      <c r="J48" s="202">
        <f t="shared" si="2"/>
        <v>0</v>
      </c>
      <c r="K48" s="195">
        <f t="shared" si="3"/>
        <v>1</v>
      </c>
      <c r="L48" s="195"/>
      <c r="M48" s="195"/>
      <c r="N48" s="196">
        <v>46</v>
      </c>
      <c r="O48" s="198"/>
    </row>
    <row r="49" spans="1:15" ht="12.6">
      <c r="A49" s="199"/>
      <c r="B49" s="188"/>
      <c r="C49" s="189" t="e">
        <f t="shared" si="0"/>
        <v>#REF!</v>
      </c>
      <c r="D49" s="190" t="e">
        <f>SUM(COUNTIFS(EDT!D$5:D$25,B49,EDT!F$5:F$25,"ACM"),COUNTIFS(EDT!G$5:G$25,B49,EDT!I$5:I$25,"ACM"),COUNTIFS(EDT!J$5:J$25,B49,EDT!L$5:L$25,"ACM"),COUNTIFS(EDT!M$5:M$25,B49,EDT!O$5:O$25,"ACM"),COUNTIFS(EDT!P$5:P$25,B49,EDT!R$5:R$25,"ACM"),COUNTIFS(EDT!D$43:D$60,B49,EDT!F$43:F$60,"ACM"),COUNTIFS(EDT!G$43:G$60,B49,EDT!I$43:I$60,"ACM"),COUNTIFS(EDT!J$43:J$60,B49,EDT!L$43:L$60,"ACM"),COUNTIFS(EDT!M$43:M$60,B49,EDT!O$43:O$60,"ACM"),COUNTIFS(EDT!P$43:P$60,B49,EDT!R$43:R$60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)*3
+SUM(COUNTIFS(EDT!D$33:D$42,B49,EDT!F$33:F$42,"ACM"),COUNTIFS(EDT!G$33:G$42,B49,EDT!I$33:I$42,"ACM"),COUNTIFS(EDT!J$33:J$42,B49,EDT!L$33:L$42,"ACM"),COUNTIFS(EDT!M$33:M$42,B49,EDT!O$33:O$42,"ACM"),COUNTIFS(EDT!P$33:P$42,B49,EDT!R$33:R$42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,COUNTIFS(#REF!,B49,#REF!,"ACM"))*2</f>
        <v>#REF!</v>
      </c>
      <c r="E49" s="190" t="e">
        <f>SUM(COUNTIFS(EDT!D$5:D$25,B49,EDT!F$5:F$25,"Répit"),COUNTIFS(EDT!G$5:G$25,B49,EDT!I$5:I$25,"Répit"),COUNTIFS(EDT!J$5:J$25,B49,EDT!L$5:L$25,"Répit"),COUNTIFS(EDT!M$5:M$25,B49,EDT!O$5:O$25,"Répit"),COUNTIFS(EDT!P$5:P$25,B49,EDT!R$5:R$25,"Répit"),COUNTIFS(EDT!D$43:D$60,B49,EDT!F$43:F$60,"Répit"),COUNTIFS(EDT!G$43:G$60,B49,EDT!I$43:I$60,"Répit"),COUNTIFS(EDT!J$43:J$60,B49,EDT!L$43:L$60,"Répit"),COUNTIFS(EDT!M$43:M$60,B49,EDT!O$43:O$60,"Répit"),COUNTIFS(EDT!P$43:P$60,B49,EDT!R$43:R$60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)*3
+SUM(COUNTIFS(EDT!D$33:D$42,B49,EDT!F$33:F$42,"Répit"),COUNTIFS(EDT!G$33:G$42,B49,EDT!I$33:I$42,"Répit"),COUNTIFS(EDT!J$33:J$42,B49,EDT!L$33:L$42,"Répit"),COUNTIFS(EDT!M$33:M$42,B49,EDT!O$33:O$42,"Répit"),COUNTIFS(EDT!P$33:P$42,B49,EDT!R$33:R$42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,COUNTIFS(#REF!,B49,#REF!,"Répit"))*2</f>
        <v>#REF!</v>
      </c>
      <c r="F49" s="191" t="e">
        <f t="shared" si="1"/>
        <v>#REF!</v>
      </c>
      <c r="G49" s="185" t="e">
        <f>SUM(COUNTIFS(EDT!D$5:D$25,B49,EDT!E$5:E$25,"&gt;&lt;",EDT!F$5:F$25,"ACM"),COUNTIFS(EDT!G$5:G$25,B49,EDT!H$5:H$25,"&gt;&lt;",EDT!I$5:I$25,"ACM"),COUNTIFS(EDT!J$5:J$25,B49,EDT!K$5:K$25,"&gt;&lt;",EDT!L$5:L$25,"ACM"),COUNTIFS(EDT!M$5:M$25,B49,EDT!N$5:N$25,"&gt;&lt;",EDT!O$5:O$25,"ACM"),COUNTIFS(EDT!P$5:P$25,B49,EDT!Q$5:Q$25,"&gt;&lt;",EDT!R$5:R$25,"ACM"),COUNTIFS(EDT!D$43:D$60,B49,EDT!E$43:E$60,"&gt;&lt;",EDT!F$43:F$60,"ACM"),COUNTIFS(EDT!G$43:G$60,B49,EDT!H$43:H$60,"&gt;&lt;",EDT!I$43:I$60,"ACM"),COUNTIFS(EDT!J$43:J$60,B49,EDT!K$43:K$60,"&gt;&lt;",EDT!L$43:L$60,"ACM"),COUNTIFS(EDT!M$43:M$60,B49,EDT!N$43:N$60,"&gt;&lt;",EDT!O$43:O$60,"ACM"),COUNTIFS(EDT!P$43:P$60,B49,EDT!Q$43:Q$60,"&gt;&lt;",EDT!R$43:R$60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)*3
+SUM(COUNTIFS(EDT!D$33:D$42,B49,EDT!E$33:E$42,"&gt;&lt;",EDT!F$33:F$42,"ACM"),COUNTIFS(EDT!G$33:G$42,B49,EDT!H$33:H$42,"&gt;&lt;",EDT!I$33:I$42,"ACM"),COUNTIFS(EDT!J$33:J$42,B49,EDT!K$33:K$42,"&gt;&lt;",EDT!L$33:L$42,"ACM"),COUNTIFS(EDT!M$33:M$42,B49,EDT!N$33:N$42,"&gt;&lt;",EDT!O$33:O$42,"ACM"),COUNTIFS(EDT!P$33:P$42,B49,EDT!Q$33:Q$42,"&gt;&lt;",EDT!R$33:R$42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,COUNTIFS(#REF!,B49,#REF!,"&gt;&lt;",#REF!,"ACM"))*2</f>
        <v>#REF!</v>
      </c>
      <c r="H49" s="192">
        <v>6</v>
      </c>
      <c r="I49" s="201"/>
      <c r="J49" s="202">
        <f t="shared" si="2"/>
        <v>0</v>
      </c>
      <c r="K49" s="195">
        <f t="shared" si="3"/>
        <v>1</v>
      </c>
      <c r="L49" s="195"/>
      <c r="M49" s="195"/>
      <c r="N49" s="196">
        <v>47</v>
      </c>
      <c r="O49" s="198"/>
    </row>
    <row r="50" spans="1:15" ht="12.6">
      <c r="A50" s="199"/>
      <c r="B50" s="188"/>
      <c r="C50" s="189" t="e">
        <f t="shared" si="0"/>
        <v>#REF!</v>
      </c>
      <c r="D50" s="190" t="e">
        <f>SUM(COUNTIFS(EDT!D$5:D$25,B50,EDT!F$5:F$25,"ACM"),COUNTIFS(EDT!G$5:G$25,B50,EDT!I$5:I$25,"ACM"),COUNTIFS(EDT!J$5:J$25,B50,EDT!L$5:L$25,"ACM"),COUNTIFS(EDT!M$5:M$25,B50,EDT!O$5:O$25,"ACM"),COUNTIFS(EDT!P$5:P$25,B50,EDT!R$5:R$25,"ACM"),COUNTIFS(EDT!D$43:D$60,B50,EDT!F$43:F$60,"ACM"),COUNTIFS(EDT!G$43:G$60,B50,EDT!I$43:I$60,"ACM"),COUNTIFS(EDT!J$43:J$60,B50,EDT!L$43:L$60,"ACM"),COUNTIFS(EDT!M$43:M$60,B50,EDT!O$43:O$60,"ACM"),COUNTIFS(EDT!P$43:P$60,B50,EDT!R$43:R$60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)*3
+SUM(COUNTIFS(EDT!D$33:D$42,B50,EDT!F$33:F$42,"ACM"),COUNTIFS(EDT!G$33:G$42,B50,EDT!I$33:I$42,"ACM"),COUNTIFS(EDT!J$33:J$42,B50,EDT!L$33:L$42,"ACM"),COUNTIFS(EDT!M$33:M$42,B50,EDT!O$33:O$42,"ACM"),COUNTIFS(EDT!P$33:P$42,B50,EDT!R$33:R$42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,COUNTIFS(#REF!,B50,#REF!,"ACM"))*2</f>
        <v>#REF!</v>
      </c>
      <c r="E50" s="190" t="e">
        <f>SUM(COUNTIFS(EDT!D$5:D$25,B50,EDT!F$5:F$25,"Répit"),COUNTIFS(EDT!G$5:G$25,B50,EDT!I$5:I$25,"Répit"),COUNTIFS(EDT!J$5:J$25,B50,EDT!L$5:L$25,"Répit"),COUNTIFS(EDT!M$5:M$25,B50,EDT!O$5:O$25,"Répit"),COUNTIFS(EDT!P$5:P$25,B50,EDT!R$5:R$25,"Répit"),COUNTIFS(EDT!D$43:D$60,B50,EDT!F$43:F$60,"Répit"),COUNTIFS(EDT!G$43:G$60,B50,EDT!I$43:I$60,"Répit"),COUNTIFS(EDT!J$43:J$60,B50,EDT!L$43:L$60,"Répit"),COUNTIFS(EDT!M$43:M$60,B50,EDT!O$43:O$60,"Répit"),COUNTIFS(EDT!P$43:P$60,B50,EDT!R$43:R$60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)*3
+SUM(COUNTIFS(EDT!D$33:D$42,B50,EDT!F$33:F$42,"Répit"),COUNTIFS(EDT!G$33:G$42,B50,EDT!I$33:I$42,"Répit"),COUNTIFS(EDT!J$33:J$42,B50,EDT!L$33:L$42,"Répit"),COUNTIFS(EDT!M$33:M$42,B50,EDT!O$33:O$42,"Répit"),COUNTIFS(EDT!P$33:P$42,B50,EDT!R$33:R$42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,COUNTIFS(#REF!,B50,#REF!,"Répit"))*2</f>
        <v>#REF!</v>
      </c>
      <c r="F50" s="191" t="e">
        <f t="shared" si="1"/>
        <v>#REF!</v>
      </c>
      <c r="G50" s="185" t="e">
        <f>SUM(COUNTIFS(EDT!D$5:D$25,B50,EDT!E$5:E$25,"&gt;&lt;",EDT!F$5:F$25,"ACM"),COUNTIFS(EDT!G$5:G$25,B50,EDT!H$5:H$25,"&gt;&lt;",EDT!I$5:I$25,"ACM"),COUNTIFS(EDT!J$5:J$25,B50,EDT!K$5:K$25,"&gt;&lt;",EDT!L$5:L$25,"ACM"),COUNTIFS(EDT!M$5:M$25,B50,EDT!N$5:N$25,"&gt;&lt;",EDT!O$5:O$25,"ACM"),COUNTIFS(EDT!P$5:P$25,B50,EDT!Q$5:Q$25,"&gt;&lt;",EDT!R$5:R$25,"ACM"),COUNTIFS(EDT!D$43:D$60,B50,EDT!E$43:E$60,"&gt;&lt;",EDT!F$43:F$60,"ACM"),COUNTIFS(EDT!G$43:G$60,B50,EDT!H$43:H$60,"&gt;&lt;",EDT!I$43:I$60,"ACM"),COUNTIFS(EDT!J$43:J$60,B50,EDT!K$43:K$60,"&gt;&lt;",EDT!L$43:L$60,"ACM"),COUNTIFS(EDT!M$43:M$60,B50,EDT!N$43:N$60,"&gt;&lt;",EDT!O$43:O$60,"ACM"),COUNTIFS(EDT!P$43:P$60,B50,EDT!Q$43:Q$60,"&gt;&lt;",EDT!R$43:R$60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)*3
+SUM(COUNTIFS(EDT!D$33:D$42,B50,EDT!E$33:E$42,"&gt;&lt;",EDT!F$33:F$42,"ACM"),COUNTIFS(EDT!G$33:G$42,B50,EDT!H$33:H$42,"&gt;&lt;",EDT!I$33:I$42,"ACM"),COUNTIFS(EDT!J$33:J$42,B50,EDT!K$33:K$42,"&gt;&lt;",EDT!L$33:L$42,"ACM"),COUNTIFS(EDT!M$33:M$42,B50,EDT!N$33:N$42,"&gt;&lt;",EDT!O$33:O$42,"ACM"),COUNTIFS(EDT!P$33:P$42,B50,EDT!Q$33:Q$42,"&gt;&lt;",EDT!R$33:R$42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,COUNTIFS(#REF!,B50,#REF!,"&gt;&lt;",#REF!,"ACM"))*2</f>
        <v>#REF!</v>
      </c>
      <c r="H50" s="192">
        <v>6</v>
      </c>
      <c r="I50" s="201"/>
      <c r="J50" s="202">
        <f t="shared" si="2"/>
        <v>0</v>
      </c>
      <c r="K50" s="195">
        <f t="shared" si="3"/>
        <v>1</v>
      </c>
      <c r="L50" s="195"/>
      <c r="M50" s="195"/>
      <c r="N50" s="196">
        <v>48</v>
      </c>
      <c r="O50" s="198"/>
    </row>
    <row r="51" spans="1:15" ht="12.6">
      <c r="A51" s="199"/>
      <c r="B51" s="188"/>
      <c r="C51" s="189" t="e">
        <f t="shared" si="0"/>
        <v>#REF!</v>
      </c>
      <c r="D51" s="190" t="e">
        <f>SUM(COUNTIFS(EDT!D$5:D$25,B51,EDT!F$5:F$25,"ACM"),COUNTIFS(EDT!G$5:G$25,B51,EDT!I$5:I$25,"ACM"),COUNTIFS(EDT!J$5:J$25,B51,EDT!L$5:L$25,"ACM"),COUNTIFS(EDT!M$5:M$25,B51,EDT!O$5:O$25,"ACM"),COUNTIFS(EDT!P$5:P$25,B51,EDT!R$5:R$25,"ACM"),COUNTIFS(EDT!D$43:D$60,B51,EDT!F$43:F$60,"ACM"),COUNTIFS(EDT!G$43:G$60,B51,EDT!I$43:I$60,"ACM"),COUNTIFS(EDT!J$43:J$60,B51,EDT!L$43:L$60,"ACM"),COUNTIFS(EDT!M$43:M$60,B51,EDT!O$43:O$60,"ACM"),COUNTIFS(EDT!P$43:P$60,B51,EDT!R$43:R$60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)*3
+SUM(COUNTIFS(EDT!D$33:D$42,B51,EDT!F$33:F$42,"ACM"),COUNTIFS(EDT!G$33:G$42,B51,EDT!I$33:I$42,"ACM"),COUNTIFS(EDT!J$33:J$42,B51,EDT!L$33:L$42,"ACM"),COUNTIFS(EDT!M$33:M$42,B51,EDT!O$33:O$42,"ACM"),COUNTIFS(EDT!P$33:P$42,B51,EDT!R$33:R$42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,COUNTIFS(#REF!,B51,#REF!,"ACM"))*2</f>
        <v>#REF!</v>
      </c>
      <c r="E51" s="190" t="e">
        <f>SUM(COUNTIFS(EDT!D$5:D$25,B51,EDT!F$5:F$25,"Répit"),COUNTIFS(EDT!G$5:G$25,B51,EDT!I$5:I$25,"Répit"),COUNTIFS(EDT!J$5:J$25,B51,EDT!L$5:L$25,"Répit"),COUNTIFS(EDT!M$5:M$25,B51,EDT!O$5:O$25,"Répit"),COUNTIFS(EDT!P$5:P$25,B51,EDT!R$5:R$25,"Répit"),COUNTIFS(EDT!D$43:D$60,B51,EDT!F$43:F$60,"Répit"),COUNTIFS(EDT!G$43:G$60,B51,EDT!I$43:I$60,"Répit"),COUNTIFS(EDT!J$43:J$60,B51,EDT!L$43:L$60,"Répit"),COUNTIFS(EDT!M$43:M$60,B51,EDT!O$43:O$60,"Répit"),COUNTIFS(EDT!P$43:P$60,B51,EDT!R$43:R$60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)*3
+SUM(COUNTIFS(EDT!D$33:D$42,B51,EDT!F$33:F$42,"Répit"),COUNTIFS(EDT!G$33:G$42,B51,EDT!I$33:I$42,"Répit"),COUNTIFS(EDT!J$33:J$42,B51,EDT!L$33:L$42,"Répit"),COUNTIFS(EDT!M$33:M$42,B51,EDT!O$33:O$42,"Répit"),COUNTIFS(EDT!P$33:P$42,B51,EDT!R$33:R$42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,COUNTIFS(#REF!,B51,#REF!,"Répit"))*2</f>
        <v>#REF!</v>
      </c>
      <c r="F51" s="191" t="e">
        <f t="shared" si="1"/>
        <v>#REF!</v>
      </c>
      <c r="G51" s="185" t="e">
        <f>SUM(COUNTIFS(EDT!D$5:D$25,B51,EDT!E$5:E$25,"&gt;&lt;",EDT!F$5:F$25,"ACM"),COUNTIFS(EDT!G$5:G$25,B51,EDT!H$5:H$25,"&gt;&lt;",EDT!I$5:I$25,"ACM"),COUNTIFS(EDT!J$5:J$25,B51,EDT!K$5:K$25,"&gt;&lt;",EDT!L$5:L$25,"ACM"),COUNTIFS(EDT!M$5:M$25,B51,EDT!N$5:N$25,"&gt;&lt;",EDT!O$5:O$25,"ACM"),COUNTIFS(EDT!P$5:P$25,B51,EDT!Q$5:Q$25,"&gt;&lt;",EDT!R$5:R$25,"ACM"),COUNTIFS(EDT!D$43:D$60,B51,EDT!E$43:E$60,"&gt;&lt;",EDT!F$43:F$60,"ACM"),COUNTIFS(EDT!G$43:G$60,B51,EDT!H$43:H$60,"&gt;&lt;",EDT!I$43:I$60,"ACM"),COUNTIFS(EDT!J$43:J$60,B51,EDT!K$43:K$60,"&gt;&lt;",EDT!L$43:L$60,"ACM"),COUNTIFS(EDT!M$43:M$60,B51,EDT!N$43:N$60,"&gt;&lt;",EDT!O$43:O$60,"ACM"),COUNTIFS(EDT!P$43:P$60,B51,EDT!Q$43:Q$60,"&gt;&lt;",EDT!R$43:R$60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)*3
+SUM(COUNTIFS(EDT!D$33:D$42,B51,EDT!E$33:E$42,"&gt;&lt;",EDT!F$33:F$42,"ACM"),COUNTIFS(EDT!G$33:G$42,B51,EDT!H$33:H$42,"&gt;&lt;",EDT!I$33:I$42,"ACM"),COUNTIFS(EDT!J$33:J$42,B51,EDT!K$33:K$42,"&gt;&lt;",EDT!L$33:L$42,"ACM"),COUNTIFS(EDT!M$33:M$42,B51,EDT!N$33:N$42,"&gt;&lt;",EDT!O$33:O$42,"ACM"),COUNTIFS(EDT!P$33:P$42,B51,EDT!Q$33:Q$42,"&gt;&lt;",EDT!R$33:R$42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,COUNTIFS(#REF!,B51,#REF!,"&gt;&lt;",#REF!,"ACM"))*2</f>
        <v>#REF!</v>
      </c>
      <c r="H51" s="192">
        <v>15</v>
      </c>
      <c r="I51" s="201"/>
      <c r="J51" s="202">
        <f t="shared" si="2"/>
        <v>0</v>
      </c>
      <c r="K51" s="195">
        <f t="shared" si="3"/>
        <v>1</v>
      </c>
      <c r="L51" s="195"/>
      <c r="M51" s="195"/>
      <c r="N51" s="196">
        <v>49</v>
      </c>
      <c r="O51" s="198"/>
    </row>
    <row r="52" spans="1:15" ht="12.6">
      <c r="A52" s="199"/>
      <c r="B52" s="188"/>
      <c r="C52" s="189" t="e">
        <f t="shared" si="0"/>
        <v>#REF!</v>
      </c>
      <c r="D52" s="190" t="e">
        <f>SUM(COUNTIFS(EDT!D$5:D$25,B52,EDT!F$5:F$25,"ACM"),COUNTIFS(EDT!G$5:G$25,B52,EDT!I$5:I$25,"ACM"),COUNTIFS(EDT!J$5:J$25,B52,EDT!L$5:L$25,"ACM"),COUNTIFS(EDT!M$5:M$25,B52,EDT!O$5:O$25,"ACM"),COUNTIFS(EDT!P$5:P$25,B52,EDT!R$5:R$25,"ACM"),COUNTIFS(EDT!D$43:D$60,B52,EDT!F$43:F$60,"ACM"),COUNTIFS(EDT!G$43:G$60,B52,EDT!I$43:I$60,"ACM"),COUNTIFS(EDT!J$43:J$60,B52,EDT!L$43:L$60,"ACM"),COUNTIFS(EDT!M$43:M$60,B52,EDT!O$43:O$60,"ACM"),COUNTIFS(EDT!P$43:P$60,B52,EDT!R$43:R$60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)*3
+SUM(COUNTIFS(EDT!D$33:D$42,B52,EDT!F$33:F$42,"ACM"),COUNTIFS(EDT!G$33:G$42,B52,EDT!I$33:I$42,"ACM"),COUNTIFS(EDT!J$33:J$42,B52,EDT!L$33:L$42,"ACM"),COUNTIFS(EDT!M$33:M$42,B52,EDT!O$33:O$42,"ACM"),COUNTIFS(EDT!P$33:P$42,B52,EDT!R$33:R$42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,COUNTIFS(#REF!,B52,#REF!,"ACM"))*2</f>
        <v>#REF!</v>
      </c>
      <c r="E52" s="190" t="e">
        <f>SUM(COUNTIFS(EDT!D$5:D$25,B52,EDT!F$5:F$25,"Répit"),COUNTIFS(EDT!G$5:G$25,B52,EDT!I$5:I$25,"Répit"),COUNTIFS(EDT!J$5:J$25,B52,EDT!L$5:L$25,"Répit"),COUNTIFS(EDT!M$5:M$25,B52,EDT!O$5:O$25,"Répit"),COUNTIFS(EDT!P$5:P$25,B52,EDT!R$5:R$25,"Répit"),COUNTIFS(EDT!D$43:D$60,B52,EDT!F$43:F$60,"Répit"),COUNTIFS(EDT!G$43:G$60,B52,EDT!I$43:I$60,"Répit"),COUNTIFS(EDT!J$43:J$60,B52,EDT!L$43:L$60,"Répit"),COUNTIFS(EDT!M$43:M$60,B52,EDT!O$43:O$60,"Répit"),COUNTIFS(EDT!P$43:P$60,B52,EDT!R$43:R$60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)*3
+SUM(COUNTIFS(EDT!D$33:D$42,B52,EDT!F$33:F$42,"Répit"),COUNTIFS(EDT!G$33:G$42,B52,EDT!I$33:I$42,"Répit"),COUNTIFS(EDT!J$33:J$42,B52,EDT!L$33:L$42,"Répit"),COUNTIFS(EDT!M$33:M$42,B52,EDT!O$33:O$42,"Répit"),COUNTIFS(EDT!P$33:P$42,B52,EDT!R$33:R$42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,COUNTIFS(#REF!,B52,#REF!,"Répit"))*2</f>
        <v>#REF!</v>
      </c>
      <c r="F52" s="191" t="e">
        <f t="shared" si="1"/>
        <v>#REF!</v>
      </c>
      <c r="G52" s="185" t="e">
        <f>SUM(COUNTIFS(EDT!D$5:D$25,B52,EDT!E$5:E$25,"&gt;&lt;",EDT!F$5:F$25,"ACM"),COUNTIFS(EDT!G$5:G$25,B52,EDT!H$5:H$25,"&gt;&lt;",EDT!I$5:I$25,"ACM"),COUNTIFS(EDT!J$5:J$25,B52,EDT!K$5:K$25,"&gt;&lt;",EDT!L$5:L$25,"ACM"),COUNTIFS(EDT!M$5:M$25,B52,EDT!N$5:N$25,"&gt;&lt;",EDT!O$5:O$25,"ACM"),COUNTIFS(EDT!P$5:P$25,B52,EDT!Q$5:Q$25,"&gt;&lt;",EDT!R$5:R$25,"ACM"),COUNTIFS(EDT!D$43:D$60,B52,EDT!E$43:E$60,"&gt;&lt;",EDT!F$43:F$60,"ACM"),COUNTIFS(EDT!G$43:G$60,B52,EDT!H$43:H$60,"&gt;&lt;",EDT!I$43:I$60,"ACM"),COUNTIFS(EDT!J$43:J$60,B52,EDT!K$43:K$60,"&gt;&lt;",EDT!L$43:L$60,"ACM"),COUNTIFS(EDT!M$43:M$60,B52,EDT!N$43:N$60,"&gt;&lt;",EDT!O$43:O$60,"ACM"),COUNTIFS(EDT!P$43:P$60,B52,EDT!Q$43:Q$60,"&gt;&lt;",EDT!R$43:R$60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)*3
+SUM(COUNTIFS(EDT!D$33:D$42,B52,EDT!E$33:E$42,"&gt;&lt;",EDT!F$33:F$42,"ACM"),COUNTIFS(EDT!G$33:G$42,B52,EDT!H$33:H$42,"&gt;&lt;",EDT!I$33:I$42,"ACM"),COUNTIFS(EDT!J$33:J$42,B52,EDT!K$33:K$42,"&gt;&lt;",EDT!L$33:L$42,"ACM"),COUNTIFS(EDT!M$33:M$42,B52,EDT!N$33:N$42,"&gt;&lt;",EDT!O$33:O$42,"ACM"),COUNTIFS(EDT!P$33:P$42,B52,EDT!Q$33:Q$42,"&gt;&lt;",EDT!R$33:R$42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,COUNTIFS(#REF!,B52,#REF!,"&gt;&lt;",#REF!,"ACM"))*2</f>
        <v>#REF!</v>
      </c>
      <c r="H52" s="192" t="e">
        <f>SUM(COUNTIFS(EDT!D$5:D$25,B52,EDT!E$5:E$25,"&gt;&lt;",EDT!F$5:F$25,"Répit"),COUNTIFS(EDT!G$5:G$25,B52,EDT!H$5:H$25,"&gt;&lt;",EDT!I$5:I$25,"Répit"),COUNTIFS(EDT!J$5:J$25,B52,EDT!K$5:K$25,"&gt;&lt;",EDT!L$5:L$25,"Répit"),COUNTIFS(EDT!M$5:M$25,B52,EDT!N$5:N$25,"&gt;&lt;",EDT!O$5:O$25,"Répit"),COUNTIFS(EDT!P$5:P$25,B52,EDT!Q$5:Q$25,"&gt;&lt;",EDT!R$5:R$25,"Répit"),COUNTIFS(EDT!D$43:D$60,B52,EDT!E$43:E$60,"&gt;&lt;",EDT!F$43:F$60,"Répit"),COUNTIFS(EDT!G$43:G$60,B52,EDT!H$43:H$60,"&gt;&lt;",EDT!I$43:I$60,"Répit"),COUNTIFS(EDT!J$43:J$60,B52,EDT!K$43:K$60,"&gt;&lt;",EDT!L$43:L$60,"Répit"),COUNTIFS(EDT!M$43:M$60,B52,EDT!N$43:N$60,"&gt;&lt;",EDT!O$43:O$60,"Répit"),COUNTIFS(EDT!P$43:P$60,B52,EDT!Q$43:Q$60,"&gt;&lt;",EDT!R$43:R$60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)*3
+SUM(COUNTIFS(EDT!D$33:D$42,B52,EDT!E$33:E$42,"&gt;&lt;",EDT!F$33:F$42,"Répit"),COUNTIFS(EDT!G$33:G$42,B52,EDT!H$33:H$42,"&gt;&lt;",EDT!I$33:I$42,"Répit"),COUNTIFS(EDT!J$33:J$42,B52,EDT!K$33:K$42,"&gt;&lt;",EDT!L$33:L$42,"Répit"),COUNTIFS(EDT!M$33:M$42,B52,EDT!N$33:N$42,"&gt;&lt;",EDT!O$33:O$42,"Répit"),COUNTIFS(EDT!P$33:P$42,B52,EDT!Q$33:Q$42,"&gt;&lt;",EDT!R$33:R$42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,COUNTIFS(#REF!,B52,#REF!,"&gt;&lt;",#REF!,"Répit"))*2</f>
        <v>#REF!</v>
      </c>
      <c r="I52" s="201"/>
      <c r="J52" s="202" t="e">
        <f t="shared" si="2"/>
        <v>#REF!</v>
      </c>
      <c r="K52" s="195" t="e">
        <f t="shared" si="3"/>
        <v>#REF!</v>
      </c>
      <c r="L52" s="195"/>
      <c r="M52" s="195"/>
      <c r="N52" s="196">
        <v>50</v>
      </c>
      <c r="O52" s="198"/>
    </row>
    <row r="53" spans="1:15" ht="12.6">
      <c r="A53" s="199"/>
      <c r="B53" s="188"/>
      <c r="C53" s="189" t="e">
        <f t="shared" si="0"/>
        <v>#REF!</v>
      </c>
      <c r="D53" s="190" t="e">
        <f>SUM(COUNTIFS(EDT!D$5:D$25,B53,EDT!F$5:F$25,"ACM"),COUNTIFS(EDT!G$5:G$25,B53,EDT!I$5:I$25,"ACM"),COUNTIFS(EDT!J$5:J$25,B53,EDT!L$5:L$25,"ACM"),COUNTIFS(EDT!M$5:M$25,B53,EDT!O$5:O$25,"ACM"),COUNTIFS(EDT!P$5:P$25,B53,EDT!R$5:R$25,"ACM"),COUNTIFS(EDT!D$43:D$60,B53,EDT!F$43:F$60,"ACM"),COUNTIFS(EDT!G$43:G$60,B53,EDT!I$43:I$60,"ACM"),COUNTIFS(EDT!J$43:J$60,B53,EDT!L$43:L$60,"ACM"),COUNTIFS(EDT!M$43:M$60,B53,EDT!O$43:O$60,"ACM"),COUNTIFS(EDT!P$43:P$60,B53,EDT!R$43:R$60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)*3
+SUM(COUNTIFS(EDT!D$33:D$42,B53,EDT!F$33:F$42,"ACM"),COUNTIFS(EDT!G$33:G$42,B53,EDT!I$33:I$42,"ACM"),COUNTIFS(EDT!J$33:J$42,B53,EDT!L$33:L$42,"ACM"),COUNTIFS(EDT!M$33:M$42,B53,EDT!O$33:O$42,"ACM"),COUNTIFS(EDT!P$33:P$42,B53,EDT!R$33:R$42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,COUNTIFS(#REF!,B53,#REF!,"ACM"))*2</f>
        <v>#REF!</v>
      </c>
      <c r="E53" s="190" t="e">
        <f>SUM(COUNTIFS(EDT!D$5:D$25,B53,EDT!F$5:F$25,"Répit"),COUNTIFS(EDT!G$5:G$25,B53,EDT!I$5:I$25,"Répit"),COUNTIFS(EDT!J$5:J$25,B53,EDT!L$5:L$25,"Répit"),COUNTIFS(EDT!M$5:M$25,B53,EDT!O$5:O$25,"Répit"),COUNTIFS(EDT!P$5:P$25,B53,EDT!R$5:R$25,"Répit"),COUNTIFS(EDT!D$43:D$60,B53,EDT!F$43:F$60,"Répit"),COUNTIFS(EDT!G$43:G$60,B53,EDT!I$43:I$60,"Répit"),COUNTIFS(EDT!J$43:J$60,B53,EDT!L$43:L$60,"Répit"),COUNTIFS(EDT!M$43:M$60,B53,EDT!O$43:O$60,"Répit"),COUNTIFS(EDT!P$43:P$60,B53,EDT!R$43:R$60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)*3
+SUM(COUNTIFS(EDT!D$33:D$42,B53,EDT!F$33:F$42,"Répit"),COUNTIFS(EDT!G$33:G$42,B53,EDT!I$33:I$42,"Répit"),COUNTIFS(EDT!J$33:J$42,B53,EDT!L$33:L$42,"Répit"),COUNTIFS(EDT!M$33:M$42,B53,EDT!O$33:O$42,"Répit"),COUNTIFS(EDT!P$33:P$42,B53,EDT!R$33:R$42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,COUNTIFS(#REF!,B53,#REF!,"Répit"))*2</f>
        <v>#REF!</v>
      </c>
      <c r="F53" s="191" t="e">
        <f t="shared" si="1"/>
        <v>#REF!</v>
      </c>
      <c r="G53" s="185" t="e">
        <f>SUM(COUNTIFS(EDT!D$5:D$25,B53,EDT!E$5:E$25,"&gt;&lt;",EDT!F$5:F$25,"ACM"),COUNTIFS(EDT!G$5:G$25,B53,EDT!H$5:H$25,"&gt;&lt;",EDT!I$5:I$25,"ACM"),COUNTIFS(EDT!J$5:J$25,B53,EDT!K$5:K$25,"&gt;&lt;",EDT!L$5:L$25,"ACM"),COUNTIFS(EDT!M$5:M$25,B53,EDT!N$5:N$25,"&gt;&lt;",EDT!O$5:O$25,"ACM"),COUNTIFS(EDT!P$5:P$25,B53,EDT!Q$5:Q$25,"&gt;&lt;",EDT!R$5:R$25,"ACM"),COUNTIFS(EDT!D$43:D$60,B53,EDT!E$43:E$60,"&gt;&lt;",EDT!F$43:F$60,"ACM"),COUNTIFS(EDT!G$43:G$60,B53,EDT!H$43:H$60,"&gt;&lt;",EDT!I$43:I$60,"ACM"),COUNTIFS(EDT!J$43:J$60,B53,EDT!K$43:K$60,"&gt;&lt;",EDT!L$43:L$60,"ACM"),COUNTIFS(EDT!M$43:M$60,B53,EDT!N$43:N$60,"&gt;&lt;",EDT!O$43:O$60,"ACM"),COUNTIFS(EDT!P$43:P$60,B53,EDT!Q$43:Q$60,"&gt;&lt;",EDT!R$43:R$60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)*3
+SUM(COUNTIFS(EDT!D$33:D$42,B53,EDT!E$33:E$42,"&gt;&lt;",EDT!F$33:F$42,"ACM"),COUNTIFS(EDT!G$33:G$42,B53,EDT!H$33:H$42,"&gt;&lt;",EDT!I$33:I$42,"ACM"),COUNTIFS(EDT!J$33:J$42,B53,EDT!K$33:K$42,"&gt;&lt;",EDT!L$33:L$42,"ACM"),COUNTIFS(EDT!M$33:M$42,B53,EDT!N$33:N$42,"&gt;&lt;",EDT!O$33:O$42,"ACM"),COUNTIFS(EDT!P$33:P$42,B53,EDT!Q$33:Q$42,"&gt;&lt;",EDT!R$33:R$42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,COUNTIFS(#REF!,B53,#REF!,"&gt;&lt;",#REF!,"ACM"))*2</f>
        <v>#REF!</v>
      </c>
      <c r="H53" s="192" t="e">
        <f>SUM(COUNTIFS(EDT!D$5:D$25,B53,EDT!E$5:E$25,"&gt;&lt;",EDT!F$5:F$25,"Répit"),COUNTIFS(EDT!G$5:G$25,B53,EDT!H$5:H$25,"&gt;&lt;",EDT!I$5:I$25,"Répit"),COUNTIFS(EDT!J$5:J$25,B53,EDT!K$5:K$25,"&gt;&lt;",EDT!L$5:L$25,"Répit"),COUNTIFS(EDT!M$5:M$25,B53,EDT!N$5:N$25,"&gt;&lt;",EDT!O$5:O$25,"Répit"),COUNTIFS(EDT!P$5:P$25,B53,EDT!Q$5:Q$25,"&gt;&lt;",EDT!R$5:R$25,"Répit"),COUNTIFS(EDT!D$43:D$60,B53,EDT!E$43:E$60,"&gt;&lt;",EDT!F$43:F$60,"Répit"),COUNTIFS(EDT!G$43:G$60,B53,EDT!H$43:H$60,"&gt;&lt;",EDT!I$43:I$60,"Répit"),COUNTIFS(EDT!J$43:J$60,B53,EDT!K$43:K$60,"&gt;&lt;",EDT!L$43:L$60,"Répit"),COUNTIFS(EDT!M$43:M$60,B53,EDT!N$43:N$60,"&gt;&lt;",EDT!O$43:O$60,"Répit"),COUNTIFS(EDT!P$43:P$60,B53,EDT!Q$43:Q$60,"&gt;&lt;",EDT!R$43:R$60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)*3
+SUM(COUNTIFS(EDT!D$33:D$42,B53,EDT!E$33:E$42,"&gt;&lt;",EDT!F$33:F$42,"Répit"),COUNTIFS(EDT!G$33:G$42,B53,EDT!H$33:H$42,"&gt;&lt;",EDT!I$33:I$42,"Répit"),COUNTIFS(EDT!J$33:J$42,B53,EDT!K$33:K$42,"&gt;&lt;",EDT!L$33:L$42,"Répit"),COUNTIFS(EDT!M$33:M$42,B53,EDT!N$33:N$42,"&gt;&lt;",EDT!O$33:O$42,"Répit"),COUNTIFS(EDT!P$33:P$42,B53,EDT!Q$33:Q$42,"&gt;&lt;",EDT!R$33:R$42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,COUNTIFS(#REF!,B53,#REF!,"&gt;&lt;",#REF!,"Répit"))*2</f>
        <v>#REF!</v>
      </c>
      <c r="I53" s="201"/>
      <c r="J53" s="202" t="e">
        <f t="shared" si="2"/>
        <v>#REF!</v>
      </c>
      <c r="K53" s="195" t="e">
        <f t="shared" si="3"/>
        <v>#REF!</v>
      </c>
      <c r="L53" s="195"/>
      <c r="M53" s="195"/>
      <c r="N53" s="196">
        <v>51</v>
      </c>
      <c r="O53" s="198"/>
    </row>
    <row r="54" spans="1:15" ht="12.6">
      <c r="A54" s="199"/>
      <c r="B54" s="188"/>
      <c r="C54" s="189" t="e">
        <f t="shared" si="0"/>
        <v>#REF!</v>
      </c>
      <c r="D54" s="190" t="e">
        <f>SUM(COUNTIFS(EDT!D$5:D$25,B54,EDT!F$5:F$25,"ACM"),COUNTIFS(EDT!G$5:G$25,B54,EDT!I$5:I$25,"ACM"),COUNTIFS(EDT!J$5:J$25,B54,EDT!L$5:L$25,"ACM"),COUNTIFS(EDT!M$5:M$25,B54,EDT!O$5:O$25,"ACM"),COUNTIFS(EDT!P$5:P$25,B54,EDT!R$5:R$25,"ACM"),COUNTIFS(EDT!D$43:D$60,B54,EDT!F$43:F$60,"ACM"),COUNTIFS(EDT!G$43:G$60,B54,EDT!I$43:I$60,"ACM"),COUNTIFS(EDT!J$43:J$60,B54,EDT!L$43:L$60,"ACM"),COUNTIFS(EDT!M$43:M$60,B54,EDT!O$43:O$60,"ACM"),COUNTIFS(EDT!P$43:P$60,B54,EDT!R$43:R$60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)*3
+SUM(COUNTIFS(EDT!D$33:D$42,B54,EDT!F$33:F$42,"ACM"),COUNTIFS(EDT!G$33:G$42,B54,EDT!I$33:I$42,"ACM"),COUNTIFS(EDT!J$33:J$42,B54,EDT!L$33:L$42,"ACM"),COUNTIFS(EDT!M$33:M$42,B54,EDT!O$33:O$42,"ACM"),COUNTIFS(EDT!P$33:P$42,B54,EDT!R$33:R$42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,COUNTIFS(#REF!,B54,#REF!,"ACM"))*2</f>
        <v>#REF!</v>
      </c>
      <c r="E54" s="190" t="e">
        <f>SUM(COUNTIFS(EDT!D$5:D$25,B54,EDT!F$5:F$25,"Répit"),COUNTIFS(EDT!G$5:G$25,B54,EDT!I$5:I$25,"Répit"),COUNTIFS(EDT!J$5:J$25,B54,EDT!L$5:L$25,"Répit"),COUNTIFS(EDT!M$5:M$25,B54,EDT!O$5:O$25,"Répit"),COUNTIFS(EDT!P$5:P$25,B54,EDT!R$5:R$25,"Répit"),COUNTIFS(EDT!D$43:D$60,B54,EDT!F$43:F$60,"Répit"),COUNTIFS(EDT!G$43:G$60,B54,EDT!I$43:I$60,"Répit"),COUNTIFS(EDT!J$43:J$60,B54,EDT!L$43:L$60,"Répit"),COUNTIFS(EDT!M$43:M$60,B54,EDT!O$43:O$60,"Répit"),COUNTIFS(EDT!P$43:P$60,B54,EDT!R$43:R$60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)*3
+SUM(COUNTIFS(EDT!D$33:D$42,B54,EDT!F$33:F$42,"Répit"),COUNTIFS(EDT!G$33:G$42,B54,EDT!I$33:I$42,"Répit"),COUNTIFS(EDT!J$33:J$42,B54,EDT!L$33:L$42,"Répit"),COUNTIFS(EDT!M$33:M$42,B54,EDT!O$33:O$42,"Répit"),COUNTIFS(EDT!P$33:P$42,B54,EDT!R$33:R$42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,COUNTIFS(#REF!,B54,#REF!,"Répit"))*2</f>
        <v>#REF!</v>
      </c>
      <c r="F54" s="191" t="e">
        <f t="shared" si="1"/>
        <v>#REF!</v>
      </c>
      <c r="G54" s="185" t="e">
        <f>SUM(COUNTIFS(EDT!D$5:D$25,B54,EDT!E$5:E$25,"&gt;&lt;",EDT!F$5:F$25,"ACM"),COUNTIFS(EDT!G$5:G$25,B54,EDT!H$5:H$25,"&gt;&lt;",EDT!I$5:I$25,"ACM"),COUNTIFS(EDT!J$5:J$25,B54,EDT!K$5:K$25,"&gt;&lt;",EDT!L$5:L$25,"ACM"),COUNTIFS(EDT!M$5:M$25,B54,EDT!N$5:N$25,"&gt;&lt;",EDT!O$5:O$25,"ACM"),COUNTIFS(EDT!P$5:P$25,B54,EDT!Q$5:Q$25,"&gt;&lt;",EDT!R$5:R$25,"ACM"),COUNTIFS(EDT!D$43:D$60,B54,EDT!E$43:E$60,"&gt;&lt;",EDT!F$43:F$60,"ACM"),COUNTIFS(EDT!G$43:G$60,B54,EDT!H$43:H$60,"&gt;&lt;",EDT!I$43:I$60,"ACM"),COUNTIFS(EDT!J$43:J$60,B54,EDT!K$43:K$60,"&gt;&lt;",EDT!L$43:L$60,"ACM"),COUNTIFS(EDT!M$43:M$60,B54,EDT!N$43:N$60,"&gt;&lt;",EDT!O$43:O$60,"ACM"),COUNTIFS(EDT!P$43:P$60,B54,EDT!Q$43:Q$60,"&gt;&lt;",EDT!R$43:R$60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)*3
+SUM(COUNTIFS(EDT!D$33:D$42,B54,EDT!E$33:E$42,"&gt;&lt;",EDT!F$33:F$42,"ACM"),COUNTIFS(EDT!G$33:G$42,B54,EDT!H$33:H$42,"&gt;&lt;",EDT!I$33:I$42,"ACM"),COUNTIFS(EDT!J$33:J$42,B54,EDT!K$33:K$42,"&gt;&lt;",EDT!L$33:L$42,"ACM"),COUNTIFS(EDT!M$33:M$42,B54,EDT!N$33:N$42,"&gt;&lt;",EDT!O$33:O$42,"ACM"),COUNTIFS(EDT!P$33:P$42,B54,EDT!Q$33:Q$42,"&gt;&lt;",EDT!R$33:R$42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,COUNTIFS(#REF!,B54,#REF!,"&gt;&lt;",#REF!,"ACM"))*2</f>
        <v>#REF!</v>
      </c>
      <c r="H54" s="192" t="e">
        <f>SUM(COUNTIFS(EDT!D$5:D$25,B54,EDT!E$5:E$25,"&gt;&lt;",EDT!F$5:F$25,"Répit"),COUNTIFS(EDT!G$5:G$25,B54,EDT!H$5:H$25,"&gt;&lt;",EDT!I$5:I$25,"Répit"),COUNTIFS(EDT!J$5:J$25,B54,EDT!K$5:K$25,"&gt;&lt;",EDT!L$5:L$25,"Répit"),COUNTIFS(EDT!M$5:M$25,B54,EDT!N$5:N$25,"&gt;&lt;",EDT!O$5:O$25,"Répit"),COUNTIFS(EDT!P$5:P$25,B54,EDT!Q$5:Q$25,"&gt;&lt;",EDT!R$5:R$25,"Répit"),COUNTIFS(EDT!D$43:D$60,B54,EDT!E$43:E$60,"&gt;&lt;",EDT!F$43:F$60,"Répit"),COUNTIFS(EDT!G$43:G$60,B54,EDT!H$43:H$60,"&gt;&lt;",EDT!I$43:I$60,"Répit"),COUNTIFS(EDT!J$43:J$60,B54,EDT!K$43:K$60,"&gt;&lt;",EDT!L$43:L$60,"Répit"),COUNTIFS(EDT!M$43:M$60,B54,EDT!N$43:N$60,"&gt;&lt;",EDT!O$43:O$60,"Répit"),COUNTIFS(EDT!P$43:P$60,B54,EDT!Q$43:Q$60,"&gt;&lt;",EDT!R$43:R$60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)*3
+SUM(COUNTIFS(EDT!D$33:D$42,B54,EDT!E$33:E$42,"&gt;&lt;",EDT!F$33:F$42,"Répit"),COUNTIFS(EDT!G$33:G$42,B54,EDT!H$33:H$42,"&gt;&lt;",EDT!I$33:I$42,"Répit"),COUNTIFS(EDT!J$33:J$42,B54,EDT!K$33:K$42,"&gt;&lt;",EDT!L$33:L$42,"Répit"),COUNTIFS(EDT!M$33:M$42,B54,EDT!N$33:N$42,"&gt;&lt;",EDT!O$33:O$42,"Répit"),COUNTIFS(EDT!P$33:P$42,B54,EDT!Q$33:Q$42,"&gt;&lt;",EDT!R$33:R$42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,COUNTIFS(#REF!,B54,#REF!,"&gt;&lt;",#REF!,"Répit"))*2</f>
        <v>#REF!</v>
      </c>
      <c r="I54" s="201"/>
      <c r="J54" s="202" t="e">
        <f t="shared" si="2"/>
        <v>#REF!</v>
      </c>
      <c r="K54" s="195" t="e">
        <f t="shared" si="3"/>
        <v>#REF!</v>
      </c>
      <c r="L54" s="195"/>
      <c r="M54" s="195"/>
      <c r="N54" s="196">
        <v>52</v>
      </c>
      <c r="O54" s="198"/>
    </row>
    <row r="55" spans="1:15" ht="12.6">
      <c r="A55" s="199"/>
      <c r="B55" s="188"/>
      <c r="C55" s="189" t="e">
        <f t="shared" si="0"/>
        <v>#REF!</v>
      </c>
      <c r="D55" s="190" t="e">
        <f>SUM(COUNTIFS(EDT!D$5:D$25,B55,EDT!F$5:F$25,"ACM"),COUNTIFS(EDT!G$5:G$25,B55,EDT!I$5:I$25,"ACM"),COUNTIFS(EDT!J$5:J$25,B55,EDT!L$5:L$25,"ACM"),COUNTIFS(EDT!M$5:M$25,B55,EDT!O$5:O$25,"ACM"),COUNTIFS(EDT!P$5:P$25,B55,EDT!R$5:R$25,"ACM"),COUNTIFS(EDT!D$43:D$60,B55,EDT!F$43:F$60,"ACM"),COUNTIFS(EDT!G$43:G$60,B55,EDT!I$43:I$60,"ACM"),COUNTIFS(EDT!J$43:J$60,B55,EDT!L$43:L$60,"ACM"),COUNTIFS(EDT!M$43:M$60,B55,EDT!O$43:O$60,"ACM"),COUNTIFS(EDT!P$43:P$60,B55,EDT!R$43:R$60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)*3
+SUM(COUNTIFS(EDT!D$33:D$42,B55,EDT!F$33:F$42,"ACM"),COUNTIFS(EDT!G$33:G$42,B55,EDT!I$33:I$42,"ACM"),COUNTIFS(EDT!J$33:J$42,B55,EDT!L$33:L$42,"ACM"),COUNTIFS(EDT!M$33:M$42,B55,EDT!O$33:O$42,"ACM"),COUNTIFS(EDT!P$33:P$42,B55,EDT!R$33:R$42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,COUNTIFS(#REF!,B55,#REF!,"ACM"))*2</f>
        <v>#REF!</v>
      </c>
      <c r="E55" s="190" t="e">
        <f>SUM(COUNTIFS(EDT!D$5:D$25,B55,EDT!F$5:F$25,"Répit"),COUNTIFS(EDT!G$5:G$25,B55,EDT!I$5:I$25,"Répit"),COUNTIFS(EDT!J$5:J$25,B55,EDT!L$5:L$25,"Répit"),COUNTIFS(EDT!M$5:M$25,B55,EDT!O$5:O$25,"Répit"),COUNTIFS(EDT!P$5:P$25,B55,EDT!R$5:R$25,"Répit"),COUNTIFS(EDT!D$43:D$60,B55,EDT!F$43:F$60,"Répit"),COUNTIFS(EDT!G$43:G$60,B55,EDT!I$43:I$60,"Répit"),COUNTIFS(EDT!J$43:J$60,B55,EDT!L$43:L$60,"Répit"),COUNTIFS(EDT!M$43:M$60,B55,EDT!O$43:O$60,"Répit"),COUNTIFS(EDT!P$43:P$60,B55,EDT!R$43:R$60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)*3
+SUM(COUNTIFS(EDT!D$33:D$42,B55,EDT!F$33:F$42,"Répit"),COUNTIFS(EDT!G$33:G$42,B55,EDT!I$33:I$42,"Répit"),COUNTIFS(EDT!J$33:J$42,B55,EDT!L$33:L$42,"Répit"),COUNTIFS(EDT!M$33:M$42,B55,EDT!O$33:O$42,"Répit"),COUNTIFS(EDT!P$33:P$42,B55,EDT!R$33:R$42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,COUNTIFS(#REF!,B55,#REF!,"Répit"))*2</f>
        <v>#REF!</v>
      </c>
      <c r="F55" s="191" t="e">
        <f t="shared" si="1"/>
        <v>#REF!</v>
      </c>
      <c r="G55" s="185" t="e">
        <f>SUM(COUNTIFS(EDT!D$5:D$25,B55,EDT!E$5:E$25,"&gt;&lt;",EDT!F$5:F$25,"ACM"),COUNTIFS(EDT!G$5:G$25,B55,EDT!H$5:H$25,"&gt;&lt;",EDT!I$5:I$25,"ACM"),COUNTIFS(EDT!J$5:J$25,B55,EDT!K$5:K$25,"&gt;&lt;",EDT!L$5:L$25,"ACM"),COUNTIFS(EDT!M$5:M$25,B55,EDT!N$5:N$25,"&gt;&lt;",EDT!O$5:O$25,"ACM"),COUNTIFS(EDT!P$5:P$25,B55,EDT!Q$5:Q$25,"&gt;&lt;",EDT!R$5:R$25,"ACM"),COUNTIFS(EDT!D$43:D$60,B55,EDT!E$43:E$60,"&gt;&lt;",EDT!F$43:F$60,"ACM"),COUNTIFS(EDT!G$43:G$60,B55,EDT!H$43:H$60,"&gt;&lt;",EDT!I$43:I$60,"ACM"),COUNTIFS(EDT!J$43:J$60,B55,EDT!K$43:K$60,"&gt;&lt;",EDT!L$43:L$60,"ACM"),COUNTIFS(EDT!M$43:M$60,B55,EDT!N$43:N$60,"&gt;&lt;",EDT!O$43:O$60,"ACM"),COUNTIFS(EDT!P$43:P$60,B55,EDT!Q$43:Q$60,"&gt;&lt;",EDT!R$43:R$60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)*3
+SUM(COUNTIFS(EDT!D$33:D$42,B55,EDT!E$33:E$42,"&gt;&lt;",EDT!F$33:F$42,"ACM"),COUNTIFS(EDT!G$33:G$42,B55,EDT!H$33:H$42,"&gt;&lt;",EDT!I$33:I$42,"ACM"),COUNTIFS(EDT!J$33:J$42,B55,EDT!K$33:K$42,"&gt;&lt;",EDT!L$33:L$42,"ACM"),COUNTIFS(EDT!M$33:M$42,B55,EDT!N$33:N$42,"&gt;&lt;",EDT!O$33:O$42,"ACM"),COUNTIFS(EDT!P$33:P$42,B55,EDT!Q$33:Q$42,"&gt;&lt;",EDT!R$33:R$42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,COUNTIFS(#REF!,B55,#REF!,"&gt;&lt;",#REF!,"ACM"))*2</f>
        <v>#REF!</v>
      </c>
      <c r="H55" s="192" t="e">
        <f>SUM(COUNTIFS(EDT!D$5:D$25,B55,EDT!E$5:E$25,"&gt;&lt;",EDT!F$5:F$25,"Répit"),COUNTIFS(EDT!G$5:G$25,B55,EDT!H$5:H$25,"&gt;&lt;",EDT!I$5:I$25,"Répit"),COUNTIFS(EDT!J$5:J$25,B55,EDT!K$5:K$25,"&gt;&lt;",EDT!L$5:L$25,"Répit"),COUNTIFS(EDT!M$5:M$25,B55,EDT!N$5:N$25,"&gt;&lt;",EDT!O$5:O$25,"Répit"),COUNTIFS(EDT!P$5:P$25,B55,EDT!Q$5:Q$25,"&gt;&lt;",EDT!R$5:R$25,"Répit"),COUNTIFS(EDT!D$43:D$60,B55,EDT!E$43:E$60,"&gt;&lt;",EDT!F$43:F$60,"Répit"),COUNTIFS(EDT!G$43:G$60,B55,EDT!H$43:H$60,"&gt;&lt;",EDT!I$43:I$60,"Répit"),COUNTIFS(EDT!J$43:J$60,B55,EDT!K$43:K$60,"&gt;&lt;",EDT!L$43:L$60,"Répit"),COUNTIFS(EDT!M$43:M$60,B55,EDT!N$43:N$60,"&gt;&lt;",EDT!O$43:O$60,"Répit"),COUNTIFS(EDT!P$43:P$60,B55,EDT!Q$43:Q$60,"&gt;&lt;",EDT!R$43:R$60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)*3
+SUM(COUNTIFS(EDT!D$33:D$42,B55,EDT!E$33:E$42,"&gt;&lt;",EDT!F$33:F$42,"Répit"),COUNTIFS(EDT!G$33:G$42,B55,EDT!H$33:H$42,"&gt;&lt;",EDT!I$33:I$42,"Répit"),COUNTIFS(EDT!J$33:J$42,B55,EDT!K$33:K$42,"&gt;&lt;",EDT!L$33:L$42,"Répit"),COUNTIFS(EDT!M$33:M$42,B55,EDT!N$33:N$42,"&gt;&lt;",EDT!O$33:O$42,"Répit"),COUNTIFS(EDT!P$33:P$42,B55,EDT!Q$33:Q$42,"&gt;&lt;",EDT!R$33:R$42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,COUNTIFS(#REF!,B55,#REF!,"&gt;&lt;",#REF!,"Répit"))*2</f>
        <v>#REF!</v>
      </c>
      <c r="I55" s="201"/>
      <c r="J55" s="202" t="e">
        <f t="shared" si="2"/>
        <v>#REF!</v>
      </c>
      <c r="K55" s="195" t="e">
        <f t="shared" si="3"/>
        <v>#REF!</v>
      </c>
      <c r="L55" s="195"/>
      <c r="M55" s="195"/>
      <c r="N55" s="196">
        <v>53</v>
      </c>
      <c r="O55" s="198"/>
    </row>
    <row r="56" spans="1:15" ht="12.6">
      <c r="A56" s="199"/>
      <c r="B56" s="188"/>
      <c r="C56" s="189" t="e">
        <f t="shared" si="0"/>
        <v>#REF!</v>
      </c>
      <c r="D56" s="190" t="e">
        <f>SUM(COUNTIFS(EDT!D$5:D$25,B56,EDT!F$5:F$25,"ACM"),COUNTIFS(EDT!G$5:G$25,B56,EDT!I$5:I$25,"ACM"),COUNTIFS(EDT!J$5:J$25,B56,EDT!L$5:L$25,"ACM"),COUNTIFS(EDT!M$5:M$25,B56,EDT!O$5:O$25,"ACM"),COUNTIFS(EDT!P$5:P$25,B56,EDT!R$5:R$25,"ACM"),COUNTIFS(EDT!D$43:D$60,B56,EDT!F$43:F$60,"ACM"),COUNTIFS(EDT!G$43:G$60,B56,EDT!I$43:I$60,"ACM"),COUNTIFS(EDT!J$43:J$60,B56,EDT!L$43:L$60,"ACM"),COUNTIFS(EDT!M$43:M$60,B56,EDT!O$43:O$60,"ACM"),COUNTIFS(EDT!P$43:P$60,B56,EDT!R$43:R$60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)*3
+SUM(COUNTIFS(EDT!D$33:D$42,B56,EDT!F$33:F$42,"ACM"),COUNTIFS(EDT!G$33:G$42,B56,EDT!I$33:I$42,"ACM"),COUNTIFS(EDT!J$33:J$42,B56,EDT!L$33:L$42,"ACM"),COUNTIFS(EDT!M$33:M$42,B56,EDT!O$33:O$42,"ACM"),COUNTIFS(EDT!P$33:P$42,B56,EDT!R$33:R$42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,COUNTIFS(#REF!,B56,#REF!,"ACM"))*2</f>
        <v>#REF!</v>
      </c>
      <c r="E56" s="190" t="e">
        <f>SUM(COUNTIFS(EDT!D$5:D$25,B56,EDT!F$5:F$25,"Répit"),COUNTIFS(EDT!G$5:G$25,B56,EDT!I$5:I$25,"Répit"),COUNTIFS(EDT!J$5:J$25,B56,EDT!L$5:L$25,"Répit"),COUNTIFS(EDT!M$5:M$25,B56,EDT!O$5:O$25,"Répit"),COUNTIFS(EDT!P$5:P$25,B56,EDT!R$5:R$25,"Répit"),COUNTIFS(EDT!D$43:D$60,B56,EDT!F$43:F$60,"Répit"),COUNTIFS(EDT!G$43:G$60,B56,EDT!I$43:I$60,"Répit"),COUNTIFS(EDT!J$43:J$60,B56,EDT!L$43:L$60,"Répit"),COUNTIFS(EDT!M$43:M$60,B56,EDT!O$43:O$60,"Répit"),COUNTIFS(EDT!P$43:P$60,B56,EDT!R$43:R$60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)*3
+SUM(COUNTIFS(EDT!D$33:D$42,B56,EDT!F$33:F$42,"Répit"),COUNTIFS(EDT!G$33:G$42,B56,EDT!I$33:I$42,"Répit"),COUNTIFS(EDT!J$33:J$42,B56,EDT!L$33:L$42,"Répit"),COUNTIFS(EDT!M$33:M$42,B56,EDT!O$33:O$42,"Répit"),COUNTIFS(EDT!P$33:P$42,B56,EDT!R$33:R$42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,COUNTIFS(#REF!,B56,#REF!,"Répit"))*2</f>
        <v>#REF!</v>
      </c>
      <c r="F56" s="191" t="e">
        <f t="shared" si="1"/>
        <v>#REF!</v>
      </c>
      <c r="G56" s="185" t="e">
        <f>SUM(COUNTIFS(EDT!D$5:D$25,B56,EDT!E$5:E$25,"&gt;&lt;",EDT!F$5:F$25,"ACM"),COUNTIFS(EDT!G$5:G$25,B56,EDT!H$5:H$25,"&gt;&lt;",EDT!I$5:I$25,"ACM"),COUNTIFS(EDT!J$5:J$25,B56,EDT!K$5:K$25,"&gt;&lt;",EDT!L$5:L$25,"ACM"),COUNTIFS(EDT!M$5:M$25,B56,EDT!N$5:N$25,"&gt;&lt;",EDT!O$5:O$25,"ACM"),COUNTIFS(EDT!P$5:P$25,B56,EDT!Q$5:Q$25,"&gt;&lt;",EDT!R$5:R$25,"ACM"),COUNTIFS(EDT!D$43:D$60,B56,EDT!E$43:E$60,"&gt;&lt;",EDT!F$43:F$60,"ACM"),COUNTIFS(EDT!G$43:G$60,B56,EDT!H$43:H$60,"&gt;&lt;",EDT!I$43:I$60,"ACM"),COUNTIFS(EDT!J$43:J$60,B56,EDT!K$43:K$60,"&gt;&lt;",EDT!L$43:L$60,"ACM"),COUNTIFS(EDT!M$43:M$60,B56,EDT!N$43:N$60,"&gt;&lt;",EDT!O$43:O$60,"ACM"),COUNTIFS(EDT!P$43:P$60,B56,EDT!Q$43:Q$60,"&gt;&lt;",EDT!R$43:R$60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)*3
+SUM(COUNTIFS(EDT!D$33:D$42,B56,EDT!E$33:E$42,"&gt;&lt;",EDT!F$33:F$42,"ACM"),COUNTIFS(EDT!G$33:G$42,B56,EDT!H$33:H$42,"&gt;&lt;",EDT!I$33:I$42,"ACM"),COUNTIFS(EDT!J$33:J$42,B56,EDT!K$33:K$42,"&gt;&lt;",EDT!L$33:L$42,"ACM"),COUNTIFS(EDT!M$33:M$42,B56,EDT!N$33:N$42,"&gt;&lt;",EDT!O$33:O$42,"ACM"),COUNTIFS(EDT!P$33:P$42,B56,EDT!Q$33:Q$42,"&gt;&lt;",EDT!R$33:R$42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,COUNTIFS(#REF!,B56,#REF!,"&gt;&lt;",#REF!,"ACM"))*2</f>
        <v>#REF!</v>
      </c>
      <c r="H56" s="192" t="e">
        <f>SUM(COUNTIFS(EDT!D$5:D$25,B56,EDT!E$5:E$25,"&gt;&lt;",EDT!F$5:F$25,"Répit"),COUNTIFS(EDT!G$5:G$25,B56,EDT!H$5:H$25,"&gt;&lt;",EDT!I$5:I$25,"Répit"),COUNTIFS(EDT!J$5:J$25,B56,EDT!K$5:K$25,"&gt;&lt;",EDT!L$5:L$25,"Répit"),COUNTIFS(EDT!M$5:M$25,B56,EDT!N$5:N$25,"&gt;&lt;",EDT!O$5:O$25,"Répit"),COUNTIFS(EDT!P$5:P$25,B56,EDT!Q$5:Q$25,"&gt;&lt;",EDT!R$5:R$25,"Répit"),COUNTIFS(EDT!D$43:D$60,B56,EDT!E$43:E$60,"&gt;&lt;",EDT!F$43:F$60,"Répit"),COUNTIFS(EDT!G$43:G$60,B56,EDT!H$43:H$60,"&gt;&lt;",EDT!I$43:I$60,"Répit"),COUNTIFS(EDT!J$43:J$60,B56,EDT!K$43:K$60,"&gt;&lt;",EDT!L$43:L$60,"Répit"),COUNTIFS(EDT!M$43:M$60,B56,EDT!N$43:N$60,"&gt;&lt;",EDT!O$43:O$60,"Répit"),COUNTIFS(EDT!P$43:P$60,B56,EDT!Q$43:Q$60,"&gt;&lt;",EDT!R$43:R$60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)*3
+SUM(COUNTIFS(EDT!D$33:D$42,B56,EDT!E$33:E$42,"&gt;&lt;",EDT!F$33:F$42,"Répit"),COUNTIFS(EDT!G$33:G$42,B56,EDT!H$33:H$42,"&gt;&lt;",EDT!I$33:I$42,"Répit"),COUNTIFS(EDT!J$33:J$42,B56,EDT!K$33:K$42,"&gt;&lt;",EDT!L$33:L$42,"Répit"),COUNTIFS(EDT!M$33:M$42,B56,EDT!N$33:N$42,"&gt;&lt;",EDT!O$33:O$42,"Répit"),COUNTIFS(EDT!P$33:P$42,B56,EDT!Q$33:Q$42,"&gt;&lt;",EDT!R$33:R$42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,COUNTIFS(#REF!,B56,#REF!,"&gt;&lt;",#REF!,"Répit"))*2</f>
        <v>#REF!</v>
      </c>
      <c r="I56" s="201"/>
      <c r="J56" s="202" t="e">
        <f t="shared" si="2"/>
        <v>#REF!</v>
      </c>
      <c r="K56" s="195" t="e">
        <f t="shared" si="3"/>
        <v>#REF!</v>
      </c>
      <c r="L56" s="195"/>
      <c r="M56" s="195"/>
      <c r="N56" s="196">
        <v>54</v>
      </c>
      <c r="O56" s="198"/>
    </row>
    <row r="57" spans="1:15" ht="12.6">
      <c r="A57" s="199"/>
      <c r="B57" s="188"/>
      <c r="C57" s="189" t="e">
        <f t="shared" si="0"/>
        <v>#REF!</v>
      </c>
      <c r="D57" s="190" t="e">
        <f>SUM(COUNTIFS(EDT!D$5:D$25,B57,EDT!F$5:F$25,"ACM"),COUNTIFS(EDT!G$5:G$25,B57,EDT!I$5:I$25,"ACM"),COUNTIFS(EDT!J$5:J$25,B57,EDT!L$5:L$25,"ACM"),COUNTIFS(EDT!M$5:M$25,B57,EDT!O$5:O$25,"ACM"),COUNTIFS(EDT!P$5:P$25,B57,EDT!R$5:R$25,"ACM"),COUNTIFS(EDT!D$43:D$60,B57,EDT!F$43:F$60,"ACM"),COUNTIFS(EDT!G$43:G$60,B57,EDT!I$43:I$60,"ACM"),COUNTIFS(EDT!J$43:J$60,B57,EDT!L$43:L$60,"ACM"),COUNTIFS(EDT!M$43:M$60,B57,EDT!O$43:O$60,"ACM"),COUNTIFS(EDT!P$43:P$60,B57,EDT!R$43:R$60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)*3
+SUM(COUNTIFS(EDT!D$33:D$42,B57,EDT!F$33:F$42,"ACM"),COUNTIFS(EDT!G$33:G$42,B57,EDT!I$33:I$42,"ACM"),COUNTIFS(EDT!J$33:J$42,B57,EDT!L$33:L$42,"ACM"),COUNTIFS(EDT!M$33:M$42,B57,EDT!O$33:O$42,"ACM"),COUNTIFS(EDT!P$33:P$42,B57,EDT!R$33:R$42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,COUNTIFS(#REF!,B57,#REF!,"ACM"))*2</f>
        <v>#REF!</v>
      </c>
      <c r="E57" s="190" t="e">
        <f>SUM(COUNTIFS(EDT!D$5:D$25,B57,EDT!F$5:F$25,"Répit"),COUNTIFS(EDT!G$5:G$25,B57,EDT!I$5:I$25,"Répit"),COUNTIFS(EDT!J$5:J$25,B57,EDT!L$5:L$25,"Répit"),COUNTIFS(EDT!M$5:M$25,B57,EDT!O$5:O$25,"Répit"),COUNTIFS(EDT!P$5:P$25,B57,EDT!R$5:R$25,"Répit"),COUNTIFS(EDT!D$43:D$60,B57,EDT!F$43:F$60,"Répit"),COUNTIFS(EDT!G$43:G$60,B57,EDT!I$43:I$60,"Répit"),COUNTIFS(EDT!J$43:J$60,B57,EDT!L$43:L$60,"Répit"),COUNTIFS(EDT!M$43:M$60,B57,EDT!O$43:O$60,"Répit"),COUNTIFS(EDT!P$43:P$60,B57,EDT!R$43:R$60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)*3
+SUM(COUNTIFS(EDT!D$33:D$42,B57,EDT!F$33:F$42,"Répit"),COUNTIFS(EDT!G$33:G$42,B57,EDT!I$33:I$42,"Répit"),COUNTIFS(EDT!J$33:J$42,B57,EDT!L$33:L$42,"Répit"),COUNTIFS(EDT!M$33:M$42,B57,EDT!O$33:O$42,"Répit"),COUNTIFS(EDT!P$33:P$42,B57,EDT!R$33:R$42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,COUNTIFS(#REF!,B57,#REF!,"Répit"))*2</f>
        <v>#REF!</v>
      </c>
      <c r="F57" s="191" t="e">
        <f t="shared" si="1"/>
        <v>#REF!</v>
      </c>
      <c r="G57" s="185" t="e">
        <f>SUM(COUNTIFS(EDT!D$5:D$25,B57,EDT!E$5:E$25,"&gt;&lt;",EDT!F$5:F$25,"ACM"),COUNTIFS(EDT!G$5:G$25,B57,EDT!H$5:H$25,"&gt;&lt;",EDT!I$5:I$25,"ACM"),COUNTIFS(EDT!J$5:J$25,B57,EDT!K$5:K$25,"&gt;&lt;",EDT!L$5:L$25,"ACM"),COUNTIFS(EDT!M$5:M$25,B57,EDT!N$5:N$25,"&gt;&lt;",EDT!O$5:O$25,"ACM"),COUNTIFS(EDT!P$5:P$25,B57,EDT!Q$5:Q$25,"&gt;&lt;",EDT!R$5:R$25,"ACM"),COUNTIFS(EDT!D$43:D$60,B57,EDT!E$43:E$60,"&gt;&lt;",EDT!F$43:F$60,"ACM"),COUNTIFS(EDT!G$43:G$60,B57,EDT!H$43:H$60,"&gt;&lt;",EDT!I$43:I$60,"ACM"),COUNTIFS(EDT!J$43:J$60,B57,EDT!K$43:K$60,"&gt;&lt;",EDT!L$43:L$60,"ACM"),COUNTIFS(EDT!M$43:M$60,B57,EDT!N$43:N$60,"&gt;&lt;",EDT!O$43:O$60,"ACM"),COUNTIFS(EDT!P$43:P$60,B57,EDT!Q$43:Q$60,"&gt;&lt;",EDT!R$43:R$60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)*3
+SUM(COUNTIFS(EDT!D$33:D$42,B57,EDT!E$33:E$42,"&gt;&lt;",EDT!F$33:F$42,"ACM"),COUNTIFS(EDT!G$33:G$42,B57,EDT!H$33:H$42,"&gt;&lt;",EDT!I$33:I$42,"ACM"),COUNTIFS(EDT!J$33:J$42,B57,EDT!K$33:K$42,"&gt;&lt;",EDT!L$33:L$42,"ACM"),COUNTIFS(EDT!M$33:M$42,B57,EDT!N$33:N$42,"&gt;&lt;",EDT!O$33:O$42,"ACM"),COUNTIFS(EDT!P$33:P$42,B57,EDT!Q$33:Q$42,"&gt;&lt;",EDT!R$33:R$42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,COUNTIFS(#REF!,B57,#REF!,"&gt;&lt;",#REF!,"ACM"))*2</f>
        <v>#REF!</v>
      </c>
      <c r="H57" s="192">
        <v>3</v>
      </c>
      <c r="I57" s="201"/>
      <c r="J57" s="202">
        <f t="shared" si="2"/>
        <v>0</v>
      </c>
      <c r="K57" s="195">
        <f t="shared" si="3"/>
        <v>1</v>
      </c>
      <c r="L57" s="195"/>
      <c r="M57" s="195"/>
      <c r="N57" s="196">
        <v>55</v>
      </c>
      <c r="O57" s="198"/>
    </row>
    <row r="58" spans="1:15" ht="12.6">
      <c r="A58" s="199"/>
      <c r="B58" s="188"/>
      <c r="C58" s="189" t="e">
        <f t="shared" si="0"/>
        <v>#REF!</v>
      </c>
      <c r="D58" s="190" t="e">
        <f>SUM(COUNTIFS(EDT!D$5:D$25,B58,EDT!F$5:F$25,"ACM"),COUNTIFS(EDT!G$5:G$25,B58,EDT!I$5:I$25,"ACM"),COUNTIFS(EDT!J$5:J$25,B58,EDT!L$5:L$25,"ACM"),COUNTIFS(EDT!M$5:M$25,B58,EDT!O$5:O$25,"ACM"),COUNTIFS(EDT!P$5:P$25,B58,EDT!R$5:R$25,"ACM"),COUNTIFS(EDT!D$43:D$60,B58,EDT!F$43:F$60,"ACM"),COUNTIFS(EDT!G$43:G$60,B58,EDT!I$43:I$60,"ACM"),COUNTIFS(EDT!J$43:J$60,B58,EDT!L$43:L$60,"ACM"),COUNTIFS(EDT!M$43:M$60,B58,EDT!O$43:O$60,"ACM"),COUNTIFS(EDT!P$43:P$60,B58,EDT!R$43:R$60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)*3
+SUM(COUNTIFS(EDT!D$33:D$42,B58,EDT!F$33:F$42,"ACM"),COUNTIFS(EDT!G$33:G$42,B58,EDT!I$33:I$42,"ACM"),COUNTIFS(EDT!J$33:J$42,B58,EDT!L$33:L$42,"ACM"),COUNTIFS(EDT!M$33:M$42,B58,EDT!O$33:O$42,"ACM"),COUNTIFS(EDT!P$33:P$42,B58,EDT!R$33:R$42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,COUNTIFS(#REF!,B58,#REF!,"ACM"))*2</f>
        <v>#REF!</v>
      </c>
      <c r="E58" s="190" t="e">
        <f>SUM(COUNTIFS(EDT!D$5:D$25,B58,EDT!F$5:F$25,"Répit"),COUNTIFS(EDT!G$5:G$25,B58,EDT!I$5:I$25,"Répit"),COUNTIFS(EDT!J$5:J$25,B58,EDT!L$5:L$25,"Répit"),COUNTIFS(EDT!M$5:M$25,B58,EDT!O$5:O$25,"Répit"),COUNTIFS(EDT!P$5:P$25,B58,EDT!R$5:R$25,"Répit"),COUNTIFS(EDT!D$43:D$60,B58,EDT!F$43:F$60,"Répit"),COUNTIFS(EDT!G$43:G$60,B58,EDT!I$43:I$60,"Répit"),COUNTIFS(EDT!J$43:J$60,B58,EDT!L$43:L$60,"Répit"),COUNTIFS(EDT!M$43:M$60,B58,EDT!O$43:O$60,"Répit"),COUNTIFS(EDT!P$43:P$60,B58,EDT!R$43:R$60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)*3
+SUM(COUNTIFS(EDT!D$33:D$42,B58,EDT!F$33:F$42,"Répit"),COUNTIFS(EDT!G$33:G$42,B58,EDT!I$33:I$42,"Répit"),COUNTIFS(EDT!J$33:J$42,B58,EDT!L$33:L$42,"Répit"),COUNTIFS(EDT!M$33:M$42,B58,EDT!O$33:O$42,"Répit"),COUNTIFS(EDT!P$33:P$42,B58,EDT!R$33:R$42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,COUNTIFS(#REF!,B58,#REF!,"Répit"))*2</f>
        <v>#REF!</v>
      </c>
      <c r="F58" s="191" t="e">
        <f t="shared" si="1"/>
        <v>#REF!</v>
      </c>
      <c r="G58" s="185" t="e">
        <f>SUM(COUNTIFS(EDT!D$5:D$25,B58,EDT!E$5:E$25,"&gt;&lt;",EDT!F$5:F$25,"ACM"),COUNTIFS(EDT!G$5:G$25,B58,EDT!H$5:H$25,"&gt;&lt;",EDT!I$5:I$25,"ACM"),COUNTIFS(EDT!J$5:J$25,B58,EDT!K$5:K$25,"&gt;&lt;",EDT!L$5:L$25,"ACM"),COUNTIFS(EDT!M$5:M$25,B58,EDT!N$5:N$25,"&gt;&lt;",EDT!O$5:O$25,"ACM"),COUNTIFS(EDT!P$5:P$25,B58,EDT!Q$5:Q$25,"&gt;&lt;",EDT!R$5:R$25,"ACM"),COUNTIFS(EDT!D$43:D$60,B58,EDT!E$43:E$60,"&gt;&lt;",EDT!F$43:F$60,"ACM"),COUNTIFS(EDT!G$43:G$60,B58,EDT!H$43:H$60,"&gt;&lt;",EDT!I$43:I$60,"ACM"),COUNTIFS(EDT!J$43:J$60,B58,EDT!K$43:K$60,"&gt;&lt;",EDT!L$43:L$60,"ACM"),COUNTIFS(EDT!M$43:M$60,B58,EDT!N$43:N$60,"&gt;&lt;",EDT!O$43:O$60,"ACM"),COUNTIFS(EDT!P$43:P$60,B58,EDT!Q$43:Q$60,"&gt;&lt;",EDT!R$43:R$60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)*3
+SUM(COUNTIFS(EDT!D$33:D$42,B58,EDT!E$33:E$42,"&gt;&lt;",EDT!F$33:F$42,"ACM"),COUNTIFS(EDT!G$33:G$42,B58,EDT!H$33:H$42,"&gt;&lt;",EDT!I$33:I$42,"ACM"),COUNTIFS(EDT!J$33:J$42,B58,EDT!K$33:K$42,"&gt;&lt;",EDT!L$33:L$42,"ACM"),COUNTIFS(EDT!M$33:M$42,B58,EDT!N$33:N$42,"&gt;&lt;",EDT!O$33:O$42,"ACM"),COUNTIFS(EDT!P$33:P$42,B58,EDT!Q$33:Q$42,"&gt;&lt;",EDT!R$33:R$42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,COUNTIFS(#REF!,B58,#REF!,"&gt;&lt;",#REF!,"ACM"))*2</f>
        <v>#REF!</v>
      </c>
      <c r="H58" s="192">
        <v>11</v>
      </c>
      <c r="I58" s="201"/>
      <c r="J58" s="202">
        <f t="shared" si="2"/>
        <v>0</v>
      </c>
      <c r="K58" s="195">
        <f t="shared" si="3"/>
        <v>1</v>
      </c>
      <c r="L58" s="195"/>
      <c r="M58" s="195"/>
      <c r="N58" s="196">
        <v>56</v>
      </c>
      <c r="O58" s="198"/>
    </row>
    <row r="59" spans="1:15" ht="12.6">
      <c r="A59" s="199"/>
      <c r="B59" s="188"/>
      <c r="C59" s="189" t="e">
        <f t="shared" si="0"/>
        <v>#REF!</v>
      </c>
      <c r="D59" s="190" t="e">
        <f>SUM(COUNTIFS(EDT!D$5:D$25,B59,EDT!F$5:F$25,"ACM"),COUNTIFS(EDT!G$5:G$25,B59,EDT!I$5:I$25,"ACM"),COUNTIFS(EDT!J$5:J$25,B59,EDT!L$5:L$25,"ACM"),COUNTIFS(EDT!M$5:M$25,B59,EDT!O$5:O$25,"ACM"),COUNTIFS(EDT!P$5:P$25,B59,EDT!R$5:R$25,"ACM"),COUNTIFS(EDT!D$43:D$60,B59,EDT!F$43:F$60,"ACM"),COUNTIFS(EDT!G$43:G$60,B59,EDT!I$43:I$60,"ACM"),COUNTIFS(EDT!J$43:J$60,B59,EDT!L$43:L$60,"ACM"),COUNTIFS(EDT!M$43:M$60,B59,EDT!O$43:O$60,"ACM"),COUNTIFS(EDT!P$43:P$60,B59,EDT!R$43:R$60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)*3
+SUM(COUNTIFS(EDT!D$33:D$42,B59,EDT!F$33:F$42,"ACM"),COUNTIFS(EDT!G$33:G$42,B59,EDT!I$33:I$42,"ACM"),COUNTIFS(EDT!J$33:J$42,B59,EDT!L$33:L$42,"ACM"),COUNTIFS(EDT!M$33:M$42,B59,EDT!O$33:O$42,"ACM"),COUNTIFS(EDT!P$33:P$42,B59,EDT!R$33:R$42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,COUNTIFS(#REF!,B59,#REF!,"ACM"))*2</f>
        <v>#REF!</v>
      </c>
      <c r="E59" s="190" t="e">
        <f>SUM(COUNTIFS(EDT!D$5:D$25,B59,EDT!F$5:F$25,"Répit"),COUNTIFS(EDT!G$5:G$25,B59,EDT!I$5:I$25,"Répit"),COUNTIFS(EDT!J$5:J$25,B59,EDT!L$5:L$25,"Répit"),COUNTIFS(EDT!M$5:M$25,B59,EDT!O$5:O$25,"Répit"),COUNTIFS(EDT!P$5:P$25,B59,EDT!R$5:R$25,"Répit"),COUNTIFS(EDT!D$43:D$60,B59,EDT!F$43:F$60,"Répit"),COUNTIFS(EDT!G$43:G$60,B59,EDT!I$43:I$60,"Répit"),COUNTIFS(EDT!J$43:J$60,B59,EDT!L$43:L$60,"Répit"),COUNTIFS(EDT!M$43:M$60,B59,EDT!O$43:O$60,"Répit"),COUNTIFS(EDT!P$43:P$60,B59,EDT!R$43:R$60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)*3
+SUM(COUNTIFS(EDT!D$33:D$42,B59,EDT!F$33:F$42,"Répit"),COUNTIFS(EDT!G$33:G$42,B59,EDT!I$33:I$42,"Répit"),COUNTIFS(EDT!J$33:J$42,B59,EDT!L$33:L$42,"Répit"),COUNTIFS(EDT!M$33:M$42,B59,EDT!O$33:O$42,"Répit"),COUNTIFS(EDT!P$33:P$42,B59,EDT!R$33:R$42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,COUNTIFS(#REF!,B59,#REF!,"Répit"))*2</f>
        <v>#REF!</v>
      </c>
      <c r="F59" s="191" t="e">
        <f t="shared" si="1"/>
        <v>#REF!</v>
      </c>
      <c r="G59" s="185" t="e">
        <f>SUM(COUNTIFS(EDT!D$5:D$25,B59,EDT!E$5:E$25,"&gt;&lt;",EDT!F$5:F$25,"ACM"),COUNTIFS(EDT!G$5:G$25,B59,EDT!H$5:H$25,"&gt;&lt;",EDT!I$5:I$25,"ACM"),COUNTIFS(EDT!J$5:J$25,B59,EDT!K$5:K$25,"&gt;&lt;",EDT!L$5:L$25,"ACM"),COUNTIFS(EDT!M$5:M$25,B59,EDT!N$5:N$25,"&gt;&lt;",EDT!O$5:O$25,"ACM"),COUNTIFS(EDT!P$5:P$25,B59,EDT!Q$5:Q$25,"&gt;&lt;",EDT!R$5:R$25,"ACM"),COUNTIFS(EDT!D$43:D$60,B59,EDT!E$43:E$60,"&gt;&lt;",EDT!F$43:F$60,"ACM"),COUNTIFS(EDT!G$43:G$60,B59,EDT!H$43:H$60,"&gt;&lt;",EDT!I$43:I$60,"ACM"),COUNTIFS(EDT!J$43:J$60,B59,EDT!K$43:K$60,"&gt;&lt;",EDT!L$43:L$60,"ACM"),COUNTIFS(EDT!M$43:M$60,B59,EDT!N$43:N$60,"&gt;&lt;",EDT!O$43:O$60,"ACM"),COUNTIFS(EDT!P$43:P$60,B59,EDT!Q$43:Q$60,"&gt;&lt;",EDT!R$43:R$60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)*3
+SUM(COUNTIFS(EDT!D$33:D$42,B59,EDT!E$33:E$42,"&gt;&lt;",EDT!F$33:F$42,"ACM"),COUNTIFS(EDT!G$33:G$42,B59,EDT!H$33:H$42,"&gt;&lt;",EDT!I$33:I$42,"ACM"),COUNTIFS(EDT!J$33:J$42,B59,EDT!K$33:K$42,"&gt;&lt;",EDT!L$33:L$42,"ACM"),COUNTIFS(EDT!M$33:M$42,B59,EDT!N$33:N$42,"&gt;&lt;",EDT!O$33:O$42,"ACM"),COUNTIFS(EDT!P$33:P$42,B59,EDT!Q$33:Q$42,"&gt;&lt;",EDT!R$33:R$42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,COUNTIFS(#REF!,B59,#REF!,"&gt;&lt;",#REF!,"ACM"))*2</f>
        <v>#REF!</v>
      </c>
      <c r="H59" s="192" t="e">
        <f>SUM(COUNTIFS(EDT!D$5:D$25,B59,EDT!E$5:E$25,"&gt;&lt;",EDT!F$5:F$25,"Répit"),COUNTIFS(EDT!G$5:G$25,B59,EDT!H$5:H$25,"&gt;&lt;",EDT!I$5:I$25,"Répit"),COUNTIFS(EDT!J$5:J$25,B59,EDT!K$5:K$25,"&gt;&lt;",EDT!L$5:L$25,"Répit"),COUNTIFS(EDT!M$5:M$25,B59,EDT!N$5:N$25,"&gt;&lt;",EDT!O$5:O$25,"Répit"),COUNTIFS(EDT!P$5:P$25,B59,EDT!Q$5:Q$25,"&gt;&lt;",EDT!R$5:R$25,"Répit"),COUNTIFS(EDT!D$43:D$60,B59,EDT!E$43:E$60,"&gt;&lt;",EDT!F$43:F$60,"Répit"),COUNTIFS(EDT!G$43:G$60,B59,EDT!H$43:H$60,"&gt;&lt;",EDT!I$43:I$60,"Répit"),COUNTIFS(EDT!J$43:J$60,B59,EDT!K$43:K$60,"&gt;&lt;",EDT!L$43:L$60,"Répit"),COUNTIFS(EDT!M$43:M$60,B59,EDT!N$43:N$60,"&gt;&lt;",EDT!O$43:O$60,"Répit"),COUNTIFS(EDT!P$43:P$60,B59,EDT!Q$43:Q$60,"&gt;&lt;",EDT!R$43:R$60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)*3
+SUM(COUNTIFS(EDT!D$33:D$42,B59,EDT!E$33:E$42,"&gt;&lt;",EDT!F$33:F$42,"Répit"),COUNTIFS(EDT!G$33:G$42,B59,EDT!H$33:H$42,"&gt;&lt;",EDT!I$33:I$42,"Répit"),COUNTIFS(EDT!J$33:J$42,B59,EDT!K$33:K$42,"&gt;&lt;",EDT!L$33:L$42,"Répit"),COUNTIFS(EDT!M$33:M$42,B59,EDT!N$33:N$42,"&gt;&lt;",EDT!O$33:O$42,"Répit"),COUNTIFS(EDT!P$33:P$42,B59,EDT!Q$33:Q$42,"&gt;&lt;",EDT!R$33:R$42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,COUNTIFS(#REF!,B59,#REF!,"&gt;&lt;",#REF!,"Répit"))*2</f>
        <v>#REF!</v>
      </c>
      <c r="I59" s="201"/>
      <c r="J59" s="202" t="e">
        <f t="shared" si="2"/>
        <v>#REF!</v>
      </c>
      <c r="K59" s="195" t="e">
        <f t="shared" si="3"/>
        <v>#REF!</v>
      </c>
      <c r="L59" s="195"/>
      <c r="M59" s="195"/>
      <c r="N59" s="196">
        <v>57</v>
      </c>
      <c r="O59" s="198"/>
    </row>
    <row r="60" spans="1:15" ht="12.6">
      <c r="A60" s="199"/>
      <c r="B60" s="188"/>
      <c r="C60" s="189" t="e">
        <f t="shared" si="0"/>
        <v>#REF!</v>
      </c>
      <c r="D60" s="190" t="e">
        <f>SUM(COUNTIFS(EDT!D$5:D$25,B60,EDT!F$5:F$25,"ACM"),COUNTIFS(EDT!G$5:G$25,B60,EDT!I$5:I$25,"ACM"),COUNTIFS(EDT!J$5:J$25,B60,EDT!L$5:L$25,"ACM"),COUNTIFS(EDT!M$5:M$25,B60,EDT!O$5:O$25,"ACM"),COUNTIFS(EDT!P$5:P$25,B60,EDT!R$5:R$25,"ACM"),COUNTIFS(EDT!D$43:D$60,B60,EDT!F$43:F$60,"ACM"),COUNTIFS(EDT!G$43:G$60,B60,EDT!I$43:I$60,"ACM"),COUNTIFS(EDT!J$43:J$60,B60,EDT!L$43:L$60,"ACM"),COUNTIFS(EDT!M$43:M$60,B60,EDT!O$43:O$60,"ACM"),COUNTIFS(EDT!P$43:P$60,B60,EDT!R$43:R$60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)*3
+SUM(COUNTIFS(EDT!D$33:D$42,B60,EDT!F$33:F$42,"ACM"),COUNTIFS(EDT!G$33:G$42,B60,EDT!I$33:I$42,"ACM"),COUNTIFS(EDT!J$33:J$42,B60,EDT!L$33:L$42,"ACM"),COUNTIFS(EDT!M$33:M$42,B60,EDT!O$33:O$42,"ACM"),COUNTIFS(EDT!P$33:P$42,B60,EDT!R$33:R$42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,COUNTIFS(#REF!,B60,#REF!,"ACM"))*2</f>
        <v>#REF!</v>
      </c>
      <c r="E60" s="190" t="e">
        <f>SUM(COUNTIFS(EDT!D$5:D$25,B60,EDT!F$5:F$25,"Répit"),COUNTIFS(EDT!G$5:G$25,B60,EDT!I$5:I$25,"Répit"),COUNTIFS(EDT!J$5:J$25,B60,EDT!L$5:L$25,"Répit"),COUNTIFS(EDT!M$5:M$25,B60,EDT!O$5:O$25,"Répit"),COUNTIFS(EDT!P$5:P$25,B60,EDT!R$5:R$25,"Répit"),COUNTIFS(EDT!D$43:D$60,B60,EDT!F$43:F$60,"Répit"),COUNTIFS(EDT!G$43:G$60,B60,EDT!I$43:I$60,"Répit"),COUNTIFS(EDT!J$43:J$60,B60,EDT!L$43:L$60,"Répit"),COUNTIFS(EDT!M$43:M$60,B60,EDT!O$43:O$60,"Répit"),COUNTIFS(EDT!P$43:P$60,B60,EDT!R$43:R$60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)*3
+SUM(COUNTIFS(EDT!D$33:D$42,B60,EDT!F$33:F$42,"Répit"),COUNTIFS(EDT!G$33:G$42,B60,EDT!I$33:I$42,"Répit"),COUNTIFS(EDT!J$33:J$42,B60,EDT!L$33:L$42,"Répit"),COUNTIFS(EDT!M$33:M$42,B60,EDT!O$33:O$42,"Répit"),COUNTIFS(EDT!P$33:P$42,B60,EDT!R$33:R$42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,COUNTIFS(#REF!,B60,#REF!,"Répit"))*2</f>
        <v>#REF!</v>
      </c>
      <c r="F60" s="191" t="e">
        <f t="shared" si="1"/>
        <v>#REF!</v>
      </c>
      <c r="G60" s="185" t="e">
        <f>SUM(COUNTIFS(EDT!D$5:D$25,B60,EDT!E$5:E$25,"&gt;&lt;",EDT!F$5:F$25,"ACM"),COUNTIFS(EDT!G$5:G$25,B60,EDT!H$5:H$25,"&gt;&lt;",EDT!I$5:I$25,"ACM"),COUNTIFS(EDT!J$5:J$25,B60,EDT!K$5:K$25,"&gt;&lt;",EDT!L$5:L$25,"ACM"),COUNTIFS(EDT!M$5:M$25,B60,EDT!N$5:N$25,"&gt;&lt;",EDT!O$5:O$25,"ACM"),COUNTIFS(EDT!P$5:P$25,B60,EDT!Q$5:Q$25,"&gt;&lt;",EDT!R$5:R$25,"ACM"),COUNTIFS(EDT!D$43:D$60,B60,EDT!E$43:E$60,"&gt;&lt;",EDT!F$43:F$60,"ACM"),COUNTIFS(EDT!G$43:G$60,B60,EDT!H$43:H$60,"&gt;&lt;",EDT!I$43:I$60,"ACM"),COUNTIFS(EDT!J$43:J$60,B60,EDT!K$43:K$60,"&gt;&lt;",EDT!L$43:L$60,"ACM"),COUNTIFS(EDT!M$43:M$60,B60,EDT!N$43:N$60,"&gt;&lt;",EDT!O$43:O$60,"ACM"),COUNTIFS(EDT!P$43:P$60,B60,EDT!Q$43:Q$60,"&gt;&lt;",EDT!R$43:R$60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)*3
+SUM(COUNTIFS(EDT!D$33:D$42,B60,EDT!E$33:E$42,"&gt;&lt;",EDT!F$33:F$42,"ACM"),COUNTIFS(EDT!G$33:G$42,B60,EDT!H$33:H$42,"&gt;&lt;",EDT!I$33:I$42,"ACM"),COUNTIFS(EDT!J$33:J$42,B60,EDT!K$33:K$42,"&gt;&lt;",EDT!L$33:L$42,"ACM"),COUNTIFS(EDT!M$33:M$42,B60,EDT!N$33:N$42,"&gt;&lt;",EDT!O$33:O$42,"ACM"),COUNTIFS(EDT!P$33:P$42,B60,EDT!Q$33:Q$42,"&gt;&lt;",EDT!R$33:R$42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,COUNTIFS(#REF!,B60,#REF!,"&gt;&lt;",#REF!,"ACM"))*2</f>
        <v>#REF!</v>
      </c>
      <c r="H60" s="192" t="e">
        <f>SUM(COUNTIFS(EDT!D$5:D$25,B60,EDT!E$5:E$25,"&gt;&lt;",EDT!F$5:F$25,"Répit"),COUNTIFS(EDT!G$5:G$25,B60,EDT!H$5:H$25,"&gt;&lt;",EDT!I$5:I$25,"Répit"),COUNTIFS(EDT!J$5:J$25,B60,EDT!K$5:K$25,"&gt;&lt;",EDT!L$5:L$25,"Répit"),COUNTIFS(EDT!M$5:M$25,B60,EDT!N$5:N$25,"&gt;&lt;",EDT!O$5:O$25,"Répit"),COUNTIFS(EDT!P$5:P$25,B60,EDT!Q$5:Q$25,"&gt;&lt;",EDT!R$5:R$25,"Répit"),COUNTIFS(EDT!D$43:D$60,B60,EDT!E$43:E$60,"&gt;&lt;",EDT!F$43:F$60,"Répit"),COUNTIFS(EDT!G$43:G$60,B60,EDT!H$43:H$60,"&gt;&lt;",EDT!I$43:I$60,"Répit"),COUNTIFS(EDT!J$43:J$60,B60,EDT!K$43:K$60,"&gt;&lt;",EDT!L$43:L$60,"Répit"),COUNTIFS(EDT!M$43:M$60,B60,EDT!N$43:N$60,"&gt;&lt;",EDT!O$43:O$60,"Répit"),COUNTIFS(EDT!P$43:P$60,B60,EDT!Q$43:Q$60,"&gt;&lt;",EDT!R$43:R$60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)*3
+SUM(COUNTIFS(EDT!D$33:D$42,B60,EDT!E$33:E$42,"&gt;&lt;",EDT!F$33:F$42,"Répit"),COUNTIFS(EDT!G$33:G$42,B60,EDT!H$33:H$42,"&gt;&lt;",EDT!I$33:I$42,"Répit"),COUNTIFS(EDT!J$33:J$42,B60,EDT!K$33:K$42,"&gt;&lt;",EDT!L$33:L$42,"Répit"),COUNTIFS(EDT!M$33:M$42,B60,EDT!N$33:N$42,"&gt;&lt;",EDT!O$33:O$42,"Répit"),COUNTIFS(EDT!P$33:P$42,B60,EDT!Q$33:Q$42,"&gt;&lt;",EDT!R$33:R$42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,COUNTIFS(#REF!,B60,#REF!,"&gt;&lt;",#REF!,"Répit"))*2</f>
        <v>#REF!</v>
      </c>
      <c r="I60" s="203"/>
      <c r="J60" s="204" t="e">
        <f t="shared" si="2"/>
        <v>#REF!</v>
      </c>
      <c r="K60" s="195" t="e">
        <f t="shared" si="3"/>
        <v>#REF!</v>
      </c>
      <c r="L60" s="195"/>
      <c r="M60" s="195"/>
      <c r="N60" s="196">
        <v>58</v>
      </c>
      <c r="O60" s="198"/>
    </row>
    <row r="61" spans="1:15" ht="12.6">
      <c r="A61" s="199"/>
      <c r="B61" s="205"/>
      <c r="C61" s="189" t="e">
        <f t="shared" si="0"/>
        <v>#REF!</v>
      </c>
      <c r="D61" s="190" t="e">
        <f>SUM(COUNTIFS(EDT!D$5:D$25,B61,EDT!F$5:F$25,"ACM"),COUNTIFS(EDT!G$5:G$25,B61,EDT!I$5:I$25,"ACM"),COUNTIFS(EDT!J$5:J$25,B61,EDT!L$5:L$25,"ACM"),COUNTIFS(EDT!M$5:M$25,B61,EDT!O$5:O$25,"ACM"),COUNTIFS(EDT!P$5:P$25,B61,EDT!R$5:R$25,"ACM"),COUNTIFS(EDT!D$43:D$60,B61,EDT!F$43:F$60,"ACM"),COUNTIFS(EDT!G$43:G$60,B61,EDT!I$43:I$60,"ACM"),COUNTIFS(EDT!J$43:J$60,B61,EDT!L$43:L$60,"ACM"),COUNTIFS(EDT!M$43:M$60,B61,EDT!O$43:O$60,"ACM"),COUNTIFS(EDT!P$43:P$60,B61,EDT!R$43:R$60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)*3
+SUM(COUNTIFS(EDT!D$33:D$42,B61,EDT!F$33:F$42,"ACM"),COUNTIFS(EDT!G$33:G$42,B61,EDT!I$33:I$42,"ACM"),COUNTIFS(EDT!J$33:J$42,B61,EDT!L$33:L$42,"ACM"),COUNTIFS(EDT!M$33:M$42,B61,EDT!O$33:O$42,"ACM"),COUNTIFS(EDT!P$33:P$42,B61,EDT!R$33:R$42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,COUNTIFS(#REF!,B61,#REF!,"ACM"))*2</f>
        <v>#REF!</v>
      </c>
      <c r="E61" s="190" t="e">
        <f>SUM(COUNTIFS(EDT!D$5:D$25,B61,EDT!F$5:F$25,"Répit"),COUNTIFS(EDT!G$5:G$25,B61,EDT!I$5:I$25,"Répit"),COUNTIFS(EDT!J$5:J$25,B61,EDT!L$5:L$25,"Répit"),COUNTIFS(EDT!M$5:M$25,B61,EDT!O$5:O$25,"Répit"),COUNTIFS(EDT!P$5:P$25,B61,EDT!R$5:R$25,"Répit"),COUNTIFS(EDT!D$43:D$60,B61,EDT!F$43:F$60,"Répit"),COUNTIFS(EDT!G$43:G$60,B61,EDT!I$43:I$60,"Répit"),COUNTIFS(EDT!J$43:J$60,B61,EDT!L$43:L$60,"Répit"),COUNTIFS(EDT!M$43:M$60,B61,EDT!O$43:O$60,"Répit"),COUNTIFS(EDT!P$43:P$60,B61,EDT!R$43:R$60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)*3
+SUM(COUNTIFS(EDT!D$33:D$42,B61,EDT!F$33:F$42,"Répit"),COUNTIFS(EDT!G$33:G$42,B61,EDT!I$33:I$42,"Répit"),COUNTIFS(EDT!J$33:J$42,B61,EDT!L$33:L$42,"Répit"),COUNTIFS(EDT!M$33:M$42,B61,EDT!O$33:O$42,"Répit"),COUNTIFS(EDT!P$33:P$42,B61,EDT!R$33:R$42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,COUNTIFS(#REF!,B61,#REF!,"Répit"))*2</f>
        <v>#REF!</v>
      </c>
      <c r="F61" s="191" t="e">
        <f t="shared" si="1"/>
        <v>#REF!</v>
      </c>
      <c r="G61" s="185" t="e">
        <f>SUM(COUNTIFS(EDT!D$5:D$25,B61,EDT!E$5:E$25,"&gt;&lt;",EDT!F$5:F$25,"ACM"),COUNTIFS(EDT!G$5:G$25,B61,EDT!H$5:H$25,"&gt;&lt;",EDT!I$5:I$25,"ACM"),COUNTIFS(EDT!J$5:J$25,B61,EDT!K$5:K$25,"&gt;&lt;",EDT!L$5:L$25,"ACM"),COUNTIFS(EDT!M$5:M$25,B61,EDT!N$5:N$25,"&gt;&lt;",EDT!O$5:O$25,"ACM"),COUNTIFS(EDT!P$5:P$25,B61,EDT!Q$5:Q$25,"&gt;&lt;",EDT!R$5:R$25,"ACM"),COUNTIFS(EDT!D$43:D$60,B61,EDT!E$43:E$60,"&gt;&lt;",EDT!F$43:F$60,"ACM"),COUNTIFS(EDT!G$43:G$60,B61,EDT!H$43:H$60,"&gt;&lt;",EDT!I$43:I$60,"ACM"),COUNTIFS(EDT!J$43:J$60,B61,EDT!K$43:K$60,"&gt;&lt;",EDT!L$43:L$60,"ACM"),COUNTIFS(EDT!M$43:M$60,B61,EDT!N$43:N$60,"&gt;&lt;",EDT!O$43:O$60,"ACM"),COUNTIFS(EDT!P$43:P$60,B61,EDT!Q$43:Q$60,"&gt;&lt;",EDT!R$43:R$60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)*3
+SUM(COUNTIFS(EDT!D$33:D$42,B61,EDT!E$33:E$42,"&gt;&lt;",EDT!F$33:F$42,"ACM"),COUNTIFS(EDT!G$33:G$42,B61,EDT!H$33:H$42,"&gt;&lt;",EDT!I$33:I$42,"ACM"),COUNTIFS(EDT!J$33:J$42,B61,EDT!K$33:K$42,"&gt;&lt;",EDT!L$33:L$42,"ACM"),COUNTIFS(EDT!M$33:M$42,B61,EDT!N$33:N$42,"&gt;&lt;",EDT!O$33:O$42,"ACM"),COUNTIFS(EDT!P$33:P$42,B61,EDT!Q$33:Q$42,"&gt;&lt;",EDT!R$33:R$42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,COUNTIFS(#REF!,B61,#REF!,"&gt;&lt;",#REF!,"ACM"))*2</f>
        <v>#REF!</v>
      </c>
      <c r="H61" s="192" t="e">
        <f>SUM(COUNTIFS(EDT!D$5:D$25,B61,EDT!E$5:E$25,"&gt;&lt;",EDT!F$5:F$25,"Répit"),COUNTIFS(EDT!G$5:G$25,B61,EDT!H$5:H$25,"&gt;&lt;",EDT!I$5:I$25,"Répit"),COUNTIFS(EDT!J$5:J$25,B61,EDT!K$5:K$25,"&gt;&lt;",EDT!L$5:L$25,"Répit"),COUNTIFS(EDT!M$5:M$25,B61,EDT!N$5:N$25,"&gt;&lt;",EDT!O$5:O$25,"Répit"),COUNTIFS(EDT!P$5:P$25,B61,EDT!Q$5:Q$25,"&gt;&lt;",EDT!R$5:R$25,"Répit"),COUNTIFS(EDT!D$43:D$60,B61,EDT!E$43:E$60,"&gt;&lt;",EDT!F$43:F$60,"Répit"),COUNTIFS(EDT!G$43:G$60,B61,EDT!H$43:H$60,"&gt;&lt;",EDT!I$43:I$60,"Répit"),COUNTIFS(EDT!J$43:J$60,B61,EDT!K$43:K$60,"&gt;&lt;",EDT!L$43:L$60,"Répit"),COUNTIFS(EDT!M$43:M$60,B61,EDT!N$43:N$60,"&gt;&lt;",EDT!O$43:O$60,"Répit"),COUNTIFS(EDT!P$43:P$60,B61,EDT!Q$43:Q$60,"&gt;&lt;",EDT!R$43:R$60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)*3
+SUM(COUNTIFS(EDT!D$33:D$42,B61,EDT!E$33:E$42,"&gt;&lt;",EDT!F$33:F$42,"Répit"),COUNTIFS(EDT!G$33:G$42,B61,EDT!H$33:H$42,"&gt;&lt;",EDT!I$33:I$42,"Répit"),COUNTIFS(EDT!J$33:J$42,B61,EDT!K$33:K$42,"&gt;&lt;",EDT!L$33:L$42,"Répit"),COUNTIFS(EDT!M$33:M$42,B61,EDT!N$33:N$42,"&gt;&lt;",EDT!O$33:O$42,"Répit"),COUNTIFS(EDT!P$33:P$42,B61,EDT!Q$33:Q$42,"&gt;&lt;",EDT!R$33:R$42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,COUNTIFS(#REF!,B61,#REF!,"&gt;&lt;",#REF!,"Répit"))*2</f>
        <v>#REF!</v>
      </c>
      <c r="I61" s="206"/>
      <c r="J61" s="202" t="e">
        <f t="shared" si="2"/>
        <v>#REF!</v>
      </c>
      <c r="K61" s="201"/>
      <c r="L61" s="195"/>
      <c r="M61" s="195"/>
      <c r="N61" s="196">
        <v>59</v>
      </c>
      <c r="O61" s="198"/>
    </row>
    <row r="62" spans="1:15" ht="12.6">
      <c r="A62" s="17"/>
      <c r="B62" s="180"/>
      <c r="C62" s="189" t="e">
        <f t="shared" si="0"/>
        <v>#REF!</v>
      </c>
      <c r="D62" s="190" t="e">
        <f>SUM(COUNTIFS(EDT!D$5:D$25,B62,EDT!F$5:F$25,"ACM"),COUNTIFS(EDT!G$5:G$25,B62,EDT!I$5:I$25,"ACM"),COUNTIFS(EDT!J$5:J$25,B62,EDT!L$5:L$25,"ACM"),COUNTIFS(EDT!M$5:M$25,B62,EDT!O$5:O$25,"ACM"),COUNTIFS(EDT!P$5:P$25,B62,EDT!R$5:R$25,"ACM"),COUNTIFS(EDT!D$43:D$60,B62,EDT!F$43:F$60,"ACM"),COUNTIFS(EDT!G$43:G$60,B62,EDT!I$43:I$60,"ACM"),COUNTIFS(EDT!J$43:J$60,B62,EDT!L$43:L$60,"ACM"),COUNTIFS(EDT!M$43:M$60,B62,EDT!O$43:O$60,"ACM"),COUNTIFS(EDT!P$43:P$60,B62,EDT!R$43:R$60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)*3
+SUM(COUNTIFS(EDT!D$33:D$42,B62,EDT!F$33:F$42,"ACM"),COUNTIFS(EDT!G$33:G$42,B62,EDT!I$33:I$42,"ACM"),COUNTIFS(EDT!J$33:J$42,B62,EDT!L$33:L$42,"ACM"),COUNTIFS(EDT!M$33:M$42,B62,EDT!O$33:O$42,"ACM"),COUNTIFS(EDT!P$33:P$42,B62,EDT!R$33:R$42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,COUNTIFS(#REF!,B62,#REF!,"ACM"))*2</f>
        <v>#REF!</v>
      </c>
      <c r="E62" s="190" t="e">
        <f>SUM(COUNTIFS(EDT!D$5:D$25,B62,EDT!F$5:F$25,"Répit"),COUNTIFS(EDT!G$5:G$25,B62,EDT!I$5:I$25,"Répit"),COUNTIFS(EDT!J$5:J$25,B62,EDT!L$5:L$25,"Répit"),COUNTIFS(EDT!M$5:M$25,B62,EDT!O$5:O$25,"Répit"),COUNTIFS(EDT!P$5:P$25,B62,EDT!R$5:R$25,"Répit"),COUNTIFS(EDT!D$43:D$60,B62,EDT!F$43:F$60,"Répit"),COUNTIFS(EDT!G$43:G$60,B62,EDT!I$43:I$60,"Répit"),COUNTIFS(EDT!J$43:J$60,B62,EDT!L$43:L$60,"Répit"),COUNTIFS(EDT!M$43:M$60,B62,EDT!O$43:O$60,"Répit"),COUNTIFS(EDT!P$43:P$60,B62,EDT!R$43:R$60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)*3
+SUM(COUNTIFS(EDT!D$33:D$42,B62,EDT!F$33:F$42,"Répit"),COUNTIFS(EDT!G$33:G$42,B62,EDT!I$33:I$42,"Répit"),COUNTIFS(EDT!J$33:J$42,B62,EDT!L$33:L$42,"Répit"),COUNTIFS(EDT!M$33:M$42,B62,EDT!O$33:O$42,"Répit"),COUNTIFS(EDT!P$33:P$42,B62,EDT!R$33:R$42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,COUNTIFS(#REF!,B62,#REF!,"Répit"))*2</f>
        <v>#REF!</v>
      </c>
      <c r="F62" s="191" t="e">
        <f t="shared" si="1"/>
        <v>#REF!</v>
      </c>
      <c r="G62" s="185" t="e">
        <f>SUM(COUNTIFS(EDT!D$5:D$25,B62,EDT!E$5:E$25,"&gt;&lt;",EDT!F$5:F$25,"ACM"),COUNTIFS(EDT!G$5:G$25,B62,EDT!H$5:H$25,"&gt;&lt;",EDT!I$5:I$25,"ACM"),COUNTIFS(EDT!J$5:J$25,B62,EDT!K$5:K$25,"&gt;&lt;",EDT!L$5:L$25,"ACM"),COUNTIFS(EDT!M$5:M$25,B62,EDT!N$5:N$25,"&gt;&lt;",EDT!O$5:O$25,"ACM"),COUNTIFS(EDT!P$5:P$25,B62,EDT!Q$5:Q$25,"&gt;&lt;",EDT!R$5:R$25,"ACM"),COUNTIFS(EDT!D$43:D$60,B62,EDT!E$43:E$60,"&gt;&lt;",EDT!F$43:F$60,"ACM"),COUNTIFS(EDT!G$43:G$60,B62,EDT!H$43:H$60,"&gt;&lt;",EDT!I$43:I$60,"ACM"),COUNTIFS(EDT!J$43:J$60,B62,EDT!K$43:K$60,"&gt;&lt;",EDT!L$43:L$60,"ACM"),COUNTIFS(EDT!M$43:M$60,B62,EDT!N$43:N$60,"&gt;&lt;",EDT!O$43:O$60,"ACM"),COUNTIFS(EDT!P$43:P$60,B62,EDT!Q$43:Q$60,"&gt;&lt;",EDT!R$43:R$60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)*3
+SUM(COUNTIFS(EDT!D$33:D$42,B62,EDT!E$33:E$42,"&gt;&lt;",EDT!F$33:F$42,"ACM"),COUNTIFS(EDT!G$33:G$42,B62,EDT!H$33:H$42,"&gt;&lt;",EDT!I$33:I$42,"ACM"),COUNTIFS(EDT!J$33:J$42,B62,EDT!K$33:K$42,"&gt;&lt;",EDT!L$33:L$42,"ACM"),COUNTIFS(EDT!M$33:M$42,B62,EDT!N$33:N$42,"&gt;&lt;",EDT!O$33:O$42,"ACM"),COUNTIFS(EDT!P$33:P$42,B62,EDT!Q$33:Q$42,"&gt;&lt;",EDT!R$33:R$42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,COUNTIFS(#REF!,B62,#REF!,"&gt;&lt;",#REF!,"ACM"))*2</f>
        <v>#REF!</v>
      </c>
      <c r="H62" s="192">
        <v>6</v>
      </c>
      <c r="I62" s="207"/>
      <c r="J62" s="204">
        <f t="shared" si="2"/>
        <v>0</v>
      </c>
      <c r="K62" s="195"/>
      <c r="L62" s="195"/>
      <c r="M62" s="195"/>
      <c r="N62" s="196">
        <v>60</v>
      </c>
      <c r="O62" s="198"/>
    </row>
    <row r="63" spans="1:15" ht="12.6">
      <c r="A63" s="17"/>
      <c r="B63" s="180"/>
      <c r="C63" s="189" t="e">
        <f t="shared" si="0"/>
        <v>#REF!</v>
      </c>
      <c r="D63" s="190" t="e">
        <f>SUM(COUNTIFS(EDT!D$5:D$25,B63,EDT!F$5:F$25,"ACM"),COUNTIFS(EDT!G$5:G$25,B63,EDT!I$5:I$25,"ACM"),COUNTIFS(EDT!J$5:J$25,B63,EDT!L$5:L$25,"ACM"),COUNTIFS(EDT!M$5:M$25,B63,EDT!O$5:O$25,"ACM"),COUNTIFS(EDT!P$5:P$25,B63,EDT!R$5:R$25,"ACM"),COUNTIFS(EDT!D$43:D$60,B63,EDT!F$43:F$60,"ACM"),COUNTIFS(EDT!G$43:G$60,B63,EDT!I$43:I$60,"ACM"),COUNTIFS(EDT!J$43:J$60,B63,EDT!L$43:L$60,"ACM"),COUNTIFS(EDT!M$43:M$60,B63,EDT!O$43:O$60,"ACM"),COUNTIFS(EDT!P$43:P$60,B63,EDT!R$43:R$60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)*3
+SUM(COUNTIFS(EDT!D$33:D$42,B63,EDT!F$33:F$42,"ACM"),COUNTIFS(EDT!G$33:G$42,B63,EDT!I$33:I$42,"ACM"),COUNTIFS(EDT!J$33:J$42,B63,EDT!L$33:L$42,"ACM"),COUNTIFS(EDT!M$33:M$42,B63,EDT!O$33:O$42,"ACM"),COUNTIFS(EDT!P$33:P$42,B63,EDT!R$33:R$42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,COUNTIFS(#REF!,B63,#REF!,"ACM"))*2</f>
        <v>#REF!</v>
      </c>
      <c r="E63" s="190" t="e">
        <f>SUM(COUNTIFS(EDT!D$5:D$25,B63,EDT!F$5:F$25,"Répit"),COUNTIFS(EDT!G$5:G$25,B63,EDT!I$5:I$25,"Répit"),COUNTIFS(EDT!J$5:J$25,B63,EDT!L$5:L$25,"Répit"),COUNTIFS(EDT!M$5:M$25,B63,EDT!O$5:O$25,"Répit"),COUNTIFS(EDT!P$5:P$25,B63,EDT!R$5:R$25,"Répit"),COUNTIFS(EDT!D$43:D$60,B63,EDT!F$43:F$60,"Répit"),COUNTIFS(EDT!G$43:G$60,B63,EDT!I$43:I$60,"Répit"),COUNTIFS(EDT!J$43:J$60,B63,EDT!L$43:L$60,"Répit"),COUNTIFS(EDT!M$43:M$60,B63,EDT!O$43:O$60,"Répit"),COUNTIFS(EDT!P$43:P$60,B63,EDT!R$43:R$60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)*3
+SUM(COUNTIFS(EDT!D$33:D$42,B63,EDT!F$33:F$42,"Répit"),COUNTIFS(EDT!G$33:G$42,B63,EDT!I$33:I$42,"Répit"),COUNTIFS(EDT!J$33:J$42,B63,EDT!L$33:L$42,"Répit"),COUNTIFS(EDT!M$33:M$42,B63,EDT!O$33:O$42,"Répit"),COUNTIFS(EDT!P$33:P$42,B63,EDT!R$33:R$42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,COUNTIFS(#REF!,B63,#REF!,"Répit"))*2</f>
        <v>#REF!</v>
      </c>
      <c r="F63" s="191" t="e">
        <f t="shared" si="1"/>
        <v>#REF!</v>
      </c>
      <c r="G63" s="185" t="e">
        <f>SUM(COUNTIFS(EDT!D$5:D$25,B63,EDT!E$5:E$25,"&gt;&lt;",EDT!F$5:F$25,"ACM"),COUNTIFS(EDT!G$5:G$25,B63,EDT!H$5:H$25,"&gt;&lt;",EDT!I$5:I$25,"ACM"),COUNTIFS(EDT!J$5:J$25,B63,EDT!K$5:K$25,"&gt;&lt;",EDT!L$5:L$25,"ACM"),COUNTIFS(EDT!M$5:M$25,B63,EDT!N$5:N$25,"&gt;&lt;",EDT!O$5:O$25,"ACM"),COUNTIFS(EDT!P$5:P$25,B63,EDT!Q$5:Q$25,"&gt;&lt;",EDT!R$5:R$25,"ACM"),COUNTIFS(EDT!D$43:D$60,B63,EDT!E$43:E$60,"&gt;&lt;",EDT!F$43:F$60,"ACM"),COUNTIFS(EDT!G$43:G$60,B63,EDT!H$43:H$60,"&gt;&lt;",EDT!I$43:I$60,"ACM"),COUNTIFS(EDT!J$43:J$60,B63,EDT!K$43:K$60,"&gt;&lt;",EDT!L$43:L$60,"ACM"),COUNTIFS(EDT!M$43:M$60,B63,EDT!N$43:N$60,"&gt;&lt;",EDT!O$43:O$60,"ACM"),COUNTIFS(EDT!P$43:P$60,B63,EDT!Q$43:Q$60,"&gt;&lt;",EDT!R$43:R$60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)*3
+SUM(COUNTIFS(EDT!D$33:D$42,B63,EDT!E$33:E$42,"&gt;&lt;",EDT!F$33:F$42,"ACM"),COUNTIFS(EDT!G$33:G$42,B63,EDT!H$33:H$42,"&gt;&lt;",EDT!I$33:I$42,"ACM"),COUNTIFS(EDT!J$33:J$42,B63,EDT!K$33:K$42,"&gt;&lt;",EDT!L$33:L$42,"ACM"),COUNTIFS(EDT!M$33:M$42,B63,EDT!N$33:N$42,"&gt;&lt;",EDT!O$33:O$42,"ACM"),COUNTIFS(EDT!P$33:P$42,B63,EDT!Q$33:Q$42,"&gt;&lt;",EDT!R$33:R$42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,COUNTIFS(#REF!,B63,#REF!,"&gt;&lt;",#REF!,"ACM"))*2</f>
        <v>#REF!</v>
      </c>
      <c r="H63" s="192">
        <v>9</v>
      </c>
      <c r="I63" s="201"/>
      <c r="J63" s="202">
        <f t="shared" si="2"/>
        <v>0</v>
      </c>
      <c r="K63" s="195"/>
      <c r="L63" s="195"/>
      <c r="M63" s="195"/>
      <c r="N63" s="196">
        <v>61</v>
      </c>
      <c r="O63" s="198"/>
    </row>
    <row r="64" spans="1:15" ht="12.6">
      <c r="A64" s="17"/>
      <c r="B64" s="180"/>
      <c r="C64" s="189" t="e">
        <f t="shared" si="0"/>
        <v>#REF!</v>
      </c>
      <c r="D64" s="190" t="e">
        <f>SUM(COUNTIFS(EDT!D$5:D$25,B64,EDT!F$5:F$25,"ACM"),COUNTIFS(EDT!G$5:G$25,B64,EDT!I$5:I$25,"ACM"),COUNTIFS(EDT!J$5:J$25,B64,EDT!L$5:L$25,"ACM"),COUNTIFS(EDT!M$5:M$25,B64,EDT!O$5:O$25,"ACM"),COUNTIFS(EDT!P$5:P$25,B64,EDT!R$5:R$25,"ACM"),COUNTIFS(EDT!D$43:D$60,B64,EDT!F$43:F$60,"ACM"),COUNTIFS(EDT!G$43:G$60,B64,EDT!I$43:I$60,"ACM"),COUNTIFS(EDT!J$43:J$60,B64,EDT!L$43:L$60,"ACM"),COUNTIFS(EDT!M$43:M$60,B64,EDT!O$43:O$60,"ACM"),COUNTIFS(EDT!P$43:P$60,B64,EDT!R$43:R$60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)*3
+SUM(COUNTIFS(EDT!D$33:D$42,B64,EDT!F$33:F$42,"ACM"),COUNTIFS(EDT!G$33:G$42,B64,EDT!I$33:I$42,"ACM"),COUNTIFS(EDT!J$33:J$42,B64,EDT!L$33:L$42,"ACM"),COUNTIFS(EDT!M$33:M$42,B64,EDT!O$33:O$42,"ACM"),COUNTIFS(EDT!P$33:P$42,B64,EDT!R$33:R$42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,COUNTIFS(#REF!,B64,#REF!,"ACM"))*2</f>
        <v>#REF!</v>
      </c>
      <c r="E64" s="190" t="e">
        <f>SUM(COUNTIFS(EDT!D$5:D$25,B64,EDT!F$5:F$25,"Répit"),COUNTIFS(EDT!G$5:G$25,B64,EDT!I$5:I$25,"Répit"),COUNTIFS(EDT!J$5:J$25,B64,EDT!L$5:L$25,"Répit"),COUNTIFS(EDT!M$5:M$25,B64,EDT!O$5:O$25,"Répit"),COUNTIFS(EDT!P$5:P$25,B64,EDT!R$5:R$25,"Répit"),COUNTIFS(EDT!D$43:D$60,B64,EDT!F$43:F$60,"Répit"),COUNTIFS(EDT!G$43:G$60,B64,EDT!I$43:I$60,"Répit"),COUNTIFS(EDT!J$43:J$60,B64,EDT!L$43:L$60,"Répit"),COUNTIFS(EDT!M$43:M$60,B64,EDT!O$43:O$60,"Répit"),COUNTIFS(EDT!P$43:P$60,B64,EDT!R$43:R$60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)*3
+SUM(COUNTIFS(EDT!D$33:D$42,B64,EDT!F$33:F$42,"Répit"),COUNTIFS(EDT!G$33:G$42,B64,EDT!I$33:I$42,"Répit"),COUNTIFS(EDT!J$33:J$42,B64,EDT!L$33:L$42,"Répit"),COUNTIFS(EDT!M$33:M$42,B64,EDT!O$33:O$42,"Répit"),COUNTIFS(EDT!P$33:P$42,B64,EDT!R$33:R$42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,COUNTIFS(#REF!,B64,#REF!,"Répit"))*2</f>
        <v>#REF!</v>
      </c>
      <c r="F64" s="191" t="e">
        <f t="shared" si="1"/>
        <v>#REF!</v>
      </c>
      <c r="G64" s="185" t="e">
        <f>SUM(COUNTIFS(EDT!D$5:D$25,B64,EDT!E$5:E$25,"&gt;&lt;",EDT!F$5:F$25,"ACM"),COUNTIFS(EDT!G$5:G$25,B64,EDT!H$5:H$25,"&gt;&lt;",EDT!I$5:I$25,"ACM"),COUNTIFS(EDT!J$5:J$25,B64,EDT!K$5:K$25,"&gt;&lt;",EDT!L$5:L$25,"ACM"),COUNTIFS(EDT!M$5:M$25,B64,EDT!N$5:N$25,"&gt;&lt;",EDT!O$5:O$25,"ACM"),COUNTIFS(EDT!P$5:P$25,B64,EDT!Q$5:Q$25,"&gt;&lt;",EDT!R$5:R$25,"ACM"),COUNTIFS(EDT!D$43:D$60,B64,EDT!E$43:E$60,"&gt;&lt;",EDT!F$43:F$60,"ACM"),COUNTIFS(EDT!G$43:G$60,B64,EDT!H$43:H$60,"&gt;&lt;",EDT!I$43:I$60,"ACM"),COUNTIFS(EDT!J$43:J$60,B64,EDT!K$43:K$60,"&gt;&lt;",EDT!L$43:L$60,"ACM"),COUNTIFS(EDT!M$43:M$60,B64,EDT!N$43:N$60,"&gt;&lt;",EDT!O$43:O$60,"ACM"),COUNTIFS(EDT!P$43:P$60,B64,EDT!Q$43:Q$60,"&gt;&lt;",EDT!R$43:R$60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)*3
+SUM(COUNTIFS(EDT!D$33:D$42,B64,EDT!E$33:E$42,"&gt;&lt;",EDT!F$33:F$42,"ACM"),COUNTIFS(EDT!G$33:G$42,B64,EDT!H$33:H$42,"&gt;&lt;",EDT!I$33:I$42,"ACM"),COUNTIFS(EDT!J$33:J$42,B64,EDT!K$33:K$42,"&gt;&lt;",EDT!L$33:L$42,"ACM"),COUNTIFS(EDT!M$33:M$42,B64,EDT!N$33:N$42,"&gt;&lt;",EDT!O$33:O$42,"ACM"),COUNTIFS(EDT!P$33:P$42,B64,EDT!Q$33:Q$42,"&gt;&lt;",EDT!R$33:R$42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,COUNTIFS(#REF!,B64,#REF!,"&gt;&lt;",#REF!,"ACM"))*2</f>
        <v>#REF!</v>
      </c>
      <c r="H64" s="192">
        <v>15</v>
      </c>
      <c r="I64" s="201"/>
      <c r="J64" s="204">
        <f t="shared" si="2"/>
        <v>0</v>
      </c>
      <c r="K64" s="195"/>
      <c r="L64" s="195"/>
      <c r="M64" s="195"/>
      <c r="N64" s="196">
        <v>62</v>
      </c>
      <c r="O64" s="198"/>
    </row>
    <row r="65" spans="1:15" ht="12.6">
      <c r="A65" s="17"/>
      <c r="B65" s="180"/>
      <c r="C65" s="189" t="e">
        <f t="shared" si="0"/>
        <v>#REF!</v>
      </c>
      <c r="D65" s="190" t="e">
        <f>SUM(COUNTIFS(EDT!D$5:D$25,B65,EDT!F$5:F$25,"ACM"),COUNTIFS(EDT!G$5:G$25,B65,EDT!I$5:I$25,"ACM"),COUNTIFS(EDT!J$5:J$25,B65,EDT!L$5:L$25,"ACM"),COUNTIFS(EDT!M$5:M$25,B65,EDT!O$5:O$25,"ACM"),COUNTIFS(EDT!P$5:P$25,B65,EDT!R$5:R$25,"ACM"),COUNTIFS(EDT!D$43:D$60,B65,EDT!F$43:F$60,"ACM"),COUNTIFS(EDT!G$43:G$60,B65,EDT!I$43:I$60,"ACM"),COUNTIFS(EDT!J$43:J$60,B65,EDT!L$43:L$60,"ACM"),COUNTIFS(EDT!M$43:M$60,B65,EDT!O$43:O$60,"ACM"),COUNTIFS(EDT!P$43:P$60,B65,EDT!R$43:R$60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)*3
+SUM(COUNTIFS(EDT!D$33:D$42,B65,EDT!F$33:F$42,"ACM"),COUNTIFS(EDT!G$33:G$42,B65,EDT!I$33:I$42,"ACM"),COUNTIFS(EDT!J$33:J$42,B65,EDT!L$33:L$42,"ACM"),COUNTIFS(EDT!M$33:M$42,B65,EDT!O$33:O$42,"ACM"),COUNTIFS(EDT!P$33:P$42,B65,EDT!R$33:R$42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,COUNTIFS(#REF!,B65,#REF!,"ACM"))*2</f>
        <v>#REF!</v>
      </c>
      <c r="E65" s="190" t="e">
        <f>SUM(COUNTIFS(EDT!D$5:D$25,B65,EDT!F$5:F$25,"Répit"),COUNTIFS(EDT!G$5:G$25,B65,EDT!I$5:I$25,"Répit"),COUNTIFS(EDT!J$5:J$25,B65,EDT!L$5:L$25,"Répit"),COUNTIFS(EDT!M$5:M$25,B65,EDT!O$5:O$25,"Répit"),COUNTIFS(EDT!P$5:P$25,B65,EDT!R$5:R$25,"Répit"),COUNTIFS(EDT!D$43:D$60,B65,EDT!F$43:F$60,"Répit"),COUNTIFS(EDT!G$43:G$60,B65,EDT!I$43:I$60,"Répit"),COUNTIFS(EDT!J$43:J$60,B65,EDT!L$43:L$60,"Répit"),COUNTIFS(EDT!M$43:M$60,B65,EDT!O$43:O$60,"Répit"),COUNTIFS(EDT!P$43:P$60,B65,EDT!R$43:R$60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)*3
+SUM(COUNTIFS(EDT!D$33:D$42,B65,EDT!F$33:F$42,"Répit"),COUNTIFS(EDT!G$33:G$42,B65,EDT!I$33:I$42,"Répit"),COUNTIFS(EDT!J$33:J$42,B65,EDT!L$33:L$42,"Répit"),COUNTIFS(EDT!M$33:M$42,B65,EDT!O$33:O$42,"Répit"),COUNTIFS(EDT!P$33:P$42,B65,EDT!R$33:R$42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,COUNTIFS(#REF!,B65,#REF!,"Répit"))*2</f>
        <v>#REF!</v>
      </c>
      <c r="F65" s="191" t="e">
        <f t="shared" si="1"/>
        <v>#REF!</v>
      </c>
      <c r="G65" s="185" t="e">
        <f>SUM(COUNTIFS(EDT!D$5:D$25,B65,EDT!E$5:E$25,"&gt;&lt;",EDT!F$5:F$25,"ACM"),COUNTIFS(EDT!G$5:G$25,B65,EDT!H$5:H$25,"&gt;&lt;",EDT!I$5:I$25,"ACM"),COUNTIFS(EDT!J$5:J$25,B65,EDT!K$5:K$25,"&gt;&lt;",EDT!L$5:L$25,"ACM"),COUNTIFS(EDT!M$5:M$25,B65,EDT!N$5:N$25,"&gt;&lt;",EDT!O$5:O$25,"ACM"),COUNTIFS(EDT!P$5:P$25,B65,EDT!Q$5:Q$25,"&gt;&lt;",EDT!R$5:R$25,"ACM"),COUNTIFS(EDT!D$43:D$60,B65,EDT!E$43:E$60,"&gt;&lt;",EDT!F$43:F$60,"ACM"),COUNTIFS(EDT!G$43:G$60,B65,EDT!H$43:H$60,"&gt;&lt;",EDT!I$43:I$60,"ACM"),COUNTIFS(EDT!J$43:J$60,B65,EDT!K$43:K$60,"&gt;&lt;",EDT!L$43:L$60,"ACM"),COUNTIFS(EDT!M$43:M$60,B65,EDT!N$43:N$60,"&gt;&lt;",EDT!O$43:O$60,"ACM"),COUNTIFS(EDT!P$43:P$60,B65,EDT!Q$43:Q$60,"&gt;&lt;",EDT!R$43:R$60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)*3
+SUM(COUNTIFS(EDT!D$33:D$42,B65,EDT!E$33:E$42,"&gt;&lt;",EDT!F$33:F$42,"ACM"),COUNTIFS(EDT!G$33:G$42,B65,EDT!H$33:H$42,"&gt;&lt;",EDT!I$33:I$42,"ACM"),COUNTIFS(EDT!J$33:J$42,B65,EDT!K$33:K$42,"&gt;&lt;",EDT!L$33:L$42,"ACM"),COUNTIFS(EDT!M$33:M$42,B65,EDT!N$33:N$42,"&gt;&lt;",EDT!O$33:O$42,"ACM"),COUNTIFS(EDT!P$33:P$42,B65,EDT!Q$33:Q$42,"&gt;&lt;",EDT!R$33:R$42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,COUNTIFS(#REF!,B65,#REF!,"&gt;&lt;",#REF!,"ACM"))*2</f>
        <v>#REF!</v>
      </c>
      <c r="H65" s="192" t="e">
        <f>SUM(COUNTIFS(EDT!D$5:D$25,B65,EDT!E$5:E$25,"&gt;&lt;",EDT!F$5:F$25,"Répit"),COUNTIFS(EDT!G$5:G$25,B65,EDT!H$5:H$25,"&gt;&lt;",EDT!I$5:I$25,"Répit"),COUNTIFS(EDT!J$5:J$25,B65,EDT!K$5:K$25,"&gt;&lt;",EDT!L$5:L$25,"Répit"),COUNTIFS(EDT!M$5:M$25,B65,EDT!N$5:N$25,"&gt;&lt;",EDT!O$5:O$25,"Répit"),COUNTIFS(EDT!P$5:P$25,B65,EDT!Q$5:Q$25,"&gt;&lt;",EDT!R$5:R$25,"Répit"),COUNTIFS(EDT!D$43:D$60,B65,EDT!E$43:E$60,"&gt;&lt;",EDT!F$43:F$60,"Répit"),COUNTIFS(EDT!G$43:G$60,B65,EDT!H$43:H$60,"&gt;&lt;",EDT!I$43:I$60,"Répit"),COUNTIFS(EDT!J$43:J$60,B65,EDT!K$43:K$60,"&gt;&lt;",EDT!L$43:L$60,"Répit"),COUNTIFS(EDT!M$43:M$60,B65,EDT!N$43:N$60,"&gt;&lt;",EDT!O$43:O$60,"Répit"),COUNTIFS(EDT!P$43:P$60,B65,EDT!Q$43:Q$60,"&gt;&lt;",EDT!R$43:R$60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)*3
+SUM(COUNTIFS(EDT!D$33:D$42,B65,EDT!E$33:E$42,"&gt;&lt;",EDT!F$33:F$42,"Répit"),COUNTIFS(EDT!G$33:G$42,B65,EDT!H$33:H$42,"&gt;&lt;",EDT!I$33:I$42,"Répit"),COUNTIFS(EDT!J$33:J$42,B65,EDT!K$33:K$42,"&gt;&lt;",EDT!L$33:L$42,"Répit"),COUNTIFS(EDT!M$33:M$42,B65,EDT!N$33:N$42,"&gt;&lt;",EDT!O$33:O$42,"Répit"),COUNTIFS(EDT!P$33:P$42,B65,EDT!Q$33:Q$42,"&gt;&lt;",EDT!R$33:R$42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,COUNTIFS(#REF!,B65,#REF!,"&gt;&lt;",#REF!,"Répit"))*2</f>
        <v>#REF!</v>
      </c>
      <c r="I65" s="201"/>
      <c r="J65" s="202" t="e">
        <f t="shared" si="2"/>
        <v>#REF!</v>
      </c>
      <c r="K65" s="195"/>
      <c r="L65" s="195"/>
      <c r="M65" s="195"/>
      <c r="N65" s="196">
        <v>63</v>
      </c>
      <c r="O65" s="198"/>
    </row>
    <row r="66" spans="1:15" ht="12.6">
      <c r="A66" s="17"/>
      <c r="B66" s="180"/>
      <c r="C66" s="189" t="e">
        <f t="shared" si="0"/>
        <v>#REF!</v>
      </c>
      <c r="D66" s="190" t="e">
        <f>SUM(COUNTIFS(EDT!D$5:D$25,B66,EDT!F$5:F$25,"ACM"),COUNTIFS(EDT!G$5:G$25,B66,EDT!I$5:I$25,"ACM"),COUNTIFS(EDT!J$5:J$25,B66,EDT!L$5:L$25,"ACM"),COUNTIFS(EDT!M$5:M$25,B66,EDT!O$5:O$25,"ACM"),COUNTIFS(EDT!P$5:P$25,B66,EDT!R$5:R$25,"ACM"),COUNTIFS(EDT!D$43:D$60,B66,EDT!F$43:F$60,"ACM"),COUNTIFS(EDT!G$43:G$60,B66,EDT!I$43:I$60,"ACM"),COUNTIFS(EDT!J$43:J$60,B66,EDT!L$43:L$60,"ACM"),COUNTIFS(EDT!M$43:M$60,B66,EDT!O$43:O$60,"ACM"),COUNTIFS(EDT!P$43:P$60,B66,EDT!R$43:R$60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)*3
+SUM(COUNTIFS(EDT!D$33:D$42,B66,EDT!F$33:F$42,"ACM"),COUNTIFS(EDT!G$33:G$42,B66,EDT!I$33:I$42,"ACM"),COUNTIFS(EDT!J$33:J$42,B66,EDT!L$33:L$42,"ACM"),COUNTIFS(EDT!M$33:M$42,B66,EDT!O$33:O$42,"ACM"),COUNTIFS(EDT!P$33:P$42,B66,EDT!R$33:R$42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,COUNTIFS(#REF!,B66,#REF!,"ACM"))*2</f>
        <v>#REF!</v>
      </c>
      <c r="E66" s="190" t="e">
        <f>SUM(COUNTIFS(EDT!D$5:D$25,B66,EDT!F$5:F$25,"Répit"),COUNTIFS(EDT!G$5:G$25,B66,EDT!I$5:I$25,"Répit"),COUNTIFS(EDT!J$5:J$25,B66,EDT!L$5:L$25,"Répit"),COUNTIFS(EDT!M$5:M$25,B66,EDT!O$5:O$25,"Répit"),COUNTIFS(EDT!P$5:P$25,B66,EDT!R$5:R$25,"Répit"),COUNTIFS(EDT!D$43:D$60,B66,EDT!F$43:F$60,"Répit"),COUNTIFS(EDT!G$43:G$60,B66,EDT!I$43:I$60,"Répit"),COUNTIFS(EDT!J$43:J$60,B66,EDT!L$43:L$60,"Répit"),COUNTIFS(EDT!M$43:M$60,B66,EDT!O$43:O$60,"Répit"),COUNTIFS(EDT!P$43:P$60,B66,EDT!R$43:R$60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)*3
+SUM(COUNTIFS(EDT!D$33:D$42,B66,EDT!F$33:F$42,"Répit"),COUNTIFS(EDT!G$33:G$42,B66,EDT!I$33:I$42,"Répit"),COUNTIFS(EDT!J$33:J$42,B66,EDT!L$33:L$42,"Répit"),COUNTIFS(EDT!M$33:M$42,B66,EDT!O$33:O$42,"Répit"),COUNTIFS(EDT!P$33:P$42,B66,EDT!R$33:R$42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,COUNTIFS(#REF!,B66,#REF!,"Répit"))*2</f>
        <v>#REF!</v>
      </c>
      <c r="F66" s="191" t="e">
        <f t="shared" si="1"/>
        <v>#REF!</v>
      </c>
      <c r="G66" s="185" t="e">
        <f>SUM(COUNTIFS(EDT!D$5:D$25,B66,EDT!E$5:E$25,"&gt;&lt;",EDT!F$5:F$25,"ACM"),COUNTIFS(EDT!G$5:G$25,B66,EDT!H$5:H$25,"&gt;&lt;",EDT!I$5:I$25,"ACM"),COUNTIFS(EDT!J$5:J$25,B66,EDT!K$5:K$25,"&gt;&lt;",EDT!L$5:L$25,"ACM"),COUNTIFS(EDT!M$5:M$25,B66,EDT!N$5:N$25,"&gt;&lt;",EDT!O$5:O$25,"ACM"),COUNTIFS(EDT!P$5:P$25,B66,EDT!Q$5:Q$25,"&gt;&lt;",EDT!R$5:R$25,"ACM"),COUNTIFS(EDT!D$43:D$60,B66,EDT!E$43:E$60,"&gt;&lt;",EDT!F$43:F$60,"ACM"),COUNTIFS(EDT!G$43:G$60,B66,EDT!H$43:H$60,"&gt;&lt;",EDT!I$43:I$60,"ACM"),COUNTIFS(EDT!J$43:J$60,B66,EDT!K$43:K$60,"&gt;&lt;",EDT!L$43:L$60,"ACM"),COUNTIFS(EDT!M$43:M$60,B66,EDT!N$43:N$60,"&gt;&lt;",EDT!O$43:O$60,"ACM"),COUNTIFS(EDT!P$43:P$60,B66,EDT!Q$43:Q$60,"&gt;&lt;",EDT!R$43:R$60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)*3
+SUM(COUNTIFS(EDT!D$33:D$42,B66,EDT!E$33:E$42,"&gt;&lt;",EDT!F$33:F$42,"ACM"),COUNTIFS(EDT!G$33:G$42,B66,EDT!H$33:H$42,"&gt;&lt;",EDT!I$33:I$42,"ACM"),COUNTIFS(EDT!J$33:J$42,B66,EDT!K$33:K$42,"&gt;&lt;",EDT!L$33:L$42,"ACM"),COUNTIFS(EDT!M$33:M$42,B66,EDT!N$33:N$42,"&gt;&lt;",EDT!O$33:O$42,"ACM"),COUNTIFS(EDT!P$33:P$42,B66,EDT!Q$33:Q$42,"&gt;&lt;",EDT!R$33:R$42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,COUNTIFS(#REF!,B66,#REF!,"&gt;&lt;",#REF!,"ACM"))*2</f>
        <v>#REF!</v>
      </c>
      <c r="H66" s="192" t="e">
        <f>SUM(COUNTIFS(EDT!D$5:D$25,B66,EDT!E$5:E$25,"&gt;&lt;",EDT!F$5:F$25,"Répit"),COUNTIFS(EDT!G$5:G$25,B66,EDT!H$5:H$25,"&gt;&lt;",EDT!I$5:I$25,"Répit"),COUNTIFS(EDT!J$5:J$25,B66,EDT!K$5:K$25,"&gt;&lt;",EDT!L$5:L$25,"Répit"),COUNTIFS(EDT!M$5:M$25,B66,EDT!N$5:N$25,"&gt;&lt;",EDT!O$5:O$25,"Répit"),COUNTIFS(EDT!P$5:P$25,B66,EDT!Q$5:Q$25,"&gt;&lt;",EDT!R$5:R$25,"Répit"),COUNTIFS(EDT!D$43:D$60,B66,EDT!E$43:E$60,"&gt;&lt;",EDT!F$43:F$60,"Répit"),COUNTIFS(EDT!G$43:G$60,B66,EDT!H$43:H$60,"&gt;&lt;",EDT!I$43:I$60,"Répit"),COUNTIFS(EDT!J$43:J$60,B66,EDT!K$43:K$60,"&gt;&lt;",EDT!L$43:L$60,"Répit"),COUNTIFS(EDT!M$43:M$60,B66,EDT!N$43:N$60,"&gt;&lt;",EDT!O$43:O$60,"Répit"),COUNTIFS(EDT!P$43:P$60,B66,EDT!Q$43:Q$60,"&gt;&lt;",EDT!R$43:R$60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)*3
+SUM(COUNTIFS(EDT!D$33:D$42,B66,EDT!E$33:E$42,"&gt;&lt;",EDT!F$33:F$42,"Répit"),COUNTIFS(EDT!G$33:G$42,B66,EDT!H$33:H$42,"&gt;&lt;",EDT!I$33:I$42,"Répit"),COUNTIFS(EDT!J$33:J$42,B66,EDT!K$33:K$42,"&gt;&lt;",EDT!L$33:L$42,"Répit"),COUNTIFS(EDT!M$33:M$42,B66,EDT!N$33:N$42,"&gt;&lt;",EDT!O$33:O$42,"Répit"),COUNTIFS(EDT!P$33:P$42,B66,EDT!Q$33:Q$42,"&gt;&lt;",EDT!R$33:R$42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,COUNTIFS(#REF!,B66,#REF!,"&gt;&lt;",#REF!,"Répit"))*2</f>
        <v>#REF!</v>
      </c>
      <c r="I66" s="201"/>
      <c r="J66" s="204" t="e">
        <f t="shared" si="2"/>
        <v>#REF!</v>
      </c>
      <c r="K66" s="195"/>
      <c r="L66" s="195"/>
      <c r="M66" s="195"/>
      <c r="N66" s="196">
        <v>64</v>
      </c>
      <c r="O66" s="198"/>
    </row>
    <row r="67" spans="1:15" ht="12.6">
      <c r="A67" s="17"/>
      <c r="B67" s="180"/>
      <c r="C67" s="189" t="e">
        <f t="shared" si="0"/>
        <v>#REF!</v>
      </c>
      <c r="D67" s="190" t="e">
        <f>SUM(COUNTIFS(EDT!D$5:D$25,B67,EDT!F$5:F$25,"ACM"),COUNTIFS(EDT!G$5:G$25,B67,EDT!I$5:I$25,"ACM"),COUNTIFS(EDT!J$5:J$25,B67,EDT!L$5:L$25,"ACM"),COUNTIFS(EDT!M$5:M$25,B67,EDT!O$5:O$25,"ACM"),COUNTIFS(EDT!P$5:P$25,B67,EDT!R$5:R$25,"ACM"),COUNTIFS(EDT!D$43:D$60,B67,EDT!F$43:F$60,"ACM"),COUNTIFS(EDT!G$43:G$60,B67,EDT!I$43:I$60,"ACM"),COUNTIFS(EDT!J$43:J$60,B67,EDT!L$43:L$60,"ACM"),COUNTIFS(EDT!M$43:M$60,B67,EDT!O$43:O$60,"ACM"),COUNTIFS(EDT!P$43:P$60,B67,EDT!R$43:R$60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)*3
+SUM(COUNTIFS(EDT!D$33:D$42,B67,EDT!F$33:F$42,"ACM"),COUNTIFS(EDT!G$33:G$42,B67,EDT!I$33:I$42,"ACM"),COUNTIFS(EDT!J$33:J$42,B67,EDT!L$33:L$42,"ACM"),COUNTIFS(EDT!M$33:M$42,B67,EDT!O$33:O$42,"ACM"),COUNTIFS(EDT!P$33:P$42,B67,EDT!R$33:R$42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,COUNTIFS(#REF!,B67,#REF!,"ACM"))*2</f>
        <v>#REF!</v>
      </c>
      <c r="E67" s="190" t="e">
        <f>SUM(COUNTIFS(EDT!D$5:D$25,B67,EDT!F$5:F$25,"Répit"),COUNTIFS(EDT!G$5:G$25,B67,EDT!I$5:I$25,"Répit"),COUNTIFS(EDT!J$5:J$25,B67,EDT!L$5:L$25,"Répit"),COUNTIFS(EDT!M$5:M$25,B67,EDT!O$5:O$25,"Répit"),COUNTIFS(EDT!P$5:P$25,B67,EDT!R$5:R$25,"Répit"),COUNTIFS(EDT!D$43:D$60,B67,EDT!F$43:F$60,"Répit"),COUNTIFS(EDT!G$43:G$60,B67,EDT!I$43:I$60,"Répit"),COUNTIFS(EDT!J$43:J$60,B67,EDT!L$43:L$60,"Répit"),COUNTIFS(EDT!M$43:M$60,B67,EDT!O$43:O$60,"Répit"),COUNTIFS(EDT!P$43:P$60,B67,EDT!R$43:R$60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)*3
+SUM(COUNTIFS(EDT!D$33:D$42,B67,EDT!F$33:F$42,"Répit"),COUNTIFS(EDT!G$33:G$42,B67,EDT!I$33:I$42,"Répit"),COUNTIFS(EDT!J$33:J$42,B67,EDT!L$33:L$42,"Répit"),COUNTIFS(EDT!M$33:M$42,B67,EDT!O$33:O$42,"Répit"),COUNTIFS(EDT!P$33:P$42,B67,EDT!R$33:R$42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,COUNTIFS(#REF!,B67,#REF!,"Répit"))*2</f>
        <v>#REF!</v>
      </c>
      <c r="F67" s="191" t="e">
        <f t="shared" si="1"/>
        <v>#REF!</v>
      </c>
      <c r="G67" s="185" t="e">
        <f>SUM(COUNTIFS(EDT!D$5:D$25,B67,EDT!E$5:E$25,"&gt;&lt;",EDT!F$5:F$25,"ACM"),COUNTIFS(EDT!G$5:G$25,B67,EDT!H$5:H$25,"&gt;&lt;",EDT!I$5:I$25,"ACM"),COUNTIFS(EDT!J$5:J$25,B67,EDT!K$5:K$25,"&gt;&lt;",EDT!L$5:L$25,"ACM"),COUNTIFS(EDT!M$5:M$25,B67,EDT!N$5:N$25,"&gt;&lt;",EDT!O$5:O$25,"ACM"),COUNTIFS(EDT!P$5:P$25,B67,EDT!Q$5:Q$25,"&gt;&lt;",EDT!R$5:R$25,"ACM"),COUNTIFS(EDT!D$43:D$60,B67,EDT!E$43:E$60,"&gt;&lt;",EDT!F$43:F$60,"ACM"),COUNTIFS(EDT!G$43:G$60,B67,EDT!H$43:H$60,"&gt;&lt;",EDT!I$43:I$60,"ACM"),COUNTIFS(EDT!J$43:J$60,B67,EDT!K$43:K$60,"&gt;&lt;",EDT!L$43:L$60,"ACM"),COUNTIFS(EDT!M$43:M$60,B67,EDT!N$43:N$60,"&gt;&lt;",EDT!O$43:O$60,"ACM"),COUNTIFS(EDT!P$43:P$60,B67,EDT!Q$43:Q$60,"&gt;&lt;",EDT!R$43:R$60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)*3
+SUM(COUNTIFS(EDT!D$33:D$42,B67,EDT!E$33:E$42,"&gt;&lt;",EDT!F$33:F$42,"ACM"),COUNTIFS(EDT!G$33:G$42,B67,EDT!H$33:H$42,"&gt;&lt;",EDT!I$33:I$42,"ACM"),COUNTIFS(EDT!J$33:J$42,B67,EDT!K$33:K$42,"&gt;&lt;",EDT!L$33:L$42,"ACM"),COUNTIFS(EDT!M$33:M$42,B67,EDT!N$33:N$42,"&gt;&lt;",EDT!O$33:O$42,"ACM"),COUNTIFS(EDT!P$33:P$42,B67,EDT!Q$33:Q$42,"&gt;&lt;",EDT!R$33:R$42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,COUNTIFS(#REF!,B67,#REF!,"&gt;&lt;",#REF!,"ACM"))*2</f>
        <v>#REF!</v>
      </c>
      <c r="H67" s="192" t="e">
        <f>SUM(COUNTIFS(EDT!D$5:D$25,B67,EDT!E$5:E$25,"&gt;&lt;",EDT!F$5:F$25,"Répit"),COUNTIFS(EDT!G$5:G$25,B67,EDT!H$5:H$25,"&gt;&lt;",EDT!I$5:I$25,"Répit"),COUNTIFS(EDT!J$5:J$25,B67,EDT!K$5:K$25,"&gt;&lt;",EDT!L$5:L$25,"Répit"),COUNTIFS(EDT!M$5:M$25,B67,EDT!N$5:N$25,"&gt;&lt;",EDT!O$5:O$25,"Répit"),COUNTIFS(EDT!P$5:P$25,B67,EDT!Q$5:Q$25,"&gt;&lt;",EDT!R$5:R$25,"Répit"),COUNTIFS(EDT!D$43:D$60,B67,EDT!E$43:E$60,"&gt;&lt;",EDT!F$43:F$60,"Répit"),COUNTIFS(EDT!G$43:G$60,B67,EDT!H$43:H$60,"&gt;&lt;",EDT!I$43:I$60,"Répit"),COUNTIFS(EDT!J$43:J$60,B67,EDT!K$43:K$60,"&gt;&lt;",EDT!L$43:L$60,"Répit"),COUNTIFS(EDT!M$43:M$60,B67,EDT!N$43:N$60,"&gt;&lt;",EDT!O$43:O$60,"Répit"),COUNTIFS(EDT!P$43:P$60,B67,EDT!Q$43:Q$60,"&gt;&lt;",EDT!R$43:R$60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)*3
+SUM(COUNTIFS(EDT!D$33:D$42,B67,EDT!E$33:E$42,"&gt;&lt;",EDT!F$33:F$42,"Répit"),COUNTIFS(EDT!G$33:G$42,B67,EDT!H$33:H$42,"&gt;&lt;",EDT!I$33:I$42,"Répit"),COUNTIFS(EDT!J$33:J$42,B67,EDT!K$33:K$42,"&gt;&lt;",EDT!L$33:L$42,"Répit"),COUNTIFS(EDT!M$33:M$42,B67,EDT!N$33:N$42,"&gt;&lt;",EDT!O$33:O$42,"Répit"),COUNTIFS(EDT!P$33:P$42,B67,EDT!Q$33:Q$42,"&gt;&lt;",EDT!R$33:R$42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,COUNTIFS(#REF!,B67,#REF!,"&gt;&lt;",#REF!,"Répit"))*2</f>
        <v>#REF!</v>
      </c>
      <c r="I67" s="201"/>
      <c r="J67" s="202" t="e">
        <f t="shared" si="2"/>
        <v>#REF!</v>
      </c>
      <c r="K67" s="195"/>
      <c r="L67" s="195"/>
      <c r="M67" s="195"/>
      <c r="N67" s="196">
        <v>65</v>
      </c>
      <c r="O67" s="198"/>
    </row>
    <row r="68" spans="1:15" ht="12.6">
      <c r="A68" s="17"/>
      <c r="B68" s="180"/>
      <c r="C68" s="189" t="e">
        <f t="shared" si="0"/>
        <v>#REF!</v>
      </c>
      <c r="D68" s="190" t="e">
        <f>SUM(COUNTIFS(EDT!D$5:D$25,B68,EDT!F$5:F$25,"ACM"),COUNTIFS(EDT!G$5:G$25,B68,EDT!I$5:I$25,"ACM"),COUNTIFS(EDT!J$5:J$25,B68,EDT!L$5:L$25,"ACM"),COUNTIFS(EDT!M$5:M$25,B68,EDT!O$5:O$25,"ACM"),COUNTIFS(EDT!P$5:P$25,B68,EDT!R$5:R$25,"ACM"),COUNTIFS(EDT!D$43:D$60,B68,EDT!F$43:F$60,"ACM"),COUNTIFS(EDT!G$43:G$60,B68,EDT!I$43:I$60,"ACM"),COUNTIFS(EDT!J$43:J$60,B68,EDT!L$43:L$60,"ACM"),COUNTIFS(EDT!M$43:M$60,B68,EDT!O$43:O$60,"ACM"),COUNTIFS(EDT!P$43:P$60,B68,EDT!R$43:R$60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)*3
+SUM(COUNTIFS(EDT!D$33:D$42,B68,EDT!F$33:F$42,"ACM"),COUNTIFS(EDT!G$33:G$42,B68,EDT!I$33:I$42,"ACM"),COUNTIFS(EDT!J$33:J$42,B68,EDT!L$33:L$42,"ACM"),COUNTIFS(EDT!M$33:M$42,B68,EDT!O$33:O$42,"ACM"),COUNTIFS(EDT!P$33:P$42,B68,EDT!R$33:R$42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,COUNTIFS(#REF!,B68,#REF!,"ACM"))*2</f>
        <v>#REF!</v>
      </c>
      <c r="E68" s="190" t="e">
        <f>SUM(COUNTIFS(EDT!D$5:D$25,B68,EDT!F$5:F$25,"Répit"),COUNTIFS(EDT!G$5:G$25,B68,EDT!I$5:I$25,"Répit"),COUNTIFS(EDT!J$5:J$25,B68,EDT!L$5:L$25,"Répit"),COUNTIFS(EDT!M$5:M$25,B68,EDT!O$5:O$25,"Répit"),COUNTIFS(EDT!P$5:P$25,B68,EDT!R$5:R$25,"Répit"),COUNTIFS(EDT!D$43:D$60,B68,EDT!F$43:F$60,"Répit"),COUNTIFS(EDT!G$43:G$60,B68,EDT!I$43:I$60,"Répit"),COUNTIFS(EDT!J$43:J$60,B68,EDT!L$43:L$60,"Répit"),COUNTIFS(EDT!M$43:M$60,B68,EDT!O$43:O$60,"Répit"),COUNTIFS(EDT!P$43:P$60,B68,EDT!R$43:R$60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)*3
+SUM(COUNTIFS(EDT!D$33:D$42,B68,EDT!F$33:F$42,"Répit"),COUNTIFS(EDT!G$33:G$42,B68,EDT!I$33:I$42,"Répit"),COUNTIFS(EDT!J$33:J$42,B68,EDT!L$33:L$42,"Répit"),COUNTIFS(EDT!M$33:M$42,B68,EDT!O$33:O$42,"Répit"),COUNTIFS(EDT!P$33:P$42,B68,EDT!R$33:R$42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,COUNTIFS(#REF!,B68,#REF!,"Répit"))*2</f>
        <v>#REF!</v>
      </c>
      <c r="F68" s="191" t="e">
        <f t="shared" si="1"/>
        <v>#REF!</v>
      </c>
      <c r="G68" s="185" t="e">
        <f>SUM(COUNTIFS(EDT!D$5:D$25,B68,EDT!E$5:E$25,"&gt;&lt;",EDT!F$5:F$25,"ACM"),COUNTIFS(EDT!G$5:G$25,B68,EDT!H$5:H$25,"&gt;&lt;",EDT!I$5:I$25,"ACM"),COUNTIFS(EDT!J$5:J$25,B68,EDT!K$5:K$25,"&gt;&lt;",EDT!L$5:L$25,"ACM"),COUNTIFS(EDT!M$5:M$25,B68,EDT!N$5:N$25,"&gt;&lt;",EDT!O$5:O$25,"ACM"),COUNTIFS(EDT!P$5:P$25,B68,EDT!Q$5:Q$25,"&gt;&lt;",EDT!R$5:R$25,"ACM"),COUNTIFS(EDT!D$43:D$60,B68,EDT!E$43:E$60,"&gt;&lt;",EDT!F$43:F$60,"ACM"),COUNTIFS(EDT!G$43:G$60,B68,EDT!H$43:H$60,"&gt;&lt;",EDT!I$43:I$60,"ACM"),COUNTIFS(EDT!J$43:J$60,B68,EDT!K$43:K$60,"&gt;&lt;",EDT!L$43:L$60,"ACM"),COUNTIFS(EDT!M$43:M$60,B68,EDT!N$43:N$60,"&gt;&lt;",EDT!O$43:O$60,"ACM"),COUNTIFS(EDT!P$43:P$60,B68,EDT!Q$43:Q$60,"&gt;&lt;",EDT!R$43:R$60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)*3
+SUM(COUNTIFS(EDT!D$33:D$42,B68,EDT!E$33:E$42,"&gt;&lt;",EDT!F$33:F$42,"ACM"),COUNTIFS(EDT!G$33:G$42,B68,EDT!H$33:H$42,"&gt;&lt;",EDT!I$33:I$42,"ACM"),COUNTIFS(EDT!J$33:J$42,B68,EDT!K$33:K$42,"&gt;&lt;",EDT!L$33:L$42,"ACM"),COUNTIFS(EDT!M$33:M$42,B68,EDT!N$33:N$42,"&gt;&lt;",EDT!O$33:O$42,"ACM"),COUNTIFS(EDT!P$33:P$42,B68,EDT!Q$33:Q$42,"&gt;&lt;",EDT!R$33:R$42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,COUNTIFS(#REF!,B68,#REF!,"&gt;&lt;",#REF!,"ACM"))*2</f>
        <v>#REF!</v>
      </c>
      <c r="H68" s="192" t="e">
        <f>SUM(COUNTIFS(EDT!D$5:D$25,B68,EDT!E$5:E$25,"&gt;&lt;",EDT!F$5:F$25,"Répit"),COUNTIFS(EDT!G$5:G$25,B68,EDT!H$5:H$25,"&gt;&lt;",EDT!I$5:I$25,"Répit"),COUNTIFS(EDT!J$5:J$25,B68,EDT!K$5:K$25,"&gt;&lt;",EDT!L$5:L$25,"Répit"),COUNTIFS(EDT!M$5:M$25,B68,EDT!N$5:N$25,"&gt;&lt;",EDT!O$5:O$25,"Répit"),COUNTIFS(EDT!P$5:P$25,B68,EDT!Q$5:Q$25,"&gt;&lt;",EDT!R$5:R$25,"Répit"),COUNTIFS(EDT!D$43:D$60,B68,EDT!E$43:E$60,"&gt;&lt;",EDT!F$43:F$60,"Répit"),COUNTIFS(EDT!G$43:G$60,B68,EDT!H$43:H$60,"&gt;&lt;",EDT!I$43:I$60,"Répit"),COUNTIFS(EDT!J$43:J$60,B68,EDT!K$43:K$60,"&gt;&lt;",EDT!L$43:L$60,"Répit"),COUNTIFS(EDT!M$43:M$60,B68,EDT!N$43:N$60,"&gt;&lt;",EDT!O$43:O$60,"Répit"),COUNTIFS(EDT!P$43:P$60,B68,EDT!Q$43:Q$60,"&gt;&lt;",EDT!R$43:R$60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)*3
+SUM(COUNTIFS(EDT!D$33:D$42,B68,EDT!E$33:E$42,"&gt;&lt;",EDT!F$33:F$42,"Répit"),COUNTIFS(EDT!G$33:G$42,B68,EDT!H$33:H$42,"&gt;&lt;",EDT!I$33:I$42,"Répit"),COUNTIFS(EDT!J$33:J$42,B68,EDT!K$33:K$42,"&gt;&lt;",EDT!L$33:L$42,"Répit"),COUNTIFS(EDT!M$33:M$42,B68,EDT!N$33:N$42,"&gt;&lt;",EDT!O$33:O$42,"Répit"),COUNTIFS(EDT!P$33:P$42,B68,EDT!Q$33:Q$42,"&gt;&lt;",EDT!R$33:R$42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,COUNTIFS(#REF!,B68,#REF!,"&gt;&lt;",#REF!,"Répit"))*2</f>
        <v>#REF!</v>
      </c>
      <c r="I68" s="201"/>
      <c r="J68" s="204" t="e">
        <f t="shared" si="2"/>
        <v>#REF!</v>
      </c>
      <c r="K68" s="195"/>
      <c r="L68" s="195"/>
      <c r="M68" s="195"/>
      <c r="N68" s="196">
        <v>66</v>
      </c>
      <c r="O68" s="198"/>
    </row>
    <row r="69" spans="1:15" ht="12.6">
      <c r="A69" s="17"/>
      <c r="B69" s="180"/>
      <c r="C69" s="189" t="e">
        <f t="shared" si="0"/>
        <v>#REF!</v>
      </c>
      <c r="D69" s="190" t="e">
        <f>SUM(COUNTIFS(EDT!D$5:D$25,B69,EDT!F$5:F$25,"ACM"),COUNTIFS(EDT!G$5:G$25,B69,EDT!I$5:I$25,"ACM"),COUNTIFS(EDT!J$5:J$25,B69,EDT!L$5:L$25,"ACM"),COUNTIFS(EDT!M$5:M$25,B69,EDT!O$5:O$25,"ACM"),COUNTIFS(EDT!P$5:P$25,B69,EDT!R$5:R$25,"ACM"),COUNTIFS(EDT!D$43:D$60,B69,EDT!F$43:F$60,"ACM"),COUNTIFS(EDT!G$43:G$60,B69,EDT!I$43:I$60,"ACM"),COUNTIFS(EDT!J$43:J$60,B69,EDT!L$43:L$60,"ACM"),COUNTIFS(EDT!M$43:M$60,B69,EDT!O$43:O$60,"ACM"),COUNTIFS(EDT!P$43:P$60,B69,EDT!R$43:R$60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)*3
+SUM(COUNTIFS(EDT!D$33:D$42,B69,EDT!F$33:F$42,"ACM"),COUNTIFS(EDT!G$33:G$42,B69,EDT!I$33:I$42,"ACM"),COUNTIFS(EDT!J$33:J$42,B69,EDT!L$33:L$42,"ACM"),COUNTIFS(EDT!M$33:M$42,B69,EDT!O$33:O$42,"ACM"),COUNTIFS(EDT!P$33:P$42,B69,EDT!R$33:R$42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,COUNTIFS(#REF!,B69,#REF!,"ACM"))*2</f>
        <v>#REF!</v>
      </c>
      <c r="E69" s="190" t="e">
        <f>SUM(COUNTIFS(EDT!D$5:D$25,B69,EDT!F$5:F$25,"Répit"),COUNTIFS(EDT!G$5:G$25,B69,EDT!I$5:I$25,"Répit"),COUNTIFS(EDT!J$5:J$25,B69,EDT!L$5:L$25,"Répit"),COUNTIFS(EDT!M$5:M$25,B69,EDT!O$5:O$25,"Répit"),COUNTIFS(EDT!P$5:P$25,B69,EDT!R$5:R$25,"Répit"),COUNTIFS(EDT!D$43:D$60,B69,EDT!F$43:F$60,"Répit"),COUNTIFS(EDT!G$43:G$60,B69,EDT!I$43:I$60,"Répit"),COUNTIFS(EDT!J$43:J$60,B69,EDT!L$43:L$60,"Répit"),COUNTIFS(EDT!M$43:M$60,B69,EDT!O$43:O$60,"Répit"),COUNTIFS(EDT!P$43:P$60,B69,EDT!R$43:R$60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)*3
+SUM(COUNTIFS(EDT!D$33:D$42,B69,EDT!F$33:F$42,"Répit"),COUNTIFS(EDT!G$33:G$42,B69,EDT!I$33:I$42,"Répit"),COUNTIFS(EDT!J$33:J$42,B69,EDT!L$33:L$42,"Répit"),COUNTIFS(EDT!M$33:M$42,B69,EDT!O$33:O$42,"Répit"),COUNTIFS(EDT!P$33:P$42,B69,EDT!R$33:R$42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,COUNTIFS(#REF!,B69,#REF!,"Répit"))*2</f>
        <v>#REF!</v>
      </c>
      <c r="F69" s="191" t="e">
        <f t="shared" si="1"/>
        <v>#REF!</v>
      </c>
      <c r="G69" s="185" t="e">
        <f>SUM(COUNTIFS(EDT!D$5:D$25,B69,EDT!E$5:E$25,"&gt;&lt;",EDT!F$5:F$25,"ACM"),COUNTIFS(EDT!G$5:G$25,B69,EDT!H$5:H$25,"&gt;&lt;",EDT!I$5:I$25,"ACM"),COUNTIFS(EDT!J$5:J$25,B69,EDT!K$5:K$25,"&gt;&lt;",EDT!L$5:L$25,"ACM"),COUNTIFS(EDT!M$5:M$25,B69,EDT!N$5:N$25,"&gt;&lt;",EDT!O$5:O$25,"ACM"),COUNTIFS(EDT!P$5:P$25,B69,EDT!Q$5:Q$25,"&gt;&lt;",EDT!R$5:R$25,"ACM"),COUNTIFS(EDT!D$43:D$60,B69,EDT!E$43:E$60,"&gt;&lt;",EDT!F$43:F$60,"ACM"),COUNTIFS(EDT!G$43:G$60,B69,EDT!H$43:H$60,"&gt;&lt;",EDT!I$43:I$60,"ACM"),COUNTIFS(EDT!J$43:J$60,B69,EDT!K$43:K$60,"&gt;&lt;",EDT!L$43:L$60,"ACM"),COUNTIFS(EDT!M$43:M$60,B69,EDT!N$43:N$60,"&gt;&lt;",EDT!O$43:O$60,"ACM"),COUNTIFS(EDT!P$43:P$60,B69,EDT!Q$43:Q$60,"&gt;&lt;",EDT!R$43:R$60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)*3
+SUM(COUNTIFS(EDT!D$33:D$42,B69,EDT!E$33:E$42,"&gt;&lt;",EDT!F$33:F$42,"ACM"),COUNTIFS(EDT!G$33:G$42,B69,EDT!H$33:H$42,"&gt;&lt;",EDT!I$33:I$42,"ACM"),COUNTIFS(EDT!J$33:J$42,B69,EDT!K$33:K$42,"&gt;&lt;",EDT!L$33:L$42,"ACM"),COUNTIFS(EDT!M$33:M$42,B69,EDT!N$33:N$42,"&gt;&lt;",EDT!O$33:O$42,"ACM"),COUNTIFS(EDT!P$33:P$42,B69,EDT!Q$33:Q$42,"&gt;&lt;",EDT!R$33:R$42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,COUNTIFS(#REF!,B69,#REF!,"&gt;&lt;",#REF!,"ACM"))*2</f>
        <v>#REF!</v>
      </c>
      <c r="H69" s="192" t="e">
        <f>SUM(COUNTIFS(EDT!D$5:D$25,B69,EDT!E$5:E$25,"&gt;&lt;",EDT!F$5:F$25,"Répit"),COUNTIFS(EDT!G$5:G$25,B69,EDT!H$5:H$25,"&gt;&lt;",EDT!I$5:I$25,"Répit"),COUNTIFS(EDT!J$5:J$25,B69,EDT!K$5:K$25,"&gt;&lt;",EDT!L$5:L$25,"Répit"),COUNTIFS(EDT!M$5:M$25,B69,EDT!N$5:N$25,"&gt;&lt;",EDT!O$5:O$25,"Répit"),COUNTIFS(EDT!P$5:P$25,B69,EDT!Q$5:Q$25,"&gt;&lt;",EDT!R$5:R$25,"Répit"),COUNTIFS(EDT!D$43:D$60,B69,EDT!E$43:E$60,"&gt;&lt;",EDT!F$43:F$60,"Répit"),COUNTIFS(EDT!G$43:G$60,B69,EDT!H$43:H$60,"&gt;&lt;",EDT!I$43:I$60,"Répit"),COUNTIFS(EDT!J$43:J$60,B69,EDT!K$43:K$60,"&gt;&lt;",EDT!L$43:L$60,"Répit"),COUNTIFS(EDT!M$43:M$60,B69,EDT!N$43:N$60,"&gt;&lt;",EDT!O$43:O$60,"Répit"),COUNTIFS(EDT!P$43:P$60,B69,EDT!Q$43:Q$60,"&gt;&lt;",EDT!R$43:R$60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)*3
+SUM(COUNTIFS(EDT!D$33:D$42,B69,EDT!E$33:E$42,"&gt;&lt;",EDT!F$33:F$42,"Répit"),COUNTIFS(EDT!G$33:G$42,B69,EDT!H$33:H$42,"&gt;&lt;",EDT!I$33:I$42,"Répit"),COUNTIFS(EDT!J$33:J$42,B69,EDT!K$33:K$42,"&gt;&lt;",EDT!L$33:L$42,"Répit"),COUNTIFS(EDT!M$33:M$42,B69,EDT!N$33:N$42,"&gt;&lt;",EDT!O$33:O$42,"Répit"),COUNTIFS(EDT!P$33:P$42,B69,EDT!Q$33:Q$42,"&gt;&lt;",EDT!R$33:R$42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,COUNTIFS(#REF!,B69,#REF!,"&gt;&lt;",#REF!,"Répit"))*2</f>
        <v>#REF!</v>
      </c>
      <c r="I69" s="201"/>
      <c r="J69" s="202" t="e">
        <f t="shared" si="2"/>
        <v>#REF!</v>
      </c>
      <c r="K69" s="195"/>
      <c r="L69" s="195"/>
      <c r="M69" s="195"/>
      <c r="N69" s="196">
        <v>67</v>
      </c>
      <c r="O69" s="198"/>
    </row>
    <row r="70" spans="1:15" ht="12.6">
      <c r="A70" s="17"/>
      <c r="B70" s="180"/>
      <c r="C70" s="189" t="e">
        <f t="shared" si="0"/>
        <v>#REF!</v>
      </c>
      <c r="D70" s="190" t="e">
        <f>SUM(COUNTIFS(EDT!D$5:D$25,B70,EDT!F$5:F$25,"ACM"),COUNTIFS(EDT!G$5:G$25,B70,EDT!I$5:I$25,"ACM"),COUNTIFS(EDT!J$5:J$25,B70,EDT!L$5:L$25,"ACM"),COUNTIFS(EDT!M$5:M$25,B70,EDT!O$5:O$25,"ACM"),COUNTIFS(EDT!P$5:P$25,B70,EDT!R$5:R$25,"ACM"),COUNTIFS(EDT!D$43:D$60,B70,EDT!F$43:F$60,"ACM"),COUNTIFS(EDT!G$43:G$60,B70,EDT!I$43:I$60,"ACM"),COUNTIFS(EDT!J$43:J$60,B70,EDT!L$43:L$60,"ACM"),COUNTIFS(EDT!M$43:M$60,B70,EDT!O$43:O$60,"ACM"),COUNTIFS(EDT!P$43:P$60,B70,EDT!R$43:R$60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)*3
+SUM(COUNTIFS(EDT!D$33:D$42,B70,EDT!F$33:F$42,"ACM"),COUNTIFS(EDT!G$33:G$42,B70,EDT!I$33:I$42,"ACM"),COUNTIFS(EDT!J$33:J$42,B70,EDT!L$33:L$42,"ACM"),COUNTIFS(EDT!M$33:M$42,B70,EDT!O$33:O$42,"ACM"),COUNTIFS(EDT!P$33:P$42,B70,EDT!R$33:R$42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,COUNTIFS(#REF!,B70,#REF!,"ACM"))*2</f>
        <v>#REF!</v>
      </c>
      <c r="E70" s="190" t="e">
        <f>SUM(COUNTIFS(EDT!D$5:D$25,B70,EDT!F$5:F$25,"Répit"),COUNTIFS(EDT!G$5:G$25,B70,EDT!I$5:I$25,"Répit"),COUNTIFS(EDT!J$5:J$25,B70,EDT!L$5:L$25,"Répit"),COUNTIFS(EDT!M$5:M$25,B70,EDT!O$5:O$25,"Répit"),COUNTIFS(EDT!P$5:P$25,B70,EDT!R$5:R$25,"Répit"),COUNTIFS(EDT!D$43:D$60,B70,EDT!F$43:F$60,"Répit"),COUNTIFS(EDT!G$43:G$60,B70,EDT!I$43:I$60,"Répit"),COUNTIFS(EDT!J$43:J$60,B70,EDT!L$43:L$60,"Répit"),COUNTIFS(EDT!M$43:M$60,B70,EDT!O$43:O$60,"Répit"),COUNTIFS(EDT!P$43:P$60,B70,EDT!R$43:R$60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)*3
+SUM(COUNTIFS(EDT!D$33:D$42,B70,EDT!F$33:F$42,"Répit"),COUNTIFS(EDT!G$33:G$42,B70,EDT!I$33:I$42,"Répit"),COUNTIFS(EDT!J$33:J$42,B70,EDT!L$33:L$42,"Répit"),COUNTIFS(EDT!M$33:M$42,B70,EDT!O$33:O$42,"Répit"),COUNTIFS(EDT!P$33:P$42,B70,EDT!R$33:R$42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,COUNTIFS(#REF!,B70,#REF!,"Répit"))*2</f>
        <v>#REF!</v>
      </c>
      <c r="F70" s="191" t="e">
        <f t="shared" si="1"/>
        <v>#REF!</v>
      </c>
      <c r="G70" s="185" t="e">
        <f>SUM(COUNTIFS(EDT!D$5:D$25,B70,EDT!E$5:E$25,"&gt;&lt;",EDT!F$5:F$25,"ACM"),COUNTIFS(EDT!G$5:G$25,B70,EDT!H$5:H$25,"&gt;&lt;",EDT!I$5:I$25,"ACM"),COUNTIFS(EDT!J$5:J$25,B70,EDT!K$5:K$25,"&gt;&lt;",EDT!L$5:L$25,"ACM"),COUNTIFS(EDT!M$5:M$25,B70,EDT!N$5:N$25,"&gt;&lt;",EDT!O$5:O$25,"ACM"),COUNTIFS(EDT!P$5:P$25,B70,EDT!Q$5:Q$25,"&gt;&lt;",EDT!R$5:R$25,"ACM"),COUNTIFS(EDT!D$43:D$60,B70,EDT!E$43:E$60,"&gt;&lt;",EDT!F$43:F$60,"ACM"),COUNTIFS(EDT!G$43:G$60,B70,EDT!H$43:H$60,"&gt;&lt;",EDT!I$43:I$60,"ACM"),COUNTIFS(EDT!J$43:J$60,B70,EDT!K$43:K$60,"&gt;&lt;",EDT!L$43:L$60,"ACM"),COUNTIFS(EDT!M$43:M$60,B70,EDT!N$43:N$60,"&gt;&lt;",EDT!O$43:O$60,"ACM"),COUNTIFS(EDT!P$43:P$60,B70,EDT!Q$43:Q$60,"&gt;&lt;",EDT!R$43:R$60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)*3
+SUM(COUNTIFS(EDT!D$33:D$42,B70,EDT!E$33:E$42,"&gt;&lt;",EDT!F$33:F$42,"ACM"),COUNTIFS(EDT!G$33:G$42,B70,EDT!H$33:H$42,"&gt;&lt;",EDT!I$33:I$42,"ACM"),COUNTIFS(EDT!J$33:J$42,B70,EDT!K$33:K$42,"&gt;&lt;",EDT!L$33:L$42,"ACM"),COUNTIFS(EDT!M$33:M$42,B70,EDT!N$33:N$42,"&gt;&lt;",EDT!O$33:O$42,"ACM"),COUNTIFS(EDT!P$33:P$42,B70,EDT!Q$33:Q$42,"&gt;&lt;",EDT!R$33:R$42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,COUNTIFS(#REF!,B70,#REF!,"&gt;&lt;",#REF!,"ACM"))*2</f>
        <v>#REF!</v>
      </c>
      <c r="H70" s="192" t="e">
        <f>SUM(COUNTIFS(EDT!D$5:D$25,B70,EDT!E$5:E$25,"&gt;&lt;",EDT!F$5:F$25,"Répit"),COUNTIFS(EDT!G$5:G$25,B70,EDT!H$5:H$25,"&gt;&lt;",EDT!I$5:I$25,"Répit"),COUNTIFS(EDT!J$5:J$25,B70,EDT!K$5:K$25,"&gt;&lt;",EDT!L$5:L$25,"Répit"),COUNTIFS(EDT!M$5:M$25,B70,EDT!N$5:N$25,"&gt;&lt;",EDT!O$5:O$25,"Répit"),COUNTIFS(EDT!P$5:P$25,B70,EDT!Q$5:Q$25,"&gt;&lt;",EDT!R$5:R$25,"Répit"),COUNTIFS(EDT!D$43:D$60,B70,EDT!E$43:E$60,"&gt;&lt;",EDT!F$43:F$60,"Répit"),COUNTIFS(EDT!G$43:G$60,B70,EDT!H$43:H$60,"&gt;&lt;",EDT!I$43:I$60,"Répit"),COUNTIFS(EDT!J$43:J$60,B70,EDT!K$43:K$60,"&gt;&lt;",EDT!L$43:L$60,"Répit"),COUNTIFS(EDT!M$43:M$60,B70,EDT!N$43:N$60,"&gt;&lt;",EDT!O$43:O$60,"Répit"),COUNTIFS(EDT!P$43:P$60,B70,EDT!Q$43:Q$60,"&gt;&lt;",EDT!R$43:R$60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)*3
+SUM(COUNTIFS(EDT!D$33:D$42,B70,EDT!E$33:E$42,"&gt;&lt;",EDT!F$33:F$42,"Répit"),COUNTIFS(EDT!G$33:G$42,B70,EDT!H$33:H$42,"&gt;&lt;",EDT!I$33:I$42,"Répit"),COUNTIFS(EDT!J$33:J$42,B70,EDT!K$33:K$42,"&gt;&lt;",EDT!L$33:L$42,"Répit"),COUNTIFS(EDT!M$33:M$42,B70,EDT!N$33:N$42,"&gt;&lt;",EDT!O$33:O$42,"Répit"),COUNTIFS(EDT!P$33:P$42,B70,EDT!Q$33:Q$42,"&gt;&lt;",EDT!R$33:R$42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,COUNTIFS(#REF!,B70,#REF!,"&gt;&lt;",#REF!,"Répit"))*2</f>
        <v>#REF!</v>
      </c>
      <c r="I70" s="201"/>
      <c r="J70" s="204" t="e">
        <f t="shared" si="2"/>
        <v>#REF!</v>
      </c>
      <c r="K70" s="195"/>
      <c r="L70" s="195"/>
      <c r="M70" s="195"/>
      <c r="N70" s="196">
        <v>68</v>
      </c>
      <c r="O70" s="198"/>
    </row>
    <row r="71" spans="1:15" ht="12.6">
      <c r="A71" s="17"/>
      <c r="B71" s="180"/>
      <c r="C71" s="189" t="e">
        <f t="shared" si="0"/>
        <v>#REF!</v>
      </c>
      <c r="D71" s="190" t="e">
        <f>SUM(COUNTIFS(EDT!D$5:D$25,B71,EDT!F$5:F$25,"ACM"),COUNTIFS(EDT!G$5:G$25,B71,EDT!I$5:I$25,"ACM"),COUNTIFS(EDT!J$5:J$25,B71,EDT!L$5:L$25,"ACM"),COUNTIFS(EDT!M$5:M$25,B71,EDT!O$5:O$25,"ACM"),COUNTIFS(EDT!P$5:P$25,B71,EDT!R$5:R$25,"ACM"),COUNTIFS(EDT!D$43:D$60,B71,EDT!F$43:F$60,"ACM"),COUNTIFS(EDT!G$43:G$60,B71,EDT!I$43:I$60,"ACM"),COUNTIFS(EDT!J$43:J$60,B71,EDT!L$43:L$60,"ACM"),COUNTIFS(EDT!M$43:M$60,B71,EDT!O$43:O$60,"ACM"),COUNTIFS(EDT!P$43:P$60,B71,EDT!R$43:R$60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)*3
+SUM(COUNTIFS(EDT!D$33:D$42,B71,EDT!F$33:F$42,"ACM"),COUNTIFS(EDT!G$33:G$42,B71,EDT!I$33:I$42,"ACM"),COUNTIFS(EDT!J$33:J$42,B71,EDT!L$33:L$42,"ACM"),COUNTIFS(EDT!M$33:M$42,B71,EDT!O$33:O$42,"ACM"),COUNTIFS(EDT!P$33:P$42,B71,EDT!R$33:R$42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,COUNTIFS(#REF!,B71,#REF!,"ACM"))*2</f>
        <v>#REF!</v>
      </c>
      <c r="E71" s="190" t="e">
        <f>SUM(COUNTIFS(EDT!D$5:D$25,B71,EDT!F$5:F$25,"Répit"),COUNTIFS(EDT!G$5:G$25,B71,EDT!I$5:I$25,"Répit"),COUNTIFS(EDT!J$5:J$25,B71,EDT!L$5:L$25,"Répit"),COUNTIFS(EDT!M$5:M$25,B71,EDT!O$5:O$25,"Répit"),COUNTIFS(EDT!P$5:P$25,B71,EDT!R$5:R$25,"Répit"),COUNTIFS(EDT!D$43:D$60,B71,EDT!F$43:F$60,"Répit"),COUNTIFS(EDT!G$43:G$60,B71,EDT!I$43:I$60,"Répit"),COUNTIFS(EDT!J$43:J$60,B71,EDT!L$43:L$60,"Répit"),COUNTIFS(EDT!M$43:M$60,B71,EDT!O$43:O$60,"Répit"),COUNTIFS(EDT!P$43:P$60,B71,EDT!R$43:R$60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)*3
+SUM(COUNTIFS(EDT!D$33:D$42,B71,EDT!F$33:F$42,"Répit"),COUNTIFS(EDT!G$33:G$42,B71,EDT!I$33:I$42,"Répit"),COUNTIFS(EDT!J$33:J$42,B71,EDT!L$33:L$42,"Répit"),COUNTIFS(EDT!M$33:M$42,B71,EDT!O$33:O$42,"Répit"),COUNTIFS(EDT!P$33:P$42,B71,EDT!R$33:R$42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,COUNTIFS(#REF!,B71,#REF!,"Répit"))*2</f>
        <v>#REF!</v>
      </c>
      <c r="F71" s="191" t="e">
        <f t="shared" si="1"/>
        <v>#REF!</v>
      </c>
      <c r="G71" s="185" t="e">
        <f>SUM(COUNTIFS(EDT!D$5:D$25,B71,EDT!E$5:E$25,"&gt;&lt;",EDT!F$5:F$25,"ACM"),COUNTIFS(EDT!G$5:G$25,B71,EDT!H$5:H$25,"&gt;&lt;",EDT!I$5:I$25,"ACM"),COUNTIFS(EDT!J$5:J$25,B71,EDT!K$5:K$25,"&gt;&lt;",EDT!L$5:L$25,"ACM"),COUNTIFS(EDT!M$5:M$25,B71,EDT!N$5:N$25,"&gt;&lt;",EDT!O$5:O$25,"ACM"),COUNTIFS(EDT!P$5:P$25,B71,EDT!Q$5:Q$25,"&gt;&lt;",EDT!R$5:R$25,"ACM"),COUNTIFS(EDT!D$43:D$60,B71,EDT!E$43:E$60,"&gt;&lt;",EDT!F$43:F$60,"ACM"),COUNTIFS(EDT!G$43:G$60,B71,EDT!H$43:H$60,"&gt;&lt;",EDT!I$43:I$60,"ACM"),COUNTIFS(EDT!J$43:J$60,B71,EDT!K$43:K$60,"&gt;&lt;",EDT!L$43:L$60,"ACM"),COUNTIFS(EDT!M$43:M$60,B71,EDT!N$43:N$60,"&gt;&lt;",EDT!O$43:O$60,"ACM"),COUNTIFS(EDT!P$43:P$60,B71,EDT!Q$43:Q$60,"&gt;&lt;",EDT!R$43:R$60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)*3
+SUM(COUNTIFS(EDT!D$33:D$42,B71,EDT!E$33:E$42,"&gt;&lt;",EDT!F$33:F$42,"ACM"),COUNTIFS(EDT!G$33:G$42,B71,EDT!H$33:H$42,"&gt;&lt;",EDT!I$33:I$42,"ACM"),COUNTIFS(EDT!J$33:J$42,B71,EDT!K$33:K$42,"&gt;&lt;",EDT!L$33:L$42,"ACM"),COUNTIFS(EDT!M$33:M$42,B71,EDT!N$33:N$42,"&gt;&lt;",EDT!O$33:O$42,"ACM"),COUNTIFS(EDT!P$33:P$42,B71,EDT!Q$33:Q$42,"&gt;&lt;",EDT!R$33:R$42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,COUNTIFS(#REF!,B71,#REF!,"&gt;&lt;",#REF!,"ACM"))*2</f>
        <v>#REF!</v>
      </c>
      <c r="H71" s="192" t="e">
        <f>SUM(COUNTIFS(EDT!D$5:D$25,B71,EDT!E$5:E$25,"&gt;&lt;",EDT!F$5:F$25,"Répit"),COUNTIFS(EDT!G$5:G$25,B71,EDT!H$5:H$25,"&gt;&lt;",EDT!I$5:I$25,"Répit"),COUNTIFS(EDT!J$5:J$25,B71,EDT!K$5:K$25,"&gt;&lt;",EDT!L$5:L$25,"Répit"),COUNTIFS(EDT!M$5:M$25,B71,EDT!N$5:N$25,"&gt;&lt;",EDT!O$5:O$25,"Répit"),COUNTIFS(EDT!P$5:P$25,B71,EDT!Q$5:Q$25,"&gt;&lt;",EDT!R$5:R$25,"Répit"),COUNTIFS(EDT!D$43:D$60,B71,EDT!E$43:E$60,"&gt;&lt;",EDT!F$43:F$60,"Répit"),COUNTIFS(EDT!G$43:G$60,B71,EDT!H$43:H$60,"&gt;&lt;",EDT!I$43:I$60,"Répit"),COUNTIFS(EDT!J$43:J$60,B71,EDT!K$43:K$60,"&gt;&lt;",EDT!L$43:L$60,"Répit"),COUNTIFS(EDT!M$43:M$60,B71,EDT!N$43:N$60,"&gt;&lt;",EDT!O$43:O$60,"Répit"),COUNTIFS(EDT!P$43:P$60,B71,EDT!Q$43:Q$60,"&gt;&lt;",EDT!R$43:R$60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)*3
+SUM(COUNTIFS(EDT!D$33:D$42,B71,EDT!E$33:E$42,"&gt;&lt;",EDT!F$33:F$42,"Répit"),COUNTIFS(EDT!G$33:G$42,B71,EDT!H$33:H$42,"&gt;&lt;",EDT!I$33:I$42,"Répit"),COUNTIFS(EDT!J$33:J$42,B71,EDT!K$33:K$42,"&gt;&lt;",EDT!L$33:L$42,"Répit"),COUNTIFS(EDT!M$33:M$42,B71,EDT!N$33:N$42,"&gt;&lt;",EDT!O$33:O$42,"Répit"),COUNTIFS(EDT!P$33:P$42,B71,EDT!Q$33:Q$42,"&gt;&lt;",EDT!R$33:R$42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,COUNTIFS(#REF!,B71,#REF!,"&gt;&lt;",#REF!,"Répit"))*2</f>
        <v>#REF!</v>
      </c>
      <c r="I71" s="201"/>
      <c r="J71" s="202" t="e">
        <f t="shared" si="2"/>
        <v>#REF!</v>
      </c>
      <c r="K71" s="195"/>
      <c r="L71" s="195"/>
      <c r="M71" s="195"/>
      <c r="N71" s="196">
        <v>69</v>
      </c>
      <c r="O71" s="198"/>
    </row>
    <row r="72" spans="1:15" ht="12.6">
      <c r="A72" s="17"/>
      <c r="B72" s="180"/>
      <c r="C72" s="189" t="e">
        <f t="shared" si="0"/>
        <v>#REF!</v>
      </c>
      <c r="D72" s="190" t="e">
        <f>SUM(COUNTIFS(EDT!D$5:D$25,B72,EDT!F$5:F$25,"ACM"),COUNTIFS(EDT!G$5:G$25,B72,EDT!I$5:I$25,"ACM"),COUNTIFS(EDT!J$5:J$25,B72,EDT!L$5:L$25,"ACM"),COUNTIFS(EDT!M$5:M$25,B72,EDT!O$5:O$25,"ACM"),COUNTIFS(EDT!P$5:P$25,B72,EDT!R$5:R$25,"ACM"),COUNTIFS(EDT!D$43:D$60,B72,EDT!F$43:F$60,"ACM"),COUNTIFS(EDT!G$43:G$60,B72,EDT!I$43:I$60,"ACM"),COUNTIFS(EDT!J$43:J$60,B72,EDT!L$43:L$60,"ACM"),COUNTIFS(EDT!M$43:M$60,B72,EDT!O$43:O$60,"ACM"),COUNTIFS(EDT!P$43:P$60,B72,EDT!R$43:R$60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)*3
+SUM(COUNTIFS(EDT!D$33:D$42,B72,EDT!F$33:F$42,"ACM"),COUNTIFS(EDT!G$33:G$42,B72,EDT!I$33:I$42,"ACM"),COUNTIFS(EDT!J$33:J$42,B72,EDT!L$33:L$42,"ACM"),COUNTIFS(EDT!M$33:M$42,B72,EDT!O$33:O$42,"ACM"),COUNTIFS(EDT!P$33:P$42,B72,EDT!R$33:R$42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,COUNTIFS(#REF!,B72,#REF!,"ACM"))*2</f>
        <v>#REF!</v>
      </c>
      <c r="E72" s="190" t="e">
        <f>SUM(COUNTIFS(EDT!D$5:D$25,B72,EDT!F$5:F$25,"Répit"),COUNTIFS(EDT!G$5:G$25,B72,EDT!I$5:I$25,"Répit"),COUNTIFS(EDT!J$5:J$25,B72,EDT!L$5:L$25,"Répit"),COUNTIFS(EDT!M$5:M$25,B72,EDT!O$5:O$25,"Répit"),COUNTIFS(EDT!P$5:P$25,B72,EDT!R$5:R$25,"Répit"),COUNTIFS(EDT!D$43:D$60,B72,EDT!F$43:F$60,"Répit"),COUNTIFS(EDT!G$43:G$60,B72,EDT!I$43:I$60,"Répit"),COUNTIFS(EDT!J$43:J$60,B72,EDT!L$43:L$60,"Répit"),COUNTIFS(EDT!M$43:M$60,B72,EDT!O$43:O$60,"Répit"),COUNTIFS(EDT!P$43:P$60,B72,EDT!R$43:R$60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)*3
+SUM(COUNTIFS(EDT!D$33:D$42,B72,EDT!F$33:F$42,"Répit"),COUNTIFS(EDT!G$33:G$42,B72,EDT!I$33:I$42,"Répit"),COUNTIFS(EDT!J$33:J$42,B72,EDT!L$33:L$42,"Répit"),COUNTIFS(EDT!M$33:M$42,B72,EDT!O$33:O$42,"Répit"),COUNTIFS(EDT!P$33:P$42,B72,EDT!R$33:R$42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,COUNTIFS(#REF!,B72,#REF!,"Répit"))*2</f>
        <v>#REF!</v>
      </c>
      <c r="F72" s="191" t="e">
        <f t="shared" si="1"/>
        <v>#REF!</v>
      </c>
      <c r="G72" s="185" t="e">
        <f>SUM(COUNTIFS(EDT!D$5:D$25,B72,EDT!E$5:E$25,"&gt;&lt;",EDT!F$5:F$25,"ACM"),COUNTIFS(EDT!G$5:G$25,B72,EDT!H$5:H$25,"&gt;&lt;",EDT!I$5:I$25,"ACM"),COUNTIFS(EDT!J$5:J$25,B72,EDT!K$5:K$25,"&gt;&lt;",EDT!L$5:L$25,"ACM"),COUNTIFS(EDT!M$5:M$25,B72,EDT!N$5:N$25,"&gt;&lt;",EDT!O$5:O$25,"ACM"),COUNTIFS(EDT!P$5:P$25,B72,EDT!Q$5:Q$25,"&gt;&lt;",EDT!R$5:R$25,"ACM"),COUNTIFS(EDT!D$43:D$60,B72,EDT!E$43:E$60,"&gt;&lt;",EDT!F$43:F$60,"ACM"),COUNTIFS(EDT!G$43:G$60,B72,EDT!H$43:H$60,"&gt;&lt;",EDT!I$43:I$60,"ACM"),COUNTIFS(EDT!J$43:J$60,B72,EDT!K$43:K$60,"&gt;&lt;",EDT!L$43:L$60,"ACM"),COUNTIFS(EDT!M$43:M$60,B72,EDT!N$43:N$60,"&gt;&lt;",EDT!O$43:O$60,"ACM"),COUNTIFS(EDT!P$43:P$60,B72,EDT!Q$43:Q$60,"&gt;&lt;",EDT!R$43:R$60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)*3
+SUM(COUNTIFS(EDT!D$33:D$42,B72,EDT!E$33:E$42,"&gt;&lt;",EDT!F$33:F$42,"ACM"),COUNTIFS(EDT!G$33:G$42,B72,EDT!H$33:H$42,"&gt;&lt;",EDT!I$33:I$42,"ACM"),COUNTIFS(EDT!J$33:J$42,B72,EDT!K$33:K$42,"&gt;&lt;",EDT!L$33:L$42,"ACM"),COUNTIFS(EDT!M$33:M$42,B72,EDT!N$33:N$42,"&gt;&lt;",EDT!O$33:O$42,"ACM"),COUNTIFS(EDT!P$33:P$42,B72,EDT!Q$33:Q$42,"&gt;&lt;",EDT!R$33:R$42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,COUNTIFS(#REF!,B72,#REF!,"&gt;&lt;",#REF!,"ACM"))*2</f>
        <v>#REF!</v>
      </c>
      <c r="H72" s="192" t="e">
        <f>SUM(COUNTIFS(EDT!D$5:D$25,B72,EDT!E$5:E$25,"&gt;&lt;",EDT!F$5:F$25,"Répit"),COUNTIFS(EDT!G$5:G$25,B72,EDT!H$5:H$25,"&gt;&lt;",EDT!I$5:I$25,"Répit"),COUNTIFS(EDT!J$5:J$25,B72,EDT!K$5:K$25,"&gt;&lt;",EDT!L$5:L$25,"Répit"),COUNTIFS(EDT!M$5:M$25,B72,EDT!N$5:N$25,"&gt;&lt;",EDT!O$5:O$25,"Répit"),COUNTIFS(EDT!P$5:P$25,B72,EDT!Q$5:Q$25,"&gt;&lt;",EDT!R$5:R$25,"Répit"),COUNTIFS(EDT!D$43:D$60,B72,EDT!E$43:E$60,"&gt;&lt;",EDT!F$43:F$60,"Répit"),COUNTIFS(EDT!G$43:G$60,B72,EDT!H$43:H$60,"&gt;&lt;",EDT!I$43:I$60,"Répit"),COUNTIFS(EDT!J$43:J$60,B72,EDT!K$43:K$60,"&gt;&lt;",EDT!L$43:L$60,"Répit"),COUNTIFS(EDT!M$43:M$60,B72,EDT!N$43:N$60,"&gt;&lt;",EDT!O$43:O$60,"Répit"),COUNTIFS(EDT!P$43:P$60,B72,EDT!Q$43:Q$60,"&gt;&lt;",EDT!R$43:R$60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)*3
+SUM(COUNTIFS(EDT!D$33:D$42,B72,EDT!E$33:E$42,"&gt;&lt;",EDT!F$33:F$42,"Répit"),COUNTIFS(EDT!G$33:G$42,B72,EDT!H$33:H$42,"&gt;&lt;",EDT!I$33:I$42,"Répit"),COUNTIFS(EDT!J$33:J$42,B72,EDT!K$33:K$42,"&gt;&lt;",EDT!L$33:L$42,"Répit"),COUNTIFS(EDT!M$33:M$42,B72,EDT!N$33:N$42,"&gt;&lt;",EDT!O$33:O$42,"Répit"),COUNTIFS(EDT!P$33:P$42,B72,EDT!Q$33:Q$42,"&gt;&lt;",EDT!R$33:R$42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,COUNTIFS(#REF!,B72,#REF!,"&gt;&lt;",#REF!,"Répit"))*2</f>
        <v>#REF!</v>
      </c>
      <c r="I72" s="201"/>
      <c r="J72" s="204" t="e">
        <f t="shared" si="2"/>
        <v>#REF!</v>
      </c>
      <c r="K72" s="195"/>
      <c r="L72" s="195"/>
      <c r="M72" s="195"/>
      <c r="N72" s="196">
        <v>70</v>
      </c>
      <c r="O72" s="198"/>
    </row>
    <row r="73" spans="1:15" ht="12.6">
      <c r="A73" s="17"/>
      <c r="B73" s="180"/>
      <c r="C73" s="189" t="e">
        <f t="shared" si="0"/>
        <v>#REF!</v>
      </c>
      <c r="D73" s="190" t="e">
        <f>SUM(COUNTIFS(EDT!D$5:D$25,B73,EDT!F$5:F$25,"ACM"),COUNTIFS(EDT!G$5:G$25,B73,EDT!I$5:I$25,"ACM"),COUNTIFS(EDT!J$5:J$25,B73,EDT!L$5:L$25,"ACM"),COUNTIFS(EDT!M$5:M$25,B73,EDT!O$5:O$25,"ACM"),COUNTIFS(EDT!P$5:P$25,B73,EDT!R$5:R$25,"ACM"),COUNTIFS(EDT!D$43:D$60,B73,EDT!F$43:F$60,"ACM"),COUNTIFS(EDT!G$43:G$60,B73,EDT!I$43:I$60,"ACM"),COUNTIFS(EDT!J$43:J$60,B73,EDT!L$43:L$60,"ACM"),COUNTIFS(EDT!M$43:M$60,B73,EDT!O$43:O$60,"ACM"),COUNTIFS(EDT!P$43:P$60,B73,EDT!R$43:R$60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)*3
+SUM(COUNTIFS(EDT!D$33:D$42,B73,EDT!F$33:F$42,"ACM"),COUNTIFS(EDT!G$33:G$42,B73,EDT!I$33:I$42,"ACM"),COUNTIFS(EDT!J$33:J$42,B73,EDT!L$33:L$42,"ACM"),COUNTIFS(EDT!M$33:M$42,B73,EDT!O$33:O$42,"ACM"),COUNTIFS(EDT!P$33:P$42,B73,EDT!R$33:R$42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,COUNTIFS(#REF!,B73,#REF!,"ACM"))*2</f>
        <v>#REF!</v>
      </c>
      <c r="E73" s="190" t="e">
        <f>SUM(COUNTIFS(EDT!D$5:D$25,B73,EDT!F$5:F$25,"Répit"),COUNTIFS(EDT!G$5:G$25,B73,EDT!I$5:I$25,"Répit"),COUNTIFS(EDT!J$5:J$25,B73,EDT!L$5:L$25,"Répit"),COUNTIFS(EDT!M$5:M$25,B73,EDT!O$5:O$25,"Répit"),COUNTIFS(EDT!P$5:P$25,B73,EDT!R$5:R$25,"Répit"),COUNTIFS(EDT!D$43:D$60,B73,EDT!F$43:F$60,"Répit"),COUNTIFS(EDT!G$43:G$60,B73,EDT!I$43:I$60,"Répit"),COUNTIFS(EDT!J$43:J$60,B73,EDT!L$43:L$60,"Répit"),COUNTIFS(EDT!M$43:M$60,B73,EDT!O$43:O$60,"Répit"),COUNTIFS(EDT!P$43:P$60,B73,EDT!R$43:R$60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)*3
+SUM(COUNTIFS(EDT!D$33:D$42,B73,EDT!F$33:F$42,"Répit"),COUNTIFS(EDT!G$33:G$42,B73,EDT!I$33:I$42,"Répit"),COUNTIFS(EDT!J$33:J$42,B73,EDT!L$33:L$42,"Répit"),COUNTIFS(EDT!M$33:M$42,B73,EDT!O$33:O$42,"Répit"),COUNTIFS(EDT!P$33:P$42,B73,EDT!R$33:R$42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,COUNTIFS(#REF!,B73,#REF!,"Répit"))*2</f>
        <v>#REF!</v>
      </c>
      <c r="F73" s="191" t="e">
        <f t="shared" si="1"/>
        <v>#REF!</v>
      </c>
      <c r="G73" s="185" t="e">
        <f>SUM(COUNTIFS(EDT!D$5:D$25,B73,EDT!E$5:E$25,"&gt;&lt;",EDT!F$5:F$25,"ACM"),COUNTIFS(EDT!G$5:G$25,B73,EDT!H$5:H$25,"&gt;&lt;",EDT!I$5:I$25,"ACM"),COUNTIFS(EDT!J$5:J$25,B73,EDT!K$5:K$25,"&gt;&lt;",EDT!L$5:L$25,"ACM"),COUNTIFS(EDT!M$5:M$25,B73,EDT!N$5:N$25,"&gt;&lt;",EDT!O$5:O$25,"ACM"),COUNTIFS(EDT!P$5:P$25,B73,EDT!Q$5:Q$25,"&gt;&lt;",EDT!R$5:R$25,"ACM"),COUNTIFS(EDT!D$43:D$60,B73,EDT!E$43:E$60,"&gt;&lt;",EDT!F$43:F$60,"ACM"),COUNTIFS(EDT!G$43:G$60,B73,EDT!H$43:H$60,"&gt;&lt;",EDT!I$43:I$60,"ACM"),COUNTIFS(EDT!J$43:J$60,B73,EDT!K$43:K$60,"&gt;&lt;",EDT!L$43:L$60,"ACM"),COUNTIFS(EDT!M$43:M$60,B73,EDT!N$43:N$60,"&gt;&lt;",EDT!O$43:O$60,"ACM"),COUNTIFS(EDT!P$43:P$60,B73,EDT!Q$43:Q$60,"&gt;&lt;",EDT!R$43:R$60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)*3
+SUM(COUNTIFS(EDT!D$33:D$42,B73,EDT!E$33:E$42,"&gt;&lt;",EDT!F$33:F$42,"ACM"),COUNTIFS(EDT!G$33:G$42,B73,EDT!H$33:H$42,"&gt;&lt;",EDT!I$33:I$42,"ACM"),COUNTIFS(EDT!J$33:J$42,B73,EDT!K$33:K$42,"&gt;&lt;",EDT!L$33:L$42,"ACM"),COUNTIFS(EDT!M$33:M$42,B73,EDT!N$33:N$42,"&gt;&lt;",EDT!O$33:O$42,"ACM"),COUNTIFS(EDT!P$33:P$42,B73,EDT!Q$33:Q$42,"&gt;&lt;",EDT!R$33:R$42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,COUNTIFS(#REF!,B73,#REF!,"&gt;&lt;",#REF!,"ACM"))*2</f>
        <v>#REF!</v>
      </c>
      <c r="H73" s="192" t="e">
        <f>SUM(COUNTIFS(EDT!D$5:D$25,B73,EDT!E$5:E$25,"&gt;&lt;",EDT!F$5:F$25,"Répit"),COUNTIFS(EDT!G$5:G$25,B73,EDT!H$5:H$25,"&gt;&lt;",EDT!I$5:I$25,"Répit"),COUNTIFS(EDT!J$5:J$25,B73,EDT!K$5:K$25,"&gt;&lt;",EDT!L$5:L$25,"Répit"),COUNTIFS(EDT!M$5:M$25,B73,EDT!N$5:N$25,"&gt;&lt;",EDT!O$5:O$25,"Répit"),COUNTIFS(EDT!P$5:P$25,B73,EDT!Q$5:Q$25,"&gt;&lt;",EDT!R$5:R$25,"Répit"),COUNTIFS(EDT!D$43:D$60,B73,EDT!E$43:E$60,"&gt;&lt;",EDT!F$43:F$60,"Répit"),COUNTIFS(EDT!G$43:G$60,B73,EDT!H$43:H$60,"&gt;&lt;",EDT!I$43:I$60,"Répit"),COUNTIFS(EDT!J$43:J$60,B73,EDT!K$43:K$60,"&gt;&lt;",EDT!L$43:L$60,"Répit"),COUNTIFS(EDT!M$43:M$60,B73,EDT!N$43:N$60,"&gt;&lt;",EDT!O$43:O$60,"Répit"),COUNTIFS(EDT!P$43:P$60,B73,EDT!Q$43:Q$60,"&gt;&lt;",EDT!R$43:R$60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)*3
+SUM(COUNTIFS(EDT!D$33:D$42,B73,EDT!E$33:E$42,"&gt;&lt;",EDT!F$33:F$42,"Répit"),COUNTIFS(EDT!G$33:G$42,B73,EDT!H$33:H$42,"&gt;&lt;",EDT!I$33:I$42,"Répit"),COUNTIFS(EDT!J$33:J$42,B73,EDT!K$33:K$42,"&gt;&lt;",EDT!L$33:L$42,"Répit"),COUNTIFS(EDT!M$33:M$42,B73,EDT!N$33:N$42,"&gt;&lt;",EDT!O$33:O$42,"Répit"),COUNTIFS(EDT!P$33:P$42,B73,EDT!Q$33:Q$42,"&gt;&lt;",EDT!R$33:R$42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,COUNTIFS(#REF!,B73,#REF!,"&gt;&lt;",#REF!,"Répit"))*2</f>
        <v>#REF!</v>
      </c>
      <c r="I73" s="201"/>
      <c r="J73" s="202" t="e">
        <f t="shared" si="2"/>
        <v>#REF!</v>
      </c>
      <c r="K73" s="195"/>
      <c r="L73" s="195"/>
      <c r="M73" s="195"/>
      <c r="N73" s="196">
        <v>71</v>
      </c>
      <c r="O73" s="198"/>
    </row>
    <row r="74" spans="1:15" ht="12.6">
      <c r="A74" s="17"/>
      <c r="B74" s="180"/>
      <c r="C74" s="189" t="e">
        <f t="shared" si="0"/>
        <v>#REF!</v>
      </c>
      <c r="D74" s="190" t="e">
        <f>SUM(COUNTIFS(EDT!D$5:D$25,B74,EDT!F$5:F$25,"ACM"),COUNTIFS(EDT!G$5:G$25,B74,EDT!I$5:I$25,"ACM"),COUNTIFS(EDT!J$5:J$25,B74,EDT!L$5:L$25,"ACM"),COUNTIFS(EDT!M$5:M$25,B74,EDT!O$5:O$25,"ACM"),COUNTIFS(EDT!P$5:P$25,B74,EDT!R$5:R$25,"ACM"),COUNTIFS(EDT!D$43:D$60,B74,EDT!F$43:F$60,"ACM"),COUNTIFS(EDT!G$43:G$60,B74,EDT!I$43:I$60,"ACM"),COUNTIFS(EDT!J$43:J$60,B74,EDT!L$43:L$60,"ACM"),COUNTIFS(EDT!M$43:M$60,B74,EDT!O$43:O$60,"ACM"),COUNTIFS(EDT!P$43:P$60,B74,EDT!R$43:R$60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)*3
+SUM(COUNTIFS(EDT!D$33:D$42,B74,EDT!F$33:F$42,"ACM"),COUNTIFS(EDT!G$33:G$42,B74,EDT!I$33:I$42,"ACM"),COUNTIFS(EDT!J$33:J$42,B74,EDT!L$33:L$42,"ACM"),COUNTIFS(EDT!M$33:M$42,B74,EDT!O$33:O$42,"ACM"),COUNTIFS(EDT!P$33:P$42,B74,EDT!R$33:R$42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,COUNTIFS(#REF!,B74,#REF!,"ACM"))*2</f>
        <v>#REF!</v>
      </c>
      <c r="E74" s="190" t="e">
        <f>SUM(COUNTIFS(EDT!D$5:D$25,B74,EDT!F$5:F$25,"Répit"),COUNTIFS(EDT!G$5:G$25,B74,EDT!I$5:I$25,"Répit"),COUNTIFS(EDT!J$5:J$25,B74,EDT!L$5:L$25,"Répit"),COUNTIFS(EDT!M$5:M$25,B74,EDT!O$5:O$25,"Répit"),COUNTIFS(EDT!P$5:P$25,B74,EDT!R$5:R$25,"Répit"),COUNTIFS(EDT!D$43:D$60,B74,EDT!F$43:F$60,"Répit"),COUNTIFS(EDT!G$43:G$60,B74,EDT!I$43:I$60,"Répit"),COUNTIFS(EDT!J$43:J$60,B74,EDT!L$43:L$60,"Répit"),COUNTIFS(EDT!M$43:M$60,B74,EDT!O$43:O$60,"Répit"),COUNTIFS(EDT!P$43:P$60,B74,EDT!R$43:R$60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)*3
+SUM(COUNTIFS(EDT!D$33:D$42,B74,EDT!F$33:F$42,"Répit"),COUNTIFS(EDT!G$33:G$42,B74,EDT!I$33:I$42,"Répit"),COUNTIFS(EDT!J$33:J$42,B74,EDT!L$33:L$42,"Répit"),COUNTIFS(EDT!M$33:M$42,B74,EDT!O$33:O$42,"Répit"),COUNTIFS(EDT!P$33:P$42,B74,EDT!R$33:R$42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,COUNTIFS(#REF!,B74,#REF!,"Répit"))*2</f>
        <v>#REF!</v>
      </c>
      <c r="F74" s="191" t="e">
        <f t="shared" si="1"/>
        <v>#REF!</v>
      </c>
      <c r="G74" s="185" t="e">
        <f>SUM(COUNTIFS(EDT!D$5:D$25,B74,EDT!E$5:E$25,"&gt;&lt;",EDT!F$5:F$25,"ACM"),COUNTIFS(EDT!G$5:G$25,B74,EDT!H$5:H$25,"&gt;&lt;",EDT!I$5:I$25,"ACM"),COUNTIFS(EDT!J$5:J$25,B74,EDT!K$5:K$25,"&gt;&lt;",EDT!L$5:L$25,"ACM"),COUNTIFS(EDT!M$5:M$25,B74,EDT!N$5:N$25,"&gt;&lt;",EDT!O$5:O$25,"ACM"),COUNTIFS(EDT!P$5:P$25,B74,EDT!Q$5:Q$25,"&gt;&lt;",EDT!R$5:R$25,"ACM"),COUNTIFS(EDT!D$43:D$60,B74,EDT!E$43:E$60,"&gt;&lt;",EDT!F$43:F$60,"ACM"),COUNTIFS(EDT!G$43:G$60,B74,EDT!H$43:H$60,"&gt;&lt;",EDT!I$43:I$60,"ACM"),COUNTIFS(EDT!J$43:J$60,B74,EDT!K$43:K$60,"&gt;&lt;",EDT!L$43:L$60,"ACM"),COUNTIFS(EDT!M$43:M$60,B74,EDT!N$43:N$60,"&gt;&lt;",EDT!O$43:O$60,"ACM"),COUNTIFS(EDT!P$43:P$60,B74,EDT!Q$43:Q$60,"&gt;&lt;",EDT!R$43:R$60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)*3
+SUM(COUNTIFS(EDT!D$33:D$42,B74,EDT!E$33:E$42,"&gt;&lt;",EDT!F$33:F$42,"ACM"),COUNTIFS(EDT!G$33:G$42,B74,EDT!H$33:H$42,"&gt;&lt;",EDT!I$33:I$42,"ACM"),COUNTIFS(EDT!J$33:J$42,B74,EDT!K$33:K$42,"&gt;&lt;",EDT!L$33:L$42,"ACM"),COUNTIFS(EDT!M$33:M$42,B74,EDT!N$33:N$42,"&gt;&lt;",EDT!O$33:O$42,"ACM"),COUNTIFS(EDT!P$33:P$42,B74,EDT!Q$33:Q$42,"&gt;&lt;",EDT!R$33:R$42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,COUNTIFS(#REF!,B74,#REF!,"&gt;&lt;",#REF!,"ACM"))*2</f>
        <v>#REF!</v>
      </c>
      <c r="H74" s="192" t="e">
        <f>SUM(COUNTIFS(EDT!D$5:D$25,B74,EDT!E$5:E$25,"&gt;&lt;",EDT!F$5:F$25,"Répit"),COUNTIFS(EDT!G$5:G$25,B74,EDT!H$5:H$25,"&gt;&lt;",EDT!I$5:I$25,"Répit"),COUNTIFS(EDT!J$5:J$25,B74,EDT!K$5:K$25,"&gt;&lt;",EDT!L$5:L$25,"Répit"),COUNTIFS(EDT!M$5:M$25,B74,EDT!N$5:N$25,"&gt;&lt;",EDT!O$5:O$25,"Répit"),COUNTIFS(EDT!P$5:P$25,B74,EDT!Q$5:Q$25,"&gt;&lt;",EDT!R$5:R$25,"Répit"),COUNTIFS(EDT!D$43:D$60,B74,EDT!E$43:E$60,"&gt;&lt;",EDT!F$43:F$60,"Répit"),COUNTIFS(EDT!G$43:G$60,B74,EDT!H$43:H$60,"&gt;&lt;",EDT!I$43:I$60,"Répit"),COUNTIFS(EDT!J$43:J$60,B74,EDT!K$43:K$60,"&gt;&lt;",EDT!L$43:L$60,"Répit"),COUNTIFS(EDT!M$43:M$60,B74,EDT!N$43:N$60,"&gt;&lt;",EDT!O$43:O$60,"Répit"),COUNTIFS(EDT!P$43:P$60,B74,EDT!Q$43:Q$60,"&gt;&lt;",EDT!R$43:R$60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)*3
+SUM(COUNTIFS(EDT!D$33:D$42,B74,EDT!E$33:E$42,"&gt;&lt;",EDT!F$33:F$42,"Répit"),COUNTIFS(EDT!G$33:G$42,B74,EDT!H$33:H$42,"&gt;&lt;",EDT!I$33:I$42,"Répit"),COUNTIFS(EDT!J$33:J$42,B74,EDT!K$33:K$42,"&gt;&lt;",EDT!L$33:L$42,"Répit"),COUNTIFS(EDT!M$33:M$42,B74,EDT!N$33:N$42,"&gt;&lt;",EDT!O$33:O$42,"Répit"),COUNTIFS(EDT!P$33:P$42,B74,EDT!Q$33:Q$42,"&gt;&lt;",EDT!R$33:R$42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,COUNTIFS(#REF!,B74,#REF!,"&gt;&lt;",#REF!,"Répit"))*2</f>
        <v>#REF!</v>
      </c>
      <c r="I74" s="201"/>
      <c r="J74" s="204" t="e">
        <f t="shared" si="2"/>
        <v>#REF!</v>
      </c>
      <c r="K74" s="195"/>
      <c r="L74" s="195"/>
      <c r="M74" s="195"/>
      <c r="N74" s="196">
        <v>72</v>
      </c>
      <c r="O74" s="198"/>
    </row>
    <row r="75" spans="1:15" ht="12.6">
      <c r="A75" s="17"/>
      <c r="B75" s="180"/>
      <c r="C75" s="189" t="e">
        <f t="shared" si="0"/>
        <v>#REF!</v>
      </c>
      <c r="D75" s="190" t="e">
        <f>SUM(COUNTIFS(EDT!D$5:D$25,B75,EDT!F$5:F$25,"ACM"),COUNTIFS(EDT!G$5:G$25,B75,EDT!I$5:I$25,"ACM"),COUNTIFS(EDT!J$5:J$25,B75,EDT!L$5:L$25,"ACM"),COUNTIFS(EDT!M$5:M$25,B75,EDT!O$5:O$25,"ACM"),COUNTIFS(EDT!P$5:P$25,B75,EDT!R$5:R$25,"ACM"),COUNTIFS(EDT!D$43:D$60,B75,EDT!F$43:F$60,"ACM"),COUNTIFS(EDT!G$43:G$60,B75,EDT!I$43:I$60,"ACM"),COUNTIFS(EDT!J$43:J$60,B75,EDT!L$43:L$60,"ACM"),COUNTIFS(EDT!M$43:M$60,B75,EDT!O$43:O$60,"ACM"),COUNTIFS(EDT!P$43:P$60,B75,EDT!R$43:R$60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)*3
+SUM(COUNTIFS(EDT!D$33:D$42,B75,EDT!F$33:F$42,"ACM"),COUNTIFS(EDT!G$33:G$42,B75,EDT!I$33:I$42,"ACM"),COUNTIFS(EDT!J$33:J$42,B75,EDT!L$33:L$42,"ACM"),COUNTIFS(EDT!M$33:M$42,B75,EDT!O$33:O$42,"ACM"),COUNTIFS(EDT!P$33:P$42,B75,EDT!R$33:R$42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,COUNTIFS(#REF!,B75,#REF!,"ACM"))*2</f>
        <v>#REF!</v>
      </c>
      <c r="E75" s="190" t="e">
        <f>SUM(COUNTIFS(EDT!D$5:D$25,B75,EDT!F$5:F$25,"Répit"),COUNTIFS(EDT!G$5:G$25,B75,EDT!I$5:I$25,"Répit"),COUNTIFS(EDT!J$5:J$25,B75,EDT!L$5:L$25,"Répit"),COUNTIFS(EDT!M$5:M$25,B75,EDT!O$5:O$25,"Répit"),COUNTIFS(EDT!P$5:P$25,B75,EDT!R$5:R$25,"Répit"),COUNTIFS(EDT!D$43:D$60,B75,EDT!F$43:F$60,"Répit"),COUNTIFS(EDT!G$43:G$60,B75,EDT!I$43:I$60,"Répit"),COUNTIFS(EDT!J$43:J$60,B75,EDT!L$43:L$60,"Répit"),COUNTIFS(EDT!M$43:M$60,B75,EDT!O$43:O$60,"Répit"),COUNTIFS(EDT!P$43:P$60,B75,EDT!R$43:R$60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)*3
+SUM(COUNTIFS(EDT!D$33:D$42,B75,EDT!F$33:F$42,"Répit"),COUNTIFS(EDT!G$33:G$42,B75,EDT!I$33:I$42,"Répit"),COUNTIFS(EDT!J$33:J$42,B75,EDT!L$33:L$42,"Répit"),COUNTIFS(EDT!M$33:M$42,B75,EDT!O$33:O$42,"Répit"),COUNTIFS(EDT!P$33:P$42,B75,EDT!R$33:R$42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,COUNTIFS(#REF!,B75,#REF!,"Répit"))*2</f>
        <v>#REF!</v>
      </c>
      <c r="F75" s="191" t="e">
        <f t="shared" si="1"/>
        <v>#REF!</v>
      </c>
      <c r="G75" s="185" t="e">
        <f>SUM(COUNTIFS(EDT!D$5:D$25,B75,EDT!E$5:E$25,"&gt;&lt;",EDT!F$5:F$25,"ACM"),COUNTIFS(EDT!G$5:G$25,B75,EDT!H$5:H$25,"&gt;&lt;",EDT!I$5:I$25,"ACM"),COUNTIFS(EDT!J$5:J$25,B75,EDT!K$5:K$25,"&gt;&lt;",EDT!L$5:L$25,"ACM"),COUNTIFS(EDT!M$5:M$25,B75,EDT!N$5:N$25,"&gt;&lt;",EDT!O$5:O$25,"ACM"),COUNTIFS(EDT!P$5:P$25,B75,EDT!Q$5:Q$25,"&gt;&lt;",EDT!R$5:R$25,"ACM"),COUNTIFS(EDT!D$43:D$60,B75,EDT!E$43:E$60,"&gt;&lt;",EDT!F$43:F$60,"ACM"),COUNTIFS(EDT!G$43:G$60,B75,EDT!H$43:H$60,"&gt;&lt;",EDT!I$43:I$60,"ACM"),COUNTIFS(EDT!J$43:J$60,B75,EDT!K$43:K$60,"&gt;&lt;",EDT!L$43:L$60,"ACM"),COUNTIFS(EDT!M$43:M$60,B75,EDT!N$43:N$60,"&gt;&lt;",EDT!O$43:O$60,"ACM"),COUNTIFS(EDT!P$43:P$60,B75,EDT!Q$43:Q$60,"&gt;&lt;",EDT!R$43:R$60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)*3
+SUM(COUNTIFS(EDT!D$33:D$42,B75,EDT!E$33:E$42,"&gt;&lt;",EDT!F$33:F$42,"ACM"),COUNTIFS(EDT!G$33:G$42,B75,EDT!H$33:H$42,"&gt;&lt;",EDT!I$33:I$42,"ACM"),COUNTIFS(EDT!J$33:J$42,B75,EDT!K$33:K$42,"&gt;&lt;",EDT!L$33:L$42,"ACM"),COUNTIFS(EDT!M$33:M$42,B75,EDT!N$33:N$42,"&gt;&lt;",EDT!O$33:O$42,"ACM"),COUNTIFS(EDT!P$33:P$42,B75,EDT!Q$33:Q$42,"&gt;&lt;",EDT!R$33:R$42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,COUNTIFS(#REF!,B75,#REF!,"&gt;&lt;",#REF!,"ACM"))*2</f>
        <v>#REF!</v>
      </c>
      <c r="H75" s="192" t="e">
        <f>SUM(COUNTIFS(EDT!D$5:D$25,B75,EDT!E$5:E$25,"&gt;&lt;",EDT!F$5:F$25,"Répit"),COUNTIFS(EDT!G$5:G$25,B75,EDT!H$5:H$25,"&gt;&lt;",EDT!I$5:I$25,"Répit"),COUNTIFS(EDT!J$5:J$25,B75,EDT!K$5:K$25,"&gt;&lt;",EDT!L$5:L$25,"Répit"),COUNTIFS(EDT!M$5:M$25,B75,EDT!N$5:N$25,"&gt;&lt;",EDT!O$5:O$25,"Répit"),COUNTIFS(EDT!P$5:P$25,B75,EDT!Q$5:Q$25,"&gt;&lt;",EDT!R$5:R$25,"Répit"),COUNTIFS(EDT!D$43:D$60,B75,EDT!E$43:E$60,"&gt;&lt;",EDT!F$43:F$60,"Répit"),COUNTIFS(EDT!G$43:G$60,B75,EDT!H$43:H$60,"&gt;&lt;",EDT!I$43:I$60,"Répit"),COUNTIFS(EDT!J$43:J$60,B75,EDT!K$43:K$60,"&gt;&lt;",EDT!L$43:L$60,"Répit"),COUNTIFS(EDT!M$43:M$60,B75,EDT!N$43:N$60,"&gt;&lt;",EDT!O$43:O$60,"Répit"),COUNTIFS(EDT!P$43:P$60,B75,EDT!Q$43:Q$60,"&gt;&lt;",EDT!R$43:R$60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)*3
+SUM(COUNTIFS(EDT!D$33:D$42,B75,EDT!E$33:E$42,"&gt;&lt;",EDT!F$33:F$42,"Répit"),COUNTIFS(EDT!G$33:G$42,B75,EDT!H$33:H$42,"&gt;&lt;",EDT!I$33:I$42,"Répit"),COUNTIFS(EDT!J$33:J$42,B75,EDT!K$33:K$42,"&gt;&lt;",EDT!L$33:L$42,"Répit"),COUNTIFS(EDT!M$33:M$42,B75,EDT!N$33:N$42,"&gt;&lt;",EDT!O$33:O$42,"Répit"),COUNTIFS(EDT!P$33:P$42,B75,EDT!Q$33:Q$42,"&gt;&lt;",EDT!R$33:R$42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,COUNTIFS(#REF!,B75,#REF!,"&gt;&lt;",#REF!,"Répit"))*2</f>
        <v>#REF!</v>
      </c>
      <c r="I75" s="201"/>
      <c r="J75" s="202" t="e">
        <f t="shared" si="2"/>
        <v>#REF!</v>
      </c>
      <c r="K75" s="195"/>
      <c r="L75" s="195"/>
      <c r="M75" s="195"/>
      <c r="N75" s="196">
        <v>73</v>
      </c>
      <c r="O75" s="198"/>
    </row>
    <row r="76" spans="1:15" ht="12.6">
      <c r="A76" s="17"/>
      <c r="B76" s="180"/>
      <c r="C76" s="189" t="e">
        <f t="shared" si="0"/>
        <v>#REF!</v>
      </c>
      <c r="D76" s="190" t="e">
        <f>SUM(COUNTIFS(EDT!D$5:D$25,B76,EDT!F$5:F$25,"ACM"),COUNTIFS(EDT!G$5:G$25,B76,EDT!I$5:I$25,"ACM"),COUNTIFS(EDT!J$5:J$25,B76,EDT!L$5:L$25,"ACM"),COUNTIFS(EDT!M$5:M$25,B76,EDT!O$5:O$25,"ACM"),COUNTIFS(EDT!P$5:P$25,B76,EDT!R$5:R$25,"ACM"),COUNTIFS(EDT!D$43:D$60,B76,EDT!F$43:F$60,"ACM"),COUNTIFS(EDT!G$43:G$60,B76,EDT!I$43:I$60,"ACM"),COUNTIFS(EDT!J$43:J$60,B76,EDT!L$43:L$60,"ACM"),COUNTIFS(EDT!M$43:M$60,B76,EDT!O$43:O$60,"ACM"),COUNTIFS(EDT!P$43:P$60,B76,EDT!R$43:R$60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)*3
+SUM(COUNTIFS(EDT!D$33:D$42,B76,EDT!F$33:F$42,"ACM"),COUNTIFS(EDT!G$33:G$42,B76,EDT!I$33:I$42,"ACM"),COUNTIFS(EDT!J$33:J$42,B76,EDT!L$33:L$42,"ACM"),COUNTIFS(EDT!M$33:M$42,B76,EDT!O$33:O$42,"ACM"),COUNTIFS(EDT!P$33:P$42,B76,EDT!R$33:R$42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,COUNTIFS(#REF!,B76,#REF!,"ACM"))*2</f>
        <v>#REF!</v>
      </c>
      <c r="E76" s="190" t="e">
        <f>SUM(COUNTIFS(EDT!D$5:D$25,B76,EDT!F$5:F$25,"Répit"),COUNTIFS(EDT!G$5:G$25,B76,EDT!I$5:I$25,"Répit"),COUNTIFS(EDT!J$5:J$25,B76,EDT!L$5:L$25,"Répit"),COUNTIFS(EDT!M$5:M$25,B76,EDT!O$5:O$25,"Répit"),COUNTIFS(EDT!P$5:P$25,B76,EDT!R$5:R$25,"Répit"),COUNTIFS(EDT!D$43:D$60,B76,EDT!F$43:F$60,"Répit"),COUNTIFS(EDT!G$43:G$60,B76,EDT!I$43:I$60,"Répit"),COUNTIFS(EDT!J$43:J$60,B76,EDT!L$43:L$60,"Répit"),COUNTIFS(EDT!M$43:M$60,B76,EDT!O$43:O$60,"Répit"),COUNTIFS(EDT!P$43:P$60,B76,EDT!R$43:R$60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)*3
+SUM(COUNTIFS(EDT!D$33:D$42,B76,EDT!F$33:F$42,"Répit"),COUNTIFS(EDT!G$33:G$42,B76,EDT!I$33:I$42,"Répit"),COUNTIFS(EDT!J$33:J$42,B76,EDT!L$33:L$42,"Répit"),COUNTIFS(EDT!M$33:M$42,B76,EDT!O$33:O$42,"Répit"),COUNTIFS(EDT!P$33:P$42,B76,EDT!R$33:R$42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,COUNTIFS(#REF!,B76,#REF!,"Répit"))*2</f>
        <v>#REF!</v>
      </c>
      <c r="F76" s="191" t="e">
        <f t="shared" si="1"/>
        <v>#REF!</v>
      </c>
      <c r="G76" s="185" t="e">
        <f>SUM(COUNTIFS(EDT!D$5:D$25,B76,EDT!E$5:E$25,"&gt;&lt;",EDT!F$5:F$25,"ACM"),COUNTIFS(EDT!G$5:G$25,B76,EDT!H$5:H$25,"&gt;&lt;",EDT!I$5:I$25,"ACM"),COUNTIFS(EDT!J$5:J$25,B76,EDT!K$5:K$25,"&gt;&lt;",EDT!L$5:L$25,"ACM"),COUNTIFS(EDT!M$5:M$25,B76,EDT!N$5:N$25,"&gt;&lt;",EDT!O$5:O$25,"ACM"),COUNTIFS(EDT!P$5:P$25,B76,EDT!Q$5:Q$25,"&gt;&lt;",EDT!R$5:R$25,"ACM"),COUNTIFS(EDT!D$43:D$60,B76,EDT!E$43:E$60,"&gt;&lt;",EDT!F$43:F$60,"ACM"),COUNTIFS(EDT!G$43:G$60,B76,EDT!H$43:H$60,"&gt;&lt;",EDT!I$43:I$60,"ACM"),COUNTIFS(EDT!J$43:J$60,B76,EDT!K$43:K$60,"&gt;&lt;",EDT!L$43:L$60,"ACM"),COUNTIFS(EDT!M$43:M$60,B76,EDT!N$43:N$60,"&gt;&lt;",EDT!O$43:O$60,"ACM"),COUNTIFS(EDT!P$43:P$60,B76,EDT!Q$43:Q$60,"&gt;&lt;",EDT!R$43:R$60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)*3
+SUM(COUNTIFS(EDT!D$33:D$42,B76,EDT!E$33:E$42,"&gt;&lt;",EDT!F$33:F$42,"ACM"),COUNTIFS(EDT!G$33:G$42,B76,EDT!H$33:H$42,"&gt;&lt;",EDT!I$33:I$42,"ACM"),COUNTIFS(EDT!J$33:J$42,B76,EDT!K$33:K$42,"&gt;&lt;",EDT!L$33:L$42,"ACM"),COUNTIFS(EDT!M$33:M$42,B76,EDT!N$33:N$42,"&gt;&lt;",EDT!O$33:O$42,"ACM"),COUNTIFS(EDT!P$33:P$42,B76,EDT!Q$33:Q$42,"&gt;&lt;",EDT!R$33:R$42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,COUNTIFS(#REF!,B76,#REF!,"&gt;&lt;",#REF!,"ACM"))*2</f>
        <v>#REF!</v>
      </c>
      <c r="H76" s="192" t="e">
        <f>SUM(COUNTIFS(EDT!D$5:D$25,B76,EDT!E$5:E$25,"&gt;&lt;",EDT!F$5:F$25,"Répit"),COUNTIFS(EDT!G$5:G$25,B76,EDT!H$5:H$25,"&gt;&lt;",EDT!I$5:I$25,"Répit"),COUNTIFS(EDT!J$5:J$25,B76,EDT!K$5:K$25,"&gt;&lt;",EDT!L$5:L$25,"Répit"),COUNTIFS(EDT!M$5:M$25,B76,EDT!N$5:N$25,"&gt;&lt;",EDT!O$5:O$25,"Répit"),COUNTIFS(EDT!P$5:P$25,B76,EDT!Q$5:Q$25,"&gt;&lt;",EDT!R$5:R$25,"Répit"),COUNTIFS(EDT!D$43:D$60,B76,EDT!E$43:E$60,"&gt;&lt;",EDT!F$43:F$60,"Répit"),COUNTIFS(EDT!G$43:G$60,B76,EDT!H$43:H$60,"&gt;&lt;",EDT!I$43:I$60,"Répit"),COUNTIFS(EDT!J$43:J$60,B76,EDT!K$43:K$60,"&gt;&lt;",EDT!L$43:L$60,"Répit"),COUNTIFS(EDT!M$43:M$60,B76,EDT!N$43:N$60,"&gt;&lt;",EDT!O$43:O$60,"Répit"),COUNTIFS(EDT!P$43:P$60,B76,EDT!Q$43:Q$60,"&gt;&lt;",EDT!R$43:R$60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)*3
+SUM(COUNTIFS(EDT!D$33:D$42,B76,EDT!E$33:E$42,"&gt;&lt;",EDT!F$33:F$42,"Répit"),COUNTIFS(EDT!G$33:G$42,B76,EDT!H$33:H$42,"&gt;&lt;",EDT!I$33:I$42,"Répit"),COUNTIFS(EDT!J$33:J$42,B76,EDT!K$33:K$42,"&gt;&lt;",EDT!L$33:L$42,"Répit"),COUNTIFS(EDT!M$33:M$42,B76,EDT!N$33:N$42,"&gt;&lt;",EDT!O$33:O$42,"Répit"),COUNTIFS(EDT!P$33:P$42,B76,EDT!Q$33:Q$42,"&gt;&lt;",EDT!R$33:R$42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,COUNTIFS(#REF!,B76,#REF!,"&gt;&lt;",#REF!,"Répit"))*2</f>
        <v>#REF!</v>
      </c>
      <c r="I76" s="201"/>
      <c r="J76" s="204" t="e">
        <f t="shared" si="2"/>
        <v>#REF!</v>
      </c>
      <c r="K76" s="195"/>
      <c r="L76" s="195"/>
      <c r="M76" s="195"/>
      <c r="N76" s="196">
        <v>74</v>
      </c>
      <c r="O76" s="198"/>
    </row>
    <row r="77" spans="1:15" ht="12.6">
      <c r="A77" s="17"/>
      <c r="B77" s="180"/>
      <c r="C77" s="189" t="e">
        <f t="shared" si="0"/>
        <v>#REF!</v>
      </c>
      <c r="D77" s="190" t="e">
        <f>SUM(COUNTIFS(EDT!D$5:D$25,B77,EDT!F$5:F$25,"ACM"),COUNTIFS(EDT!G$5:G$25,B77,EDT!I$5:I$25,"ACM"),COUNTIFS(EDT!J$5:J$25,B77,EDT!L$5:L$25,"ACM"),COUNTIFS(EDT!M$5:M$25,B77,EDT!O$5:O$25,"ACM"),COUNTIFS(EDT!P$5:P$25,B77,EDT!R$5:R$25,"ACM"),COUNTIFS(EDT!D$43:D$60,B77,EDT!F$43:F$60,"ACM"),COUNTIFS(EDT!G$43:G$60,B77,EDT!I$43:I$60,"ACM"),COUNTIFS(EDT!J$43:J$60,B77,EDT!L$43:L$60,"ACM"),COUNTIFS(EDT!M$43:M$60,B77,EDT!O$43:O$60,"ACM"),COUNTIFS(EDT!P$43:P$60,B77,EDT!R$43:R$60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)*3
+SUM(COUNTIFS(EDT!D$33:D$42,B77,EDT!F$33:F$42,"ACM"),COUNTIFS(EDT!G$33:G$42,B77,EDT!I$33:I$42,"ACM"),COUNTIFS(EDT!J$33:J$42,B77,EDT!L$33:L$42,"ACM"),COUNTIFS(EDT!M$33:M$42,B77,EDT!O$33:O$42,"ACM"),COUNTIFS(EDT!P$33:P$42,B77,EDT!R$33:R$42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,COUNTIFS(#REF!,B77,#REF!,"ACM"))*2</f>
        <v>#REF!</v>
      </c>
      <c r="E77" s="190" t="e">
        <f>SUM(COUNTIFS(EDT!D$5:D$25,B77,EDT!F$5:F$25,"Répit"),COUNTIFS(EDT!G$5:G$25,B77,EDT!I$5:I$25,"Répit"),COUNTIFS(EDT!J$5:J$25,B77,EDT!L$5:L$25,"Répit"),COUNTIFS(EDT!M$5:M$25,B77,EDT!O$5:O$25,"Répit"),COUNTIFS(EDT!P$5:P$25,B77,EDT!R$5:R$25,"Répit"),COUNTIFS(EDT!D$43:D$60,B77,EDT!F$43:F$60,"Répit"),COUNTIFS(EDT!G$43:G$60,B77,EDT!I$43:I$60,"Répit"),COUNTIFS(EDT!J$43:J$60,B77,EDT!L$43:L$60,"Répit"),COUNTIFS(EDT!M$43:M$60,B77,EDT!O$43:O$60,"Répit"),COUNTIFS(EDT!P$43:P$60,B77,EDT!R$43:R$60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)*3
+SUM(COUNTIFS(EDT!D$33:D$42,B77,EDT!F$33:F$42,"Répit"),COUNTIFS(EDT!G$33:G$42,B77,EDT!I$33:I$42,"Répit"),COUNTIFS(EDT!J$33:J$42,B77,EDT!L$33:L$42,"Répit"),COUNTIFS(EDT!M$33:M$42,B77,EDT!O$33:O$42,"Répit"),COUNTIFS(EDT!P$33:P$42,B77,EDT!R$33:R$42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,COUNTIFS(#REF!,B77,#REF!,"Répit"))*2</f>
        <v>#REF!</v>
      </c>
      <c r="F77" s="191" t="e">
        <f t="shared" si="1"/>
        <v>#REF!</v>
      </c>
      <c r="G77" s="185" t="e">
        <f>SUM(COUNTIFS(EDT!D$5:D$25,B77,EDT!E$5:E$25,"&gt;&lt;",EDT!F$5:F$25,"ACM"),COUNTIFS(EDT!G$5:G$25,B77,EDT!H$5:H$25,"&gt;&lt;",EDT!I$5:I$25,"ACM"),COUNTIFS(EDT!J$5:J$25,B77,EDT!K$5:K$25,"&gt;&lt;",EDT!L$5:L$25,"ACM"),COUNTIFS(EDT!M$5:M$25,B77,EDT!N$5:N$25,"&gt;&lt;",EDT!O$5:O$25,"ACM"),COUNTIFS(EDT!P$5:P$25,B77,EDT!Q$5:Q$25,"&gt;&lt;",EDT!R$5:R$25,"ACM"),COUNTIFS(EDT!D$43:D$60,B77,EDT!E$43:E$60,"&gt;&lt;",EDT!F$43:F$60,"ACM"),COUNTIFS(EDT!G$43:G$60,B77,EDT!H$43:H$60,"&gt;&lt;",EDT!I$43:I$60,"ACM"),COUNTIFS(EDT!J$43:J$60,B77,EDT!K$43:K$60,"&gt;&lt;",EDT!L$43:L$60,"ACM"),COUNTIFS(EDT!M$43:M$60,B77,EDT!N$43:N$60,"&gt;&lt;",EDT!O$43:O$60,"ACM"),COUNTIFS(EDT!P$43:P$60,B77,EDT!Q$43:Q$60,"&gt;&lt;",EDT!R$43:R$60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)*3
+SUM(COUNTIFS(EDT!D$33:D$42,B77,EDT!E$33:E$42,"&gt;&lt;",EDT!F$33:F$42,"ACM"),COUNTIFS(EDT!G$33:G$42,B77,EDT!H$33:H$42,"&gt;&lt;",EDT!I$33:I$42,"ACM"),COUNTIFS(EDT!J$33:J$42,B77,EDT!K$33:K$42,"&gt;&lt;",EDT!L$33:L$42,"ACM"),COUNTIFS(EDT!M$33:M$42,B77,EDT!N$33:N$42,"&gt;&lt;",EDT!O$33:O$42,"ACM"),COUNTIFS(EDT!P$33:P$42,B77,EDT!Q$33:Q$42,"&gt;&lt;",EDT!R$33:R$42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,COUNTIFS(#REF!,B77,#REF!,"&gt;&lt;",#REF!,"ACM"))*2</f>
        <v>#REF!</v>
      </c>
      <c r="H77" s="192" t="e">
        <f>SUM(COUNTIFS(EDT!D$5:D$25,B77,EDT!E$5:E$25,"&gt;&lt;",EDT!F$5:F$25,"Répit"),COUNTIFS(EDT!G$5:G$25,B77,EDT!H$5:H$25,"&gt;&lt;",EDT!I$5:I$25,"Répit"),COUNTIFS(EDT!J$5:J$25,B77,EDT!K$5:K$25,"&gt;&lt;",EDT!L$5:L$25,"Répit"),COUNTIFS(EDT!M$5:M$25,B77,EDT!N$5:N$25,"&gt;&lt;",EDT!O$5:O$25,"Répit"),COUNTIFS(EDT!P$5:P$25,B77,EDT!Q$5:Q$25,"&gt;&lt;",EDT!R$5:R$25,"Répit"),COUNTIFS(EDT!D$43:D$60,B77,EDT!E$43:E$60,"&gt;&lt;",EDT!F$43:F$60,"Répit"),COUNTIFS(EDT!G$43:G$60,B77,EDT!H$43:H$60,"&gt;&lt;",EDT!I$43:I$60,"Répit"),COUNTIFS(EDT!J$43:J$60,B77,EDT!K$43:K$60,"&gt;&lt;",EDT!L$43:L$60,"Répit"),COUNTIFS(EDT!M$43:M$60,B77,EDT!N$43:N$60,"&gt;&lt;",EDT!O$43:O$60,"Répit"),COUNTIFS(EDT!P$43:P$60,B77,EDT!Q$43:Q$60,"&gt;&lt;",EDT!R$43:R$60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)*3
+SUM(COUNTIFS(EDT!D$33:D$42,B77,EDT!E$33:E$42,"&gt;&lt;",EDT!F$33:F$42,"Répit"),COUNTIFS(EDT!G$33:G$42,B77,EDT!H$33:H$42,"&gt;&lt;",EDT!I$33:I$42,"Répit"),COUNTIFS(EDT!J$33:J$42,B77,EDT!K$33:K$42,"&gt;&lt;",EDT!L$33:L$42,"Répit"),COUNTIFS(EDT!M$33:M$42,B77,EDT!N$33:N$42,"&gt;&lt;",EDT!O$33:O$42,"Répit"),COUNTIFS(EDT!P$33:P$42,B77,EDT!Q$33:Q$42,"&gt;&lt;",EDT!R$33:R$42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,COUNTIFS(#REF!,B77,#REF!,"&gt;&lt;",#REF!,"Répit"))*2</f>
        <v>#REF!</v>
      </c>
      <c r="I77" s="201"/>
      <c r="J77" s="202" t="e">
        <f t="shared" si="2"/>
        <v>#REF!</v>
      </c>
      <c r="K77" s="195"/>
      <c r="L77" s="195"/>
      <c r="M77" s="195"/>
      <c r="N77" s="196">
        <v>75</v>
      </c>
      <c r="O77" s="198"/>
    </row>
    <row r="78" spans="1:15" ht="12.6">
      <c r="A78" s="17"/>
      <c r="B78" s="180"/>
      <c r="C78" s="189" t="e">
        <f t="shared" si="0"/>
        <v>#REF!</v>
      </c>
      <c r="D78" s="190" t="e">
        <f>SUM(COUNTIFS(EDT!D$5:D$25,B78,EDT!F$5:F$25,"ACM"),COUNTIFS(EDT!G$5:G$25,B78,EDT!I$5:I$25,"ACM"),COUNTIFS(EDT!J$5:J$25,B78,EDT!L$5:L$25,"ACM"),COUNTIFS(EDT!M$5:M$25,B78,EDT!O$5:O$25,"ACM"),COUNTIFS(EDT!P$5:P$25,B78,EDT!R$5:R$25,"ACM"),COUNTIFS(EDT!D$43:D$60,B78,EDT!F$43:F$60,"ACM"),COUNTIFS(EDT!G$43:G$60,B78,EDT!I$43:I$60,"ACM"),COUNTIFS(EDT!J$43:J$60,B78,EDT!L$43:L$60,"ACM"),COUNTIFS(EDT!M$43:M$60,B78,EDT!O$43:O$60,"ACM"),COUNTIFS(EDT!P$43:P$60,B78,EDT!R$43:R$60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)*3
+SUM(COUNTIFS(EDT!D$33:D$42,B78,EDT!F$33:F$42,"ACM"),COUNTIFS(EDT!G$33:G$42,B78,EDT!I$33:I$42,"ACM"),COUNTIFS(EDT!J$33:J$42,B78,EDT!L$33:L$42,"ACM"),COUNTIFS(EDT!M$33:M$42,B78,EDT!O$33:O$42,"ACM"),COUNTIFS(EDT!P$33:P$42,B78,EDT!R$33:R$42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,COUNTIFS(#REF!,B78,#REF!,"ACM"))*2</f>
        <v>#REF!</v>
      </c>
      <c r="E78" s="190" t="e">
        <f>SUM(COUNTIFS(EDT!D$5:D$25,B78,EDT!F$5:F$25,"Répit"),COUNTIFS(EDT!G$5:G$25,B78,EDT!I$5:I$25,"Répit"),COUNTIFS(EDT!J$5:J$25,B78,EDT!L$5:L$25,"Répit"),COUNTIFS(EDT!M$5:M$25,B78,EDT!O$5:O$25,"Répit"),COUNTIFS(EDT!P$5:P$25,B78,EDT!R$5:R$25,"Répit"),COUNTIFS(EDT!D$43:D$60,B78,EDT!F$43:F$60,"Répit"),COUNTIFS(EDT!G$43:G$60,B78,EDT!I$43:I$60,"Répit"),COUNTIFS(EDT!J$43:J$60,B78,EDT!L$43:L$60,"Répit"),COUNTIFS(EDT!M$43:M$60,B78,EDT!O$43:O$60,"Répit"),COUNTIFS(EDT!P$43:P$60,B78,EDT!R$43:R$60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)*3
+SUM(COUNTIFS(EDT!D$33:D$42,B78,EDT!F$33:F$42,"Répit"),COUNTIFS(EDT!G$33:G$42,B78,EDT!I$33:I$42,"Répit"),COUNTIFS(EDT!J$33:J$42,B78,EDT!L$33:L$42,"Répit"),COUNTIFS(EDT!M$33:M$42,B78,EDT!O$33:O$42,"Répit"),COUNTIFS(EDT!P$33:P$42,B78,EDT!R$33:R$42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,COUNTIFS(#REF!,B78,#REF!,"Répit"))*2</f>
        <v>#REF!</v>
      </c>
      <c r="F78" s="191" t="e">
        <f t="shared" si="1"/>
        <v>#REF!</v>
      </c>
      <c r="G78" s="185" t="e">
        <f>SUM(COUNTIFS(EDT!D$5:D$25,B78,EDT!E$5:E$25,"&gt;&lt;",EDT!F$5:F$25,"ACM"),COUNTIFS(EDT!G$5:G$25,B78,EDT!H$5:H$25,"&gt;&lt;",EDT!I$5:I$25,"ACM"),COUNTIFS(EDT!J$5:J$25,B78,EDT!K$5:K$25,"&gt;&lt;",EDT!L$5:L$25,"ACM"),COUNTIFS(EDT!M$5:M$25,B78,EDT!N$5:N$25,"&gt;&lt;",EDT!O$5:O$25,"ACM"),COUNTIFS(EDT!P$5:P$25,B78,EDT!Q$5:Q$25,"&gt;&lt;",EDT!R$5:R$25,"ACM"),COUNTIFS(EDT!D$43:D$60,B78,EDT!E$43:E$60,"&gt;&lt;",EDT!F$43:F$60,"ACM"),COUNTIFS(EDT!G$43:G$60,B78,EDT!H$43:H$60,"&gt;&lt;",EDT!I$43:I$60,"ACM"),COUNTIFS(EDT!J$43:J$60,B78,EDT!K$43:K$60,"&gt;&lt;",EDT!L$43:L$60,"ACM"),COUNTIFS(EDT!M$43:M$60,B78,EDT!N$43:N$60,"&gt;&lt;",EDT!O$43:O$60,"ACM"),COUNTIFS(EDT!P$43:P$60,B78,EDT!Q$43:Q$60,"&gt;&lt;",EDT!R$43:R$60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)*3
+SUM(COUNTIFS(EDT!D$33:D$42,B78,EDT!E$33:E$42,"&gt;&lt;",EDT!F$33:F$42,"ACM"),COUNTIFS(EDT!G$33:G$42,B78,EDT!H$33:H$42,"&gt;&lt;",EDT!I$33:I$42,"ACM"),COUNTIFS(EDT!J$33:J$42,B78,EDT!K$33:K$42,"&gt;&lt;",EDT!L$33:L$42,"ACM"),COUNTIFS(EDT!M$33:M$42,B78,EDT!N$33:N$42,"&gt;&lt;",EDT!O$33:O$42,"ACM"),COUNTIFS(EDT!P$33:P$42,B78,EDT!Q$33:Q$42,"&gt;&lt;",EDT!R$33:R$42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,COUNTIFS(#REF!,B78,#REF!,"&gt;&lt;",#REF!,"ACM"))*2</f>
        <v>#REF!</v>
      </c>
      <c r="H78" s="192" t="e">
        <f>SUM(COUNTIFS(EDT!D$5:D$25,B78,EDT!E$5:E$25,"&gt;&lt;",EDT!F$5:F$25,"Répit"),COUNTIFS(EDT!G$5:G$25,B78,EDT!H$5:H$25,"&gt;&lt;",EDT!I$5:I$25,"Répit"),COUNTIFS(EDT!J$5:J$25,B78,EDT!K$5:K$25,"&gt;&lt;",EDT!L$5:L$25,"Répit"),COUNTIFS(EDT!M$5:M$25,B78,EDT!N$5:N$25,"&gt;&lt;",EDT!O$5:O$25,"Répit"),COUNTIFS(EDT!P$5:P$25,B78,EDT!Q$5:Q$25,"&gt;&lt;",EDT!R$5:R$25,"Répit"),COUNTIFS(EDT!D$43:D$60,B78,EDT!E$43:E$60,"&gt;&lt;",EDT!F$43:F$60,"Répit"),COUNTIFS(EDT!G$43:G$60,B78,EDT!H$43:H$60,"&gt;&lt;",EDT!I$43:I$60,"Répit"),COUNTIFS(EDT!J$43:J$60,B78,EDT!K$43:K$60,"&gt;&lt;",EDT!L$43:L$60,"Répit"),COUNTIFS(EDT!M$43:M$60,B78,EDT!N$43:N$60,"&gt;&lt;",EDT!O$43:O$60,"Répit"),COUNTIFS(EDT!P$43:P$60,B78,EDT!Q$43:Q$60,"&gt;&lt;",EDT!R$43:R$60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)*3
+SUM(COUNTIFS(EDT!D$33:D$42,B78,EDT!E$33:E$42,"&gt;&lt;",EDT!F$33:F$42,"Répit"),COUNTIFS(EDT!G$33:G$42,B78,EDT!H$33:H$42,"&gt;&lt;",EDT!I$33:I$42,"Répit"),COUNTIFS(EDT!J$33:J$42,B78,EDT!K$33:K$42,"&gt;&lt;",EDT!L$33:L$42,"Répit"),COUNTIFS(EDT!M$33:M$42,B78,EDT!N$33:N$42,"&gt;&lt;",EDT!O$33:O$42,"Répit"),COUNTIFS(EDT!P$33:P$42,B78,EDT!Q$33:Q$42,"&gt;&lt;",EDT!R$33:R$42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,COUNTIFS(#REF!,B78,#REF!,"&gt;&lt;",#REF!,"Répit"))*2</f>
        <v>#REF!</v>
      </c>
      <c r="I78" s="201"/>
      <c r="J78" s="204" t="e">
        <f t="shared" si="2"/>
        <v>#REF!</v>
      </c>
      <c r="K78" s="195"/>
      <c r="L78" s="195"/>
      <c r="M78" s="195"/>
      <c r="N78" s="196">
        <v>76</v>
      </c>
      <c r="O78" s="198"/>
    </row>
    <row r="79" spans="1:15" ht="12.6">
      <c r="A79" s="17"/>
      <c r="B79" s="180"/>
      <c r="C79" s="189" t="e">
        <f t="shared" si="0"/>
        <v>#REF!</v>
      </c>
      <c r="D79" s="190" t="e">
        <f>SUM(COUNTIFS(EDT!D$5:D$25,B79,EDT!F$5:F$25,"ACM"),COUNTIFS(EDT!G$5:G$25,B79,EDT!I$5:I$25,"ACM"),COUNTIFS(EDT!J$5:J$25,B79,EDT!L$5:L$25,"ACM"),COUNTIFS(EDT!M$5:M$25,B79,EDT!O$5:O$25,"ACM"),COUNTIFS(EDT!P$5:P$25,B79,EDT!R$5:R$25,"ACM"),COUNTIFS(EDT!D$43:D$60,B79,EDT!F$43:F$60,"ACM"),COUNTIFS(EDT!G$43:G$60,B79,EDT!I$43:I$60,"ACM"),COUNTIFS(EDT!J$43:J$60,B79,EDT!L$43:L$60,"ACM"),COUNTIFS(EDT!M$43:M$60,B79,EDT!O$43:O$60,"ACM"),COUNTIFS(EDT!P$43:P$60,B79,EDT!R$43:R$60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)*3
+SUM(COUNTIFS(EDT!D$33:D$42,B79,EDT!F$33:F$42,"ACM"),COUNTIFS(EDT!G$33:G$42,B79,EDT!I$33:I$42,"ACM"),COUNTIFS(EDT!J$33:J$42,B79,EDT!L$33:L$42,"ACM"),COUNTIFS(EDT!M$33:M$42,B79,EDT!O$33:O$42,"ACM"),COUNTIFS(EDT!P$33:P$42,B79,EDT!R$33:R$42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,COUNTIFS(#REF!,B79,#REF!,"ACM"))*2</f>
        <v>#REF!</v>
      </c>
      <c r="E79" s="190" t="e">
        <f>SUM(COUNTIFS(EDT!D$5:D$25,B79,EDT!F$5:F$25,"Répit"),COUNTIFS(EDT!G$5:G$25,B79,EDT!I$5:I$25,"Répit"),COUNTIFS(EDT!J$5:J$25,B79,EDT!L$5:L$25,"Répit"),COUNTIFS(EDT!M$5:M$25,B79,EDT!O$5:O$25,"Répit"),COUNTIFS(EDT!P$5:P$25,B79,EDT!R$5:R$25,"Répit"),COUNTIFS(EDT!D$43:D$60,B79,EDT!F$43:F$60,"Répit"),COUNTIFS(EDT!G$43:G$60,B79,EDT!I$43:I$60,"Répit"),COUNTIFS(EDT!J$43:J$60,B79,EDT!L$43:L$60,"Répit"),COUNTIFS(EDT!M$43:M$60,B79,EDT!O$43:O$60,"Répit"),COUNTIFS(EDT!P$43:P$60,B79,EDT!R$43:R$60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)*3
+SUM(COUNTIFS(EDT!D$33:D$42,B79,EDT!F$33:F$42,"Répit"),COUNTIFS(EDT!G$33:G$42,B79,EDT!I$33:I$42,"Répit"),COUNTIFS(EDT!J$33:J$42,B79,EDT!L$33:L$42,"Répit"),COUNTIFS(EDT!M$33:M$42,B79,EDT!O$33:O$42,"Répit"),COUNTIFS(EDT!P$33:P$42,B79,EDT!R$33:R$42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,COUNTIFS(#REF!,B79,#REF!,"Répit"))*2</f>
        <v>#REF!</v>
      </c>
      <c r="F79" s="191" t="e">
        <f t="shared" si="1"/>
        <v>#REF!</v>
      </c>
      <c r="G79" s="185" t="e">
        <f>SUM(COUNTIFS(EDT!D$5:D$25,B79,EDT!E$5:E$25,"&gt;&lt;",EDT!F$5:F$25,"ACM"),COUNTIFS(EDT!G$5:G$25,B79,EDT!H$5:H$25,"&gt;&lt;",EDT!I$5:I$25,"ACM"),COUNTIFS(EDT!J$5:J$25,B79,EDT!K$5:K$25,"&gt;&lt;",EDT!L$5:L$25,"ACM"),COUNTIFS(EDT!M$5:M$25,B79,EDT!N$5:N$25,"&gt;&lt;",EDT!O$5:O$25,"ACM"),COUNTIFS(EDT!P$5:P$25,B79,EDT!Q$5:Q$25,"&gt;&lt;",EDT!R$5:R$25,"ACM"),COUNTIFS(EDT!D$43:D$60,B79,EDT!E$43:E$60,"&gt;&lt;",EDT!F$43:F$60,"ACM"),COUNTIFS(EDT!G$43:G$60,B79,EDT!H$43:H$60,"&gt;&lt;",EDT!I$43:I$60,"ACM"),COUNTIFS(EDT!J$43:J$60,B79,EDT!K$43:K$60,"&gt;&lt;",EDT!L$43:L$60,"ACM"),COUNTIFS(EDT!M$43:M$60,B79,EDT!N$43:N$60,"&gt;&lt;",EDT!O$43:O$60,"ACM"),COUNTIFS(EDT!P$43:P$60,B79,EDT!Q$43:Q$60,"&gt;&lt;",EDT!R$43:R$60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)*3
+SUM(COUNTIFS(EDT!D$33:D$42,B79,EDT!E$33:E$42,"&gt;&lt;",EDT!F$33:F$42,"ACM"),COUNTIFS(EDT!G$33:G$42,B79,EDT!H$33:H$42,"&gt;&lt;",EDT!I$33:I$42,"ACM"),COUNTIFS(EDT!J$33:J$42,B79,EDT!K$33:K$42,"&gt;&lt;",EDT!L$33:L$42,"ACM"),COUNTIFS(EDT!M$33:M$42,B79,EDT!N$33:N$42,"&gt;&lt;",EDT!O$33:O$42,"ACM"),COUNTIFS(EDT!P$33:P$42,B79,EDT!Q$33:Q$42,"&gt;&lt;",EDT!R$33:R$42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,COUNTIFS(#REF!,B79,#REF!,"&gt;&lt;",#REF!,"ACM"))*2</f>
        <v>#REF!</v>
      </c>
      <c r="H79" s="192" t="e">
        <f>SUM(COUNTIFS(EDT!D$5:D$25,B79,EDT!E$5:E$25,"&gt;&lt;",EDT!F$5:F$25,"Répit"),COUNTIFS(EDT!G$5:G$25,B79,EDT!H$5:H$25,"&gt;&lt;",EDT!I$5:I$25,"Répit"),COUNTIFS(EDT!J$5:J$25,B79,EDT!K$5:K$25,"&gt;&lt;",EDT!L$5:L$25,"Répit"),COUNTIFS(EDT!M$5:M$25,B79,EDT!N$5:N$25,"&gt;&lt;",EDT!O$5:O$25,"Répit"),COUNTIFS(EDT!P$5:P$25,B79,EDT!Q$5:Q$25,"&gt;&lt;",EDT!R$5:R$25,"Répit"),COUNTIFS(EDT!D$43:D$60,B79,EDT!E$43:E$60,"&gt;&lt;",EDT!F$43:F$60,"Répit"),COUNTIFS(EDT!G$43:G$60,B79,EDT!H$43:H$60,"&gt;&lt;",EDT!I$43:I$60,"Répit"),COUNTIFS(EDT!J$43:J$60,B79,EDT!K$43:K$60,"&gt;&lt;",EDT!L$43:L$60,"Répit"),COUNTIFS(EDT!M$43:M$60,B79,EDT!N$43:N$60,"&gt;&lt;",EDT!O$43:O$60,"Répit"),COUNTIFS(EDT!P$43:P$60,B79,EDT!Q$43:Q$60,"&gt;&lt;",EDT!R$43:R$60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)*3
+SUM(COUNTIFS(EDT!D$33:D$42,B79,EDT!E$33:E$42,"&gt;&lt;",EDT!F$33:F$42,"Répit"),COUNTIFS(EDT!G$33:G$42,B79,EDT!H$33:H$42,"&gt;&lt;",EDT!I$33:I$42,"Répit"),COUNTIFS(EDT!J$33:J$42,B79,EDT!K$33:K$42,"&gt;&lt;",EDT!L$33:L$42,"Répit"),COUNTIFS(EDT!M$33:M$42,B79,EDT!N$33:N$42,"&gt;&lt;",EDT!O$33:O$42,"Répit"),COUNTIFS(EDT!P$33:P$42,B79,EDT!Q$33:Q$42,"&gt;&lt;",EDT!R$33:R$42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,COUNTIFS(#REF!,B79,#REF!,"&gt;&lt;",#REF!,"Répit"))*2</f>
        <v>#REF!</v>
      </c>
      <c r="I79" s="201"/>
      <c r="J79" s="202" t="e">
        <f t="shared" si="2"/>
        <v>#REF!</v>
      </c>
      <c r="K79" s="195"/>
      <c r="L79" s="195"/>
      <c r="M79" s="195"/>
      <c r="N79" s="196">
        <v>77</v>
      </c>
      <c r="O79" s="198"/>
    </row>
    <row r="80" spans="1:15" ht="12.6">
      <c r="A80" s="17"/>
      <c r="B80" s="180"/>
      <c r="C80" s="189" t="e">
        <f t="shared" si="0"/>
        <v>#REF!</v>
      </c>
      <c r="D80" s="190" t="e">
        <f>SUM(COUNTIFS(EDT!D$5:D$25,B80,EDT!F$5:F$25,"ACM"),COUNTIFS(EDT!G$5:G$25,B80,EDT!I$5:I$25,"ACM"),COUNTIFS(EDT!J$5:J$25,B80,EDT!L$5:L$25,"ACM"),COUNTIFS(EDT!M$5:M$25,B80,EDT!O$5:O$25,"ACM"),COUNTIFS(EDT!P$5:P$25,B80,EDT!R$5:R$25,"ACM"),COUNTIFS(EDT!D$43:D$60,B80,EDT!F$43:F$60,"ACM"),COUNTIFS(EDT!G$43:G$60,B80,EDT!I$43:I$60,"ACM"),COUNTIFS(EDT!J$43:J$60,B80,EDT!L$43:L$60,"ACM"),COUNTIFS(EDT!M$43:M$60,B80,EDT!O$43:O$60,"ACM"),COUNTIFS(EDT!P$43:P$60,B80,EDT!R$43:R$60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)*3
+SUM(COUNTIFS(EDT!D$33:D$42,B80,EDT!F$33:F$42,"ACM"),COUNTIFS(EDT!G$33:G$42,B80,EDT!I$33:I$42,"ACM"),COUNTIFS(EDT!J$33:J$42,B80,EDT!L$33:L$42,"ACM"),COUNTIFS(EDT!M$33:M$42,B80,EDT!O$33:O$42,"ACM"),COUNTIFS(EDT!P$33:P$42,B80,EDT!R$33:R$42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,COUNTIFS(#REF!,B80,#REF!,"ACM"))*2</f>
        <v>#REF!</v>
      </c>
      <c r="E80" s="190" t="e">
        <f>SUM(COUNTIFS(EDT!D$5:D$25,B80,EDT!F$5:F$25,"Répit"),COUNTIFS(EDT!G$5:G$25,B80,EDT!I$5:I$25,"Répit"),COUNTIFS(EDT!J$5:J$25,B80,EDT!L$5:L$25,"Répit"),COUNTIFS(EDT!M$5:M$25,B80,EDT!O$5:O$25,"Répit"),COUNTIFS(EDT!P$5:P$25,B80,EDT!R$5:R$25,"Répit"),COUNTIFS(EDT!D$43:D$60,B80,EDT!F$43:F$60,"Répit"),COUNTIFS(EDT!G$43:G$60,B80,EDT!I$43:I$60,"Répit"),COUNTIFS(EDT!J$43:J$60,B80,EDT!L$43:L$60,"Répit"),COUNTIFS(EDT!M$43:M$60,B80,EDT!O$43:O$60,"Répit"),COUNTIFS(EDT!P$43:P$60,B80,EDT!R$43:R$60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)*3
+SUM(COUNTIFS(EDT!D$33:D$42,B80,EDT!F$33:F$42,"Répit"),COUNTIFS(EDT!G$33:G$42,B80,EDT!I$33:I$42,"Répit"),COUNTIFS(EDT!J$33:J$42,B80,EDT!L$33:L$42,"Répit"),COUNTIFS(EDT!M$33:M$42,B80,EDT!O$33:O$42,"Répit"),COUNTIFS(EDT!P$33:P$42,B80,EDT!R$33:R$42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,COUNTIFS(#REF!,B80,#REF!,"Répit"))*2</f>
        <v>#REF!</v>
      </c>
      <c r="F80" s="191" t="e">
        <f t="shared" si="1"/>
        <v>#REF!</v>
      </c>
      <c r="G80" s="185" t="e">
        <f>SUM(COUNTIFS(EDT!D$5:D$25,B80,EDT!E$5:E$25,"&gt;&lt;",EDT!F$5:F$25,"ACM"),COUNTIFS(EDT!G$5:G$25,B80,EDT!H$5:H$25,"&gt;&lt;",EDT!I$5:I$25,"ACM"),COUNTIFS(EDT!J$5:J$25,B80,EDT!K$5:K$25,"&gt;&lt;",EDT!L$5:L$25,"ACM"),COUNTIFS(EDT!M$5:M$25,B80,EDT!N$5:N$25,"&gt;&lt;",EDT!O$5:O$25,"ACM"),COUNTIFS(EDT!P$5:P$25,B80,EDT!Q$5:Q$25,"&gt;&lt;",EDT!R$5:R$25,"ACM"),COUNTIFS(EDT!D$43:D$60,B80,EDT!E$43:E$60,"&gt;&lt;",EDT!F$43:F$60,"ACM"),COUNTIFS(EDT!G$43:G$60,B80,EDT!H$43:H$60,"&gt;&lt;",EDT!I$43:I$60,"ACM"),COUNTIFS(EDT!J$43:J$60,B80,EDT!K$43:K$60,"&gt;&lt;",EDT!L$43:L$60,"ACM"),COUNTIFS(EDT!M$43:M$60,B80,EDT!N$43:N$60,"&gt;&lt;",EDT!O$43:O$60,"ACM"),COUNTIFS(EDT!P$43:P$60,B80,EDT!Q$43:Q$60,"&gt;&lt;",EDT!R$43:R$60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)*3
+SUM(COUNTIFS(EDT!D$33:D$42,B80,EDT!E$33:E$42,"&gt;&lt;",EDT!F$33:F$42,"ACM"),COUNTIFS(EDT!G$33:G$42,B80,EDT!H$33:H$42,"&gt;&lt;",EDT!I$33:I$42,"ACM"),COUNTIFS(EDT!J$33:J$42,B80,EDT!K$33:K$42,"&gt;&lt;",EDT!L$33:L$42,"ACM"),COUNTIFS(EDT!M$33:M$42,B80,EDT!N$33:N$42,"&gt;&lt;",EDT!O$33:O$42,"ACM"),COUNTIFS(EDT!P$33:P$42,B80,EDT!Q$33:Q$42,"&gt;&lt;",EDT!R$33:R$42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,COUNTIFS(#REF!,B80,#REF!,"&gt;&lt;",#REF!,"ACM"))*2</f>
        <v>#REF!</v>
      </c>
      <c r="H80" s="192" t="e">
        <f>SUM(COUNTIFS(EDT!D$5:D$25,B80,EDT!E$5:E$25,"&gt;&lt;",EDT!F$5:F$25,"Répit"),COUNTIFS(EDT!G$5:G$25,B80,EDT!H$5:H$25,"&gt;&lt;",EDT!I$5:I$25,"Répit"),COUNTIFS(EDT!J$5:J$25,B80,EDT!K$5:K$25,"&gt;&lt;",EDT!L$5:L$25,"Répit"),COUNTIFS(EDT!M$5:M$25,B80,EDT!N$5:N$25,"&gt;&lt;",EDT!O$5:O$25,"Répit"),COUNTIFS(EDT!P$5:P$25,B80,EDT!Q$5:Q$25,"&gt;&lt;",EDT!R$5:R$25,"Répit"),COUNTIFS(EDT!D$43:D$60,B80,EDT!E$43:E$60,"&gt;&lt;",EDT!F$43:F$60,"Répit"),COUNTIFS(EDT!G$43:G$60,B80,EDT!H$43:H$60,"&gt;&lt;",EDT!I$43:I$60,"Répit"),COUNTIFS(EDT!J$43:J$60,B80,EDT!K$43:K$60,"&gt;&lt;",EDT!L$43:L$60,"Répit"),COUNTIFS(EDT!M$43:M$60,B80,EDT!N$43:N$60,"&gt;&lt;",EDT!O$43:O$60,"Répit"),COUNTIFS(EDT!P$43:P$60,B80,EDT!Q$43:Q$60,"&gt;&lt;",EDT!R$43:R$60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)*3
+SUM(COUNTIFS(EDT!D$33:D$42,B80,EDT!E$33:E$42,"&gt;&lt;",EDT!F$33:F$42,"Répit"),COUNTIFS(EDT!G$33:G$42,B80,EDT!H$33:H$42,"&gt;&lt;",EDT!I$33:I$42,"Répit"),COUNTIFS(EDT!J$33:J$42,B80,EDT!K$33:K$42,"&gt;&lt;",EDT!L$33:L$42,"Répit"),COUNTIFS(EDT!M$33:M$42,B80,EDT!N$33:N$42,"&gt;&lt;",EDT!O$33:O$42,"Répit"),COUNTIFS(EDT!P$33:P$42,B80,EDT!Q$33:Q$42,"&gt;&lt;",EDT!R$33:R$42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,COUNTIFS(#REF!,B80,#REF!,"&gt;&lt;",#REF!,"Répit"))*2</f>
        <v>#REF!</v>
      </c>
      <c r="I80" s="201"/>
      <c r="J80" s="204" t="e">
        <f t="shared" si="2"/>
        <v>#REF!</v>
      </c>
      <c r="K80" s="195"/>
      <c r="L80" s="195"/>
      <c r="M80" s="195"/>
      <c r="N80" s="196">
        <v>78</v>
      </c>
      <c r="O80" s="198"/>
    </row>
    <row r="81" spans="1:15" ht="12.6">
      <c r="A81" s="17"/>
      <c r="B81" s="180"/>
      <c r="C81" s="189" t="e">
        <f t="shared" si="0"/>
        <v>#REF!</v>
      </c>
      <c r="D81" s="190" t="e">
        <f>SUM(COUNTIFS(EDT!D$5:D$25,B81,EDT!F$5:F$25,"ACM"),COUNTIFS(EDT!G$5:G$25,B81,EDT!I$5:I$25,"ACM"),COUNTIFS(EDT!J$5:J$25,B81,EDT!L$5:L$25,"ACM"),COUNTIFS(EDT!M$5:M$25,B81,EDT!O$5:O$25,"ACM"),COUNTIFS(EDT!P$5:P$25,B81,EDT!R$5:R$25,"ACM"),COUNTIFS(EDT!D$43:D$60,B81,EDT!F$43:F$60,"ACM"),COUNTIFS(EDT!G$43:G$60,B81,EDT!I$43:I$60,"ACM"),COUNTIFS(EDT!J$43:J$60,B81,EDT!L$43:L$60,"ACM"),COUNTIFS(EDT!M$43:M$60,B81,EDT!O$43:O$60,"ACM"),COUNTIFS(EDT!P$43:P$60,B81,EDT!R$43:R$60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)*3
+SUM(COUNTIFS(EDT!D$33:D$42,B81,EDT!F$33:F$42,"ACM"),COUNTIFS(EDT!G$33:G$42,B81,EDT!I$33:I$42,"ACM"),COUNTIFS(EDT!J$33:J$42,B81,EDT!L$33:L$42,"ACM"),COUNTIFS(EDT!M$33:M$42,B81,EDT!O$33:O$42,"ACM"),COUNTIFS(EDT!P$33:P$42,B81,EDT!R$33:R$42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,COUNTIFS(#REF!,B81,#REF!,"ACM"))*2</f>
        <v>#REF!</v>
      </c>
      <c r="E81" s="190" t="e">
        <f>SUM(COUNTIFS(EDT!D$5:D$25,B81,EDT!F$5:F$25,"Répit"),COUNTIFS(EDT!G$5:G$25,B81,EDT!I$5:I$25,"Répit"),COUNTIFS(EDT!J$5:J$25,B81,EDT!L$5:L$25,"Répit"),COUNTIFS(EDT!M$5:M$25,B81,EDT!O$5:O$25,"Répit"),COUNTIFS(EDT!P$5:P$25,B81,EDT!R$5:R$25,"Répit"),COUNTIFS(EDT!D$43:D$60,B81,EDT!F$43:F$60,"Répit"),COUNTIFS(EDT!G$43:G$60,B81,EDT!I$43:I$60,"Répit"),COUNTIFS(EDT!J$43:J$60,B81,EDT!L$43:L$60,"Répit"),COUNTIFS(EDT!M$43:M$60,B81,EDT!O$43:O$60,"Répit"),COUNTIFS(EDT!P$43:P$60,B81,EDT!R$43:R$60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)*3
+SUM(COUNTIFS(EDT!D$33:D$42,B81,EDT!F$33:F$42,"Répit"),COUNTIFS(EDT!G$33:G$42,B81,EDT!I$33:I$42,"Répit"),COUNTIFS(EDT!J$33:J$42,B81,EDT!L$33:L$42,"Répit"),COUNTIFS(EDT!M$33:M$42,B81,EDT!O$33:O$42,"Répit"),COUNTIFS(EDT!P$33:P$42,B81,EDT!R$33:R$42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,COUNTIFS(#REF!,B81,#REF!,"Répit"))*2</f>
        <v>#REF!</v>
      </c>
      <c r="F81" s="191" t="e">
        <f t="shared" si="1"/>
        <v>#REF!</v>
      </c>
      <c r="G81" s="185" t="e">
        <f>SUM(COUNTIFS(EDT!D$5:D$25,B81,EDT!E$5:E$25,"&gt;&lt;",EDT!F$5:F$25,"ACM"),COUNTIFS(EDT!G$5:G$25,B81,EDT!H$5:H$25,"&gt;&lt;",EDT!I$5:I$25,"ACM"),COUNTIFS(EDT!J$5:J$25,B81,EDT!K$5:K$25,"&gt;&lt;",EDT!L$5:L$25,"ACM"),COUNTIFS(EDT!M$5:M$25,B81,EDT!N$5:N$25,"&gt;&lt;",EDT!O$5:O$25,"ACM"),COUNTIFS(EDT!P$5:P$25,B81,EDT!Q$5:Q$25,"&gt;&lt;",EDT!R$5:R$25,"ACM"),COUNTIFS(EDT!D$43:D$60,B81,EDT!E$43:E$60,"&gt;&lt;",EDT!F$43:F$60,"ACM"),COUNTIFS(EDT!G$43:G$60,B81,EDT!H$43:H$60,"&gt;&lt;",EDT!I$43:I$60,"ACM"),COUNTIFS(EDT!J$43:J$60,B81,EDT!K$43:K$60,"&gt;&lt;",EDT!L$43:L$60,"ACM"),COUNTIFS(EDT!M$43:M$60,B81,EDT!N$43:N$60,"&gt;&lt;",EDT!O$43:O$60,"ACM"),COUNTIFS(EDT!P$43:P$60,B81,EDT!Q$43:Q$60,"&gt;&lt;",EDT!R$43:R$60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)*3
+SUM(COUNTIFS(EDT!D$33:D$42,B81,EDT!E$33:E$42,"&gt;&lt;",EDT!F$33:F$42,"ACM"),COUNTIFS(EDT!G$33:G$42,B81,EDT!H$33:H$42,"&gt;&lt;",EDT!I$33:I$42,"ACM"),COUNTIFS(EDT!J$33:J$42,B81,EDT!K$33:K$42,"&gt;&lt;",EDT!L$33:L$42,"ACM"),COUNTIFS(EDT!M$33:M$42,B81,EDT!N$33:N$42,"&gt;&lt;",EDT!O$33:O$42,"ACM"),COUNTIFS(EDT!P$33:P$42,B81,EDT!Q$33:Q$42,"&gt;&lt;",EDT!R$33:R$42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,COUNTIFS(#REF!,B81,#REF!,"&gt;&lt;",#REF!,"ACM"))*2</f>
        <v>#REF!</v>
      </c>
      <c r="H81" s="192" t="e">
        <f>SUM(COUNTIFS(EDT!D$5:D$25,B81,EDT!E$5:E$25,"&gt;&lt;",EDT!F$5:F$25,"Répit"),COUNTIFS(EDT!G$5:G$25,B81,EDT!H$5:H$25,"&gt;&lt;",EDT!I$5:I$25,"Répit"),COUNTIFS(EDT!J$5:J$25,B81,EDT!K$5:K$25,"&gt;&lt;",EDT!L$5:L$25,"Répit"),COUNTIFS(EDT!M$5:M$25,B81,EDT!N$5:N$25,"&gt;&lt;",EDT!O$5:O$25,"Répit"),COUNTIFS(EDT!P$5:P$25,B81,EDT!Q$5:Q$25,"&gt;&lt;",EDT!R$5:R$25,"Répit"),COUNTIFS(EDT!D$43:D$60,B81,EDT!E$43:E$60,"&gt;&lt;",EDT!F$43:F$60,"Répit"),COUNTIFS(EDT!G$43:G$60,B81,EDT!H$43:H$60,"&gt;&lt;",EDT!I$43:I$60,"Répit"),COUNTIFS(EDT!J$43:J$60,B81,EDT!K$43:K$60,"&gt;&lt;",EDT!L$43:L$60,"Répit"),COUNTIFS(EDT!M$43:M$60,B81,EDT!N$43:N$60,"&gt;&lt;",EDT!O$43:O$60,"Répit"),COUNTIFS(EDT!P$43:P$60,B81,EDT!Q$43:Q$60,"&gt;&lt;",EDT!R$43:R$60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)*3
+SUM(COUNTIFS(EDT!D$33:D$42,B81,EDT!E$33:E$42,"&gt;&lt;",EDT!F$33:F$42,"Répit"),COUNTIFS(EDT!G$33:G$42,B81,EDT!H$33:H$42,"&gt;&lt;",EDT!I$33:I$42,"Répit"),COUNTIFS(EDT!J$33:J$42,B81,EDT!K$33:K$42,"&gt;&lt;",EDT!L$33:L$42,"Répit"),COUNTIFS(EDT!M$33:M$42,B81,EDT!N$33:N$42,"&gt;&lt;",EDT!O$33:O$42,"Répit"),COUNTIFS(EDT!P$33:P$42,B81,EDT!Q$33:Q$42,"&gt;&lt;",EDT!R$33:R$42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,COUNTIFS(#REF!,B81,#REF!,"&gt;&lt;",#REF!,"Répit"))*2</f>
        <v>#REF!</v>
      </c>
      <c r="I81" s="201"/>
      <c r="J81" s="202" t="e">
        <f t="shared" si="2"/>
        <v>#REF!</v>
      </c>
      <c r="K81" s="195"/>
      <c r="L81" s="195"/>
      <c r="M81" s="195"/>
      <c r="N81" s="196">
        <v>79</v>
      </c>
      <c r="O81" s="198"/>
    </row>
    <row r="82" spans="1:15" ht="12.6">
      <c r="A82" s="17"/>
      <c r="B82" s="180"/>
      <c r="C82" s="189" t="e">
        <f t="shared" si="0"/>
        <v>#REF!</v>
      </c>
      <c r="D82" s="190" t="e">
        <f>SUM(COUNTIFS(EDT!D$5:D$25,B82,EDT!F$5:F$25,"ACM"),COUNTIFS(EDT!G$5:G$25,B82,EDT!I$5:I$25,"ACM"),COUNTIFS(EDT!J$5:J$25,B82,EDT!L$5:L$25,"ACM"),COUNTIFS(EDT!M$5:M$25,B82,EDT!O$5:O$25,"ACM"),COUNTIFS(EDT!P$5:P$25,B82,EDT!R$5:R$25,"ACM"),COUNTIFS(EDT!D$43:D$60,B82,EDT!F$43:F$60,"ACM"),COUNTIFS(EDT!G$43:G$60,B82,EDT!I$43:I$60,"ACM"),COUNTIFS(EDT!J$43:J$60,B82,EDT!L$43:L$60,"ACM"),COUNTIFS(EDT!M$43:M$60,B82,EDT!O$43:O$60,"ACM"),COUNTIFS(EDT!P$43:P$60,B82,EDT!R$43:R$60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)*3
+SUM(COUNTIFS(EDT!D$33:D$42,B82,EDT!F$33:F$42,"ACM"),COUNTIFS(EDT!G$33:G$42,B82,EDT!I$33:I$42,"ACM"),COUNTIFS(EDT!J$33:J$42,B82,EDT!L$33:L$42,"ACM"),COUNTIFS(EDT!M$33:M$42,B82,EDT!O$33:O$42,"ACM"),COUNTIFS(EDT!P$33:P$42,B82,EDT!R$33:R$42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,COUNTIFS(#REF!,B82,#REF!,"ACM"))*2</f>
        <v>#REF!</v>
      </c>
      <c r="E82" s="190" t="e">
        <f>SUM(COUNTIFS(EDT!D$5:D$25,B82,EDT!F$5:F$25,"Répit"),COUNTIFS(EDT!G$5:G$25,B82,EDT!I$5:I$25,"Répit"),COUNTIFS(EDT!J$5:J$25,B82,EDT!L$5:L$25,"Répit"),COUNTIFS(EDT!M$5:M$25,B82,EDT!O$5:O$25,"Répit"),COUNTIFS(EDT!P$5:P$25,B82,EDT!R$5:R$25,"Répit"),COUNTIFS(EDT!D$43:D$60,B82,EDT!F$43:F$60,"Répit"),COUNTIFS(EDT!G$43:G$60,B82,EDT!I$43:I$60,"Répit"),COUNTIFS(EDT!J$43:J$60,B82,EDT!L$43:L$60,"Répit"),COUNTIFS(EDT!M$43:M$60,B82,EDT!O$43:O$60,"Répit"),COUNTIFS(EDT!P$43:P$60,B82,EDT!R$43:R$60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)*3
+SUM(COUNTIFS(EDT!D$33:D$42,B82,EDT!F$33:F$42,"Répit"),COUNTIFS(EDT!G$33:G$42,B82,EDT!I$33:I$42,"Répit"),COUNTIFS(EDT!J$33:J$42,B82,EDT!L$33:L$42,"Répit"),COUNTIFS(EDT!M$33:M$42,B82,EDT!O$33:O$42,"Répit"),COUNTIFS(EDT!P$33:P$42,B82,EDT!R$33:R$42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,COUNTIFS(#REF!,B82,#REF!,"Répit"))*2</f>
        <v>#REF!</v>
      </c>
      <c r="F82" s="191" t="e">
        <f t="shared" si="1"/>
        <v>#REF!</v>
      </c>
      <c r="G82" s="185" t="e">
        <f>SUM(COUNTIFS(EDT!D$5:D$25,B82,EDT!E$5:E$25,"&gt;&lt;",EDT!F$5:F$25,"ACM"),COUNTIFS(EDT!G$5:G$25,B82,EDT!H$5:H$25,"&gt;&lt;",EDT!I$5:I$25,"ACM"),COUNTIFS(EDT!J$5:J$25,B82,EDT!K$5:K$25,"&gt;&lt;",EDT!L$5:L$25,"ACM"),COUNTIFS(EDT!M$5:M$25,B82,EDT!N$5:N$25,"&gt;&lt;",EDT!O$5:O$25,"ACM"),COUNTIFS(EDT!P$5:P$25,B82,EDT!Q$5:Q$25,"&gt;&lt;",EDT!R$5:R$25,"ACM"),COUNTIFS(EDT!D$43:D$60,B82,EDT!E$43:E$60,"&gt;&lt;",EDT!F$43:F$60,"ACM"),COUNTIFS(EDT!G$43:G$60,B82,EDT!H$43:H$60,"&gt;&lt;",EDT!I$43:I$60,"ACM"),COUNTIFS(EDT!J$43:J$60,B82,EDT!K$43:K$60,"&gt;&lt;",EDT!L$43:L$60,"ACM"),COUNTIFS(EDT!M$43:M$60,B82,EDT!N$43:N$60,"&gt;&lt;",EDT!O$43:O$60,"ACM"),COUNTIFS(EDT!P$43:P$60,B82,EDT!Q$43:Q$60,"&gt;&lt;",EDT!R$43:R$60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)*3
+SUM(COUNTIFS(EDT!D$33:D$42,B82,EDT!E$33:E$42,"&gt;&lt;",EDT!F$33:F$42,"ACM"),COUNTIFS(EDT!G$33:G$42,B82,EDT!H$33:H$42,"&gt;&lt;",EDT!I$33:I$42,"ACM"),COUNTIFS(EDT!J$33:J$42,B82,EDT!K$33:K$42,"&gt;&lt;",EDT!L$33:L$42,"ACM"),COUNTIFS(EDT!M$33:M$42,B82,EDT!N$33:N$42,"&gt;&lt;",EDT!O$33:O$42,"ACM"),COUNTIFS(EDT!P$33:P$42,B82,EDT!Q$33:Q$42,"&gt;&lt;",EDT!R$33:R$42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,COUNTIFS(#REF!,B82,#REF!,"&gt;&lt;",#REF!,"ACM"))*2</f>
        <v>#REF!</v>
      </c>
      <c r="H82" s="192" t="e">
        <f>SUM(COUNTIFS(EDT!D$5:D$25,B82,EDT!E$5:E$25,"&gt;&lt;",EDT!F$5:F$25,"Répit"),COUNTIFS(EDT!G$5:G$25,B82,EDT!H$5:H$25,"&gt;&lt;",EDT!I$5:I$25,"Répit"),COUNTIFS(EDT!J$5:J$25,B82,EDT!K$5:K$25,"&gt;&lt;",EDT!L$5:L$25,"Répit"),COUNTIFS(EDT!M$5:M$25,B82,EDT!N$5:N$25,"&gt;&lt;",EDT!O$5:O$25,"Répit"),COUNTIFS(EDT!P$5:P$25,B82,EDT!Q$5:Q$25,"&gt;&lt;",EDT!R$5:R$25,"Répit"),COUNTIFS(EDT!D$43:D$60,B82,EDT!E$43:E$60,"&gt;&lt;",EDT!F$43:F$60,"Répit"),COUNTIFS(EDT!G$43:G$60,B82,EDT!H$43:H$60,"&gt;&lt;",EDT!I$43:I$60,"Répit"),COUNTIFS(EDT!J$43:J$60,B82,EDT!K$43:K$60,"&gt;&lt;",EDT!L$43:L$60,"Répit"),COUNTIFS(EDT!M$43:M$60,B82,EDT!N$43:N$60,"&gt;&lt;",EDT!O$43:O$60,"Répit"),COUNTIFS(EDT!P$43:P$60,B82,EDT!Q$43:Q$60,"&gt;&lt;",EDT!R$43:R$60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)*3
+SUM(COUNTIFS(EDT!D$33:D$42,B82,EDT!E$33:E$42,"&gt;&lt;",EDT!F$33:F$42,"Répit"),COUNTIFS(EDT!G$33:G$42,B82,EDT!H$33:H$42,"&gt;&lt;",EDT!I$33:I$42,"Répit"),COUNTIFS(EDT!J$33:J$42,B82,EDT!K$33:K$42,"&gt;&lt;",EDT!L$33:L$42,"Répit"),COUNTIFS(EDT!M$33:M$42,B82,EDT!N$33:N$42,"&gt;&lt;",EDT!O$33:O$42,"Répit"),COUNTIFS(EDT!P$33:P$42,B82,EDT!Q$33:Q$42,"&gt;&lt;",EDT!R$33:R$42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,COUNTIFS(#REF!,B82,#REF!,"&gt;&lt;",#REF!,"Répit"))*2</f>
        <v>#REF!</v>
      </c>
      <c r="I82" s="201"/>
      <c r="J82" s="204" t="e">
        <f t="shared" si="2"/>
        <v>#REF!</v>
      </c>
      <c r="K82" s="195"/>
      <c r="L82" s="195"/>
      <c r="M82" s="195"/>
      <c r="N82" s="196">
        <v>80</v>
      </c>
      <c r="O82" s="198"/>
    </row>
    <row r="83" spans="1:15" ht="12.6">
      <c r="A83" s="17"/>
      <c r="B83" s="180"/>
      <c r="C83" s="189" t="e">
        <f t="shared" si="0"/>
        <v>#REF!</v>
      </c>
      <c r="D83" s="190" t="e">
        <f>SUM(COUNTIFS(EDT!D$5:D$25,B83,EDT!F$5:F$25,"ACM"),COUNTIFS(EDT!G$5:G$25,B83,EDT!I$5:I$25,"ACM"),COUNTIFS(EDT!J$5:J$25,B83,EDT!L$5:L$25,"ACM"),COUNTIFS(EDT!M$5:M$25,B83,EDT!O$5:O$25,"ACM"),COUNTIFS(EDT!P$5:P$25,B83,EDT!R$5:R$25,"ACM"),COUNTIFS(EDT!D$43:D$60,B83,EDT!F$43:F$60,"ACM"),COUNTIFS(EDT!G$43:G$60,B83,EDT!I$43:I$60,"ACM"),COUNTIFS(EDT!J$43:J$60,B83,EDT!L$43:L$60,"ACM"),COUNTIFS(EDT!M$43:M$60,B83,EDT!O$43:O$60,"ACM"),COUNTIFS(EDT!P$43:P$60,B83,EDT!R$43:R$60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)*3
+SUM(COUNTIFS(EDT!D$33:D$42,B83,EDT!F$33:F$42,"ACM"),COUNTIFS(EDT!G$33:G$42,B83,EDT!I$33:I$42,"ACM"),COUNTIFS(EDT!J$33:J$42,B83,EDT!L$33:L$42,"ACM"),COUNTIFS(EDT!M$33:M$42,B83,EDT!O$33:O$42,"ACM"),COUNTIFS(EDT!P$33:P$42,B83,EDT!R$33:R$42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,COUNTIFS(#REF!,B83,#REF!,"ACM"))*2</f>
        <v>#REF!</v>
      </c>
      <c r="E83" s="190" t="e">
        <f>SUM(COUNTIFS(EDT!D$5:D$25,B83,EDT!F$5:F$25,"Répit"),COUNTIFS(EDT!G$5:G$25,B83,EDT!I$5:I$25,"Répit"),COUNTIFS(EDT!J$5:J$25,B83,EDT!L$5:L$25,"Répit"),COUNTIFS(EDT!M$5:M$25,B83,EDT!O$5:O$25,"Répit"),COUNTIFS(EDT!P$5:P$25,B83,EDT!R$5:R$25,"Répit"),COUNTIFS(EDT!D$43:D$60,B83,EDT!F$43:F$60,"Répit"),COUNTIFS(EDT!G$43:G$60,B83,EDT!I$43:I$60,"Répit"),COUNTIFS(EDT!J$43:J$60,B83,EDT!L$43:L$60,"Répit"),COUNTIFS(EDT!M$43:M$60,B83,EDT!O$43:O$60,"Répit"),COUNTIFS(EDT!P$43:P$60,B83,EDT!R$43:R$60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)*3
+SUM(COUNTIFS(EDT!D$33:D$42,B83,EDT!F$33:F$42,"Répit"),COUNTIFS(EDT!G$33:G$42,B83,EDT!I$33:I$42,"Répit"),COUNTIFS(EDT!J$33:J$42,B83,EDT!L$33:L$42,"Répit"),COUNTIFS(EDT!M$33:M$42,B83,EDT!O$33:O$42,"Répit"),COUNTIFS(EDT!P$33:P$42,B83,EDT!R$33:R$42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,COUNTIFS(#REF!,B83,#REF!,"Répit"))*2</f>
        <v>#REF!</v>
      </c>
      <c r="F83" s="191" t="e">
        <f t="shared" si="1"/>
        <v>#REF!</v>
      </c>
      <c r="G83" s="185" t="e">
        <f>SUM(COUNTIFS(EDT!D$5:D$25,B83,EDT!E$5:E$25,"&gt;&lt;",EDT!F$5:F$25,"ACM"),COUNTIFS(EDT!G$5:G$25,B83,EDT!H$5:H$25,"&gt;&lt;",EDT!I$5:I$25,"ACM"),COUNTIFS(EDT!J$5:J$25,B83,EDT!K$5:K$25,"&gt;&lt;",EDT!L$5:L$25,"ACM"),COUNTIFS(EDT!M$5:M$25,B83,EDT!N$5:N$25,"&gt;&lt;",EDT!O$5:O$25,"ACM"),COUNTIFS(EDT!P$5:P$25,B83,EDT!Q$5:Q$25,"&gt;&lt;",EDT!R$5:R$25,"ACM"),COUNTIFS(EDT!D$43:D$60,B83,EDT!E$43:E$60,"&gt;&lt;",EDT!F$43:F$60,"ACM"),COUNTIFS(EDT!G$43:G$60,B83,EDT!H$43:H$60,"&gt;&lt;",EDT!I$43:I$60,"ACM"),COUNTIFS(EDT!J$43:J$60,B83,EDT!K$43:K$60,"&gt;&lt;",EDT!L$43:L$60,"ACM"),COUNTIFS(EDT!M$43:M$60,B83,EDT!N$43:N$60,"&gt;&lt;",EDT!O$43:O$60,"ACM"),COUNTIFS(EDT!P$43:P$60,B83,EDT!Q$43:Q$60,"&gt;&lt;",EDT!R$43:R$60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)*3
+SUM(COUNTIFS(EDT!D$33:D$42,B83,EDT!E$33:E$42,"&gt;&lt;",EDT!F$33:F$42,"ACM"),COUNTIFS(EDT!G$33:G$42,B83,EDT!H$33:H$42,"&gt;&lt;",EDT!I$33:I$42,"ACM"),COUNTIFS(EDT!J$33:J$42,B83,EDT!K$33:K$42,"&gt;&lt;",EDT!L$33:L$42,"ACM"),COUNTIFS(EDT!M$33:M$42,B83,EDT!N$33:N$42,"&gt;&lt;",EDT!O$33:O$42,"ACM"),COUNTIFS(EDT!P$33:P$42,B83,EDT!Q$33:Q$42,"&gt;&lt;",EDT!R$33:R$42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,COUNTIFS(#REF!,B83,#REF!,"&gt;&lt;",#REF!,"ACM"))*2</f>
        <v>#REF!</v>
      </c>
      <c r="H83" s="192" t="e">
        <f>SUM(COUNTIFS(EDT!D$5:D$25,B83,EDT!E$5:E$25,"&gt;&lt;",EDT!F$5:F$25,"Répit"),COUNTIFS(EDT!G$5:G$25,B83,EDT!H$5:H$25,"&gt;&lt;",EDT!I$5:I$25,"Répit"),COUNTIFS(EDT!J$5:J$25,B83,EDT!K$5:K$25,"&gt;&lt;",EDT!L$5:L$25,"Répit"),COUNTIFS(EDT!M$5:M$25,B83,EDT!N$5:N$25,"&gt;&lt;",EDT!O$5:O$25,"Répit"),COUNTIFS(EDT!P$5:P$25,B83,EDT!Q$5:Q$25,"&gt;&lt;",EDT!R$5:R$25,"Répit"),COUNTIFS(EDT!D$43:D$60,B83,EDT!E$43:E$60,"&gt;&lt;",EDT!F$43:F$60,"Répit"),COUNTIFS(EDT!G$43:G$60,B83,EDT!H$43:H$60,"&gt;&lt;",EDT!I$43:I$60,"Répit"),COUNTIFS(EDT!J$43:J$60,B83,EDT!K$43:K$60,"&gt;&lt;",EDT!L$43:L$60,"Répit"),COUNTIFS(EDT!M$43:M$60,B83,EDT!N$43:N$60,"&gt;&lt;",EDT!O$43:O$60,"Répit"),COUNTIFS(EDT!P$43:P$60,B83,EDT!Q$43:Q$60,"&gt;&lt;",EDT!R$43:R$60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)*3
+SUM(COUNTIFS(EDT!D$33:D$42,B83,EDT!E$33:E$42,"&gt;&lt;",EDT!F$33:F$42,"Répit"),COUNTIFS(EDT!G$33:G$42,B83,EDT!H$33:H$42,"&gt;&lt;",EDT!I$33:I$42,"Répit"),COUNTIFS(EDT!J$33:J$42,B83,EDT!K$33:K$42,"&gt;&lt;",EDT!L$33:L$42,"Répit"),COUNTIFS(EDT!M$33:M$42,B83,EDT!N$33:N$42,"&gt;&lt;",EDT!O$33:O$42,"Répit"),COUNTIFS(EDT!P$33:P$42,B83,EDT!Q$33:Q$42,"&gt;&lt;",EDT!R$33:R$42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,COUNTIFS(#REF!,B83,#REF!,"&gt;&lt;",#REF!,"Répit"))*2</f>
        <v>#REF!</v>
      </c>
      <c r="I83" s="201"/>
      <c r="J83" s="202" t="e">
        <f t="shared" si="2"/>
        <v>#REF!</v>
      </c>
      <c r="K83" s="195"/>
      <c r="L83" s="195"/>
      <c r="M83" s="195"/>
      <c r="N83" s="196">
        <v>81</v>
      </c>
      <c r="O83" s="198"/>
    </row>
    <row r="84" spans="1:15" ht="12.6">
      <c r="A84" s="17"/>
      <c r="B84" s="180"/>
      <c r="C84" s="189" t="e">
        <f t="shared" si="0"/>
        <v>#REF!</v>
      </c>
      <c r="D84" s="190" t="e">
        <f>SUM(COUNTIFS(EDT!D$5:D$25,B84,EDT!F$5:F$25,"ACM"),COUNTIFS(EDT!G$5:G$25,B84,EDT!I$5:I$25,"ACM"),COUNTIFS(EDT!J$5:J$25,B84,EDT!L$5:L$25,"ACM"),COUNTIFS(EDT!M$5:M$25,B84,EDT!O$5:O$25,"ACM"),COUNTIFS(EDT!P$5:P$25,B84,EDT!R$5:R$25,"ACM"),COUNTIFS(EDT!D$43:D$60,B84,EDT!F$43:F$60,"ACM"),COUNTIFS(EDT!G$43:G$60,B84,EDT!I$43:I$60,"ACM"),COUNTIFS(EDT!J$43:J$60,B84,EDT!L$43:L$60,"ACM"),COUNTIFS(EDT!M$43:M$60,B84,EDT!O$43:O$60,"ACM"),COUNTIFS(EDT!P$43:P$60,B84,EDT!R$43:R$60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)*3
+SUM(COUNTIFS(EDT!D$33:D$42,B84,EDT!F$33:F$42,"ACM"),COUNTIFS(EDT!G$33:G$42,B84,EDT!I$33:I$42,"ACM"),COUNTIFS(EDT!J$33:J$42,B84,EDT!L$33:L$42,"ACM"),COUNTIFS(EDT!M$33:M$42,B84,EDT!O$33:O$42,"ACM"),COUNTIFS(EDT!P$33:P$42,B84,EDT!R$33:R$42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,COUNTIFS(#REF!,B84,#REF!,"ACM"))*2</f>
        <v>#REF!</v>
      </c>
      <c r="E84" s="190" t="e">
        <f>SUM(COUNTIFS(EDT!D$5:D$25,B84,EDT!F$5:F$25,"Répit"),COUNTIFS(EDT!G$5:G$25,B84,EDT!I$5:I$25,"Répit"),COUNTIFS(EDT!J$5:J$25,B84,EDT!L$5:L$25,"Répit"),COUNTIFS(EDT!M$5:M$25,B84,EDT!O$5:O$25,"Répit"),COUNTIFS(EDT!P$5:P$25,B84,EDT!R$5:R$25,"Répit"),COUNTIFS(EDT!D$43:D$60,B84,EDT!F$43:F$60,"Répit"),COUNTIFS(EDT!G$43:G$60,B84,EDT!I$43:I$60,"Répit"),COUNTIFS(EDT!J$43:J$60,B84,EDT!L$43:L$60,"Répit"),COUNTIFS(EDT!M$43:M$60,B84,EDT!O$43:O$60,"Répit"),COUNTIFS(EDT!P$43:P$60,B84,EDT!R$43:R$60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)*3
+SUM(COUNTIFS(EDT!D$33:D$42,B84,EDT!F$33:F$42,"Répit"),COUNTIFS(EDT!G$33:G$42,B84,EDT!I$33:I$42,"Répit"),COUNTIFS(EDT!J$33:J$42,B84,EDT!L$33:L$42,"Répit"),COUNTIFS(EDT!M$33:M$42,B84,EDT!O$33:O$42,"Répit"),COUNTIFS(EDT!P$33:P$42,B84,EDT!R$33:R$42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,COUNTIFS(#REF!,B84,#REF!,"Répit"))*2</f>
        <v>#REF!</v>
      </c>
      <c r="F84" s="191" t="e">
        <f t="shared" si="1"/>
        <v>#REF!</v>
      </c>
      <c r="G84" s="185" t="e">
        <f>SUM(COUNTIFS(EDT!D$5:D$25,B84,EDT!E$5:E$25,"&gt;&lt;",EDT!F$5:F$25,"ACM"),COUNTIFS(EDT!G$5:G$25,B84,EDT!H$5:H$25,"&gt;&lt;",EDT!I$5:I$25,"ACM"),COUNTIFS(EDT!J$5:J$25,B84,EDT!K$5:K$25,"&gt;&lt;",EDT!L$5:L$25,"ACM"),COUNTIFS(EDT!M$5:M$25,B84,EDT!N$5:N$25,"&gt;&lt;",EDT!O$5:O$25,"ACM"),COUNTIFS(EDT!P$5:P$25,B84,EDT!Q$5:Q$25,"&gt;&lt;",EDT!R$5:R$25,"ACM"),COUNTIFS(EDT!D$43:D$60,B84,EDT!E$43:E$60,"&gt;&lt;",EDT!F$43:F$60,"ACM"),COUNTIFS(EDT!G$43:G$60,B84,EDT!H$43:H$60,"&gt;&lt;",EDT!I$43:I$60,"ACM"),COUNTIFS(EDT!J$43:J$60,B84,EDT!K$43:K$60,"&gt;&lt;",EDT!L$43:L$60,"ACM"),COUNTIFS(EDT!M$43:M$60,B84,EDT!N$43:N$60,"&gt;&lt;",EDT!O$43:O$60,"ACM"),COUNTIFS(EDT!P$43:P$60,B84,EDT!Q$43:Q$60,"&gt;&lt;",EDT!R$43:R$60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)*3
+SUM(COUNTIFS(EDT!D$33:D$42,B84,EDT!E$33:E$42,"&gt;&lt;",EDT!F$33:F$42,"ACM"),COUNTIFS(EDT!G$33:G$42,B84,EDT!H$33:H$42,"&gt;&lt;",EDT!I$33:I$42,"ACM"),COUNTIFS(EDT!J$33:J$42,B84,EDT!K$33:K$42,"&gt;&lt;",EDT!L$33:L$42,"ACM"),COUNTIFS(EDT!M$33:M$42,B84,EDT!N$33:N$42,"&gt;&lt;",EDT!O$33:O$42,"ACM"),COUNTIFS(EDT!P$33:P$42,B84,EDT!Q$33:Q$42,"&gt;&lt;",EDT!R$33:R$42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,COUNTIFS(#REF!,B84,#REF!,"&gt;&lt;",#REF!,"ACM"))*2</f>
        <v>#REF!</v>
      </c>
      <c r="H84" s="192" t="e">
        <f>SUM(COUNTIFS(EDT!D$5:D$25,B84,EDT!E$5:E$25,"&gt;&lt;",EDT!F$5:F$25,"Répit"),COUNTIFS(EDT!G$5:G$25,B84,EDT!H$5:H$25,"&gt;&lt;",EDT!I$5:I$25,"Répit"),COUNTIFS(EDT!J$5:J$25,B84,EDT!K$5:K$25,"&gt;&lt;",EDT!L$5:L$25,"Répit"),COUNTIFS(EDT!M$5:M$25,B84,EDT!N$5:N$25,"&gt;&lt;",EDT!O$5:O$25,"Répit"),COUNTIFS(EDT!P$5:P$25,B84,EDT!Q$5:Q$25,"&gt;&lt;",EDT!R$5:R$25,"Répit"),COUNTIFS(EDT!D$43:D$60,B84,EDT!E$43:E$60,"&gt;&lt;",EDT!F$43:F$60,"Répit"),COUNTIFS(EDT!G$43:G$60,B84,EDT!H$43:H$60,"&gt;&lt;",EDT!I$43:I$60,"Répit"),COUNTIFS(EDT!J$43:J$60,B84,EDT!K$43:K$60,"&gt;&lt;",EDT!L$43:L$60,"Répit"),COUNTIFS(EDT!M$43:M$60,B84,EDT!N$43:N$60,"&gt;&lt;",EDT!O$43:O$60,"Répit"),COUNTIFS(EDT!P$43:P$60,B84,EDT!Q$43:Q$60,"&gt;&lt;",EDT!R$43:R$60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)*3
+SUM(COUNTIFS(EDT!D$33:D$42,B84,EDT!E$33:E$42,"&gt;&lt;",EDT!F$33:F$42,"Répit"),COUNTIFS(EDT!G$33:G$42,B84,EDT!H$33:H$42,"&gt;&lt;",EDT!I$33:I$42,"Répit"),COUNTIFS(EDT!J$33:J$42,B84,EDT!K$33:K$42,"&gt;&lt;",EDT!L$33:L$42,"Répit"),COUNTIFS(EDT!M$33:M$42,B84,EDT!N$33:N$42,"&gt;&lt;",EDT!O$33:O$42,"Répit"),COUNTIFS(EDT!P$33:P$42,B84,EDT!Q$33:Q$42,"&gt;&lt;",EDT!R$33:R$42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,COUNTIFS(#REF!,B84,#REF!,"&gt;&lt;",#REF!,"Répit"))*2</f>
        <v>#REF!</v>
      </c>
      <c r="I84" s="201"/>
      <c r="J84" s="204" t="e">
        <f t="shared" si="2"/>
        <v>#REF!</v>
      </c>
      <c r="K84" s="195"/>
      <c r="L84" s="195"/>
      <c r="M84" s="195"/>
      <c r="N84" s="196">
        <v>82</v>
      </c>
      <c r="O84" s="198"/>
    </row>
    <row r="85" spans="1:15" ht="12.6">
      <c r="A85" s="17"/>
      <c r="B85" s="180"/>
      <c r="C85" s="189" t="e">
        <f t="shared" si="0"/>
        <v>#REF!</v>
      </c>
      <c r="D85" s="190" t="e">
        <f>SUM(COUNTIFS(EDT!D$5:D$25,B85,EDT!F$5:F$25,"ACM"),COUNTIFS(EDT!G$5:G$25,B85,EDT!I$5:I$25,"ACM"),COUNTIFS(EDT!J$5:J$25,B85,EDT!L$5:L$25,"ACM"),COUNTIFS(EDT!M$5:M$25,B85,EDT!O$5:O$25,"ACM"),COUNTIFS(EDT!P$5:P$25,B85,EDT!R$5:R$25,"ACM"),COUNTIFS(EDT!D$43:D$60,B85,EDT!F$43:F$60,"ACM"),COUNTIFS(EDT!G$43:G$60,B85,EDT!I$43:I$60,"ACM"),COUNTIFS(EDT!J$43:J$60,B85,EDT!L$43:L$60,"ACM"),COUNTIFS(EDT!M$43:M$60,B85,EDT!O$43:O$60,"ACM"),COUNTIFS(EDT!P$43:P$60,B85,EDT!R$43:R$60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)*3
+SUM(COUNTIFS(EDT!D$33:D$42,B85,EDT!F$33:F$42,"ACM"),COUNTIFS(EDT!G$33:G$42,B85,EDT!I$33:I$42,"ACM"),COUNTIFS(EDT!J$33:J$42,B85,EDT!L$33:L$42,"ACM"),COUNTIFS(EDT!M$33:M$42,B85,EDT!O$33:O$42,"ACM"),COUNTIFS(EDT!P$33:P$42,B85,EDT!R$33:R$42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,COUNTIFS(#REF!,B85,#REF!,"ACM"))*2</f>
        <v>#REF!</v>
      </c>
      <c r="E85" s="190" t="e">
        <f>SUM(COUNTIFS(EDT!D$5:D$25,B85,EDT!F$5:F$25,"Répit"),COUNTIFS(EDT!G$5:G$25,B85,EDT!I$5:I$25,"Répit"),COUNTIFS(EDT!J$5:J$25,B85,EDT!L$5:L$25,"Répit"),COUNTIFS(EDT!M$5:M$25,B85,EDT!O$5:O$25,"Répit"),COUNTIFS(EDT!P$5:P$25,B85,EDT!R$5:R$25,"Répit"),COUNTIFS(EDT!D$43:D$60,B85,EDT!F$43:F$60,"Répit"),COUNTIFS(EDT!G$43:G$60,B85,EDT!I$43:I$60,"Répit"),COUNTIFS(EDT!J$43:J$60,B85,EDT!L$43:L$60,"Répit"),COUNTIFS(EDT!M$43:M$60,B85,EDT!O$43:O$60,"Répit"),COUNTIFS(EDT!P$43:P$60,B85,EDT!R$43:R$60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)*3
+SUM(COUNTIFS(EDT!D$33:D$42,B85,EDT!F$33:F$42,"Répit"),COUNTIFS(EDT!G$33:G$42,B85,EDT!I$33:I$42,"Répit"),COUNTIFS(EDT!J$33:J$42,B85,EDT!L$33:L$42,"Répit"),COUNTIFS(EDT!M$33:M$42,B85,EDT!O$33:O$42,"Répit"),COUNTIFS(EDT!P$33:P$42,B85,EDT!R$33:R$42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,COUNTIFS(#REF!,B85,#REF!,"Répit"))*2</f>
        <v>#REF!</v>
      </c>
      <c r="F85" s="191" t="e">
        <f t="shared" si="1"/>
        <v>#REF!</v>
      </c>
      <c r="G85" s="185" t="e">
        <f>SUM(COUNTIFS(EDT!D$5:D$25,B85,EDT!E$5:E$25,"&gt;&lt;",EDT!F$5:F$25,"ACM"),COUNTIFS(EDT!G$5:G$25,B85,EDT!H$5:H$25,"&gt;&lt;",EDT!I$5:I$25,"ACM"),COUNTIFS(EDT!J$5:J$25,B85,EDT!K$5:K$25,"&gt;&lt;",EDT!L$5:L$25,"ACM"),COUNTIFS(EDT!M$5:M$25,B85,EDT!N$5:N$25,"&gt;&lt;",EDT!O$5:O$25,"ACM"),COUNTIFS(EDT!P$5:P$25,B85,EDT!Q$5:Q$25,"&gt;&lt;",EDT!R$5:R$25,"ACM"),COUNTIFS(EDT!D$43:D$60,B85,EDT!E$43:E$60,"&gt;&lt;",EDT!F$43:F$60,"ACM"),COUNTIFS(EDT!G$43:G$60,B85,EDT!H$43:H$60,"&gt;&lt;",EDT!I$43:I$60,"ACM"),COUNTIFS(EDT!J$43:J$60,B85,EDT!K$43:K$60,"&gt;&lt;",EDT!L$43:L$60,"ACM"),COUNTIFS(EDT!M$43:M$60,B85,EDT!N$43:N$60,"&gt;&lt;",EDT!O$43:O$60,"ACM"),COUNTIFS(EDT!P$43:P$60,B85,EDT!Q$43:Q$60,"&gt;&lt;",EDT!R$43:R$60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)*3
+SUM(COUNTIFS(EDT!D$33:D$42,B85,EDT!E$33:E$42,"&gt;&lt;",EDT!F$33:F$42,"ACM"),COUNTIFS(EDT!G$33:G$42,B85,EDT!H$33:H$42,"&gt;&lt;",EDT!I$33:I$42,"ACM"),COUNTIFS(EDT!J$33:J$42,B85,EDT!K$33:K$42,"&gt;&lt;",EDT!L$33:L$42,"ACM"),COUNTIFS(EDT!M$33:M$42,B85,EDT!N$33:N$42,"&gt;&lt;",EDT!O$33:O$42,"ACM"),COUNTIFS(EDT!P$33:P$42,B85,EDT!Q$33:Q$42,"&gt;&lt;",EDT!R$33:R$42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,COUNTIFS(#REF!,B85,#REF!,"&gt;&lt;",#REF!,"ACM"))*2</f>
        <v>#REF!</v>
      </c>
      <c r="H85" s="192" t="e">
        <f>SUM(COUNTIFS(EDT!D$5:D$25,B85,EDT!E$5:E$25,"&gt;&lt;",EDT!F$5:F$25,"Répit"),COUNTIFS(EDT!G$5:G$25,B85,EDT!H$5:H$25,"&gt;&lt;",EDT!I$5:I$25,"Répit"),COUNTIFS(EDT!J$5:J$25,B85,EDT!K$5:K$25,"&gt;&lt;",EDT!L$5:L$25,"Répit"),COUNTIFS(EDT!M$5:M$25,B85,EDT!N$5:N$25,"&gt;&lt;",EDT!O$5:O$25,"Répit"),COUNTIFS(EDT!P$5:P$25,B85,EDT!Q$5:Q$25,"&gt;&lt;",EDT!R$5:R$25,"Répit"),COUNTIFS(EDT!D$43:D$60,B85,EDT!E$43:E$60,"&gt;&lt;",EDT!F$43:F$60,"Répit"),COUNTIFS(EDT!G$43:G$60,B85,EDT!H$43:H$60,"&gt;&lt;",EDT!I$43:I$60,"Répit"),COUNTIFS(EDT!J$43:J$60,B85,EDT!K$43:K$60,"&gt;&lt;",EDT!L$43:L$60,"Répit"),COUNTIFS(EDT!M$43:M$60,B85,EDT!N$43:N$60,"&gt;&lt;",EDT!O$43:O$60,"Répit"),COUNTIFS(EDT!P$43:P$60,B85,EDT!Q$43:Q$60,"&gt;&lt;",EDT!R$43:R$60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)*3
+SUM(COUNTIFS(EDT!D$33:D$42,B85,EDT!E$33:E$42,"&gt;&lt;",EDT!F$33:F$42,"Répit"),COUNTIFS(EDT!G$33:G$42,B85,EDT!H$33:H$42,"&gt;&lt;",EDT!I$33:I$42,"Répit"),COUNTIFS(EDT!J$33:J$42,B85,EDT!K$33:K$42,"&gt;&lt;",EDT!L$33:L$42,"Répit"),COUNTIFS(EDT!M$33:M$42,B85,EDT!N$33:N$42,"&gt;&lt;",EDT!O$33:O$42,"Répit"),COUNTIFS(EDT!P$33:P$42,B85,EDT!Q$33:Q$42,"&gt;&lt;",EDT!R$33:R$42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,COUNTIFS(#REF!,B85,#REF!,"&gt;&lt;",#REF!,"Répit"))*2</f>
        <v>#REF!</v>
      </c>
      <c r="I85" s="201"/>
      <c r="J85" s="202" t="e">
        <f t="shared" si="2"/>
        <v>#REF!</v>
      </c>
      <c r="K85" s="195"/>
      <c r="L85" s="195"/>
      <c r="M85" s="195"/>
      <c r="N85" s="196">
        <v>83</v>
      </c>
      <c r="O85" s="198"/>
    </row>
    <row r="86" spans="1:15" ht="12.6">
      <c r="A86" s="17"/>
      <c r="B86" s="180"/>
      <c r="C86" s="189" t="e">
        <f t="shared" si="0"/>
        <v>#REF!</v>
      </c>
      <c r="D86" s="190" t="e">
        <f>SUM(COUNTIFS(EDT!D$5:D$25,B86,EDT!F$5:F$25,"ACM"),COUNTIFS(EDT!G$5:G$25,B86,EDT!I$5:I$25,"ACM"),COUNTIFS(EDT!J$5:J$25,B86,EDT!L$5:L$25,"ACM"),COUNTIFS(EDT!M$5:M$25,B86,EDT!O$5:O$25,"ACM"),COUNTIFS(EDT!P$5:P$25,B86,EDT!R$5:R$25,"ACM"),COUNTIFS(EDT!D$43:D$60,B86,EDT!F$43:F$60,"ACM"),COUNTIFS(EDT!G$43:G$60,B86,EDT!I$43:I$60,"ACM"),COUNTIFS(EDT!J$43:J$60,B86,EDT!L$43:L$60,"ACM"),COUNTIFS(EDT!M$43:M$60,B86,EDT!O$43:O$60,"ACM"),COUNTIFS(EDT!P$43:P$60,B86,EDT!R$43:R$60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)*3
+SUM(COUNTIFS(EDT!D$33:D$42,B86,EDT!F$33:F$42,"ACM"),COUNTIFS(EDT!G$33:G$42,B86,EDT!I$33:I$42,"ACM"),COUNTIFS(EDT!J$33:J$42,B86,EDT!L$33:L$42,"ACM"),COUNTIFS(EDT!M$33:M$42,B86,EDT!O$33:O$42,"ACM"),COUNTIFS(EDT!P$33:P$42,B86,EDT!R$33:R$42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,COUNTIFS(#REF!,B86,#REF!,"ACM"))*2</f>
        <v>#REF!</v>
      </c>
      <c r="E86" s="190" t="e">
        <f>SUM(COUNTIFS(EDT!D$5:D$25,B86,EDT!F$5:F$25,"Répit"),COUNTIFS(EDT!G$5:G$25,B86,EDT!I$5:I$25,"Répit"),COUNTIFS(EDT!J$5:J$25,B86,EDT!L$5:L$25,"Répit"),COUNTIFS(EDT!M$5:M$25,B86,EDT!O$5:O$25,"Répit"),COUNTIFS(EDT!P$5:P$25,B86,EDT!R$5:R$25,"Répit"),COUNTIFS(EDT!D$43:D$60,B86,EDT!F$43:F$60,"Répit"),COUNTIFS(EDT!G$43:G$60,B86,EDT!I$43:I$60,"Répit"),COUNTIFS(EDT!J$43:J$60,B86,EDT!L$43:L$60,"Répit"),COUNTIFS(EDT!M$43:M$60,B86,EDT!O$43:O$60,"Répit"),COUNTIFS(EDT!P$43:P$60,B86,EDT!R$43:R$60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)*3
+SUM(COUNTIFS(EDT!D$33:D$42,B86,EDT!F$33:F$42,"Répit"),COUNTIFS(EDT!G$33:G$42,B86,EDT!I$33:I$42,"Répit"),COUNTIFS(EDT!J$33:J$42,B86,EDT!L$33:L$42,"Répit"),COUNTIFS(EDT!M$33:M$42,B86,EDT!O$33:O$42,"Répit"),COUNTIFS(EDT!P$33:P$42,B86,EDT!R$33:R$42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,COUNTIFS(#REF!,B86,#REF!,"Répit"))*2</f>
        <v>#REF!</v>
      </c>
      <c r="F86" s="191" t="e">
        <f t="shared" si="1"/>
        <v>#REF!</v>
      </c>
      <c r="G86" s="185" t="e">
        <f>SUM(COUNTIFS(EDT!D$5:D$25,B86,EDT!E$5:E$25,"&gt;&lt;",EDT!F$5:F$25,"ACM"),COUNTIFS(EDT!G$5:G$25,B86,EDT!H$5:H$25,"&gt;&lt;",EDT!I$5:I$25,"ACM"),COUNTIFS(EDT!J$5:J$25,B86,EDT!K$5:K$25,"&gt;&lt;",EDT!L$5:L$25,"ACM"),COUNTIFS(EDT!M$5:M$25,B86,EDT!N$5:N$25,"&gt;&lt;",EDT!O$5:O$25,"ACM"),COUNTIFS(EDT!P$5:P$25,B86,EDT!Q$5:Q$25,"&gt;&lt;",EDT!R$5:R$25,"ACM"),COUNTIFS(EDT!D$43:D$60,B86,EDT!E$43:E$60,"&gt;&lt;",EDT!F$43:F$60,"ACM"),COUNTIFS(EDT!G$43:G$60,B86,EDT!H$43:H$60,"&gt;&lt;",EDT!I$43:I$60,"ACM"),COUNTIFS(EDT!J$43:J$60,B86,EDT!K$43:K$60,"&gt;&lt;",EDT!L$43:L$60,"ACM"),COUNTIFS(EDT!M$43:M$60,B86,EDT!N$43:N$60,"&gt;&lt;",EDT!O$43:O$60,"ACM"),COUNTIFS(EDT!P$43:P$60,B86,EDT!Q$43:Q$60,"&gt;&lt;",EDT!R$43:R$60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)*3
+SUM(COUNTIFS(EDT!D$33:D$42,B86,EDT!E$33:E$42,"&gt;&lt;",EDT!F$33:F$42,"ACM"),COUNTIFS(EDT!G$33:G$42,B86,EDT!H$33:H$42,"&gt;&lt;",EDT!I$33:I$42,"ACM"),COUNTIFS(EDT!J$33:J$42,B86,EDT!K$33:K$42,"&gt;&lt;",EDT!L$33:L$42,"ACM"),COUNTIFS(EDT!M$33:M$42,B86,EDT!N$33:N$42,"&gt;&lt;",EDT!O$33:O$42,"ACM"),COUNTIFS(EDT!P$33:P$42,B86,EDT!Q$33:Q$42,"&gt;&lt;",EDT!R$33:R$42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,COUNTIFS(#REF!,B86,#REF!,"&gt;&lt;",#REF!,"ACM"))*2</f>
        <v>#REF!</v>
      </c>
      <c r="H86" s="192" t="e">
        <f>SUM(COUNTIFS(EDT!D$5:D$25,B86,EDT!E$5:E$25,"&gt;&lt;",EDT!F$5:F$25,"Répit"),COUNTIFS(EDT!G$5:G$25,B86,EDT!H$5:H$25,"&gt;&lt;",EDT!I$5:I$25,"Répit"),COUNTIFS(EDT!J$5:J$25,B86,EDT!K$5:K$25,"&gt;&lt;",EDT!L$5:L$25,"Répit"),COUNTIFS(EDT!M$5:M$25,B86,EDT!N$5:N$25,"&gt;&lt;",EDT!O$5:O$25,"Répit"),COUNTIFS(EDT!P$5:P$25,B86,EDT!Q$5:Q$25,"&gt;&lt;",EDT!R$5:R$25,"Répit"),COUNTIFS(EDT!D$43:D$60,B86,EDT!E$43:E$60,"&gt;&lt;",EDT!F$43:F$60,"Répit"),COUNTIFS(EDT!G$43:G$60,B86,EDT!H$43:H$60,"&gt;&lt;",EDT!I$43:I$60,"Répit"),COUNTIFS(EDT!J$43:J$60,B86,EDT!K$43:K$60,"&gt;&lt;",EDT!L$43:L$60,"Répit"),COUNTIFS(EDT!M$43:M$60,B86,EDT!N$43:N$60,"&gt;&lt;",EDT!O$43:O$60,"Répit"),COUNTIFS(EDT!P$43:P$60,B86,EDT!Q$43:Q$60,"&gt;&lt;",EDT!R$43:R$60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)*3
+SUM(COUNTIFS(EDT!D$33:D$42,B86,EDT!E$33:E$42,"&gt;&lt;",EDT!F$33:F$42,"Répit"),COUNTIFS(EDT!G$33:G$42,B86,EDT!H$33:H$42,"&gt;&lt;",EDT!I$33:I$42,"Répit"),COUNTIFS(EDT!J$33:J$42,B86,EDT!K$33:K$42,"&gt;&lt;",EDT!L$33:L$42,"Répit"),COUNTIFS(EDT!M$33:M$42,B86,EDT!N$33:N$42,"&gt;&lt;",EDT!O$33:O$42,"Répit"),COUNTIFS(EDT!P$33:P$42,B86,EDT!Q$33:Q$42,"&gt;&lt;",EDT!R$33:R$42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,COUNTIFS(#REF!,B86,#REF!,"&gt;&lt;",#REF!,"Répit"))*2</f>
        <v>#REF!</v>
      </c>
      <c r="I86" s="201"/>
      <c r="J86" s="204" t="e">
        <f t="shared" si="2"/>
        <v>#REF!</v>
      </c>
      <c r="K86" s="195"/>
      <c r="L86" s="195"/>
      <c r="M86" s="195"/>
      <c r="N86" s="196">
        <v>84</v>
      </c>
      <c r="O86" s="198"/>
    </row>
    <row r="87" spans="1:15" ht="12.6">
      <c r="A87" s="17"/>
      <c r="B87" s="180"/>
      <c r="C87" s="189" t="e">
        <f t="shared" si="0"/>
        <v>#REF!</v>
      </c>
      <c r="D87" s="190" t="e">
        <f>SUM(COUNTIFS(EDT!D$5:D$25,B87,EDT!F$5:F$25,"ACM"),COUNTIFS(EDT!G$5:G$25,B87,EDT!I$5:I$25,"ACM"),COUNTIFS(EDT!J$5:J$25,B87,EDT!L$5:L$25,"ACM"),COUNTIFS(EDT!M$5:M$25,B87,EDT!O$5:O$25,"ACM"),COUNTIFS(EDT!P$5:P$25,B87,EDT!R$5:R$25,"ACM"),COUNTIFS(EDT!D$43:D$60,B87,EDT!F$43:F$60,"ACM"),COUNTIFS(EDT!G$43:G$60,B87,EDT!I$43:I$60,"ACM"),COUNTIFS(EDT!J$43:J$60,B87,EDT!L$43:L$60,"ACM"),COUNTIFS(EDT!M$43:M$60,B87,EDT!O$43:O$60,"ACM"),COUNTIFS(EDT!P$43:P$60,B87,EDT!R$43:R$60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)*3
+SUM(COUNTIFS(EDT!D$33:D$42,B87,EDT!F$33:F$42,"ACM"),COUNTIFS(EDT!G$33:G$42,B87,EDT!I$33:I$42,"ACM"),COUNTIFS(EDT!J$33:J$42,B87,EDT!L$33:L$42,"ACM"),COUNTIFS(EDT!M$33:M$42,B87,EDT!O$33:O$42,"ACM"),COUNTIFS(EDT!P$33:P$42,B87,EDT!R$33:R$42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,COUNTIFS(#REF!,B87,#REF!,"ACM"))*2</f>
        <v>#REF!</v>
      </c>
      <c r="E87" s="190" t="e">
        <f>SUM(COUNTIFS(EDT!D$5:D$25,B87,EDT!F$5:F$25,"Répit"),COUNTIFS(EDT!G$5:G$25,B87,EDT!I$5:I$25,"Répit"),COUNTIFS(EDT!J$5:J$25,B87,EDT!L$5:L$25,"Répit"),COUNTIFS(EDT!M$5:M$25,B87,EDT!O$5:O$25,"Répit"),COUNTIFS(EDT!P$5:P$25,B87,EDT!R$5:R$25,"Répit"),COUNTIFS(EDT!D$43:D$60,B87,EDT!F$43:F$60,"Répit"),COUNTIFS(EDT!G$43:G$60,B87,EDT!I$43:I$60,"Répit"),COUNTIFS(EDT!J$43:J$60,B87,EDT!L$43:L$60,"Répit"),COUNTIFS(EDT!M$43:M$60,B87,EDT!O$43:O$60,"Répit"),COUNTIFS(EDT!P$43:P$60,B87,EDT!R$43:R$60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)*3
+SUM(COUNTIFS(EDT!D$33:D$42,B87,EDT!F$33:F$42,"Répit"),COUNTIFS(EDT!G$33:G$42,B87,EDT!I$33:I$42,"Répit"),COUNTIFS(EDT!J$33:J$42,B87,EDT!L$33:L$42,"Répit"),COUNTIFS(EDT!M$33:M$42,B87,EDT!O$33:O$42,"Répit"),COUNTIFS(EDT!P$33:P$42,B87,EDT!R$33:R$42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,COUNTIFS(#REF!,B87,#REF!,"Répit"))*2</f>
        <v>#REF!</v>
      </c>
      <c r="F87" s="191" t="e">
        <f t="shared" si="1"/>
        <v>#REF!</v>
      </c>
      <c r="G87" s="185" t="e">
        <f>SUM(COUNTIFS(EDT!D$5:D$25,B87,EDT!E$5:E$25,"&gt;&lt;",EDT!F$5:F$25,"ACM"),COUNTIFS(EDT!G$5:G$25,B87,EDT!H$5:H$25,"&gt;&lt;",EDT!I$5:I$25,"ACM"),COUNTIFS(EDT!J$5:J$25,B87,EDT!K$5:K$25,"&gt;&lt;",EDT!L$5:L$25,"ACM"),COUNTIFS(EDT!M$5:M$25,B87,EDT!N$5:N$25,"&gt;&lt;",EDT!O$5:O$25,"ACM"),COUNTIFS(EDT!P$5:P$25,B87,EDT!Q$5:Q$25,"&gt;&lt;",EDT!R$5:R$25,"ACM"),COUNTIFS(EDT!D$43:D$60,B87,EDT!E$43:E$60,"&gt;&lt;",EDT!F$43:F$60,"ACM"),COUNTIFS(EDT!G$43:G$60,B87,EDT!H$43:H$60,"&gt;&lt;",EDT!I$43:I$60,"ACM"),COUNTIFS(EDT!J$43:J$60,B87,EDT!K$43:K$60,"&gt;&lt;",EDT!L$43:L$60,"ACM"),COUNTIFS(EDT!M$43:M$60,B87,EDT!N$43:N$60,"&gt;&lt;",EDT!O$43:O$60,"ACM"),COUNTIFS(EDT!P$43:P$60,B87,EDT!Q$43:Q$60,"&gt;&lt;",EDT!R$43:R$60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)*3
+SUM(COUNTIFS(EDT!D$33:D$42,B87,EDT!E$33:E$42,"&gt;&lt;",EDT!F$33:F$42,"ACM"),COUNTIFS(EDT!G$33:G$42,B87,EDT!H$33:H$42,"&gt;&lt;",EDT!I$33:I$42,"ACM"),COUNTIFS(EDT!J$33:J$42,B87,EDT!K$33:K$42,"&gt;&lt;",EDT!L$33:L$42,"ACM"),COUNTIFS(EDT!M$33:M$42,B87,EDT!N$33:N$42,"&gt;&lt;",EDT!O$33:O$42,"ACM"),COUNTIFS(EDT!P$33:P$42,B87,EDT!Q$33:Q$42,"&gt;&lt;",EDT!R$33:R$42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,COUNTIFS(#REF!,B87,#REF!,"&gt;&lt;",#REF!,"ACM"))*2</f>
        <v>#REF!</v>
      </c>
      <c r="H87" s="192" t="e">
        <f>SUM(COUNTIFS(EDT!D$5:D$25,B87,EDT!E$5:E$25,"&gt;&lt;",EDT!F$5:F$25,"Répit"),COUNTIFS(EDT!G$5:G$25,B87,EDT!H$5:H$25,"&gt;&lt;",EDT!I$5:I$25,"Répit"),COUNTIFS(EDT!J$5:J$25,B87,EDT!K$5:K$25,"&gt;&lt;",EDT!L$5:L$25,"Répit"),COUNTIFS(EDT!M$5:M$25,B87,EDT!N$5:N$25,"&gt;&lt;",EDT!O$5:O$25,"Répit"),COUNTIFS(EDT!P$5:P$25,B87,EDT!Q$5:Q$25,"&gt;&lt;",EDT!R$5:R$25,"Répit"),COUNTIFS(EDT!D$43:D$60,B87,EDT!E$43:E$60,"&gt;&lt;",EDT!F$43:F$60,"Répit"),COUNTIFS(EDT!G$43:G$60,B87,EDT!H$43:H$60,"&gt;&lt;",EDT!I$43:I$60,"Répit"),COUNTIFS(EDT!J$43:J$60,B87,EDT!K$43:K$60,"&gt;&lt;",EDT!L$43:L$60,"Répit"),COUNTIFS(EDT!M$43:M$60,B87,EDT!N$43:N$60,"&gt;&lt;",EDT!O$43:O$60,"Répit"),COUNTIFS(EDT!P$43:P$60,B87,EDT!Q$43:Q$60,"&gt;&lt;",EDT!R$43:R$60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)*3
+SUM(COUNTIFS(EDT!D$33:D$42,B87,EDT!E$33:E$42,"&gt;&lt;",EDT!F$33:F$42,"Répit"),COUNTIFS(EDT!G$33:G$42,B87,EDT!H$33:H$42,"&gt;&lt;",EDT!I$33:I$42,"Répit"),COUNTIFS(EDT!J$33:J$42,B87,EDT!K$33:K$42,"&gt;&lt;",EDT!L$33:L$42,"Répit"),COUNTIFS(EDT!M$33:M$42,B87,EDT!N$33:N$42,"&gt;&lt;",EDT!O$33:O$42,"Répit"),COUNTIFS(EDT!P$33:P$42,B87,EDT!Q$33:Q$42,"&gt;&lt;",EDT!R$33:R$42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,COUNTIFS(#REF!,B87,#REF!,"&gt;&lt;",#REF!,"Répit"))*2</f>
        <v>#REF!</v>
      </c>
      <c r="I87" s="201"/>
      <c r="J87" s="202" t="e">
        <f t="shared" si="2"/>
        <v>#REF!</v>
      </c>
      <c r="K87" s="195"/>
      <c r="L87" s="195"/>
      <c r="M87" s="195"/>
      <c r="N87" s="196">
        <v>85</v>
      </c>
      <c r="O87" s="198"/>
    </row>
    <row r="88" spans="1:15" ht="12.6">
      <c r="A88" s="17"/>
      <c r="B88" s="180"/>
      <c r="C88" s="189" t="e">
        <f t="shared" si="0"/>
        <v>#REF!</v>
      </c>
      <c r="D88" s="190" t="e">
        <f>SUM(COUNTIFS(EDT!D$5:D$25,B88,EDT!F$5:F$25,"ACM"),COUNTIFS(EDT!G$5:G$25,B88,EDT!I$5:I$25,"ACM"),COUNTIFS(EDT!J$5:J$25,B88,EDT!L$5:L$25,"ACM"),COUNTIFS(EDT!M$5:M$25,B88,EDT!O$5:O$25,"ACM"),COUNTIFS(EDT!P$5:P$25,B88,EDT!R$5:R$25,"ACM"),COUNTIFS(EDT!D$43:D$60,B88,EDT!F$43:F$60,"ACM"),COUNTIFS(EDT!G$43:G$60,B88,EDT!I$43:I$60,"ACM"),COUNTIFS(EDT!J$43:J$60,B88,EDT!L$43:L$60,"ACM"),COUNTIFS(EDT!M$43:M$60,B88,EDT!O$43:O$60,"ACM"),COUNTIFS(EDT!P$43:P$60,B88,EDT!R$43:R$60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)*3
+SUM(COUNTIFS(EDT!D$33:D$42,B88,EDT!F$33:F$42,"ACM"),COUNTIFS(EDT!G$33:G$42,B88,EDT!I$33:I$42,"ACM"),COUNTIFS(EDT!J$33:J$42,B88,EDT!L$33:L$42,"ACM"),COUNTIFS(EDT!M$33:M$42,B88,EDT!O$33:O$42,"ACM"),COUNTIFS(EDT!P$33:P$42,B88,EDT!R$33:R$42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,COUNTIFS(#REF!,B88,#REF!,"ACM"))*2</f>
        <v>#REF!</v>
      </c>
      <c r="E88" s="190" t="e">
        <f>SUM(COUNTIFS(EDT!D$5:D$25,B88,EDT!F$5:F$25,"Répit"),COUNTIFS(EDT!G$5:G$25,B88,EDT!I$5:I$25,"Répit"),COUNTIFS(EDT!J$5:J$25,B88,EDT!L$5:L$25,"Répit"),COUNTIFS(EDT!M$5:M$25,B88,EDT!O$5:O$25,"Répit"),COUNTIFS(EDT!P$5:P$25,B88,EDT!R$5:R$25,"Répit"),COUNTIFS(EDT!D$43:D$60,B88,EDT!F$43:F$60,"Répit"),COUNTIFS(EDT!G$43:G$60,B88,EDT!I$43:I$60,"Répit"),COUNTIFS(EDT!J$43:J$60,B88,EDT!L$43:L$60,"Répit"),COUNTIFS(EDT!M$43:M$60,B88,EDT!O$43:O$60,"Répit"),COUNTIFS(EDT!P$43:P$60,B88,EDT!R$43:R$60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)*3
+SUM(COUNTIFS(EDT!D$33:D$42,B88,EDT!F$33:F$42,"Répit"),COUNTIFS(EDT!G$33:G$42,B88,EDT!I$33:I$42,"Répit"),COUNTIFS(EDT!J$33:J$42,B88,EDT!L$33:L$42,"Répit"),COUNTIFS(EDT!M$33:M$42,B88,EDT!O$33:O$42,"Répit"),COUNTIFS(EDT!P$33:P$42,B88,EDT!R$33:R$42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,COUNTIFS(#REF!,B88,#REF!,"Répit"))*2</f>
        <v>#REF!</v>
      </c>
      <c r="F88" s="191" t="e">
        <f t="shared" si="1"/>
        <v>#REF!</v>
      </c>
      <c r="G88" s="185" t="e">
        <f>SUM(COUNTIFS(EDT!D$5:D$25,B88,EDT!E$5:E$25,"&gt;&lt;",EDT!F$5:F$25,"ACM"),COUNTIFS(EDT!G$5:G$25,B88,EDT!H$5:H$25,"&gt;&lt;",EDT!I$5:I$25,"ACM"),COUNTIFS(EDT!J$5:J$25,B88,EDT!K$5:K$25,"&gt;&lt;",EDT!L$5:L$25,"ACM"),COUNTIFS(EDT!M$5:M$25,B88,EDT!N$5:N$25,"&gt;&lt;",EDT!O$5:O$25,"ACM"),COUNTIFS(EDT!P$5:P$25,B88,EDT!Q$5:Q$25,"&gt;&lt;",EDT!R$5:R$25,"ACM"),COUNTIFS(EDT!D$43:D$60,B88,EDT!E$43:E$60,"&gt;&lt;",EDT!F$43:F$60,"ACM"),COUNTIFS(EDT!G$43:G$60,B88,EDT!H$43:H$60,"&gt;&lt;",EDT!I$43:I$60,"ACM"),COUNTIFS(EDT!J$43:J$60,B88,EDT!K$43:K$60,"&gt;&lt;",EDT!L$43:L$60,"ACM"),COUNTIFS(EDT!M$43:M$60,B88,EDT!N$43:N$60,"&gt;&lt;",EDT!O$43:O$60,"ACM"),COUNTIFS(EDT!P$43:P$60,B88,EDT!Q$43:Q$60,"&gt;&lt;",EDT!R$43:R$60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)*3
+SUM(COUNTIFS(EDT!D$33:D$42,B88,EDT!E$33:E$42,"&gt;&lt;",EDT!F$33:F$42,"ACM"),COUNTIFS(EDT!G$33:G$42,B88,EDT!H$33:H$42,"&gt;&lt;",EDT!I$33:I$42,"ACM"),COUNTIFS(EDT!J$33:J$42,B88,EDT!K$33:K$42,"&gt;&lt;",EDT!L$33:L$42,"ACM"),COUNTIFS(EDT!M$33:M$42,B88,EDT!N$33:N$42,"&gt;&lt;",EDT!O$33:O$42,"ACM"),COUNTIFS(EDT!P$33:P$42,B88,EDT!Q$33:Q$42,"&gt;&lt;",EDT!R$33:R$42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,COUNTIFS(#REF!,B88,#REF!,"&gt;&lt;",#REF!,"ACM"))*2</f>
        <v>#REF!</v>
      </c>
      <c r="H88" s="192" t="e">
        <f>SUM(COUNTIFS(EDT!D$5:D$25,B88,EDT!E$5:E$25,"&gt;&lt;",EDT!F$5:F$25,"Répit"),COUNTIFS(EDT!G$5:G$25,B88,EDT!H$5:H$25,"&gt;&lt;",EDT!I$5:I$25,"Répit"),COUNTIFS(EDT!J$5:J$25,B88,EDT!K$5:K$25,"&gt;&lt;",EDT!L$5:L$25,"Répit"),COUNTIFS(EDT!M$5:M$25,B88,EDT!N$5:N$25,"&gt;&lt;",EDT!O$5:O$25,"Répit"),COUNTIFS(EDT!P$5:P$25,B88,EDT!Q$5:Q$25,"&gt;&lt;",EDT!R$5:R$25,"Répit"),COUNTIFS(EDT!D$43:D$60,B88,EDT!E$43:E$60,"&gt;&lt;",EDT!F$43:F$60,"Répit"),COUNTIFS(EDT!G$43:G$60,B88,EDT!H$43:H$60,"&gt;&lt;",EDT!I$43:I$60,"Répit"),COUNTIFS(EDT!J$43:J$60,B88,EDT!K$43:K$60,"&gt;&lt;",EDT!L$43:L$60,"Répit"),COUNTIFS(EDT!M$43:M$60,B88,EDT!N$43:N$60,"&gt;&lt;",EDT!O$43:O$60,"Répit"),COUNTIFS(EDT!P$43:P$60,B88,EDT!Q$43:Q$60,"&gt;&lt;",EDT!R$43:R$60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)*3
+SUM(COUNTIFS(EDT!D$33:D$42,B88,EDT!E$33:E$42,"&gt;&lt;",EDT!F$33:F$42,"Répit"),COUNTIFS(EDT!G$33:G$42,B88,EDT!H$33:H$42,"&gt;&lt;",EDT!I$33:I$42,"Répit"),COUNTIFS(EDT!J$33:J$42,B88,EDT!K$33:K$42,"&gt;&lt;",EDT!L$33:L$42,"Répit"),COUNTIFS(EDT!M$33:M$42,B88,EDT!N$33:N$42,"&gt;&lt;",EDT!O$33:O$42,"Répit"),COUNTIFS(EDT!P$33:P$42,B88,EDT!Q$33:Q$42,"&gt;&lt;",EDT!R$33:R$42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,COUNTIFS(#REF!,B88,#REF!,"&gt;&lt;",#REF!,"Répit"))*2</f>
        <v>#REF!</v>
      </c>
      <c r="I88" s="201"/>
      <c r="J88" s="204" t="e">
        <f t="shared" si="2"/>
        <v>#REF!</v>
      </c>
      <c r="K88" s="195"/>
      <c r="L88" s="195"/>
      <c r="M88" s="195"/>
      <c r="N88" s="196">
        <v>86</v>
      </c>
      <c r="O88" s="198"/>
    </row>
    <row r="89" spans="1:15" ht="12.6">
      <c r="A89" s="17"/>
      <c r="B89" s="180"/>
      <c r="C89" s="189" t="e">
        <f t="shared" si="0"/>
        <v>#REF!</v>
      </c>
      <c r="D89" s="190" t="e">
        <f>SUM(COUNTIFS(EDT!D$5:D$25,B89,EDT!F$5:F$25,"ACM"),COUNTIFS(EDT!G$5:G$25,B89,EDT!I$5:I$25,"ACM"),COUNTIFS(EDT!J$5:J$25,B89,EDT!L$5:L$25,"ACM"),COUNTIFS(EDT!M$5:M$25,B89,EDT!O$5:O$25,"ACM"),COUNTIFS(EDT!P$5:P$25,B89,EDT!R$5:R$25,"ACM"),COUNTIFS(EDT!D$43:D$60,B89,EDT!F$43:F$60,"ACM"),COUNTIFS(EDT!G$43:G$60,B89,EDT!I$43:I$60,"ACM"),COUNTIFS(EDT!J$43:J$60,B89,EDT!L$43:L$60,"ACM"),COUNTIFS(EDT!M$43:M$60,B89,EDT!O$43:O$60,"ACM"),COUNTIFS(EDT!P$43:P$60,B89,EDT!R$43:R$60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)*3
+SUM(COUNTIFS(EDT!D$33:D$42,B89,EDT!F$33:F$42,"ACM"),COUNTIFS(EDT!G$33:G$42,B89,EDT!I$33:I$42,"ACM"),COUNTIFS(EDT!J$33:J$42,B89,EDT!L$33:L$42,"ACM"),COUNTIFS(EDT!M$33:M$42,B89,EDT!O$33:O$42,"ACM"),COUNTIFS(EDT!P$33:P$42,B89,EDT!R$33:R$42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,COUNTIFS(#REF!,B89,#REF!,"ACM"))*2</f>
        <v>#REF!</v>
      </c>
      <c r="E89" s="190" t="e">
        <f>SUM(COUNTIFS(EDT!D$5:D$25,B89,EDT!F$5:F$25,"Répit"),COUNTIFS(EDT!G$5:G$25,B89,EDT!I$5:I$25,"Répit"),COUNTIFS(EDT!J$5:J$25,B89,EDT!L$5:L$25,"Répit"),COUNTIFS(EDT!M$5:M$25,B89,EDT!O$5:O$25,"Répit"),COUNTIFS(EDT!P$5:P$25,B89,EDT!R$5:R$25,"Répit"),COUNTIFS(EDT!D$43:D$60,B89,EDT!F$43:F$60,"Répit"),COUNTIFS(EDT!G$43:G$60,B89,EDT!I$43:I$60,"Répit"),COUNTIFS(EDT!J$43:J$60,B89,EDT!L$43:L$60,"Répit"),COUNTIFS(EDT!M$43:M$60,B89,EDT!O$43:O$60,"Répit"),COUNTIFS(EDT!P$43:P$60,B89,EDT!R$43:R$60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)*3
+SUM(COUNTIFS(EDT!D$33:D$42,B89,EDT!F$33:F$42,"Répit"),COUNTIFS(EDT!G$33:G$42,B89,EDT!I$33:I$42,"Répit"),COUNTIFS(EDT!J$33:J$42,B89,EDT!L$33:L$42,"Répit"),COUNTIFS(EDT!M$33:M$42,B89,EDT!O$33:O$42,"Répit"),COUNTIFS(EDT!P$33:P$42,B89,EDT!R$33:R$42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,COUNTIFS(#REF!,B89,#REF!,"Répit"))*2</f>
        <v>#REF!</v>
      </c>
      <c r="F89" s="191" t="e">
        <f t="shared" si="1"/>
        <v>#REF!</v>
      </c>
      <c r="G89" s="185" t="e">
        <f>SUM(COUNTIFS(EDT!D$5:D$25,B89,EDT!E$5:E$25,"&gt;&lt;",EDT!F$5:F$25,"ACM"),COUNTIFS(EDT!G$5:G$25,B89,EDT!H$5:H$25,"&gt;&lt;",EDT!I$5:I$25,"ACM"),COUNTIFS(EDT!J$5:J$25,B89,EDT!K$5:K$25,"&gt;&lt;",EDT!L$5:L$25,"ACM"),COUNTIFS(EDT!M$5:M$25,B89,EDT!N$5:N$25,"&gt;&lt;",EDT!O$5:O$25,"ACM"),COUNTIFS(EDT!P$5:P$25,B89,EDT!Q$5:Q$25,"&gt;&lt;",EDT!R$5:R$25,"ACM"),COUNTIFS(EDT!D$43:D$60,B89,EDT!E$43:E$60,"&gt;&lt;",EDT!F$43:F$60,"ACM"),COUNTIFS(EDT!G$43:G$60,B89,EDT!H$43:H$60,"&gt;&lt;",EDT!I$43:I$60,"ACM"),COUNTIFS(EDT!J$43:J$60,B89,EDT!K$43:K$60,"&gt;&lt;",EDT!L$43:L$60,"ACM"),COUNTIFS(EDT!M$43:M$60,B89,EDT!N$43:N$60,"&gt;&lt;",EDT!O$43:O$60,"ACM"),COUNTIFS(EDT!P$43:P$60,B89,EDT!Q$43:Q$60,"&gt;&lt;",EDT!R$43:R$60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)*3
+SUM(COUNTIFS(EDT!D$33:D$42,B89,EDT!E$33:E$42,"&gt;&lt;",EDT!F$33:F$42,"ACM"),COUNTIFS(EDT!G$33:G$42,B89,EDT!H$33:H$42,"&gt;&lt;",EDT!I$33:I$42,"ACM"),COUNTIFS(EDT!J$33:J$42,B89,EDT!K$33:K$42,"&gt;&lt;",EDT!L$33:L$42,"ACM"),COUNTIFS(EDT!M$33:M$42,B89,EDT!N$33:N$42,"&gt;&lt;",EDT!O$33:O$42,"ACM"),COUNTIFS(EDT!P$33:P$42,B89,EDT!Q$33:Q$42,"&gt;&lt;",EDT!R$33:R$42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,COUNTIFS(#REF!,B89,#REF!,"&gt;&lt;",#REF!,"ACM"))*2</f>
        <v>#REF!</v>
      </c>
      <c r="H89" s="192" t="e">
        <f>SUM(COUNTIFS(EDT!D$5:D$25,B89,EDT!E$5:E$25,"&gt;&lt;",EDT!F$5:F$25,"Répit"),COUNTIFS(EDT!G$5:G$25,B89,EDT!H$5:H$25,"&gt;&lt;",EDT!I$5:I$25,"Répit"),COUNTIFS(EDT!J$5:J$25,B89,EDT!K$5:K$25,"&gt;&lt;",EDT!L$5:L$25,"Répit"),COUNTIFS(EDT!M$5:M$25,B89,EDT!N$5:N$25,"&gt;&lt;",EDT!O$5:O$25,"Répit"),COUNTIFS(EDT!P$5:P$25,B89,EDT!Q$5:Q$25,"&gt;&lt;",EDT!R$5:R$25,"Répit"),COUNTIFS(EDT!D$43:D$60,B89,EDT!E$43:E$60,"&gt;&lt;",EDT!F$43:F$60,"Répit"),COUNTIFS(EDT!G$43:G$60,B89,EDT!H$43:H$60,"&gt;&lt;",EDT!I$43:I$60,"Répit"),COUNTIFS(EDT!J$43:J$60,B89,EDT!K$43:K$60,"&gt;&lt;",EDT!L$43:L$60,"Répit"),COUNTIFS(EDT!M$43:M$60,B89,EDT!N$43:N$60,"&gt;&lt;",EDT!O$43:O$60,"Répit"),COUNTIFS(EDT!P$43:P$60,B89,EDT!Q$43:Q$60,"&gt;&lt;",EDT!R$43:R$60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)*3
+SUM(COUNTIFS(EDT!D$33:D$42,B89,EDT!E$33:E$42,"&gt;&lt;",EDT!F$33:F$42,"Répit"),COUNTIFS(EDT!G$33:G$42,B89,EDT!H$33:H$42,"&gt;&lt;",EDT!I$33:I$42,"Répit"),COUNTIFS(EDT!J$33:J$42,B89,EDT!K$33:K$42,"&gt;&lt;",EDT!L$33:L$42,"Répit"),COUNTIFS(EDT!M$33:M$42,B89,EDT!N$33:N$42,"&gt;&lt;",EDT!O$33:O$42,"Répit"),COUNTIFS(EDT!P$33:P$42,B89,EDT!Q$33:Q$42,"&gt;&lt;",EDT!R$33:R$42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,COUNTIFS(#REF!,B89,#REF!,"&gt;&lt;",#REF!,"Répit"))*2</f>
        <v>#REF!</v>
      </c>
      <c r="I89" s="201"/>
      <c r="J89" s="202" t="e">
        <f t="shared" si="2"/>
        <v>#REF!</v>
      </c>
      <c r="K89" s="195"/>
      <c r="L89" s="195"/>
      <c r="M89" s="195"/>
      <c r="N89" s="196">
        <v>87</v>
      </c>
      <c r="O89" s="198"/>
    </row>
    <row r="90" spans="1:15" ht="12.6">
      <c r="A90" s="17"/>
      <c r="B90" s="180"/>
      <c r="C90" s="189" t="e">
        <f t="shared" si="0"/>
        <v>#REF!</v>
      </c>
      <c r="D90" s="190" t="e">
        <f>SUM(COUNTIFS(EDT!D$5:D$25,B90,EDT!F$5:F$25,"ACM"),COUNTIFS(EDT!G$5:G$25,B90,EDT!I$5:I$25,"ACM"),COUNTIFS(EDT!J$5:J$25,B90,EDT!L$5:L$25,"ACM"),COUNTIFS(EDT!M$5:M$25,B90,EDT!O$5:O$25,"ACM"),COUNTIFS(EDT!P$5:P$25,B90,EDT!R$5:R$25,"ACM"),COUNTIFS(EDT!D$43:D$60,B90,EDT!F$43:F$60,"ACM"),COUNTIFS(EDT!G$43:G$60,B90,EDT!I$43:I$60,"ACM"),COUNTIFS(EDT!J$43:J$60,B90,EDT!L$43:L$60,"ACM"),COUNTIFS(EDT!M$43:M$60,B90,EDT!O$43:O$60,"ACM"),COUNTIFS(EDT!P$43:P$60,B90,EDT!R$43:R$60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)*3
+SUM(COUNTIFS(EDT!D$33:D$42,B90,EDT!F$33:F$42,"ACM"),COUNTIFS(EDT!G$33:G$42,B90,EDT!I$33:I$42,"ACM"),COUNTIFS(EDT!J$33:J$42,B90,EDT!L$33:L$42,"ACM"),COUNTIFS(EDT!M$33:M$42,B90,EDT!O$33:O$42,"ACM"),COUNTIFS(EDT!P$33:P$42,B90,EDT!R$33:R$42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,COUNTIFS(#REF!,B90,#REF!,"ACM"))*2</f>
        <v>#REF!</v>
      </c>
      <c r="E90" s="190" t="e">
        <f>SUM(COUNTIFS(EDT!D$5:D$25,B90,EDT!F$5:F$25,"Répit"),COUNTIFS(EDT!G$5:G$25,B90,EDT!I$5:I$25,"Répit"),COUNTIFS(EDT!J$5:J$25,B90,EDT!L$5:L$25,"Répit"),COUNTIFS(EDT!M$5:M$25,B90,EDT!O$5:O$25,"Répit"),COUNTIFS(EDT!P$5:P$25,B90,EDT!R$5:R$25,"Répit"),COUNTIFS(EDT!D$43:D$60,B90,EDT!F$43:F$60,"Répit"),COUNTIFS(EDT!G$43:G$60,B90,EDT!I$43:I$60,"Répit"),COUNTIFS(EDT!J$43:J$60,B90,EDT!L$43:L$60,"Répit"),COUNTIFS(EDT!M$43:M$60,B90,EDT!O$43:O$60,"Répit"),COUNTIFS(EDT!P$43:P$60,B90,EDT!R$43:R$60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)*3
+SUM(COUNTIFS(EDT!D$33:D$42,B90,EDT!F$33:F$42,"Répit"),COUNTIFS(EDT!G$33:G$42,B90,EDT!I$33:I$42,"Répit"),COUNTIFS(EDT!J$33:J$42,B90,EDT!L$33:L$42,"Répit"),COUNTIFS(EDT!M$33:M$42,B90,EDT!O$33:O$42,"Répit"),COUNTIFS(EDT!P$33:P$42,B90,EDT!R$33:R$42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,COUNTIFS(#REF!,B90,#REF!,"Répit"))*2</f>
        <v>#REF!</v>
      </c>
      <c r="F90" s="191" t="e">
        <f t="shared" si="1"/>
        <v>#REF!</v>
      </c>
      <c r="G90" s="185" t="e">
        <f>SUM(COUNTIFS(EDT!D$5:D$25,B90,EDT!E$5:E$25,"&gt;&lt;",EDT!F$5:F$25,"ACM"),COUNTIFS(EDT!G$5:G$25,B90,EDT!H$5:H$25,"&gt;&lt;",EDT!I$5:I$25,"ACM"),COUNTIFS(EDT!J$5:J$25,B90,EDT!K$5:K$25,"&gt;&lt;",EDT!L$5:L$25,"ACM"),COUNTIFS(EDT!M$5:M$25,B90,EDT!N$5:N$25,"&gt;&lt;",EDT!O$5:O$25,"ACM"),COUNTIFS(EDT!P$5:P$25,B90,EDT!Q$5:Q$25,"&gt;&lt;",EDT!R$5:R$25,"ACM"),COUNTIFS(EDT!D$43:D$60,B90,EDT!E$43:E$60,"&gt;&lt;",EDT!F$43:F$60,"ACM"),COUNTIFS(EDT!G$43:G$60,B90,EDT!H$43:H$60,"&gt;&lt;",EDT!I$43:I$60,"ACM"),COUNTIFS(EDT!J$43:J$60,B90,EDT!K$43:K$60,"&gt;&lt;",EDT!L$43:L$60,"ACM"),COUNTIFS(EDT!M$43:M$60,B90,EDT!N$43:N$60,"&gt;&lt;",EDT!O$43:O$60,"ACM"),COUNTIFS(EDT!P$43:P$60,B90,EDT!Q$43:Q$60,"&gt;&lt;",EDT!R$43:R$60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)*3
+SUM(COUNTIFS(EDT!D$33:D$42,B90,EDT!E$33:E$42,"&gt;&lt;",EDT!F$33:F$42,"ACM"),COUNTIFS(EDT!G$33:G$42,B90,EDT!H$33:H$42,"&gt;&lt;",EDT!I$33:I$42,"ACM"),COUNTIFS(EDT!J$33:J$42,B90,EDT!K$33:K$42,"&gt;&lt;",EDT!L$33:L$42,"ACM"),COUNTIFS(EDT!M$33:M$42,B90,EDT!N$33:N$42,"&gt;&lt;",EDT!O$33:O$42,"ACM"),COUNTIFS(EDT!P$33:P$42,B90,EDT!Q$33:Q$42,"&gt;&lt;",EDT!R$33:R$42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,COUNTIFS(#REF!,B90,#REF!,"&gt;&lt;",#REF!,"ACM"))*2</f>
        <v>#REF!</v>
      </c>
      <c r="H90" s="192" t="e">
        <f>SUM(COUNTIFS(EDT!D$5:D$25,B90,EDT!E$5:E$25,"&gt;&lt;",EDT!F$5:F$25,"Répit"),COUNTIFS(EDT!G$5:G$25,B90,EDT!H$5:H$25,"&gt;&lt;",EDT!I$5:I$25,"Répit"),COUNTIFS(EDT!J$5:J$25,B90,EDT!K$5:K$25,"&gt;&lt;",EDT!L$5:L$25,"Répit"),COUNTIFS(EDT!M$5:M$25,B90,EDT!N$5:N$25,"&gt;&lt;",EDT!O$5:O$25,"Répit"),COUNTIFS(EDT!P$5:P$25,B90,EDT!Q$5:Q$25,"&gt;&lt;",EDT!R$5:R$25,"Répit"),COUNTIFS(EDT!D$43:D$60,B90,EDT!E$43:E$60,"&gt;&lt;",EDT!F$43:F$60,"Répit"),COUNTIFS(EDT!G$43:G$60,B90,EDT!H$43:H$60,"&gt;&lt;",EDT!I$43:I$60,"Répit"),COUNTIFS(EDT!J$43:J$60,B90,EDT!K$43:K$60,"&gt;&lt;",EDT!L$43:L$60,"Répit"),COUNTIFS(EDT!M$43:M$60,B90,EDT!N$43:N$60,"&gt;&lt;",EDT!O$43:O$60,"Répit"),COUNTIFS(EDT!P$43:P$60,B90,EDT!Q$43:Q$60,"&gt;&lt;",EDT!R$43:R$60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)*3
+SUM(COUNTIFS(EDT!D$33:D$42,B90,EDT!E$33:E$42,"&gt;&lt;",EDT!F$33:F$42,"Répit"),COUNTIFS(EDT!G$33:G$42,B90,EDT!H$33:H$42,"&gt;&lt;",EDT!I$33:I$42,"Répit"),COUNTIFS(EDT!J$33:J$42,B90,EDT!K$33:K$42,"&gt;&lt;",EDT!L$33:L$42,"Répit"),COUNTIFS(EDT!M$33:M$42,B90,EDT!N$33:N$42,"&gt;&lt;",EDT!O$33:O$42,"Répit"),COUNTIFS(EDT!P$33:P$42,B90,EDT!Q$33:Q$42,"&gt;&lt;",EDT!R$33:R$42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,COUNTIFS(#REF!,B90,#REF!,"&gt;&lt;",#REF!,"Répit"))*2</f>
        <v>#REF!</v>
      </c>
      <c r="I90" s="201"/>
      <c r="J90" s="204" t="e">
        <f t="shared" si="2"/>
        <v>#REF!</v>
      </c>
      <c r="K90" s="195"/>
      <c r="L90" s="195"/>
      <c r="M90" s="195"/>
      <c r="N90" s="196">
        <v>88</v>
      </c>
      <c r="O90" s="198"/>
    </row>
    <row r="91" spans="1:15" ht="12.6">
      <c r="A91" s="17"/>
      <c r="B91" s="180"/>
      <c r="C91" s="189" t="e">
        <f t="shared" si="0"/>
        <v>#REF!</v>
      </c>
      <c r="D91" s="190" t="e">
        <f>SUM(COUNTIFS(EDT!D$5:D$25,B91,EDT!F$5:F$25,"ACM"),COUNTIFS(EDT!G$5:G$25,B91,EDT!I$5:I$25,"ACM"),COUNTIFS(EDT!J$5:J$25,B91,EDT!L$5:L$25,"ACM"),COUNTIFS(EDT!M$5:M$25,B91,EDT!O$5:O$25,"ACM"),COUNTIFS(EDT!P$5:P$25,B91,EDT!R$5:R$25,"ACM"),COUNTIFS(EDT!D$43:D$60,B91,EDT!F$43:F$60,"ACM"),COUNTIFS(EDT!G$43:G$60,B91,EDT!I$43:I$60,"ACM"),COUNTIFS(EDT!J$43:J$60,B91,EDT!L$43:L$60,"ACM"),COUNTIFS(EDT!M$43:M$60,B91,EDT!O$43:O$60,"ACM"),COUNTIFS(EDT!P$43:P$60,B91,EDT!R$43:R$60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)*3
+SUM(COUNTIFS(EDT!D$33:D$42,B91,EDT!F$33:F$42,"ACM"),COUNTIFS(EDT!G$33:G$42,B91,EDT!I$33:I$42,"ACM"),COUNTIFS(EDT!J$33:J$42,B91,EDT!L$33:L$42,"ACM"),COUNTIFS(EDT!M$33:M$42,B91,EDT!O$33:O$42,"ACM"),COUNTIFS(EDT!P$33:P$42,B91,EDT!R$33:R$42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,COUNTIFS(#REF!,B91,#REF!,"ACM"))*2</f>
        <v>#REF!</v>
      </c>
      <c r="E91" s="190" t="e">
        <f>SUM(COUNTIFS(EDT!D$5:D$25,B91,EDT!F$5:F$25,"Répit"),COUNTIFS(EDT!G$5:G$25,B91,EDT!I$5:I$25,"Répit"),COUNTIFS(EDT!J$5:J$25,B91,EDT!L$5:L$25,"Répit"),COUNTIFS(EDT!M$5:M$25,B91,EDT!O$5:O$25,"Répit"),COUNTIFS(EDT!P$5:P$25,B91,EDT!R$5:R$25,"Répit"),COUNTIFS(EDT!D$43:D$60,B91,EDT!F$43:F$60,"Répit"),COUNTIFS(EDT!G$43:G$60,B91,EDT!I$43:I$60,"Répit"),COUNTIFS(EDT!J$43:J$60,B91,EDT!L$43:L$60,"Répit"),COUNTIFS(EDT!M$43:M$60,B91,EDT!O$43:O$60,"Répit"),COUNTIFS(EDT!P$43:P$60,B91,EDT!R$43:R$60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)*3
+SUM(COUNTIFS(EDT!D$33:D$42,B91,EDT!F$33:F$42,"Répit"),COUNTIFS(EDT!G$33:G$42,B91,EDT!I$33:I$42,"Répit"),COUNTIFS(EDT!J$33:J$42,B91,EDT!L$33:L$42,"Répit"),COUNTIFS(EDT!M$33:M$42,B91,EDT!O$33:O$42,"Répit"),COUNTIFS(EDT!P$33:P$42,B91,EDT!R$33:R$42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,COUNTIFS(#REF!,B91,#REF!,"Répit"))*2</f>
        <v>#REF!</v>
      </c>
      <c r="F91" s="191" t="e">
        <f t="shared" si="1"/>
        <v>#REF!</v>
      </c>
      <c r="G91" s="185" t="e">
        <f>SUM(COUNTIFS(EDT!D$5:D$25,B91,EDT!E$5:E$25,"&gt;&lt;",EDT!F$5:F$25,"ACM"),COUNTIFS(EDT!G$5:G$25,B91,EDT!H$5:H$25,"&gt;&lt;",EDT!I$5:I$25,"ACM"),COUNTIFS(EDT!J$5:J$25,B91,EDT!K$5:K$25,"&gt;&lt;",EDT!L$5:L$25,"ACM"),COUNTIFS(EDT!M$5:M$25,B91,EDT!N$5:N$25,"&gt;&lt;",EDT!O$5:O$25,"ACM"),COUNTIFS(EDT!P$5:P$25,B91,EDT!Q$5:Q$25,"&gt;&lt;",EDT!R$5:R$25,"ACM"),COUNTIFS(EDT!D$43:D$60,B91,EDT!E$43:E$60,"&gt;&lt;",EDT!F$43:F$60,"ACM"),COUNTIFS(EDT!G$43:G$60,B91,EDT!H$43:H$60,"&gt;&lt;",EDT!I$43:I$60,"ACM"),COUNTIFS(EDT!J$43:J$60,B91,EDT!K$43:K$60,"&gt;&lt;",EDT!L$43:L$60,"ACM"),COUNTIFS(EDT!M$43:M$60,B91,EDT!N$43:N$60,"&gt;&lt;",EDT!O$43:O$60,"ACM"),COUNTIFS(EDT!P$43:P$60,B91,EDT!Q$43:Q$60,"&gt;&lt;",EDT!R$43:R$60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)*3
+SUM(COUNTIFS(EDT!D$33:D$42,B91,EDT!E$33:E$42,"&gt;&lt;",EDT!F$33:F$42,"ACM"),COUNTIFS(EDT!G$33:G$42,B91,EDT!H$33:H$42,"&gt;&lt;",EDT!I$33:I$42,"ACM"),COUNTIFS(EDT!J$33:J$42,B91,EDT!K$33:K$42,"&gt;&lt;",EDT!L$33:L$42,"ACM"),COUNTIFS(EDT!M$33:M$42,B91,EDT!N$33:N$42,"&gt;&lt;",EDT!O$33:O$42,"ACM"),COUNTIFS(EDT!P$33:P$42,B91,EDT!Q$33:Q$42,"&gt;&lt;",EDT!R$33:R$42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,COUNTIFS(#REF!,B91,#REF!,"&gt;&lt;",#REF!,"ACM"))*2</f>
        <v>#REF!</v>
      </c>
      <c r="H91" s="192" t="e">
        <f>SUM(COUNTIFS(EDT!D$5:D$25,B91,EDT!E$5:E$25,"&gt;&lt;",EDT!F$5:F$25,"Répit"),COUNTIFS(EDT!G$5:G$25,B91,EDT!H$5:H$25,"&gt;&lt;",EDT!I$5:I$25,"Répit"),COUNTIFS(EDT!J$5:J$25,B91,EDT!K$5:K$25,"&gt;&lt;",EDT!L$5:L$25,"Répit"),COUNTIFS(EDT!M$5:M$25,B91,EDT!N$5:N$25,"&gt;&lt;",EDT!O$5:O$25,"Répit"),COUNTIFS(EDT!P$5:P$25,B91,EDT!Q$5:Q$25,"&gt;&lt;",EDT!R$5:R$25,"Répit"),COUNTIFS(EDT!D$43:D$60,B91,EDT!E$43:E$60,"&gt;&lt;",EDT!F$43:F$60,"Répit"),COUNTIFS(EDT!G$43:G$60,B91,EDT!H$43:H$60,"&gt;&lt;",EDT!I$43:I$60,"Répit"),COUNTIFS(EDT!J$43:J$60,B91,EDT!K$43:K$60,"&gt;&lt;",EDT!L$43:L$60,"Répit"),COUNTIFS(EDT!M$43:M$60,B91,EDT!N$43:N$60,"&gt;&lt;",EDT!O$43:O$60,"Répit"),COUNTIFS(EDT!P$43:P$60,B91,EDT!Q$43:Q$60,"&gt;&lt;",EDT!R$43:R$60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)*3
+SUM(COUNTIFS(EDT!D$33:D$42,B91,EDT!E$33:E$42,"&gt;&lt;",EDT!F$33:F$42,"Répit"),COUNTIFS(EDT!G$33:G$42,B91,EDT!H$33:H$42,"&gt;&lt;",EDT!I$33:I$42,"Répit"),COUNTIFS(EDT!J$33:J$42,B91,EDT!K$33:K$42,"&gt;&lt;",EDT!L$33:L$42,"Répit"),COUNTIFS(EDT!M$33:M$42,B91,EDT!N$33:N$42,"&gt;&lt;",EDT!O$33:O$42,"Répit"),COUNTIFS(EDT!P$33:P$42,B91,EDT!Q$33:Q$42,"&gt;&lt;",EDT!R$33:R$42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,COUNTIFS(#REF!,B91,#REF!,"&gt;&lt;",#REF!,"Répit"))*2</f>
        <v>#REF!</v>
      </c>
      <c r="I91" s="201"/>
      <c r="J91" s="202" t="e">
        <f t="shared" si="2"/>
        <v>#REF!</v>
      </c>
      <c r="K91" s="195"/>
      <c r="L91" s="195"/>
      <c r="M91" s="195"/>
      <c r="N91" s="196">
        <v>89</v>
      </c>
      <c r="O91" s="198"/>
    </row>
    <row r="92" spans="1:15" ht="12.6">
      <c r="A92" s="17"/>
      <c r="B92" s="180"/>
      <c r="C92" s="189" t="e">
        <f t="shared" si="0"/>
        <v>#REF!</v>
      </c>
      <c r="D92" s="190" t="e">
        <f>SUM(COUNTIFS(EDT!D$5:D$25,B92,EDT!F$5:F$25,"ACM"),COUNTIFS(EDT!G$5:G$25,B92,EDT!I$5:I$25,"ACM"),COUNTIFS(EDT!J$5:J$25,B92,EDT!L$5:L$25,"ACM"),COUNTIFS(EDT!M$5:M$25,B92,EDT!O$5:O$25,"ACM"),COUNTIFS(EDT!P$5:P$25,B92,EDT!R$5:R$25,"ACM"),COUNTIFS(EDT!D$43:D$60,B92,EDT!F$43:F$60,"ACM"),COUNTIFS(EDT!G$43:G$60,B92,EDT!I$43:I$60,"ACM"),COUNTIFS(EDT!J$43:J$60,B92,EDT!L$43:L$60,"ACM"),COUNTIFS(EDT!M$43:M$60,B92,EDT!O$43:O$60,"ACM"),COUNTIFS(EDT!P$43:P$60,B92,EDT!R$43:R$60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)*3
+SUM(COUNTIFS(EDT!D$33:D$42,B92,EDT!F$33:F$42,"ACM"),COUNTIFS(EDT!G$33:G$42,B92,EDT!I$33:I$42,"ACM"),COUNTIFS(EDT!J$33:J$42,B92,EDT!L$33:L$42,"ACM"),COUNTIFS(EDT!M$33:M$42,B92,EDT!O$33:O$42,"ACM"),COUNTIFS(EDT!P$33:P$42,B92,EDT!R$33:R$42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,COUNTIFS(#REF!,B92,#REF!,"ACM"))*2</f>
        <v>#REF!</v>
      </c>
      <c r="E92" s="190" t="e">
        <f>SUM(COUNTIFS(EDT!D$5:D$25,B92,EDT!F$5:F$25,"Répit"),COUNTIFS(EDT!G$5:G$25,B92,EDT!I$5:I$25,"Répit"),COUNTIFS(EDT!J$5:J$25,B92,EDT!L$5:L$25,"Répit"),COUNTIFS(EDT!M$5:M$25,B92,EDT!O$5:O$25,"Répit"),COUNTIFS(EDT!P$5:P$25,B92,EDT!R$5:R$25,"Répit"),COUNTIFS(EDT!D$43:D$60,B92,EDT!F$43:F$60,"Répit"),COUNTIFS(EDT!G$43:G$60,B92,EDT!I$43:I$60,"Répit"),COUNTIFS(EDT!J$43:J$60,B92,EDT!L$43:L$60,"Répit"),COUNTIFS(EDT!M$43:M$60,B92,EDT!O$43:O$60,"Répit"),COUNTIFS(EDT!P$43:P$60,B92,EDT!R$43:R$60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)*3
+SUM(COUNTIFS(EDT!D$33:D$42,B92,EDT!F$33:F$42,"Répit"),COUNTIFS(EDT!G$33:G$42,B92,EDT!I$33:I$42,"Répit"),COUNTIFS(EDT!J$33:J$42,B92,EDT!L$33:L$42,"Répit"),COUNTIFS(EDT!M$33:M$42,B92,EDT!O$33:O$42,"Répit"),COUNTIFS(EDT!P$33:P$42,B92,EDT!R$33:R$42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,COUNTIFS(#REF!,B92,#REF!,"Répit"))*2</f>
        <v>#REF!</v>
      </c>
      <c r="F92" s="191" t="e">
        <f t="shared" si="1"/>
        <v>#REF!</v>
      </c>
      <c r="G92" s="185" t="e">
        <f>SUM(COUNTIFS(EDT!D$5:D$25,B92,EDT!E$5:E$25,"&gt;&lt;",EDT!F$5:F$25,"ACM"),COUNTIFS(EDT!G$5:G$25,B92,EDT!H$5:H$25,"&gt;&lt;",EDT!I$5:I$25,"ACM"),COUNTIFS(EDT!J$5:J$25,B92,EDT!K$5:K$25,"&gt;&lt;",EDT!L$5:L$25,"ACM"),COUNTIFS(EDT!M$5:M$25,B92,EDT!N$5:N$25,"&gt;&lt;",EDT!O$5:O$25,"ACM"),COUNTIFS(EDT!P$5:P$25,B92,EDT!Q$5:Q$25,"&gt;&lt;",EDT!R$5:R$25,"ACM"),COUNTIFS(EDT!D$43:D$60,B92,EDT!E$43:E$60,"&gt;&lt;",EDT!F$43:F$60,"ACM"),COUNTIFS(EDT!G$43:G$60,B92,EDT!H$43:H$60,"&gt;&lt;",EDT!I$43:I$60,"ACM"),COUNTIFS(EDT!J$43:J$60,B92,EDT!K$43:K$60,"&gt;&lt;",EDT!L$43:L$60,"ACM"),COUNTIFS(EDT!M$43:M$60,B92,EDT!N$43:N$60,"&gt;&lt;",EDT!O$43:O$60,"ACM"),COUNTIFS(EDT!P$43:P$60,B92,EDT!Q$43:Q$60,"&gt;&lt;",EDT!R$43:R$60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)*3
+SUM(COUNTIFS(EDT!D$33:D$42,B92,EDT!E$33:E$42,"&gt;&lt;",EDT!F$33:F$42,"ACM"),COUNTIFS(EDT!G$33:G$42,B92,EDT!H$33:H$42,"&gt;&lt;",EDT!I$33:I$42,"ACM"),COUNTIFS(EDT!J$33:J$42,B92,EDT!K$33:K$42,"&gt;&lt;",EDT!L$33:L$42,"ACM"),COUNTIFS(EDT!M$33:M$42,B92,EDT!N$33:N$42,"&gt;&lt;",EDT!O$33:O$42,"ACM"),COUNTIFS(EDT!P$33:P$42,B92,EDT!Q$33:Q$42,"&gt;&lt;",EDT!R$33:R$42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,COUNTIFS(#REF!,B92,#REF!,"&gt;&lt;",#REF!,"ACM"))*2</f>
        <v>#REF!</v>
      </c>
      <c r="H92" s="192" t="e">
        <f>SUM(COUNTIFS(EDT!D$5:D$25,B92,EDT!E$5:E$25,"&gt;&lt;",EDT!F$5:F$25,"Répit"),COUNTIFS(EDT!G$5:G$25,B92,EDT!H$5:H$25,"&gt;&lt;",EDT!I$5:I$25,"Répit"),COUNTIFS(EDT!J$5:J$25,B92,EDT!K$5:K$25,"&gt;&lt;",EDT!L$5:L$25,"Répit"),COUNTIFS(EDT!M$5:M$25,B92,EDT!N$5:N$25,"&gt;&lt;",EDT!O$5:O$25,"Répit"),COUNTIFS(EDT!P$5:P$25,B92,EDT!Q$5:Q$25,"&gt;&lt;",EDT!R$5:R$25,"Répit"),COUNTIFS(EDT!D$43:D$60,B92,EDT!E$43:E$60,"&gt;&lt;",EDT!F$43:F$60,"Répit"),COUNTIFS(EDT!G$43:G$60,B92,EDT!H$43:H$60,"&gt;&lt;",EDT!I$43:I$60,"Répit"),COUNTIFS(EDT!J$43:J$60,B92,EDT!K$43:K$60,"&gt;&lt;",EDT!L$43:L$60,"Répit"),COUNTIFS(EDT!M$43:M$60,B92,EDT!N$43:N$60,"&gt;&lt;",EDT!O$43:O$60,"Répit"),COUNTIFS(EDT!P$43:P$60,B92,EDT!Q$43:Q$60,"&gt;&lt;",EDT!R$43:R$60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)*3
+SUM(COUNTIFS(EDT!D$33:D$42,B92,EDT!E$33:E$42,"&gt;&lt;",EDT!F$33:F$42,"Répit"),COUNTIFS(EDT!G$33:G$42,B92,EDT!H$33:H$42,"&gt;&lt;",EDT!I$33:I$42,"Répit"),COUNTIFS(EDT!J$33:J$42,B92,EDT!K$33:K$42,"&gt;&lt;",EDT!L$33:L$42,"Répit"),COUNTIFS(EDT!M$33:M$42,B92,EDT!N$33:N$42,"&gt;&lt;",EDT!O$33:O$42,"Répit"),COUNTIFS(EDT!P$33:P$42,B92,EDT!Q$33:Q$42,"&gt;&lt;",EDT!R$33:R$42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,COUNTIFS(#REF!,B92,#REF!,"&gt;&lt;",#REF!,"Répit"))*2</f>
        <v>#REF!</v>
      </c>
      <c r="I92" s="201"/>
      <c r="J92" s="204" t="e">
        <f t="shared" si="2"/>
        <v>#REF!</v>
      </c>
      <c r="K92" s="195"/>
      <c r="L92" s="195"/>
      <c r="M92" s="195"/>
      <c r="N92" s="196">
        <v>90</v>
      </c>
      <c r="O92" s="198"/>
    </row>
    <row r="93" spans="1:15" ht="12.6">
      <c r="A93" s="17"/>
      <c r="B93" s="180"/>
      <c r="C93" s="189" t="e">
        <f t="shared" si="0"/>
        <v>#REF!</v>
      </c>
      <c r="D93" s="190" t="e">
        <f>SUM(COUNTIFS(EDT!D$5:D$25,B93,EDT!F$5:F$25,"ACM"),COUNTIFS(EDT!G$5:G$25,B93,EDT!I$5:I$25,"ACM"),COUNTIFS(EDT!J$5:J$25,B93,EDT!L$5:L$25,"ACM"),COUNTIFS(EDT!M$5:M$25,B93,EDT!O$5:O$25,"ACM"),COUNTIFS(EDT!P$5:P$25,B93,EDT!R$5:R$25,"ACM"),COUNTIFS(EDT!D$43:D$60,B93,EDT!F$43:F$60,"ACM"),COUNTIFS(EDT!G$43:G$60,B93,EDT!I$43:I$60,"ACM"),COUNTIFS(EDT!J$43:J$60,B93,EDT!L$43:L$60,"ACM"),COUNTIFS(EDT!M$43:M$60,B93,EDT!O$43:O$60,"ACM"),COUNTIFS(EDT!P$43:P$60,B93,EDT!R$43:R$60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)*3
+SUM(COUNTIFS(EDT!D$33:D$42,B93,EDT!F$33:F$42,"ACM"),COUNTIFS(EDT!G$33:G$42,B93,EDT!I$33:I$42,"ACM"),COUNTIFS(EDT!J$33:J$42,B93,EDT!L$33:L$42,"ACM"),COUNTIFS(EDT!M$33:M$42,B93,EDT!O$33:O$42,"ACM"),COUNTIFS(EDT!P$33:P$42,B93,EDT!R$33:R$42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,COUNTIFS(#REF!,B93,#REF!,"ACM"))*2</f>
        <v>#REF!</v>
      </c>
      <c r="E93" s="190" t="e">
        <f>SUM(COUNTIFS(EDT!D$5:D$25,B93,EDT!F$5:F$25,"Répit"),COUNTIFS(EDT!G$5:G$25,B93,EDT!I$5:I$25,"Répit"),COUNTIFS(EDT!J$5:J$25,B93,EDT!L$5:L$25,"Répit"),COUNTIFS(EDT!M$5:M$25,B93,EDT!O$5:O$25,"Répit"),COUNTIFS(EDT!P$5:P$25,B93,EDT!R$5:R$25,"Répit"),COUNTIFS(EDT!D$43:D$60,B93,EDT!F$43:F$60,"Répit"),COUNTIFS(EDT!G$43:G$60,B93,EDT!I$43:I$60,"Répit"),COUNTIFS(EDT!J$43:J$60,B93,EDT!L$43:L$60,"Répit"),COUNTIFS(EDT!M$43:M$60,B93,EDT!O$43:O$60,"Répit"),COUNTIFS(EDT!P$43:P$60,B93,EDT!R$43:R$60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)*3
+SUM(COUNTIFS(EDT!D$33:D$42,B93,EDT!F$33:F$42,"Répit"),COUNTIFS(EDT!G$33:G$42,B93,EDT!I$33:I$42,"Répit"),COUNTIFS(EDT!J$33:J$42,B93,EDT!L$33:L$42,"Répit"),COUNTIFS(EDT!M$33:M$42,B93,EDT!O$33:O$42,"Répit"),COUNTIFS(EDT!P$33:P$42,B93,EDT!R$33:R$42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,COUNTIFS(#REF!,B93,#REF!,"Répit"))*2</f>
        <v>#REF!</v>
      </c>
      <c r="F93" s="191" t="e">
        <f t="shared" si="1"/>
        <v>#REF!</v>
      </c>
      <c r="G93" s="185" t="e">
        <f>SUM(COUNTIFS(EDT!D$5:D$25,B93,EDT!E$5:E$25,"&gt;&lt;",EDT!F$5:F$25,"ACM"),COUNTIFS(EDT!G$5:G$25,B93,EDT!H$5:H$25,"&gt;&lt;",EDT!I$5:I$25,"ACM"),COUNTIFS(EDT!J$5:J$25,B93,EDT!K$5:K$25,"&gt;&lt;",EDT!L$5:L$25,"ACM"),COUNTIFS(EDT!M$5:M$25,B93,EDT!N$5:N$25,"&gt;&lt;",EDT!O$5:O$25,"ACM"),COUNTIFS(EDT!P$5:P$25,B93,EDT!Q$5:Q$25,"&gt;&lt;",EDT!R$5:R$25,"ACM"),COUNTIFS(EDT!D$43:D$60,B93,EDT!E$43:E$60,"&gt;&lt;",EDT!F$43:F$60,"ACM"),COUNTIFS(EDT!G$43:G$60,B93,EDT!H$43:H$60,"&gt;&lt;",EDT!I$43:I$60,"ACM"),COUNTIFS(EDT!J$43:J$60,B93,EDT!K$43:K$60,"&gt;&lt;",EDT!L$43:L$60,"ACM"),COUNTIFS(EDT!M$43:M$60,B93,EDT!N$43:N$60,"&gt;&lt;",EDT!O$43:O$60,"ACM"),COUNTIFS(EDT!P$43:P$60,B93,EDT!Q$43:Q$60,"&gt;&lt;",EDT!R$43:R$60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)*3
+SUM(COUNTIFS(EDT!D$33:D$42,B93,EDT!E$33:E$42,"&gt;&lt;",EDT!F$33:F$42,"ACM"),COUNTIFS(EDT!G$33:G$42,B93,EDT!H$33:H$42,"&gt;&lt;",EDT!I$33:I$42,"ACM"),COUNTIFS(EDT!J$33:J$42,B93,EDT!K$33:K$42,"&gt;&lt;",EDT!L$33:L$42,"ACM"),COUNTIFS(EDT!M$33:M$42,B93,EDT!N$33:N$42,"&gt;&lt;",EDT!O$33:O$42,"ACM"),COUNTIFS(EDT!P$33:P$42,B93,EDT!Q$33:Q$42,"&gt;&lt;",EDT!R$33:R$42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,COUNTIFS(#REF!,B93,#REF!,"&gt;&lt;",#REF!,"ACM"))*2</f>
        <v>#REF!</v>
      </c>
      <c r="H93" s="192" t="e">
        <f>SUM(COUNTIFS(EDT!D$5:D$25,B93,EDT!E$5:E$25,"&gt;&lt;",EDT!F$5:F$25,"Répit"),COUNTIFS(EDT!G$5:G$25,B93,EDT!H$5:H$25,"&gt;&lt;",EDT!I$5:I$25,"Répit"),COUNTIFS(EDT!J$5:J$25,B93,EDT!K$5:K$25,"&gt;&lt;",EDT!L$5:L$25,"Répit"),COUNTIFS(EDT!M$5:M$25,B93,EDT!N$5:N$25,"&gt;&lt;",EDT!O$5:O$25,"Répit"),COUNTIFS(EDT!P$5:P$25,B93,EDT!Q$5:Q$25,"&gt;&lt;",EDT!R$5:R$25,"Répit"),COUNTIFS(EDT!D$43:D$60,B93,EDT!E$43:E$60,"&gt;&lt;",EDT!F$43:F$60,"Répit"),COUNTIFS(EDT!G$43:G$60,B93,EDT!H$43:H$60,"&gt;&lt;",EDT!I$43:I$60,"Répit"),COUNTIFS(EDT!J$43:J$60,B93,EDT!K$43:K$60,"&gt;&lt;",EDT!L$43:L$60,"Répit"),COUNTIFS(EDT!M$43:M$60,B93,EDT!N$43:N$60,"&gt;&lt;",EDT!O$43:O$60,"Répit"),COUNTIFS(EDT!P$43:P$60,B93,EDT!Q$43:Q$60,"&gt;&lt;",EDT!R$43:R$60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)*3
+SUM(COUNTIFS(EDT!D$33:D$42,B93,EDT!E$33:E$42,"&gt;&lt;",EDT!F$33:F$42,"Répit"),COUNTIFS(EDT!G$33:G$42,B93,EDT!H$33:H$42,"&gt;&lt;",EDT!I$33:I$42,"Répit"),COUNTIFS(EDT!J$33:J$42,B93,EDT!K$33:K$42,"&gt;&lt;",EDT!L$33:L$42,"Répit"),COUNTIFS(EDT!M$33:M$42,B93,EDT!N$33:N$42,"&gt;&lt;",EDT!O$33:O$42,"Répit"),COUNTIFS(EDT!P$33:P$42,B93,EDT!Q$33:Q$42,"&gt;&lt;",EDT!R$33:R$42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,COUNTIFS(#REF!,B93,#REF!,"&gt;&lt;",#REF!,"Répit"))*2</f>
        <v>#REF!</v>
      </c>
      <c r="I93" s="201"/>
      <c r="J93" s="202" t="e">
        <f t="shared" si="2"/>
        <v>#REF!</v>
      </c>
      <c r="K93" s="195"/>
      <c r="L93" s="195"/>
      <c r="M93" s="195"/>
      <c r="N93" s="196">
        <v>91</v>
      </c>
      <c r="O93" s="198"/>
    </row>
    <row r="94" spans="1:15" ht="12.6">
      <c r="A94" s="17"/>
      <c r="B94" s="180"/>
      <c r="C94" s="189" t="e">
        <f t="shared" si="0"/>
        <v>#REF!</v>
      </c>
      <c r="D94" s="190" t="e">
        <f>SUM(COUNTIFS(EDT!D$5:D$25,B94,EDT!F$5:F$25,"ACM"),COUNTIFS(EDT!G$5:G$25,B94,EDT!I$5:I$25,"ACM"),COUNTIFS(EDT!J$5:J$25,B94,EDT!L$5:L$25,"ACM"),COUNTIFS(EDT!M$5:M$25,B94,EDT!O$5:O$25,"ACM"),COUNTIFS(EDT!P$5:P$25,B94,EDT!R$5:R$25,"ACM"),COUNTIFS(EDT!D$43:D$60,B94,EDT!F$43:F$60,"ACM"),COUNTIFS(EDT!G$43:G$60,B94,EDT!I$43:I$60,"ACM"),COUNTIFS(EDT!J$43:J$60,B94,EDT!L$43:L$60,"ACM"),COUNTIFS(EDT!M$43:M$60,B94,EDT!O$43:O$60,"ACM"),COUNTIFS(EDT!P$43:P$60,B94,EDT!R$43:R$60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)*3
+SUM(COUNTIFS(EDT!D$33:D$42,B94,EDT!F$33:F$42,"ACM"),COUNTIFS(EDT!G$33:G$42,B94,EDT!I$33:I$42,"ACM"),COUNTIFS(EDT!J$33:J$42,B94,EDT!L$33:L$42,"ACM"),COUNTIFS(EDT!M$33:M$42,B94,EDT!O$33:O$42,"ACM"),COUNTIFS(EDT!P$33:P$42,B94,EDT!R$33:R$42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,COUNTIFS(#REF!,B94,#REF!,"ACM"))*2</f>
        <v>#REF!</v>
      </c>
      <c r="E94" s="190" t="e">
        <f>SUM(COUNTIFS(EDT!D$5:D$25,B94,EDT!F$5:F$25,"Répit"),COUNTIFS(EDT!G$5:G$25,B94,EDT!I$5:I$25,"Répit"),COUNTIFS(EDT!J$5:J$25,B94,EDT!L$5:L$25,"Répit"),COUNTIFS(EDT!M$5:M$25,B94,EDT!O$5:O$25,"Répit"),COUNTIFS(EDT!P$5:P$25,B94,EDT!R$5:R$25,"Répit"),COUNTIFS(EDT!D$43:D$60,B94,EDT!F$43:F$60,"Répit"),COUNTIFS(EDT!G$43:G$60,B94,EDT!I$43:I$60,"Répit"),COUNTIFS(EDT!J$43:J$60,B94,EDT!L$43:L$60,"Répit"),COUNTIFS(EDT!M$43:M$60,B94,EDT!O$43:O$60,"Répit"),COUNTIFS(EDT!P$43:P$60,B94,EDT!R$43:R$60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)*3
+SUM(COUNTIFS(EDT!D$33:D$42,B94,EDT!F$33:F$42,"Répit"),COUNTIFS(EDT!G$33:G$42,B94,EDT!I$33:I$42,"Répit"),COUNTIFS(EDT!J$33:J$42,B94,EDT!L$33:L$42,"Répit"),COUNTIFS(EDT!M$33:M$42,B94,EDT!O$33:O$42,"Répit"),COUNTIFS(EDT!P$33:P$42,B94,EDT!R$33:R$42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,COUNTIFS(#REF!,B94,#REF!,"Répit"))*2</f>
        <v>#REF!</v>
      </c>
      <c r="F94" s="191" t="e">
        <f t="shared" si="1"/>
        <v>#REF!</v>
      </c>
      <c r="G94" s="185" t="e">
        <f>SUM(COUNTIFS(EDT!D$5:D$25,B94,EDT!E$5:E$25,"&gt;&lt;",EDT!F$5:F$25,"ACM"),COUNTIFS(EDT!G$5:G$25,B94,EDT!H$5:H$25,"&gt;&lt;",EDT!I$5:I$25,"ACM"),COUNTIFS(EDT!J$5:J$25,B94,EDT!K$5:K$25,"&gt;&lt;",EDT!L$5:L$25,"ACM"),COUNTIFS(EDT!M$5:M$25,B94,EDT!N$5:N$25,"&gt;&lt;",EDT!O$5:O$25,"ACM"),COUNTIFS(EDT!P$5:P$25,B94,EDT!Q$5:Q$25,"&gt;&lt;",EDT!R$5:R$25,"ACM"),COUNTIFS(EDT!D$43:D$60,B94,EDT!E$43:E$60,"&gt;&lt;",EDT!F$43:F$60,"ACM"),COUNTIFS(EDT!G$43:G$60,B94,EDT!H$43:H$60,"&gt;&lt;",EDT!I$43:I$60,"ACM"),COUNTIFS(EDT!J$43:J$60,B94,EDT!K$43:K$60,"&gt;&lt;",EDT!L$43:L$60,"ACM"),COUNTIFS(EDT!M$43:M$60,B94,EDT!N$43:N$60,"&gt;&lt;",EDT!O$43:O$60,"ACM"),COUNTIFS(EDT!P$43:P$60,B94,EDT!Q$43:Q$60,"&gt;&lt;",EDT!R$43:R$60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)*3
+SUM(COUNTIFS(EDT!D$33:D$42,B94,EDT!E$33:E$42,"&gt;&lt;",EDT!F$33:F$42,"ACM"),COUNTIFS(EDT!G$33:G$42,B94,EDT!H$33:H$42,"&gt;&lt;",EDT!I$33:I$42,"ACM"),COUNTIFS(EDT!J$33:J$42,B94,EDT!K$33:K$42,"&gt;&lt;",EDT!L$33:L$42,"ACM"),COUNTIFS(EDT!M$33:M$42,B94,EDT!N$33:N$42,"&gt;&lt;",EDT!O$33:O$42,"ACM"),COUNTIFS(EDT!P$33:P$42,B94,EDT!Q$33:Q$42,"&gt;&lt;",EDT!R$33:R$42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,COUNTIFS(#REF!,B94,#REF!,"&gt;&lt;",#REF!,"ACM"))*2</f>
        <v>#REF!</v>
      </c>
      <c r="H94" s="192" t="e">
        <f>SUM(COUNTIFS(EDT!D$5:D$25,B94,EDT!E$5:E$25,"&gt;&lt;",EDT!F$5:F$25,"Répit"),COUNTIFS(EDT!G$5:G$25,B94,EDT!H$5:H$25,"&gt;&lt;",EDT!I$5:I$25,"Répit"),COUNTIFS(EDT!J$5:J$25,B94,EDT!K$5:K$25,"&gt;&lt;",EDT!L$5:L$25,"Répit"),COUNTIFS(EDT!M$5:M$25,B94,EDT!N$5:N$25,"&gt;&lt;",EDT!O$5:O$25,"Répit"),COUNTIFS(EDT!P$5:P$25,B94,EDT!Q$5:Q$25,"&gt;&lt;",EDT!R$5:R$25,"Répit"),COUNTIFS(EDT!D$43:D$60,B94,EDT!E$43:E$60,"&gt;&lt;",EDT!F$43:F$60,"Répit"),COUNTIFS(EDT!G$43:G$60,B94,EDT!H$43:H$60,"&gt;&lt;",EDT!I$43:I$60,"Répit"),COUNTIFS(EDT!J$43:J$60,B94,EDT!K$43:K$60,"&gt;&lt;",EDT!L$43:L$60,"Répit"),COUNTIFS(EDT!M$43:M$60,B94,EDT!N$43:N$60,"&gt;&lt;",EDT!O$43:O$60,"Répit"),COUNTIFS(EDT!P$43:P$60,B94,EDT!Q$43:Q$60,"&gt;&lt;",EDT!R$43:R$60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)*3
+SUM(COUNTIFS(EDT!D$33:D$42,B94,EDT!E$33:E$42,"&gt;&lt;",EDT!F$33:F$42,"Répit"),COUNTIFS(EDT!G$33:G$42,B94,EDT!H$33:H$42,"&gt;&lt;",EDT!I$33:I$42,"Répit"),COUNTIFS(EDT!J$33:J$42,B94,EDT!K$33:K$42,"&gt;&lt;",EDT!L$33:L$42,"Répit"),COUNTIFS(EDT!M$33:M$42,B94,EDT!N$33:N$42,"&gt;&lt;",EDT!O$33:O$42,"Répit"),COUNTIFS(EDT!P$33:P$42,B94,EDT!Q$33:Q$42,"&gt;&lt;",EDT!R$33:R$42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,COUNTIFS(#REF!,B94,#REF!,"&gt;&lt;",#REF!,"Répit"))*2</f>
        <v>#REF!</v>
      </c>
      <c r="I94" s="201"/>
      <c r="J94" s="204" t="e">
        <f t="shared" si="2"/>
        <v>#REF!</v>
      </c>
      <c r="K94" s="195"/>
      <c r="L94" s="195"/>
      <c r="M94" s="195"/>
      <c r="N94" s="196">
        <v>92</v>
      </c>
      <c r="O94" s="198"/>
    </row>
    <row r="95" spans="1:15" ht="12.6">
      <c r="A95" s="17"/>
      <c r="B95" s="180"/>
      <c r="C95" s="189" t="e">
        <f t="shared" si="0"/>
        <v>#REF!</v>
      </c>
      <c r="D95" s="190" t="e">
        <f>SUM(COUNTIFS(EDT!D$5:D$25,B95,EDT!F$5:F$25,"ACM"),COUNTIFS(EDT!G$5:G$25,B95,EDT!I$5:I$25,"ACM"),COUNTIFS(EDT!J$5:J$25,B95,EDT!L$5:L$25,"ACM"),COUNTIFS(EDT!M$5:M$25,B95,EDT!O$5:O$25,"ACM"),COUNTIFS(EDT!P$5:P$25,B95,EDT!R$5:R$25,"ACM"),COUNTIFS(EDT!D$43:D$60,B95,EDT!F$43:F$60,"ACM"),COUNTIFS(EDT!G$43:G$60,B95,EDT!I$43:I$60,"ACM"),COUNTIFS(EDT!J$43:J$60,B95,EDT!L$43:L$60,"ACM"),COUNTIFS(EDT!M$43:M$60,B95,EDT!O$43:O$60,"ACM"),COUNTIFS(EDT!P$43:P$60,B95,EDT!R$43:R$60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)*3
+SUM(COUNTIFS(EDT!D$33:D$42,B95,EDT!F$33:F$42,"ACM"),COUNTIFS(EDT!G$33:G$42,B95,EDT!I$33:I$42,"ACM"),COUNTIFS(EDT!J$33:J$42,B95,EDT!L$33:L$42,"ACM"),COUNTIFS(EDT!M$33:M$42,B95,EDT!O$33:O$42,"ACM"),COUNTIFS(EDT!P$33:P$42,B95,EDT!R$33:R$42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,COUNTIFS(#REF!,B95,#REF!,"ACM"))*2</f>
        <v>#REF!</v>
      </c>
      <c r="E95" s="190" t="e">
        <f>SUM(COUNTIFS(EDT!D$5:D$25,B95,EDT!F$5:F$25,"Répit"),COUNTIFS(EDT!G$5:G$25,B95,EDT!I$5:I$25,"Répit"),COUNTIFS(EDT!J$5:J$25,B95,EDT!L$5:L$25,"Répit"),COUNTIFS(EDT!M$5:M$25,B95,EDT!O$5:O$25,"Répit"),COUNTIFS(EDT!P$5:P$25,B95,EDT!R$5:R$25,"Répit"),COUNTIFS(EDT!D$43:D$60,B95,EDT!F$43:F$60,"Répit"),COUNTIFS(EDT!G$43:G$60,B95,EDT!I$43:I$60,"Répit"),COUNTIFS(EDT!J$43:J$60,B95,EDT!L$43:L$60,"Répit"),COUNTIFS(EDT!M$43:M$60,B95,EDT!O$43:O$60,"Répit"),COUNTIFS(EDT!P$43:P$60,B95,EDT!R$43:R$60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)*3
+SUM(COUNTIFS(EDT!D$33:D$42,B95,EDT!F$33:F$42,"Répit"),COUNTIFS(EDT!G$33:G$42,B95,EDT!I$33:I$42,"Répit"),COUNTIFS(EDT!J$33:J$42,B95,EDT!L$33:L$42,"Répit"),COUNTIFS(EDT!M$33:M$42,B95,EDT!O$33:O$42,"Répit"),COUNTIFS(EDT!P$33:P$42,B95,EDT!R$33:R$42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,COUNTIFS(#REF!,B95,#REF!,"Répit"))*2</f>
        <v>#REF!</v>
      </c>
      <c r="F95" s="191" t="e">
        <f t="shared" si="1"/>
        <v>#REF!</v>
      </c>
      <c r="G95" s="185" t="e">
        <f>SUM(COUNTIFS(EDT!D$5:D$25,B95,EDT!E$5:E$25,"&gt;&lt;",EDT!F$5:F$25,"ACM"),COUNTIFS(EDT!G$5:G$25,B95,EDT!H$5:H$25,"&gt;&lt;",EDT!I$5:I$25,"ACM"),COUNTIFS(EDT!J$5:J$25,B95,EDT!K$5:K$25,"&gt;&lt;",EDT!L$5:L$25,"ACM"),COUNTIFS(EDT!M$5:M$25,B95,EDT!N$5:N$25,"&gt;&lt;",EDT!O$5:O$25,"ACM"),COUNTIFS(EDT!P$5:P$25,B95,EDT!Q$5:Q$25,"&gt;&lt;",EDT!R$5:R$25,"ACM"),COUNTIFS(EDT!D$43:D$60,B95,EDT!E$43:E$60,"&gt;&lt;",EDT!F$43:F$60,"ACM"),COUNTIFS(EDT!G$43:G$60,B95,EDT!H$43:H$60,"&gt;&lt;",EDT!I$43:I$60,"ACM"),COUNTIFS(EDT!J$43:J$60,B95,EDT!K$43:K$60,"&gt;&lt;",EDT!L$43:L$60,"ACM"),COUNTIFS(EDT!M$43:M$60,B95,EDT!N$43:N$60,"&gt;&lt;",EDT!O$43:O$60,"ACM"),COUNTIFS(EDT!P$43:P$60,B95,EDT!Q$43:Q$60,"&gt;&lt;",EDT!R$43:R$60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)*3
+SUM(COUNTIFS(EDT!D$33:D$42,B95,EDT!E$33:E$42,"&gt;&lt;",EDT!F$33:F$42,"ACM"),COUNTIFS(EDT!G$33:G$42,B95,EDT!H$33:H$42,"&gt;&lt;",EDT!I$33:I$42,"ACM"),COUNTIFS(EDT!J$33:J$42,B95,EDT!K$33:K$42,"&gt;&lt;",EDT!L$33:L$42,"ACM"),COUNTIFS(EDT!M$33:M$42,B95,EDT!N$33:N$42,"&gt;&lt;",EDT!O$33:O$42,"ACM"),COUNTIFS(EDT!P$33:P$42,B95,EDT!Q$33:Q$42,"&gt;&lt;",EDT!R$33:R$42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,COUNTIFS(#REF!,B95,#REF!,"&gt;&lt;",#REF!,"ACM"))*2</f>
        <v>#REF!</v>
      </c>
      <c r="H95" s="192" t="e">
        <f>SUM(COUNTIFS(EDT!D$5:D$25,B95,EDT!E$5:E$25,"&gt;&lt;",EDT!F$5:F$25,"Répit"),COUNTIFS(EDT!G$5:G$25,B95,EDT!H$5:H$25,"&gt;&lt;",EDT!I$5:I$25,"Répit"),COUNTIFS(EDT!J$5:J$25,B95,EDT!K$5:K$25,"&gt;&lt;",EDT!L$5:L$25,"Répit"),COUNTIFS(EDT!M$5:M$25,B95,EDT!N$5:N$25,"&gt;&lt;",EDT!O$5:O$25,"Répit"),COUNTIFS(EDT!P$5:P$25,B95,EDT!Q$5:Q$25,"&gt;&lt;",EDT!R$5:R$25,"Répit"),COUNTIFS(EDT!D$43:D$60,B95,EDT!E$43:E$60,"&gt;&lt;",EDT!F$43:F$60,"Répit"),COUNTIFS(EDT!G$43:G$60,B95,EDT!H$43:H$60,"&gt;&lt;",EDT!I$43:I$60,"Répit"),COUNTIFS(EDT!J$43:J$60,B95,EDT!K$43:K$60,"&gt;&lt;",EDT!L$43:L$60,"Répit"),COUNTIFS(EDT!M$43:M$60,B95,EDT!N$43:N$60,"&gt;&lt;",EDT!O$43:O$60,"Répit"),COUNTIFS(EDT!P$43:P$60,B95,EDT!Q$43:Q$60,"&gt;&lt;",EDT!R$43:R$60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)*3
+SUM(COUNTIFS(EDT!D$33:D$42,B95,EDT!E$33:E$42,"&gt;&lt;",EDT!F$33:F$42,"Répit"),COUNTIFS(EDT!G$33:G$42,B95,EDT!H$33:H$42,"&gt;&lt;",EDT!I$33:I$42,"Répit"),COUNTIFS(EDT!J$33:J$42,B95,EDT!K$33:K$42,"&gt;&lt;",EDT!L$33:L$42,"Répit"),COUNTIFS(EDT!M$33:M$42,B95,EDT!N$33:N$42,"&gt;&lt;",EDT!O$33:O$42,"Répit"),COUNTIFS(EDT!P$33:P$42,B95,EDT!Q$33:Q$42,"&gt;&lt;",EDT!R$33:R$42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,COUNTIFS(#REF!,B95,#REF!,"&gt;&lt;",#REF!,"Répit"))*2</f>
        <v>#REF!</v>
      </c>
      <c r="I95" s="201"/>
      <c r="J95" s="202" t="e">
        <f t="shared" si="2"/>
        <v>#REF!</v>
      </c>
      <c r="K95" s="195"/>
      <c r="L95" s="195"/>
      <c r="M95" s="195"/>
      <c r="N95" s="196">
        <v>93</v>
      </c>
      <c r="O95" s="198"/>
    </row>
    <row r="96" spans="1:15" ht="12.6">
      <c r="A96" s="17"/>
      <c r="B96" s="180"/>
      <c r="C96" s="189" t="e">
        <f t="shared" si="0"/>
        <v>#REF!</v>
      </c>
      <c r="D96" s="190" t="e">
        <f>SUM(COUNTIFS(EDT!D$5:D$25,B96,EDT!F$5:F$25,"ACM"),COUNTIFS(EDT!G$5:G$25,B96,EDT!I$5:I$25,"ACM"),COUNTIFS(EDT!J$5:J$25,B96,EDT!L$5:L$25,"ACM"),COUNTIFS(EDT!M$5:M$25,B96,EDT!O$5:O$25,"ACM"),COUNTIFS(EDT!P$5:P$25,B96,EDT!R$5:R$25,"ACM"),COUNTIFS(EDT!D$43:D$60,B96,EDT!F$43:F$60,"ACM"),COUNTIFS(EDT!G$43:G$60,B96,EDT!I$43:I$60,"ACM"),COUNTIFS(EDT!J$43:J$60,B96,EDT!L$43:L$60,"ACM"),COUNTIFS(EDT!M$43:M$60,B96,EDT!O$43:O$60,"ACM"),COUNTIFS(EDT!P$43:P$60,B96,EDT!R$43:R$60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)*3
+SUM(COUNTIFS(EDT!D$33:D$42,B96,EDT!F$33:F$42,"ACM"),COUNTIFS(EDT!G$33:G$42,B96,EDT!I$33:I$42,"ACM"),COUNTIFS(EDT!J$33:J$42,B96,EDT!L$33:L$42,"ACM"),COUNTIFS(EDT!M$33:M$42,B96,EDT!O$33:O$42,"ACM"),COUNTIFS(EDT!P$33:P$42,B96,EDT!R$33:R$42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,COUNTIFS(#REF!,B96,#REF!,"ACM"))*2</f>
        <v>#REF!</v>
      </c>
      <c r="E96" s="190" t="e">
        <f>SUM(COUNTIFS(EDT!D$5:D$25,B96,EDT!F$5:F$25,"Répit"),COUNTIFS(EDT!G$5:G$25,B96,EDT!I$5:I$25,"Répit"),COUNTIFS(EDT!J$5:J$25,B96,EDT!L$5:L$25,"Répit"),COUNTIFS(EDT!M$5:M$25,B96,EDT!O$5:O$25,"Répit"),COUNTIFS(EDT!P$5:P$25,B96,EDT!R$5:R$25,"Répit"),COUNTIFS(EDT!D$43:D$60,B96,EDT!F$43:F$60,"Répit"),COUNTIFS(EDT!G$43:G$60,B96,EDT!I$43:I$60,"Répit"),COUNTIFS(EDT!J$43:J$60,B96,EDT!L$43:L$60,"Répit"),COUNTIFS(EDT!M$43:M$60,B96,EDT!O$43:O$60,"Répit"),COUNTIFS(EDT!P$43:P$60,B96,EDT!R$43:R$60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)*3
+SUM(COUNTIFS(EDT!D$33:D$42,B96,EDT!F$33:F$42,"Répit"),COUNTIFS(EDT!G$33:G$42,B96,EDT!I$33:I$42,"Répit"),COUNTIFS(EDT!J$33:J$42,B96,EDT!L$33:L$42,"Répit"),COUNTIFS(EDT!M$33:M$42,B96,EDT!O$33:O$42,"Répit"),COUNTIFS(EDT!P$33:P$42,B96,EDT!R$33:R$42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,COUNTIFS(#REF!,B96,#REF!,"Répit"))*2</f>
        <v>#REF!</v>
      </c>
      <c r="F96" s="191" t="e">
        <f t="shared" si="1"/>
        <v>#REF!</v>
      </c>
      <c r="G96" s="185" t="e">
        <f>SUM(COUNTIFS(EDT!D$5:D$25,B96,EDT!E$5:E$25,"&gt;&lt;",EDT!F$5:F$25,"ACM"),COUNTIFS(EDT!G$5:G$25,B96,EDT!H$5:H$25,"&gt;&lt;",EDT!I$5:I$25,"ACM"),COUNTIFS(EDT!J$5:J$25,B96,EDT!K$5:K$25,"&gt;&lt;",EDT!L$5:L$25,"ACM"),COUNTIFS(EDT!M$5:M$25,B96,EDT!N$5:N$25,"&gt;&lt;",EDT!O$5:O$25,"ACM"),COUNTIFS(EDT!P$5:P$25,B96,EDT!Q$5:Q$25,"&gt;&lt;",EDT!R$5:R$25,"ACM"),COUNTIFS(EDT!D$43:D$60,B96,EDT!E$43:E$60,"&gt;&lt;",EDT!F$43:F$60,"ACM"),COUNTIFS(EDT!G$43:G$60,B96,EDT!H$43:H$60,"&gt;&lt;",EDT!I$43:I$60,"ACM"),COUNTIFS(EDT!J$43:J$60,B96,EDT!K$43:K$60,"&gt;&lt;",EDT!L$43:L$60,"ACM"),COUNTIFS(EDT!M$43:M$60,B96,EDT!N$43:N$60,"&gt;&lt;",EDT!O$43:O$60,"ACM"),COUNTIFS(EDT!P$43:P$60,B96,EDT!Q$43:Q$60,"&gt;&lt;",EDT!R$43:R$60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)*3
+SUM(COUNTIFS(EDT!D$33:D$42,B96,EDT!E$33:E$42,"&gt;&lt;",EDT!F$33:F$42,"ACM"),COUNTIFS(EDT!G$33:G$42,B96,EDT!H$33:H$42,"&gt;&lt;",EDT!I$33:I$42,"ACM"),COUNTIFS(EDT!J$33:J$42,B96,EDT!K$33:K$42,"&gt;&lt;",EDT!L$33:L$42,"ACM"),COUNTIFS(EDT!M$33:M$42,B96,EDT!N$33:N$42,"&gt;&lt;",EDT!O$33:O$42,"ACM"),COUNTIFS(EDT!P$33:P$42,B96,EDT!Q$33:Q$42,"&gt;&lt;",EDT!R$33:R$42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,COUNTIFS(#REF!,B96,#REF!,"&gt;&lt;",#REF!,"ACM"))*2</f>
        <v>#REF!</v>
      </c>
      <c r="H96" s="192" t="e">
        <f>SUM(COUNTIFS(EDT!D$5:D$25,B96,EDT!E$5:E$25,"&gt;&lt;",EDT!F$5:F$25,"Répit"),COUNTIFS(EDT!G$5:G$25,B96,EDT!H$5:H$25,"&gt;&lt;",EDT!I$5:I$25,"Répit"),COUNTIFS(EDT!J$5:J$25,B96,EDT!K$5:K$25,"&gt;&lt;",EDT!L$5:L$25,"Répit"),COUNTIFS(EDT!M$5:M$25,B96,EDT!N$5:N$25,"&gt;&lt;",EDT!O$5:O$25,"Répit"),COUNTIFS(EDT!P$5:P$25,B96,EDT!Q$5:Q$25,"&gt;&lt;",EDT!R$5:R$25,"Répit"),COUNTIFS(EDT!D$43:D$60,B96,EDT!E$43:E$60,"&gt;&lt;",EDT!F$43:F$60,"Répit"),COUNTIFS(EDT!G$43:G$60,B96,EDT!H$43:H$60,"&gt;&lt;",EDT!I$43:I$60,"Répit"),COUNTIFS(EDT!J$43:J$60,B96,EDT!K$43:K$60,"&gt;&lt;",EDT!L$43:L$60,"Répit"),COUNTIFS(EDT!M$43:M$60,B96,EDT!N$43:N$60,"&gt;&lt;",EDT!O$43:O$60,"Répit"),COUNTIFS(EDT!P$43:P$60,B96,EDT!Q$43:Q$60,"&gt;&lt;",EDT!R$43:R$60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)*3
+SUM(COUNTIFS(EDT!D$33:D$42,B96,EDT!E$33:E$42,"&gt;&lt;",EDT!F$33:F$42,"Répit"),COUNTIFS(EDT!G$33:G$42,B96,EDT!H$33:H$42,"&gt;&lt;",EDT!I$33:I$42,"Répit"),COUNTIFS(EDT!J$33:J$42,B96,EDT!K$33:K$42,"&gt;&lt;",EDT!L$33:L$42,"Répit"),COUNTIFS(EDT!M$33:M$42,B96,EDT!N$33:N$42,"&gt;&lt;",EDT!O$33:O$42,"Répit"),COUNTIFS(EDT!P$33:P$42,B96,EDT!Q$33:Q$42,"&gt;&lt;",EDT!R$33:R$42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,COUNTIFS(#REF!,B96,#REF!,"&gt;&lt;",#REF!,"Répit"))*2</f>
        <v>#REF!</v>
      </c>
      <c r="I96" s="201"/>
      <c r="J96" s="204" t="e">
        <f t="shared" si="2"/>
        <v>#REF!</v>
      </c>
      <c r="K96" s="195"/>
      <c r="L96" s="195"/>
      <c r="M96" s="195"/>
      <c r="N96" s="196">
        <v>94</v>
      </c>
      <c r="O96" s="198"/>
    </row>
    <row r="97" spans="1:15" ht="12.6">
      <c r="A97" s="17"/>
      <c r="B97" s="180"/>
      <c r="C97" s="189" t="e">
        <f t="shared" si="0"/>
        <v>#REF!</v>
      </c>
      <c r="D97" s="190" t="e">
        <f>SUM(COUNTIFS(EDT!D$5:D$25,B97,EDT!F$5:F$25,"ACM"),COUNTIFS(EDT!G$5:G$25,B97,EDT!I$5:I$25,"ACM"),COUNTIFS(EDT!J$5:J$25,B97,EDT!L$5:L$25,"ACM"),COUNTIFS(EDT!M$5:M$25,B97,EDT!O$5:O$25,"ACM"),COUNTIFS(EDT!P$5:P$25,B97,EDT!R$5:R$25,"ACM"),COUNTIFS(EDT!D$43:D$60,B97,EDT!F$43:F$60,"ACM"),COUNTIFS(EDT!G$43:G$60,B97,EDT!I$43:I$60,"ACM"),COUNTIFS(EDT!J$43:J$60,B97,EDT!L$43:L$60,"ACM"),COUNTIFS(EDT!M$43:M$60,B97,EDT!O$43:O$60,"ACM"),COUNTIFS(EDT!P$43:P$60,B97,EDT!R$43:R$60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)*3
+SUM(COUNTIFS(EDT!D$33:D$42,B97,EDT!F$33:F$42,"ACM"),COUNTIFS(EDT!G$33:G$42,B97,EDT!I$33:I$42,"ACM"),COUNTIFS(EDT!J$33:J$42,B97,EDT!L$33:L$42,"ACM"),COUNTIFS(EDT!M$33:M$42,B97,EDT!O$33:O$42,"ACM"),COUNTIFS(EDT!P$33:P$42,B97,EDT!R$33:R$42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,COUNTIFS(#REF!,B97,#REF!,"ACM"))*2</f>
        <v>#REF!</v>
      </c>
      <c r="E97" s="190" t="e">
        <f>SUM(COUNTIFS(EDT!D$5:D$25,B97,EDT!F$5:F$25,"Répit"),COUNTIFS(EDT!G$5:G$25,B97,EDT!I$5:I$25,"Répit"),COUNTIFS(EDT!J$5:J$25,B97,EDT!L$5:L$25,"Répit"),COUNTIFS(EDT!M$5:M$25,B97,EDT!O$5:O$25,"Répit"),COUNTIFS(EDT!P$5:P$25,B97,EDT!R$5:R$25,"Répit"),COUNTIFS(EDT!D$43:D$60,B97,EDT!F$43:F$60,"Répit"),COUNTIFS(EDT!G$43:G$60,B97,EDT!I$43:I$60,"Répit"),COUNTIFS(EDT!J$43:J$60,B97,EDT!L$43:L$60,"Répit"),COUNTIFS(EDT!M$43:M$60,B97,EDT!O$43:O$60,"Répit"),COUNTIFS(EDT!P$43:P$60,B97,EDT!R$43:R$60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)*3
+SUM(COUNTIFS(EDT!D$33:D$42,B97,EDT!F$33:F$42,"Répit"),COUNTIFS(EDT!G$33:G$42,B97,EDT!I$33:I$42,"Répit"),COUNTIFS(EDT!J$33:J$42,B97,EDT!L$33:L$42,"Répit"),COUNTIFS(EDT!M$33:M$42,B97,EDT!O$33:O$42,"Répit"),COUNTIFS(EDT!P$33:P$42,B97,EDT!R$33:R$42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,COUNTIFS(#REF!,B97,#REF!,"Répit"))*2</f>
        <v>#REF!</v>
      </c>
      <c r="F97" s="191" t="e">
        <f t="shared" si="1"/>
        <v>#REF!</v>
      </c>
      <c r="G97" s="185" t="e">
        <f>SUM(COUNTIFS(EDT!D$5:D$25,B97,EDT!E$5:E$25,"&gt;&lt;",EDT!F$5:F$25,"ACM"),COUNTIFS(EDT!G$5:G$25,B97,EDT!H$5:H$25,"&gt;&lt;",EDT!I$5:I$25,"ACM"),COUNTIFS(EDT!J$5:J$25,B97,EDT!K$5:K$25,"&gt;&lt;",EDT!L$5:L$25,"ACM"),COUNTIFS(EDT!M$5:M$25,B97,EDT!N$5:N$25,"&gt;&lt;",EDT!O$5:O$25,"ACM"),COUNTIFS(EDT!P$5:P$25,B97,EDT!Q$5:Q$25,"&gt;&lt;",EDT!R$5:R$25,"ACM"),COUNTIFS(EDT!D$43:D$60,B97,EDT!E$43:E$60,"&gt;&lt;",EDT!F$43:F$60,"ACM"),COUNTIFS(EDT!G$43:G$60,B97,EDT!H$43:H$60,"&gt;&lt;",EDT!I$43:I$60,"ACM"),COUNTIFS(EDT!J$43:J$60,B97,EDT!K$43:K$60,"&gt;&lt;",EDT!L$43:L$60,"ACM"),COUNTIFS(EDT!M$43:M$60,B97,EDT!N$43:N$60,"&gt;&lt;",EDT!O$43:O$60,"ACM"),COUNTIFS(EDT!P$43:P$60,B97,EDT!Q$43:Q$60,"&gt;&lt;",EDT!R$43:R$60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)*3
+SUM(COUNTIFS(EDT!D$33:D$42,B97,EDT!E$33:E$42,"&gt;&lt;",EDT!F$33:F$42,"ACM"),COUNTIFS(EDT!G$33:G$42,B97,EDT!H$33:H$42,"&gt;&lt;",EDT!I$33:I$42,"ACM"),COUNTIFS(EDT!J$33:J$42,B97,EDT!K$33:K$42,"&gt;&lt;",EDT!L$33:L$42,"ACM"),COUNTIFS(EDT!M$33:M$42,B97,EDT!N$33:N$42,"&gt;&lt;",EDT!O$33:O$42,"ACM"),COUNTIFS(EDT!P$33:P$42,B97,EDT!Q$33:Q$42,"&gt;&lt;",EDT!R$33:R$42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,COUNTIFS(#REF!,B97,#REF!,"&gt;&lt;",#REF!,"ACM"))*2</f>
        <v>#REF!</v>
      </c>
      <c r="H97" s="192" t="e">
        <f>SUM(COUNTIFS(EDT!D$5:D$25,B97,EDT!E$5:E$25,"&gt;&lt;",EDT!F$5:F$25,"Répit"),COUNTIFS(EDT!G$5:G$25,B97,EDT!H$5:H$25,"&gt;&lt;",EDT!I$5:I$25,"Répit"),COUNTIFS(EDT!J$5:J$25,B97,EDT!K$5:K$25,"&gt;&lt;",EDT!L$5:L$25,"Répit"),COUNTIFS(EDT!M$5:M$25,B97,EDT!N$5:N$25,"&gt;&lt;",EDT!O$5:O$25,"Répit"),COUNTIFS(EDT!P$5:P$25,B97,EDT!Q$5:Q$25,"&gt;&lt;",EDT!R$5:R$25,"Répit"),COUNTIFS(EDT!D$43:D$60,B97,EDT!E$43:E$60,"&gt;&lt;",EDT!F$43:F$60,"Répit"),COUNTIFS(EDT!G$43:G$60,B97,EDT!H$43:H$60,"&gt;&lt;",EDT!I$43:I$60,"Répit"),COUNTIFS(EDT!J$43:J$60,B97,EDT!K$43:K$60,"&gt;&lt;",EDT!L$43:L$60,"Répit"),COUNTIFS(EDT!M$43:M$60,B97,EDT!N$43:N$60,"&gt;&lt;",EDT!O$43:O$60,"Répit"),COUNTIFS(EDT!P$43:P$60,B97,EDT!Q$43:Q$60,"&gt;&lt;",EDT!R$43:R$60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)*3
+SUM(COUNTIFS(EDT!D$33:D$42,B97,EDT!E$33:E$42,"&gt;&lt;",EDT!F$33:F$42,"Répit"),COUNTIFS(EDT!G$33:G$42,B97,EDT!H$33:H$42,"&gt;&lt;",EDT!I$33:I$42,"Répit"),COUNTIFS(EDT!J$33:J$42,B97,EDT!K$33:K$42,"&gt;&lt;",EDT!L$33:L$42,"Répit"),COUNTIFS(EDT!M$33:M$42,B97,EDT!N$33:N$42,"&gt;&lt;",EDT!O$33:O$42,"Répit"),COUNTIFS(EDT!P$33:P$42,B97,EDT!Q$33:Q$42,"&gt;&lt;",EDT!R$33:R$42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,COUNTIFS(#REF!,B97,#REF!,"&gt;&lt;",#REF!,"Répit"))*2</f>
        <v>#REF!</v>
      </c>
      <c r="I97" s="201"/>
      <c r="J97" s="202" t="e">
        <f t="shared" si="2"/>
        <v>#REF!</v>
      </c>
      <c r="K97" s="195"/>
      <c r="L97" s="195"/>
      <c r="M97" s="195"/>
      <c r="N97" s="196">
        <v>95</v>
      </c>
      <c r="O97" s="198"/>
    </row>
    <row r="98" spans="1:15" ht="12.6">
      <c r="A98" s="17"/>
      <c r="B98" s="180"/>
      <c r="C98" s="189" t="e">
        <f t="shared" si="0"/>
        <v>#REF!</v>
      </c>
      <c r="D98" s="190" t="e">
        <f>SUM(COUNTIFS(EDT!D$5:D$25,B98,EDT!F$5:F$25,"ACM"),COUNTIFS(EDT!G$5:G$25,B98,EDT!I$5:I$25,"ACM"),COUNTIFS(EDT!J$5:J$25,B98,EDT!L$5:L$25,"ACM"),COUNTIFS(EDT!M$5:M$25,B98,EDT!O$5:O$25,"ACM"),COUNTIFS(EDT!P$5:P$25,B98,EDT!R$5:R$25,"ACM"),COUNTIFS(EDT!D$43:D$60,B98,EDT!F$43:F$60,"ACM"),COUNTIFS(EDT!G$43:G$60,B98,EDT!I$43:I$60,"ACM"),COUNTIFS(EDT!J$43:J$60,B98,EDT!L$43:L$60,"ACM"),COUNTIFS(EDT!M$43:M$60,B98,EDT!O$43:O$60,"ACM"),COUNTIFS(EDT!P$43:P$60,B98,EDT!R$43:R$60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)*3
+SUM(COUNTIFS(EDT!D$33:D$42,B98,EDT!F$33:F$42,"ACM"),COUNTIFS(EDT!G$33:G$42,B98,EDT!I$33:I$42,"ACM"),COUNTIFS(EDT!J$33:J$42,B98,EDT!L$33:L$42,"ACM"),COUNTIFS(EDT!M$33:M$42,B98,EDT!O$33:O$42,"ACM"),COUNTIFS(EDT!P$33:P$42,B98,EDT!R$33:R$42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,COUNTIFS(#REF!,B98,#REF!,"ACM"))*2</f>
        <v>#REF!</v>
      </c>
      <c r="E98" s="190" t="e">
        <f>SUM(COUNTIFS(EDT!D$5:D$25,B98,EDT!F$5:F$25,"Répit"),COUNTIFS(EDT!G$5:G$25,B98,EDT!I$5:I$25,"Répit"),COUNTIFS(EDT!J$5:J$25,B98,EDT!L$5:L$25,"Répit"),COUNTIFS(EDT!M$5:M$25,B98,EDT!O$5:O$25,"Répit"),COUNTIFS(EDT!P$5:P$25,B98,EDT!R$5:R$25,"Répit"),COUNTIFS(EDT!D$43:D$60,B98,EDT!F$43:F$60,"Répit"),COUNTIFS(EDT!G$43:G$60,B98,EDT!I$43:I$60,"Répit"),COUNTIFS(EDT!J$43:J$60,B98,EDT!L$43:L$60,"Répit"),COUNTIFS(EDT!M$43:M$60,B98,EDT!O$43:O$60,"Répit"),COUNTIFS(EDT!P$43:P$60,B98,EDT!R$43:R$60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)*3
+SUM(COUNTIFS(EDT!D$33:D$42,B98,EDT!F$33:F$42,"Répit"),COUNTIFS(EDT!G$33:G$42,B98,EDT!I$33:I$42,"Répit"),COUNTIFS(EDT!J$33:J$42,B98,EDT!L$33:L$42,"Répit"),COUNTIFS(EDT!M$33:M$42,B98,EDT!O$33:O$42,"Répit"),COUNTIFS(EDT!P$33:P$42,B98,EDT!R$33:R$42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,COUNTIFS(#REF!,B98,#REF!,"Répit"))*2</f>
        <v>#REF!</v>
      </c>
      <c r="F98" s="191" t="e">
        <f t="shared" si="1"/>
        <v>#REF!</v>
      </c>
      <c r="G98" s="185" t="e">
        <f>SUM(COUNTIFS(EDT!D$5:D$25,B98,EDT!E$5:E$25,"&gt;&lt;",EDT!F$5:F$25,"ACM"),COUNTIFS(EDT!G$5:G$25,B98,EDT!H$5:H$25,"&gt;&lt;",EDT!I$5:I$25,"ACM"),COUNTIFS(EDT!J$5:J$25,B98,EDT!K$5:K$25,"&gt;&lt;",EDT!L$5:L$25,"ACM"),COUNTIFS(EDT!M$5:M$25,B98,EDT!N$5:N$25,"&gt;&lt;",EDT!O$5:O$25,"ACM"),COUNTIFS(EDT!P$5:P$25,B98,EDT!Q$5:Q$25,"&gt;&lt;",EDT!R$5:R$25,"ACM"),COUNTIFS(EDT!D$43:D$60,B98,EDT!E$43:E$60,"&gt;&lt;",EDT!F$43:F$60,"ACM"),COUNTIFS(EDT!G$43:G$60,B98,EDT!H$43:H$60,"&gt;&lt;",EDT!I$43:I$60,"ACM"),COUNTIFS(EDT!J$43:J$60,B98,EDT!K$43:K$60,"&gt;&lt;",EDT!L$43:L$60,"ACM"),COUNTIFS(EDT!M$43:M$60,B98,EDT!N$43:N$60,"&gt;&lt;",EDT!O$43:O$60,"ACM"),COUNTIFS(EDT!P$43:P$60,B98,EDT!Q$43:Q$60,"&gt;&lt;",EDT!R$43:R$60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)*3
+SUM(COUNTIFS(EDT!D$33:D$42,B98,EDT!E$33:E$42,"&gt;&lt;",EDT!F$33:F$42,"ACM"),COUNTIFS(EDT!G$33:G$42,B98,EDT!H$33:H$42,"&gt;&lt;",EDT!I$33:I$42,"ACM"),COUNTIFS(EDT!J$33:J$42,B98,EDT!K$33:K$42,"&gt;&lt;",EDT!L$33:L$42,"ACM"),COUNTIFS(EDT!M$33:M$42,B98,EDT!N$33:N$42,"&gt;&lt;",EDT!O$33:O$42,"ACM"),COUNTIFS(EDT!P$33:P$42,B98,EDT!Q$33:Q$42,"&gt;&lt;",EDT!R$33:R$42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,COUNTIFS(#REF!,B98,#REF!,"&gt;&lt;",#REF!,"ACM"))*2</f>
        <v>#REF!</v>
      </c>
      <c r="H98" s="192" t="e">
        <f>SUM(COUNTIFS(EDT!D$5:D$25,B98,EDT!E$5:E$25,"&gt;&lt;",EDT!F$5:F$25,"Répit"),COUNTIFS(EDT!G$5:G$25,B98,EDT!H$5:H$25,"&gt;&lt;",EDT!I$5:I$25,"Répit"),COUNTIFS(EDT!J$5:J$25,B98,EDT!K$5:K$25,"&gt;&lt;",EDT!L$5:L$25,"Répit"),COUNTIFS(EDT!M$5:M$25,B98,EDT!N$5:N$25,"&gt;&lt;",EDT!O$5:O$25,"Répit"),COUNTIFS(EDT!P$5:P$25,B98,EDT!Q$5:Q$25,"&gt;&lt;",EDT!R$5:R$25,"Répit"),COUNTIFS(EDT!D$43:D$60,B98,EDT!E$43:E$60,"&gt;&lt;",EDT!F$43:F$60,"Répit"),COUNTIFS(EDT!G$43:G$60,B98,EDT!H$43:H$60,"&gt;&lt;",EDT!I$43:I$60,"Répit"),COUNTIFS(EDT!J$43:J$60,B98,EDT!K$43:K$60,"&gt;&lt;",EDT!L$43:L$60,"Répit"),COUNTIFS(EDT!M$43:M$60,B98,EDT!N$43:N$60,"&gt;&lt;",EDT!O$43:O$60,"Répit"),COUNTIFS(EDT!P$43:P$60,B98,EDT!Q$43:Q$60,"&gt;&lt;",EDT!R$43:R$60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)*3
+SUM(COUNTIFS(EDT!D$33:D$42,B98,EDT!E$33:E$42,"&gt;&lt;",EDT!F$33:F$42,"Répit"),COUNTIFS(EDT!G$33:G$42,B98,EDT!H$33:H$42,"&gt;&lt;",EDT!I$33:I$42,"Répit"),COUNTIFS(EDT!J$33:J$42,B98,EDT!K$33:K$42,"&gt;&lt;",EDT!L$33:L$42,"Répit"),COUNTIFS(EDT!M$33:M$42,B98,EDT!N$33:N$42,"&gt;&lt;",EDT!O$33:O$42,"Répit"),COUNTIFS(EDT!P$33:P$42,B98,EDT!Q$33:Q$42,"&gt;&lt;",EDT!R$33:R$42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,COUNTIFS(#REF!,B98,#REF!,"&gt;&lt;",#REF!,"Répit"))*2</f>
        <v>#REF!</v>
      </c>
      <c r="I98" s="201"/>
      <c r="J98" s="204" t="e">
        <f t="shared" si="2"/>
        <v>#REF!</v>
      </c>
      <c r="K98" s="195"/>
      <c r="L98" s="195"/>
      <c r="M98" s="195"/>
      <c r="N98" s="196">
        <v>96</v>
      </c>
      <c r="O98" s="198"/>
    </row>
    <row r="99" spans="1:15" ht="12.6">
      <c r="A99" s="17"/>
      <c r="B99" s="180"/>
      <c r="C99" s="189" t="e">
        <f t="shared" si="0"/>
        <v>#REF!</v>
      </c>
      <c r="D99" s="190" t="e">
        <f>SUM(COUNTIFS(EDT!D$5:D$25,B99,EDT!F$5:F$25,"ACM"),COUNTIFS(EDT!G$5:G$25,B99,EDT!I$5:I$25,"ACM"),COUNTIFS(EDT!J$5:J$25,B99,EDT!L$5:L$25,"ACM"),COUNTIFS(EDT!M$5:M$25,B99,EDT!O$5:O$25,"ACM"),COUNTIFS(EDT!P$5:P$25,B99,EDT!R$5:R$25,"ACM"),COUNTIFS(EDT!D$43:D$60,B99,EDT!F$43:F$60,"ACM"),COUNTIFS(EDT!G$43:G$60,B99,EDT!I$43:I$60,"ACM"),COUNTIFS(EDT!J$43:J$60,B99,EDT!L$43:L$60,"ACM"),COUNTIFS(EDT!M$43:M$60,B99,EDT!O$43:O$60,"ACM"),COUNTIFS(EDT!P$43:P$60,B99,EDT!R$43:R$60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)*3
+SUM(COUNTIFS(EDT!D$33:D$42,B99,EDT!F$33:F$42,"ACM"),COUNTIFS(EDT!G$33:G$42,B99,EDT!I$33:I$42,"ACM"),COUNTIFS(EDT!J$33:J$42,B99,EDT!L$33:L$42,"ACM"),COUNTIFS(EDT!M$33:M$42,B99,EDT!O$33:O$42,"ACM"),COUNTIFS(EDT!P$33:P$42,B99,EDT!R$33:R$42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,COUNTIFS(#REF!,B99,#REF!,"ACM"))*2</f>
        <v>#REF!</v>
      </c>
      <c r="E99" s="190" t="e">
        <f>SUM(COUNTIFS(EDT!D$5:D$25,B99,EDT!F$5:F$25,"Répit"),COUNTIFS(EDT!G$5:G$25,B99,EDT!I$5:I$25,"Répit"),COUNTIFS(EDT!J$5:J$25,B99,EDT!L$5:L$25,"Répit"),COUNTIFS(EDT!M$5:M$25,B99,EDT!O$5:O$25,"Répit"),COUNTIFS(EDT!P$5:P$25,B99,EDT!R$5:R$25,"Répit"),COUNTIFS(EDT!D$43:D$60,B99,EDT!F$43:F$60,"Répit"),COUNTIFS(EDT!G$43:G$60,B99,EDT!I$43:I$60,"Répit"),COUNTIFS(EDT!J$43:J$60,B99,EDT!L$43:L$60,"Répit"),COUNTIFS(EDT!M$43:M$60,B99,EDT!O$43:O$60,"Répit"),COUNTIFS(EDT!P$43:P$60,B99,EDT!R$43:R$60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)*3
+SUM(COUNTIFS(EDT!D$33:D$42,B99,EDT!F$33:F$42,"Répit"),COUNTIFS(EDT!G$33:G$42,B99,EDT!I$33:I$42,"Répit"),COUNTIFS(EDT!J$33:J$42,B99,EDT!L$33:L$42,"Répit"),COUNTIFS(EDT!M$33:M$42,B99,EDT!O$33:O$42,"Répit"),COUNTIFS(EDT!P$33:P$42,B99,EDT!R$33:R$42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,COUNTIFS(#REF!,B99,#REF!,"Répit"))*2</f>
        <v>#REF!</v>
      </c>
      <c r="F99" s="191" t="e">
        <f t="shared" si="1"/>
        <v>#REF!</v>
      </c>
      <c r="G99" s="185" t="e">
        <f>SUM(COUNTIFS(EDT!D$5:D$25,B99,EDT!E$5:E$25,"&gt;&lt;",EDT!F$5:F$25,"ACM"),COUNTIFS(EDT!G$5:G$25,B99,EDT!H$5:H$25,"&gt;&lt;",EDT!I$5:I$25,"ACM"),COUNTIFS(EDT!J$5:J$25,B99,EDT!K$5:K$25,"&gt;&lt;",EDT!L$5:L$25,"ACM"),COUNTIFS(EDT!M$5:M$25,B99,EDT!N$5:N$25,"&gt;&lt;",EDT!O$5:O$25,"ACM"),COUNTIFS(EDT!P$5:P$25,B99,EDT!Q$5:Q$25,"&gt;&lt;",EDT!R$5:R$25,"ACM"),COUNTIFS(EDT!D$43:D$60,B99,EDT!E$43:E$60,"&gt;&lt;",EDT!F$43:F$60,"ACM"),COUNTIFS(EDT!G$43:G$60,B99,EDT!H$43:H$60,"&gt;&lt;",EDT!I$43:I$60,"ACM"),COUNTIFS(EDT!J$43:J$60,B99,EDT!K$43:K$60,"&gt;&lt;",EDT!L$43:L$60,"ACM"),COUNTIFS(EDT!M$43:M$60,B99,EDT!N$43:N$60,"&gt;&lt;",EDT!O$43:O$60,"ACM"),COUNTIFS(EDT!P$43:P$60,B99,EDT!Q$43:Q$60,"&gt;&lt;",EDT!R$43:R$60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)*3
+SUM(COUNTIFS(EDT!D$33:D$42,B99,EDT!E$33:E$42,"&gt;&lt;",EDT!F$33:F$42,"ACM"),COUNTIFS(EDT!G$33:G$42,B99,EDT!H$33:H$42,"&gt;&lt;",EDT!I$33:I$42,"ACM"),COUNTIFS(EDT!J$33:J$42,B99,EDT!K$33:K$42,"&gt;&lt;",EDT!L$33:L$42,"ACM"),COUNTIFS(EDT!M$33:M$42,B99,EDT!N$33:N$42,"&gt;&lt;",EDT!O$33:O$42,"ACM"),COUNTIFS(EDT!P$33:P$42,B99,EDT!Q$33:Q$42,"&gt;&lt;",EDT!R$33:R$42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,COUNTIFS(#REF!,B99,#REF!,"&gt;&lt;",#REF!,"ACM"))*2</f>
        <v>#REF!</v>
      </c>
      <c r="H99" s="192" t="e">
        <f>SUM(COUNTIFS(EDT!D$5:D$25,B99,EDT!E$5:E$25,"&gt;&lt;",EDT!F$5:F$25,"Répit"),COUNTIFS(EDT!G$5:G$25,B99,EDT!H$5:H$25,"&gt;&lt;",EDT!I$5:I$25,"Répit"),COUNTIFS(EDT!J$5:J$25,B99,EDT!K$5:K$25,"&gt;&lt;",EDT!L$5:L$25,"Répit"),COUNTIFS(EDT!M$5:M$25,B99,EDT!N$5:N$25,"&gt;&lt;",EDT!O$5:O$25,"Répit"),COUNTIFS(EDT!P$5:P$25,B99,EDT!Q$5:Q$25,"&gt;&lt;",EDT!R$5:R$25,"Répit"),COUNTIFS(EDT!D$43:D$60,B99,EDT!E$43:E$60,"&gt;&lt;",EDT!F$43:F$60,"Répit"),COUNTIFS(EDT!G$43:G$60,B99,EDT!H$43:H$60,"&gt;&lt;",EDT!I$43:I$60,"Répit"),COUNTIFS(EDT!J$43:J$60,B99,EDT!K$43:K$60,"&gt;&lt;",EDT!L$43:L$60,"Répit"),COUNTIFS(EDT!M$43:M$60,B99,EDT!N$43:N$60,"&gt;&lt;",EDT!O$43:O$60,"Répit"),COUNTIFS(EDT!P$43:P$60,B99,EDT!Q$43:Q$60,"&gt;&lt;",EDT!R$43:R$60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)*3
+SUM(COUNTIFS(EDT!D$33:D$42,B99,EDT!E$33:E$42,"&gt;&lt;",EDT!F$33:F$42,"Répit"),COUNTIFS(EDT!G$33:G$42,B99,EDT!H$33:H$42,"&gt;&lt;",EDT!I$33:I$42,"Répit"),COUNTIFS(EDT!J$33:J$42,B99,EDT!K$33:K$42,"&gt;&lt;",EDT!L$33:L$42,"Répit"),COUNTIFS(EDT!M$33:M$42,B99,EDT!N$33:N$42,"&gt;&lt;",EDT!O$33:O$42,"Répit"),COUNTIFS(EDT!P$33:P$42,B99,EDT!Q$33:Q$42,"&gt;&lt;",EDT!R$33:R$42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,COUNTIFS(#REF!,B99,#REF!,"&gt;&lt;",#REF!,"Répit"))*2</f>
        <v>#REF!</v>
      </c>
      <c r="I99" s="201"/>
      <c r="J99" s="202" t="e">
        <f t="shared" si="2"/>
        <v>#REF!</v>
      </c>
      <c r="K99" s="195"/>
      <c r="L99" s="195"/>
      <c r="M99" s="195"/>
      <c r="N99" s="196">
        <v>97</v>
      </c>
      <c r="O99" s="198"/>
    </row>
    <row r="100" spans="1:15" ht="12.6">
      <c r="A100" s="17"/>
      <c r="B100" s="180"/>
      <c r="C100" s="189" t="e">
        <f t="shared" si="0"/>
        <v>#REF!</v>
      </c>
      <c r="D100" s="190" t="e">
        <f>SUM(COUNTIFS(EDT!D$5:D$25,B100,EDT!F$5:F$25,"ACM"),COUNTIFS(EDT!G$5:G$25,B100,EDT!I$5:I$25,"ACM"),COUNTIFS(EDT!J$5:J$25,B100,EDT!L$5:L$25,"ACM"),COUNTIFS(EDT!M$5:M$25,B100,EDT!O$5:O$25,"ACM"),COUNTIFS(EDT!P$5:P$25,B100,EDT!R$5:R$25,"ACM"),COUNTIFS(EDT!D$43:D$60,B100,EDT!F$43:F$60,"ACM"),COUNTIFS(EDT!G$43:G$60,B100,EDT!I$43:I$60,"ACM"),COUNTIFS(EDT!J$43:J$60,B100,EDT!L$43:L$60,"ACM"),COUNTIFS(EDT!M$43:M$60,B100,EDT!O$43:O$60,"ACM"),COUNTIFS(EDT!P$43:P$60,B100,EDT!R$43:R$60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)*3
+SUM(COUNTIFS(EDT!D$33:D$42,B100,EDT!F$33:F$42,"ACM"),COUNTIFS(EDT!G$33:G$42,B100,EDT!I$33:I$42,"ACM"),COUNTIFS(EDT!J$33:J$42,B100,EDT!L$33:L$42,"ACM"),COUNTIFS(EDT!M$33:M$42,B100,EDT!O$33:O$42,"ACM"),COUNTIFS(EDT!P$33:P$42,B100,EDT!R$33:R$42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,COUNTIFS(#REF!,B100,#REF!,"ACM"))*2</f>
        <v>#REF!</v>
      </c>
      <c r="E100" s="190" t="e">
        <f>SUM(COUNTIFS(EDT!D$5:D$25,B100,EDT!F$5:F$25,"Répit"),COUNTIFS(EDT!G$5:G$25,B100,EDT!I$5:I$25,"Répit"),COUNTIFS(EDT!J$5:J$25,B100,EDT!L$5:L$25,"Répit"),COUNTIFS(EDT!M$5:M$25,B100,EDT!O$5:O$25,"Répit"),COUNTIFS(EDT!P$5:P$25,B100,EDT!R$5:R$25,"Répit"),COUNTIFS(EDT!D$43:D$60,B100,EDT!F$43:F$60,"Répit"),COUNTIFS(EDT!G$43:G$60,B100,EDT!I$43:I$60,"Répit"),COUNTIFS(EDT!J$43:J$60,B100,EDT!L$43:L$60,"Répit"),COUNTIFS(EDT!M$43:M$60,B100,EDT!O$43:O$60,"Répit"),COUNTIFS(EDT!P$43:P$60,B100,EDT!R$43:R$60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)*3
+SUM(COUNTIFS(EDT!D$33:D$42,B100,EDT!F$33:F$42,"Répit"),COUNTIFS(EDT!G$33:G$42,B100,EDT!I$33:I$42,"Répit"),COUNTIFS(EDT!J$33:J$42,B100,EDT!L$33:L$42,"Répit"),COUNTIFS(EDT!M$33:M$42,B100,EDT!O$33:O$42,"Répit"),COUNTIFS(EDT!P$33:P$42,B100,EDT!R$33:R$42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,COUNTIFS(#REF!,B100,#REF!,"Répit"))*2</f>
        <v>#REF!</v>
      </c>
      <c r="F100" s="191" t="e">
        <f t="shared" si="1"/>
        <v>#REF!</v>
      </c>
      <c r="G100" s="185" t="e">
        <f>SUM(COUNTIFS(EDT!D$5:D$25,B100,EDT!E$5:E$25,"&gt;&lt;",EDT!F$5:F$25,"ACM"),COUNTIFS(EDT!G$5:G$25,B100,EDT!H$5:H$25,"&gt;&lt;",EDT!I$5:I$25,"ACM"),COUNTIFS(EDT!J$5:J$25,B100,EDT!K$5:K$25,"&gt;&lt;",EDT!L$5:L$25,"ACM"),COUNTIFS(EDT!M$5:M$25,B100,EDT!N$5:N$25,"&gt;&lt;",EDT!O$5:O$25,"ACM"),COUNTIFS(EDT!P$5:P$25,B100,EDT!Q$5:Q$25,"&gt;&lt;",EDT!R$5:R$25,"ACM"),COUNTIFS(EDT!D$43:D$60,B100,EDT!E$43:E$60,"&gt;&lt;",EDT!F$43:F$60,"ACM"),COUNTIFS(EDT!G$43:G$60,B100,EDT!H$43:H$60,"&gt;&lt;",EDT!I$43:I$60,"ACM"),COUNTIFS(EDT!J$43:J$60,B100,EDT!K$43:K$60,"&gt;&lt;",EDT!L$43:L$60,"ACM"),COUNTIFS(EDT!M$43:M$60,B100,EDT!N$43:N$60,"&gt;&lt;",EDT!O$43:O$60,"ACM"),COUNTIFS(EDT!P$43:P$60,B100,EDT!Q$43:Q$60,"&gt;&lt;",EDT!R$43:R$60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)*3
+SUM(COUNTIFS(EDT!D$33:D$42,B100,EDT!E$33:E$42,"&gt;&lt;",EDT!F$33:F$42,"ACM"),COUNTIFS(EDT!G$33:G$42,B100,EDT!H$33:H$42,"&gt;&lt;",EDT!I$33:I$42,"ACM"),COUNTIFS(EDT!J$33:J$42,B100,EDT!K$33:K$42,"&gt;&lt;",EDT!L$33:L$42,"ACM"),COUNTIFS(EDT!M$33:M$42,B100,EDT!N$33:N$42,"&gt;&lt;",EDT!O$33:O$42,"ACM"),COUNTIFS(EDT!P$33:P$42,B100,EDT!Q$33:Q$42,"&gt;&lt;",EDT!R$33:R$42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,COUNTIFS(#REF!,B100,#REF!,"&gt;&lt;",#REF!,"ACM"))*2</f>
        <v>#REF!</v>
      </c>
      <c r="H100" s="192" t="e">
        <f>SUM(COUNTIFS(EDT!D$5:D$25,B100,EDT!E$5:E$25,"&gt;&lt;",EDT!F$5:F$25,"Répit"),COUNTIFS(EDT!G$5:G$25,B100,EDT!H$5:H$25,"&gt;&lt;",EDT!I$5:I$25,"Répit"),COUNTIFS(EDT!J$5:J$25,B100,EDT!K$5:K$25,"&gt;&lt;",EDT!L$5:L$25,"Répit"),COUNTIFS(EDT!M$5:M$25,B100,EDT!N$5:N$25,"&gt;&lt;",EDT!O$5:O$25,"Répit"),COUNTIFS(EDT!P$5:P$25,B100,EDT!Q$5:Q$25,"&gt;&lt;",EDT!R$5:R$25,"Répit"),COUNTIFS(EDT!D$43:D$60,B100,EDT!E$43:E$60,"&gt;&lt;",EDT!F$43:F$60,"Répit"),COUNTIFS(EDT!G$43:G$60,B100,EDT!H$43:H$60,"&gt;&lt;",EDT!I$43:I$60,"Répit"),COUNTIFS(EDT!J$43:J$60,B100,EDT!K$43:K$60,"&gt;&lt;",EDT!L$43:L$60,"Répit"),COUNTIFS(EDT!M$43:M$60,B100,EDT!N$43:N$60,"&gt;&lt;",EDT!O$43:O$60,"Répit"),COUNTIFS(EDT!P$43:P$60,B100,EDT!Q$43:Q$60,"&gt;&lt;",EDT!R$43:R$60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)*3
+SUM(COUNTIFS(EDT!D$33:D$42,B100,EDT!E$33:E$42,"&gt;&lt;",EDT!F$33:F$42,"Répit"),COUNTIFS(EDT!G$33:G$42,B100,EDT!H$33:H$42,"&gt;&lt;",EDT!I$33:I$42,"Répit"),COUNTIFS(EDT!J$33:J$42,B100,EDT!K$33:K$42,"&gt;&lt;",EDT!L$33:L$42,"Répit"),COUNTIFS(EDT!M$33:M$42,B100,EDT!N$33:N$42,"&gt;&lt;",EDT!O$33:O$42,"Répit"),COUNTIFS(EDT!P$33:P$42,B100,EDT!Q$33:Q$42,"&gt;&lt;",EDT!R$33:R$42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,COUNTIFS(#REF!,B100,#REF!,"&gt;&lt;",#REF!,"Répit"))*2</f>
        <v>#REF!</v>
      </c>
      <c r="I100" s="201"/>
      <c r="J100" s="204" t="e">
        <f t="shared" si="2"/>
        <v>#REF!</v>
      </c>
      <c r="K100" s="195"/>
      <c r="L100" s="195"/>
      <c r="M100" s="195"/>
      <c r="N100" s="196">
        <v>98</v>
      </c>
      <c r="O100" s="198"/>
    </row>
    <row r="101" spans="1:15" ht="12.6">
      <c r="A101" s="17"/>
      <c r="B101" s="180"/>
      <c r="C101" s="189" t="e">
        <f t="shared" si="0"/>
        <v>#REF!</v>
      </c>
      <c r="D101" s="190" t="e">
        <f>SUM(COUNTIFS(EDT!D$5:D$25,B101,EDT!F$5:F$25,"ACM"),COUNTIFS(EDT!G$5:G$25,B101,EDT!I$5:I$25,"ACM"),COUNTIFS(EDT!J$5:J$25,B101,EDT!L$5:L$25,"ACM"),COUNTIFS(EDT!M$5:M$25,B101,EDT!O$5:O$25,"ACM"),COUNTIFS(EDT!P$5:P$25,B101,EDT!R$5:R$25,"ACM"),COUNTIFS(EDT!D$43:D$60,B101,EDT!F$43:F$60,"ACM"),COUNTIFS(EDT!G$43:G$60,B101,EDT!I$43:I$60,"ACM"),COUNTIFS(EDT!J$43:J$60,B101,EDT!L$43:L$60,"ACM"),COUNTIFS(EDT!M$43:M$60,B101,EDT!O$43:O$60,"ACM"),COUNTIFS(EDT!P$43:P$60,B101,EDT!R$43:R$60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)*3
+SUM(COUNTIFS(EDT!D$33:D$42,B101,EDT!F$33:F$42,"ACM"),COUNTIFS(EDT!G$33:G$42,B101,EDT!I$33:I$42,"ACM"),COUNTIFS(EDT!J$33:J$42,B101,EDT!L$33:L$42,"ACM"),COUNTIFS(EDT!M$33:M$42,B101,EDT!O$33:O$42,"ACM"),COUNTIFS(EDT!P$33:P$42,B101,EDT!R$33:R$42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,COUNTIFS(#REF!,B101,#REF!,"ACM"))*2</f>
        <v>#REF!</v>
      </c>
      <c r="E101" s="190" t="e">
        <f>SUM(COUNTIFS(EDT!D$5:D$25,B101,EDT!F$5:F$25,"Répit"),COUNTIFS(EDT!G$5:G$25,B101,EDT!I$5:I$25,"Répit"),COUNTIFS(EDT!J$5:J$25,B101,EDT!L$5:L$25,"Répit"),COUNTIFS(EDT!M$5:M$25,B101,EDT!O$5:O$25,"Répit"),COUNTIFS(EDT!P$5:P$25,B101,EDT!R$5:R$25,"Répit"),COUNTIFS(EDT!D$43:D$60,B101,EDT!F$43:F$60,"Répit"),COUNTIFS(EDT!G$43:G$60,B101,EDT!I$43:I$60,"Répit"),COUNTIFS(EDT!J$43:J$60,B101,EDT!L$43:L$60,"Répit"),COUNTIFS(EDT!M$43:M$60,B101,EDT!O$43:O$60,"Répit"),COUNTIFS(EDT!P$43:P$60,B101,EDT!R$43:R$60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)*3
+SUM(COUNTIFS(EDT!D$33:D$42,B101,EDT!F$33:F$42,"Répit"),COUNTIFS(EDT!G$33:G$42,B101,EDT!I$33:I$42,"Répit"),COUNTIFS(EDT!J$33:J$42,B101,EDT!L$33:L$42,"Répit"),COUNTIFS(EDT!M$33:M$42,B101,EDT!O$33:O$42,"Répit"),COUNTIFS(EDT!P$33:P$42,B101,EDT!R$33:R$42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,COUNTIFS(#REF!,B101,#REF!,"Répit"))*2</f>
        <v>#REF!</v>
      </c>
      <c r="F101" s="191" t="e">
        <f t="shared" si="1"/>
        <v>#REF!</v>
      </c>
      <c r="G101" s="185" t="e">
        <f>SUM(COUNTIFS(EDT!D$5:D$25,B101,EDT!E$5:E$25,"&gt;&lt;",EDT!F$5:F$25,"ACM"),COUNTIFS(EDT!G$5:G$25,B101,EDT!H$5:H$25,"&gt;&lt;",EDT!I$5:I$25,"ACM"),COUNTIFS(EDT!J$5:J$25,B101,EDT!K$5:K$25,"&gt;&lt;",EDT!L$5:L$25,"ACM"),COUNTIFS(EDT!M$5:M$25,B101,EDT!N$5:N$25,"&gt;&lt;",EDT!O$5:O$25,"ACM"),COUNTIFS(EDT!P$5:P$25,B101,EDT!Q$5:Q$25,"&gt;&lt;",EDT!R$5:R$25,"ACM"),COUNTIFS(EDT!D$43:D$60,B101,EDT!E$43:E$60,"&gt;&lt;",EDT!F$43:F$60,"ACM"),COUNTIFS(EDT!G$43:G$60,B101,EDT!H$43:H$60,"&gt;&lt;",EDT!I$43:I$60,"ACM"),COUNTIFS(EDT!J$43:J$60,B101,EDT!K$43:K$60,"&gt;&lt;",EDT!L$43:L$60,"ACM"),COUNTIFS(EDT!M$43:M$60,B101,EDT!N$43:N$60,"&gt;&lt;",EDT!O$43:O$60,"ACM"),COUNTIFS(EDT!P$43:P$60,B101,EDT!Q$43:Q$60,"&gt;&lt;",EDT!R$43:R$60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)*3
+SUM(COUNTIFS(EDT!D$33:D$42,B101,EDT!E$33:E$42,"&gt;&lt;",EDT!F$33:F$42,"ACM"),COUNTIFS(EDT!G$33:G$42,B101,EDT!H$33:H$42,"&gt;&lt;",EDT!I$33:I$42,"ACM"),COUNTIFS(EDT!J$33:J$42,B101,EDT!K$33:K$42,"&gt;&lt;",EDT!L$33:L$42,"ACM"),COUNTIFS(EDT!M$33:M$42,B101,EDT!N$33:N$42,"&gt;&lt;",EDT!O$33:O$42,"ACM"),COUNTIFS(EDT!P$33:P$42,B101,EDT!Q$33:Q$42,"&gt;&lt;",EDT!R$33:R$42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,COUNTIFS(#REF!,B101,#REF!,"&gt;&lt;",#REF!,"ACM"))*2</f>
        <v>#REF!</v>
      </c>
      <c r="H101" s="192" t="e">
        <f>SUM(COUNTIFS(EDT!D$5:D$25,B101,EDT!E$5:E$25,"&gt;&lt;",EDT!F$5:F$25,"Répit"),COUNTIFS(EDT!G$5:G$25,B101,EDT!H$5:H$25,"&gt;&lt;",EDT!I$5:I$25,"Répit"),COUNTIFS(EDT!J$5:J$25,B101,EDT!K$5:K$25,"&gt;&lt;",EDT!L$5:L$25,"Répit"),COUNTIFS(EDT!M$5:M$25,B101,EDT!N$5:N$25,"&gt;&lt;",EDT!O$5:O$25,"Répit"),COUNTIFS(EDT!P$5:P$25,B101,EDT!Q$5:Q$25,"&gt;&lt;",EDT!R$5:R$25,"Répit"),COUNTIFS(EDT!D$43:D$60,B101,EDT!E$43:E$60,"&gt;&lt;",EDT!F$43:F$60,"Répit"),COUNTIFS(EDT!G$43:G$60,B101,EDT!H$43:H$60,"&gt;&lt;",EDT!I$43:I$60,"Répit"),COUNTIFS(EDT!J$43:J$60,B101,EDT!K$43:K$60,"&gt;&lt;",EDT!L$43:L$60,"Répit"),COUNTIFS(EDT!M$43:M$60,B101,EDT!N$43:N$60,"&gt;&lt;",EDT!O$43:O$60,"Répit"),COUNTIFS(EDT!P$43:P$60,B101,EDT!Q$43:Q$60,"&gt;&lt;",EDT!R$43:R$60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)*3
+SUM(COUNTIFS(EDT!D$33:D$42,B101,EDT!E$33:E$42,"&gt;&lt;",EDT!F$33:F$42,"Répit"),COUNTIFS(EDT!G$33:G$42,B101,EDT!H$33:H$42,"&gt;&lt;",EDT!I$33:I$42,"Répit"),COUNTIFS(EDT!J$33:J$42,B101,EDT!K$33:K$42,"&gt;&lt;",EDT!L$33:L$42,"Répit"),COUNTIFS(EDT!M$33:M$42,B101,EDT!N$33:N$42,"&gt;&lt;",EDT!O$33:O$42,"Répit"),COUNTIFS(EDT!P$33:P$42,B101,EDT!Q$33:Q$42,"&gt;&lt;",EDT!R$33:R$42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,COUNTIFS(#REF!,B101,#REF!,"&gt;&lt;",#REF!,"Répit"))*2</f>
        <v>#REF!</v>
      </c>
      <c r="I101" s="201"/>
      <c r="J101" s="202" t="e">
        <f t="shared" si="2"/>
        <v>#REF!</v>
      </c>
      <c r="K101" s="195"/>
      <c r="L101" s="195"/>
      <c r="M101" s="195"/>
      <c r="N101" s="196">
        <v>99</v>
      </c>
      <c r="O101" s="198"/>
    </row>
    <row r="102" spans="1:15" ht="12.6">
      <c r="A102" s="17"/>
      <c r="B102" s="208" t="s">
        <v>133</v>
      </c>
      <c r="C102" s="209" t="e">
        <f t="shared" ref="C102:H102" ca="1" si="4">SUM(C3:C101)</f>
        <v>#REF!</v>
      </c>
      <c r="D102" s="209" t="e">
        <f t="shared" ca="1" si="4"/>
        <v>#REF!</v>
      </c>
      <c r="E102" s="209" t="e">
        <f t="shared" ca="1" si="4"/>
        <v>#REF!</v>
      </c>
      <c r="F102" s="210" t="e">
        <f t="shared" ca="1" si="4"/>
        <v>#REF!</v>
      </c>
      <c r="G102" s="209" t="e">
        <f t="shared" ca="1" si="4"/>
        <v>#REF!</v>
      </c>
      <c r="H102" s="209" t="e">
        <f t="shared" ca="1" si="4"/>
        <v>#REF!</v>
      </c>
      <c r="I102" s="201"/>
      <c r="J102" s="194" t="e">
        <f ca="1">SUM(J3:J101)</f>
        <v>#REF!</v>
      </c>
      <c r="K102" s="195"/>
      <c r="L102" s="195"/>
      <c r="M102" s="195"/>
      <c r="N102" s="195"/>
      <c r="O102" s="198"/>
    </row>
    <row r="103" spans="1:15" ht="12.6">
      <c r="F103" s="211"/>
      <c r="L103" s="186"/>
      <c r="M103" s="186"/>
      <c r="N103" s="186"/>
    </row>
    <row r="104" spans="1:15" ht="12.6">
      <c r="F104" s="211"/>
      <c r="L104" s="186"/>
      <c r="M104" s="186"/>
      <c r="N104" s="186"/>
    </row>
    <row r="105" spans="1:15" ht="12.6">
      <c r="F105" s="211"/>
      <c r="L105" s="186"/>
      <c r="M105" s="186"/>
      <c r="N105" s="186"/>
    </row>
    <row r="106" spans="1:15" ht="12.6">
      <c r="F106" s="211"/>
      <c r="L106" s="186"/>
      <c r="M106" s="186"/>
      <c r="N106" s="186"/>
    </row>
    <row r="107" spans="1:15" ht="12.6">
      <c r="F107" s="211"/>
      <c r="L107" s="186"/>
      <c r="M107" s="186"/>
      <c r="N107" s="186"/>
    </row>
    <row r="108" spans="1:15" ht="12.6">
      <c r="F108" s="211"/>
      <c r="L108" s="186"/>
      <c r="M108" s="186"/>
      <c r="N108" s="186"/>
    </row>
    <row r="109" spans="1:15" ht="12.6">
      <c r="F109" s="211"/>
      <c r="L109" s="186"/>
      <c r="M109" s="186"/>
      <c r="N109" s="186"/>
    </row>
    <row r="110" spans="1:15" ht="12.6">
      <c r="F110" s="211"/>
      <c r="L110" s="186"/>
      <c r="M110" s="186"/>
      <c r="N110" s="186"/>
    </row>
    <row r="111" spans="1:15" ht="12.6">
      <c r="F111" s="211"/>
      <c r="L111" s="186"/>
      <c r="M111" s="186"/>
      <c r="N111" s="186"/>
    </row>
    <row r="112" spans="1:15" ht="12.6">
      <c r="F112" s="211"/>
      <c r="L112" s="186"/>
      <c r="M112" s="186"/>
      <c r="N112" s="186"/>
    </row>
    <row r="113" spans="6:14" ht="12.6">
      <c r="F113" s="211"/>
      <c r="L113" s="186"/>
      <c r="M113" s="186"/>
      <c r="N113" s="186"/>
    </row>
    <row r="114" spans="6:14" ht="12.6">
      <c r="F114" s="211"/>
      <c r="L114" s="186"/>
      <c r="M114" s="186"/>
      <c r="N114" s="186"/>
    </row>
    <row r="115" spans="6:14" ht="12.6">
      <c r="F115" s="211"/>
      <c r="L115" s="186"/>
      <c r="M115" s="186"/>
      <c r="N115" s="186"/>
    </row>
    <row r="116" spans="6:14" ht="12.6">
      <c r="F116" s="211"/>
      <c r="L116" s="186"/>
      <c r="M116" s="186"/>
      <c r="N116" s="186"/>
    </row>
    <row r="117" spans="6:14" ht="12.6">
      <c r="F117" s="211"/>
      <c r="L117" s="186"/>
      <c r="M117" s="186"/>
      <c r="N117" s="186"/>
    </row>
    <row r="118" spans="6:14" ht="12.6">
      <c r="F118" s="211"/>
      <c r="L118" s="186"/>
      <c r="M118" s="186"/>
      <c r="N118" s="186"/>
    </row>
    <row r="119" spans="6:14" ht="12.6">
      <c r="F119" s="211"/>
      <c r="L119" s="186"/>
      <c r="M119" s="186"/>
      <c r="N119" s="186"/>
    </row>
    <row r="120" spans="6:14" ht="12.6">
      <c r="F120" s="211"/>
      <c r="L120" s="186"/>
      <c r="M120" s="186"/>
      <c r="N120" s="186"/>
    </row>
    <row r="121" spans="6:14" ht="12.6">
      <c r="F121" s="211"/>
      <c r="L121" s="186"/>
      <c r="M121" s="186"/>
      <c r="N121" s="186"/>
    </row>
    <row r="122" spans="6:14" ht="12.6">
      <c r="F122" s="211"/>
      <c r="L122" s="186"/>
      <c r="M122" s="186"/>
      <c r="N122" s="186"/>
    </row>
    <row r="123" spans="6:14" ht="12.6">
      <c r="F123" s="211"/>
      <c r="L123" s="186"/>
      <c r="M123" s="186"/>
      <c r="N123" s="186"/>
    </row>
    <row r="124" spans="6:14" ht="12.6">
      <c r="F124" s="211"/>
      <c r="L124" s="186"/>
      <c r="M124" s="186"/>
      <c r="N124" s="186"/>
    </row>
    <row r="125" spans="6:14" ht="12.6">
      <c r="F125" s="211"/>
      <c r="L125" s="186"/>
      <c r="M125" s="186"/>
      <c r="N125" s="186"/>
    </row>
    <row r="126" spans="6:14" ht="12.6">
      <c r="F126" s="211"/>
      <c r="L126" s="186"/>
      <c r="M126" s="186"/>
      <c r="N126" s="186"/>
    </row>
    <row r="127" spans="6:14" ht="12.6">
      <c r="F127" s="211"/>
      <c r="L127" s="186"/>
      <c r="M127" s="186"/>
      <c r="N127" s="186"/>
    </row>
    <row r="128" spans="6:14" ht="12.6">
      <c r="F128" s="211"/>
      <c r="L128" s="186"/>
      <c r="M128" s="186"/>
      <c r="N128" s="186"/>
    </row>
    <row r="129" spans="6:14" ht="12.6">
      <c r="F129" s="211"/>
      <c r="L129" s="186"/>
      <c r="M129" s="186"/>
      <c r="N129" s="186"/>
    </row>
    <row r="130" spans="6:14" ht="12.6">
      <c r="F130" s="211"/>
      <c r="L130" s="186"/>
      <c r="M130" s="186"/>
      <c r="N130" s="186"/>
    </row>
    <row r="131" spans="6:14" ht="12.6">
      <c r="F131" s="211"/>
      <c r="L131" s="186"/>
      <c r="M131" s="186"/>
      <c r="N131" s="186"/>
    </row>
    <row r="132" spans="6:14" ht="12.6">
      <c r="F132" s="211"/>
      <c r="L132" s="186"/>
      <c r="M132" s="186"/>
      <c r="N132" s="186"/>
    </row>
    <row r="133" spans="6:14" ht="12.6">
      <c r="F133" s="211"/>
      <c r="L133" s="186"/>
      <c r="M133" s="186"/>
      <c r="N133" s="186"/>
    </row>
    <row r="134" spans="6:14" ht="12.6">
      <c r="F134" s="211"/>
      <c r="L134" s="186"/>
      <c r="M134" s="186"/>
      <c r="N134" s="186"/>
    </row>
    <row r="135" spans="6:14" ht="12.6">
      <c r="F135" s="211"/>
      <c r="L135" s="186"/>
      <c r="M135" s="186"/>
      <c r="N135" s="186"/>
    </row>
    <row r="136" spans="6:14" ht="12.6">
      <c r="F136" s="211"/>
      <c r="L136" s="186"/>
      <c r="M136" s="186"/>
      <c r="N136" s="186"/>
    </row>
    <row r="137" spans="6:14" ht="12.6">
      <c r="F137" s="211"/>
      <c r="L137" s="186"/>
      <c r="M137" s="186"/>
      <c r="N137" s="186"/>
    </row>
    <row r="138" spans="6:14" ht="12.6">
      <c r="F138" s="211"/>
      <c r="L138" s="186"/>
      <c r="M138" s="186"/>
      <c r="N138" s="186"/>
    </row>
    <row r="139" spans="6:14" ht="12.6">
      <c r="F139" s="211"/>
      <c r="L139" s="186"/>
      <c r="M139" s="186"/>
      <c r="N139" s="186"/>
    </row>
    <row r="140" spans="6:14" ht="12.6">
      <c r="F140" s="211"/>
      <c r="L140" s="186"/>
      <c r="M140" s="186"/>
      <c r="N140" s="186"/>
    </row>
    <row r="141" spans="6:14" ht="12.6">
      <c r="F141" s="211"/>
      <c r="L141" s="186"/>
      <c r="M141" s="186"/>
      <c r="N141" s="186"/>
    </row>
    <row r="142" spans="6:14" ht="12.6">
      <c r="F142" s="211"/>
      <c r="L142" s="186"/>
      <c r="M142" s="186"/>
      <c r="N142" s="186"/>
    </row>
    <row r="143" spans="6:14" ht="12.6">
      <c r="F143" s="211"/>
      <c r="L143" s="186"/>
      <c r="M143" s="186"/>
      <c r="N143" s="186"/>
    </row>
    <row r="144" spans="6:14" ht="12.6">
      <c r="F144" s="211"/>
      <c r="L144" s="186"/>
      <c r="M144" s="186"/>
      <c r="N144" s="186"/>
    </row>
    <row r="145" spans="6:14" ht="12.6">
      <c r="F145" s="211"/>
      <c r="L145" s="186"/>
      <c r="M145" s="186"/>
      <c r="N145" s="186"/>
    </row>
    <row r="146" spans="6:14" ht="12.6">
      <c r="F146" s="211"/>
      <c r="L146" s="186"/>
      <c r="M146" s="186"/>
      <c r="N146" s="186"/>
    </row>
    <row r="147" spans="6:14" ht="12.6">
      <c r="F147" s="211"/>
      <c r="L147" s="186"/>
      <c r="M147" s="186"/>
      <c r="N147" s="186"/>
    </row>
    <row r="148" spans="6:14" ht="12.6">
      <c r="F148" s="211"/>
      <c r="L148" s="186"/>
      <c r="M148" s="186"/>
      <c r="N148" s="186"/>
    </row>
    <row r="149" spans="6:14" ht="12.6">
      <c r="F149" s="211"/>
      <c r="L149" s="186"/>
      <c r="M149" s="186"/>
      <c r="N149" s="186"/>
    </row>
    <row r="150" spans="6:14" ht="12.6">
      <c r="F150" s="211"/>
      <c r="L150" s="186"/>
      <c r="M150" s="186"/>
      <c r="N150" s="186"/>
    </row>
    <row r="151" spans="6:14" ht="12.6">
      <c r="F151" s="211"/>
      <c r="L151" s="186"/>
      <c r="M151" s="186"/>
      <c r="N151" s="186"/>
    </row>
    <row r="152" spans="6:14" ht="12.6">
      <c r="F152" s="211"/>
      <c r="L152" s="186"/>
      <c r="M152" s="186"/>
      <c r="N152" s="186"/>
    </row>
    <row r="153" spans="6:14" ht="12.6">
      <c r="F153" s="211"/>
      <c r="L153" s="186"/>
      <c r="M153" s="186"/>
      <c r="N153" s="186"/>
    </row>
    <row r="154" spans="6:14" ht="12.6">
      <c r="F154" s="211"/>
      <c r="L154" s="186"/>
      <c r="M154" s="186"/>
      <c r="N154" s="186"/>
    </row>
    <row r="155" spans="6:14" ht="12.6">
      <c r="F155" s="211"/>
      <c r="L155" s="186"/>
      <c r="M155" s="186"/>
      <c r="N155" s="186"/>
    </row>
    <row r="156" spans="6:14" ht="12.6">
      <c r="F156" s="211"/>
      <c r="L156" s="186"/>
      <c r="M156" s="186"/>
      <c r="N156" s="186"/>
    </row>
    <row r="157" spans="6:14" ht="12.6">
      <c r="F157" s="211"/>
      <c r="L157" s="186"/>
      <c r="M157" s="186"/>
      <c r="N157" s="186"/>
    </row>
    <row r="158" spans="6:14" ht="12.6">
      <c r="F158" s="211"/>
      <c r="L158" s="186"/>
      <c r="M158" s="186"/>
      <c r="N158" s="186"/>
    </row>
    <row r="159" spans="6:14" ht="12.6">
      <c r="F159" s="211"/>
      <c r="L159" s="186"/>
      <c r="M159" s="186"/>
      <c r="N159" s="186"/>
    </row>
    <row r="160" spans="6:14" ht="12.6">
      <c r="F160" s="211"/>
      <c r="L160" s="186"/>
      <c r="M160" s="186"/>
      <c r="N160" s="186"/>
    </row>
    <row r="161" spans="6:14" ht="12.6">
      <c r="F161" s="211"/>
      <c r="L161" s="186"/>
      <c r="M161" s="186"/>
      <c r="N161" s="186"/>
    </row>
    <row r="162" spans="6:14" ht="12.6">
      <c r="F162" s="211"/>
      <c r="L162" s="186"/>
      <c r="M162" s="186"/>
      <c r="N162" s="186"/>
    </row>
    <row r="163" spans="6:14" ht="12.6">
      <c r="F163" s="211"/>
      <c r="L163" s="186"/>
      <c r="M163" s="186"/>
      <c r="N163" s="186"/>
    </row>
    <row r="164" spans="6:14" ht="12.6">
      <c r="F164" s="211"/>
      <c r="L164" s="186"/>
      <c r="M164" s="186"/>
      <c r="N164" s="186"/>
    </row>
    <row r="165" spans="6:14" ht="12.6">
      <c r="F165" s="211"/>
      <c r="L165" s="186"/>
      <c r="M165" s="186"/>
      <c r="N165" s="186"/>
    </row>
    <row r="166" spans="6:14" ht="12.6">
      <c r="F166" s="211"/>
      <c r="L166" s="186"/>
      <c r="M166" s="186"/>
      <c r="N166" s="186"/>
    </row>
    <row r="167" spans="6:14" ht="12.6">
      <c r="F167" s="211"/>
      <c r="L167" s="186"/>
      <c r="M167" s="186"/>
      <c r="N167" s="186"/>
    </row>
    <row r="168" spans="6:14" ht="12.6">
      <c r="F168" s="211"/>
      <c r="L168" s="186"/>
      <c r="M168" s="186"/>
      <c r="N168" s="186"/>
    </row>
    <row r="169" spans="6:14" ht="12.6">
      <c r="F169" s="211"/>
      <c r="L169" s="186"/>
      <c r="M169" s="186"/>
      <c r="N169" s="186"/>
    </row>
    <row r="170" spans="6:14" ht="12.6">
      <c r="F170" s="211"/>
      <c r="L170" s="186"/>
      <c r="M170" s="186"/>
      <c r="N170" s="186"/>
    </row>
    <row r="171" spans="6:14" ht="12.6">
      <c r="F171" s="211"/>
      <c r="L171" s="186"/>
      <c r="M171" s="186"/>
      <c r="N171" s="186"/>
    </row>
    <row r="172" spans="6:14" ht="12.6">
      <c r="F172" s="211"/>
      <c r="L172" s="186"/>
      <c r="M172" s="186"/>
      <c r="N172" s="186"/>
    </row>
    <row r="173" spans="6:14" ht="12.6">
      <c r="F173" s="211"/>
      <c r="L173" s="186"/>
      <c r="M173" s="186"/>
      <c r="N173" s="186"/>
    </row>
    <row r="174" spans="6:14" ht="12.6">
      <c r="F174" s="211"/>
      <c r="L174" s="186"/>
      <c r="M174" s="186"/>
      <c r="N174" s="186"/>
    </row>
    <row r="175" spans="6:14" ht="12.6">
      <c r="F175" s="211"/>
      <c r="L175" s="186"/>
      <c r="M175" s="186"/>
      <c r="N175" s="186"/>
    </row>
    <row r="176" spans="6:14" ht="12.6">
      <c r="F176" s="211"/>
      <c r="L176" s="186"/>
      <c r="M176" s="186"/>
      <c r="N176" s="186"/>
    </row>
    <row r="177" spans="6:14" ht="12.6">
      <c r="F177" s="211"/>
      <c r="L177" s="186"/>
      <c r="M177" s="186"/>
      <c r="N177" s="186"/>
    </row>
    <row r="178" spans="6:14" ht="12.6">
      <c r="F178" s="211"/>
      <c r="L178" s="186"/>
      <c r="M178" s="186"/>
      <c r="N178" s="186"/>
    </row>
    <row r="179" spans="6:14" ht="12.6">
      <c r="F179" s="211"/>
      <c r="L179" s="186"/>
      <c r="M179" s="186"/>
      <c r="N179" s="186"/>
    </row>
    <row r="180" spans="6:14" ht="12.6">
      <c r="F180" s="211"/>
      <c r="L180" s="186"/>
      <c r="M180" s="186"/>
      <c r="N180" s="186"/>
    </row>
    <row r="181" spans="6:14" ht="12.6">
      <c r="F181" s="211"/>
      <c r="L181" s="186"/>
      <c r="M181" s="186"/>
      <c r="N181" s="186"/>
    </row>
    <row r="182" spans="6:14" ht="12.6">
      <c r="F182" s="211"/>
      <c r="L182" s="186"/>
      <c r="M182" s="186"/>
      <c r="N182" s="186"/>
    </row>
    <row r="183" spans="6:14" ht="12.6">
      <c r="F183" s="211"/>
      <c r="L183" s="186"/>
      <c r="M183" s="186"/>
      <c r="N183" s="186"/>
    </row>
    <row r="184" spans="6:14" ht="12.6">
      <c r="F184" s="211"/>
      <c r="L184" s="186"/>
      <c r="M184" s="186"/>
      <c r="N184" s="186"/>
    </row>
    <row r="185" spans="6:14" ht="12.6">
      <c r="F185" s="211"/>
      <c r="L185" s="186"/>
      <c r="M185" s="186"/>
      <c r="N185" s="186"/>
    </row>
    <row r="186" spans="6:14" ht="12.6">
      <c r="F186" s="211"/>
      <c r="L186" s="186"/>
      <c r="M186" s="186"/>
      <c r="N186" s="186"/>
    </row>
    <row r="187" spans="6:14" ht="12.6">
      <c r="F187" s="211"/>
      <c r="L187" s="186"/>
      <c r="M187" s="186"/>
      <c r="N187" s="186"/>
    </row>
    <row r="188" spans="6:14" ht="12.6">
      <c r="F188" s="211"/>
      <c r="L188" s="186"/>
      <c r="M188" s="186"/>
      <c r="N188" s="186"/>
    </row>
    <row r="189" spans="6:14" ht="12.6">
      <c r="F189" s="211"/>
      <c r="L189" s="186"/>
      <c r="M189" s="186"/>
      <c r="N189" s="186"/>
    </row>
    <row r="190" spans="6:14" ht="12.6">
      <c r="F190" s="211"/>
      <c r="L190" s="186"/>
      <c r="M190" s="186"/>
      <c r="N190" s="186"/>
    </row>
    <row r="191" spans="6:14" ht="12.6">
      <c r="F191" s="211"/>
      <c r="L191" s="186"/>
      <c r="M191" s="186"/>
      <c r="N191" s="186"/>
    </row>
    <row r="192" spans="6:14" ht="12.6">
      <c r="F192" s="211"/>
      <c r="L192" s="186"/>
      <c r="M192" s="186"/>
      <c r="N192" s="186"/>
    </row>
    <row r="193" spans="6:14" ht="12.6">
      <c r="F193" s="211"/>
      <c r="L193" s="186"/>
      <c r="M193" s="186"/>
      <c r="N193" s="186"/>
    </row>
    <row r="194" spans="6:14" ht="12.6">
      <c r="F194" s="211"/>
      <c r="L194" s="186"/>
      <c r="M194" s="186"/>
      <c r="N194" s="186"/>
    </row>
    <row r="195" spans="6:14" ht="12.6">
      <c r="F195" s="211"/>
      <c r="L195" s="186"/>
      <c r="M195" s="186"/>
      <c r="N195" s="186"/>
    </row>
    <row r="196" spans="6:14" ht="12.6">
      <c r="F196" s="211"/>
      <c r="L196" s="186"/>
      <c r="M196" s="186"/>
      <c r="N196" s="186"/>
    </row>
    <row r="197" spans="6:14" ht="12.6">
      <c r="F197" s="211"/>
      <c r="L197" s="186"/>
      <c r="M197" s="186"/>
      <c r="N197" s="186"/>
    </row>
    <row r="198" spans="6:14" ht="12.6">
      <c r="F198" s="211"/>
      <c r="L198" s="186"/>
      <c r="M198" s="186"/>
      <c r="N198" s="186"/>
    </row>
    <row r="199" spans="6:14" ht="12.6">
      <c r="F199" s="211"/>
      <c r="L199" s="186"/>
      <c r="M199" s="186"/>
      <c r="N199" s="186"/>
    </row>
    <row r="200" spans="6:14" ht="12.6">
      <c r="F200" s="211"/>
      <c r="L200" s="186"/>
      <c r="M200" s="186"/>
      <c r="N200" s="186"/>
    </row>
    <row r="201" spans="6:14" ht="12.6">
      <c r="F201" s="211"/>
      <c r="L201" s="186"/>
      <c r="M201" s="186"/>
      <c r="N201" s="186"/>
    </row>
    <row r="202" spans="6:14" ht="12.6">
      <c r="F202" s="211"/>
      <c r="L202" s="186"/>
      <c r="M202" s="186"/>
      <c r="N202" s="186"/>
    </row>
    <row r="203" spans="6:14" ht="12.6">
      <c r="F203" s="211"/>
      <c r="L203" s="186"/>
      <c r="M203" s="186"/>
      <c r="N203" s="186"/>
    </row>
    <row r="204" spans="6:14" ht="12.6">
      <c r="F204" s="211"/>
      <c r="L204" s="186"/>
      <c r="M204" s="186"/>
      <c r="N204" s="186"/>
    </row>
    <row r="205" spans="6:14" ht="12.6">
      <c r="F205" s="211"/>
      <c r="L205" s="186"/>
      <c r="M205" s="186"/>
      <c r="N205" s="186"/>
    </row>
    <row r="206" spans="6:14" ht="12.6">
      <c r="F206" s="211"/>
      <c r="L206" s="186"/>
      <c r="M206" s="186"/>
      <c r="N206" s="186"/>
    </row>
    <row r="207" spans="6:14" ht="12.6">
      <c r="F207" s="211"/>
      <c r="L207" s="186"/>
      <c r="M207" s="186"/>
      <c r="N207" s="186"/>
    </row>
    <row r="208" spans="6:14" ht="12.6">
      <c r="F208" s="211"/>
      <c r="L208" s="186"/>
      <c r="M208" s="186"/>
      <c r="N208" s="186"/>
    </row>
    <row r="209" spans="6:14" ht="12.6">
      <c r="F209" s="211"/>
      <c r="L209" s="186"/>
      <c r="M209" s="186"/>
      <c r="N209" s="186"/>
    </row>
    <row r="210" spans="6:14" ht="12.6">
      <c r="F210" s="211"/>
      <c r="L210" s="186"/>
      <c r="M210" s="186"/>
      <c r="N210" s="186"/>
    </row>
    <row r="211" spans="6:14" ht="12.6">
      <c r="F211" s="211"/>
      <c r="L211" s="186"/>
      <c r="M211" s="186"/>
      <c r="N211" s="186"/>
    </row>
    <row r="212" spans="6:14" ht="12.6">
      <c r="F212" s="211"/>
      <c r="L212" s="186"/>
      <c r="M212" s="186"/>
      <c r="N212" s="186"/>
    </row>
    <row r="213" spans="6:14" ht="12.6">
      <c r="F213" s="211"/>
      <c r="L213" s="186"/>
      <c r="M213" s="186"/>
      <c r="N213" s="186"/>
    </row>
    <row r="214" spans="6:14" ht="12.6">
      <c r="F214" s="211"/>
      <c r="L214" s="186"/>
      <c r="M214" s="186"/>
      <c r="N214" s="186"/>
    </row>
    <row r="215" spans="6:14" ht="12.6">
      <c r="F215" s="211"/>
      <c r="L215" s="186"/>
      <c r="M215" s="186"/>
      <c r="N215" s="186"/>
    </row>
    <row r="216" spans="6:14" ht="12.6">
      <c r="F216" s="211"/>
      <c r="L216" s="186"/>
      <c r="M216" s="186"/>
      <c r="N216" s="186"/>
    </row>
    <row r="217" spans="6:14" ht="12.6">
      <c r="F217" s="211"/>
      <c r="L217" s="186"/>
      <c r="M217" s="186"/>
      <c r="N217" s="186"/>
    </row>
    <row r="218" spans="6:14" ht="12.6">
      <c r="F218" s="211"/>
      <c r="L218" s="186"/>
      <c r="M218" s="186"/>
      <c r="N218" s="186"/>
    </row>
    <row r="219" spans="6:14" ht="12.6">
      <c r="F219" s="211"/>
      <c r="L219" s="186"/>
      <c r="M219" s="186"/>
      <c r="N219" s="186"/>
    </row>
    <row r="220" spans="6:14" ht="12.6">
      <c r="F220" s="211"/>
      <c r="L220" s="186"/>
      <c r="M220" s="186"/>
      <c r="N220" s="186"/>
    </row>
    <row r="221" spans="6:14" ht="12.6">
      <c r="F221" s="211"/>
      <c r="L221" s="186"/>
      <c r="M221" s="186"/>
      <c r="N221" s="186"/>
    </row>
    <row r="222" spans="6:14" ht="12.6">
      <c r="F222" s="211"/>
      <c r="L222" s="186"/>
      <c r="M222" s="186"/>
      <c r="N222" s="186"/>
    </row>
    <row r="223" spans="6:14" ht="12.6">
      <c r="F223" s="211"/>
      <c r="L223" s="186"/>
      <c r="M223" s="186"/>
      <c r="N223" s="186"/>
    </row>
    <row r="224" spans="6:14" ht="12.6">
      <c r="F224" s="211"/>
      <c r="L224" s="186"/>
      <c r="M224" s="186"/>
      <c r="N224" s="186"/>
    </row>
    <row r="225" spans="6:14" ht="12.6">
      <c r="F225" s="211"/>
      <c r="L225" s="186"/>
      <c r="M225" s="186"/>
      <c r="N225" s="186"/>
    </row>
    <row r="226" spans="6:14" ht="12.6">
      <c r="F226" s="211"/>
      <c r="L226" s="186"/>
      <c r="M226" s="186"/>
      <c r="N226" s="186"/>
    </row>
    <row r="227" spans="6:14" ht="12.6">
      <c r="F227" s="211"/>
      <c r="L227" s="186"/>
      <c r="M227" s="186"/>
      <c r="N227" s="186"/>
    </row>
    <row r="228" spans="6:14" ht="12.6">
      <c r="F228" s="211"/>
      <c r="L228" s="186"/>
      <c r="M228" s="186"/>
      <c r="N228" s="186"/>
    </row>
    <row r="229" spans="6:14" ht="12.6">
      <c r="F229" s="211"/>
      <c r="L229" s="186"/>
      <c r="M229" s="186"/>
      <c r="N229" s="186"/>
    </row>
    <row r="230" spans="6:14" ht="12.6">
      <c r="F230" s="211"/>
      <c r="L230" s="186"/>
      <c r="M230" s="186"/>
      <c r="N230" s="186"/>
    </row>
    <row r="231" spans="6:14" ht="12.6">
      <c r="F231" s="211"/>
      <c r="L231" s="186"/>
      <c r="M231" s="186"/>
      <c r="N231" s="186"/>
    </row>
    <row r="232" spans="6:14" ht="12.6">
      <c r="F232" s="211"/>
      <c r="L232" s="186"/>
      <c r="M232" s="186"/>
      <c r="N232" s="186"/>
    </row>
    <row r="233" spans="6:14" ht="12.6">
      <c r="F233" s="211"/>
      <c r="L233" s="186"/>
      <c r="M233" s="186"/>
      <c r="N233" s="186"/>
    </row>
    <row r="234" spans="6:14" ht="12.6">
      <c r="F234" s="211"/>
      <c r="L234" s="186"/>
      <c r="M234" s="186"/>
      <c r="N234" s="186"/>
    </row>
    <row r="235" spans="6:14" ht="12.6">
      <c r="F235" s="211"/>
      <c r="L235" s="186"/>
      <c r="M235" s="186"/>
      <c r="N235" s="186"/>
    </row>
    <row r="236" spans="6:14" ht="12.6">
      <c r="F236" s="211"/>
      <c r="L236" s="186"/>
      <c r="M236" s="186"/>
      <c r="N236" s="186"/>
    </row>
    <row r="237" spans="6:14" ht="12.6">
      <c r="F237" s="211"/>
      <c r="L237" s="186"/>
      <c r="M237" s="186"/>
      <c r="N237" s="186"/>
    </row>
    <row r="238" spans="6:14" ht="12.6">
      <c r="F238" s="211"/>
      <c r="L238" s="186"/>
      <c r="M238" s="186"/>
      <c r="N238" s="186"/>
    </row>
    <row r="239" spans="6:14" ht="12.6">
      <c r="F239" s="211"/>
      <c r="L239" s="186"/>
      <c r="M239" s="186"/>
      <c r="N239" s="186"/>
    </row>
    <row r="240" spans="6:14" ht="12.6">
      <c r="F240" s="211"/>
      <c r="L240" s="186"/>
      <c r="M240" s="186"/>
      <c r="N240" s="186"/>
    </row>
    <row r="241" spans="6:14" ht="12.6">
      <c r="F241" s="211"/>
      <c r="L241" s="186"/>
      <c r="M241" s="186"/>
      <c r="N241" s="186"/>
    </row>
    <row r="242" spans="6:14" ht="12.6">
      <c r="F242" s="211"/>
      <c r="L242" s="186"/>
      <c r="M242" s="186"/>
      <c r="N242" s="186"/>
    </row>
    <row r="243" spans="6:14" ht="12.6">
      <c r="F243" s="211"/>
      <c r="L243" s="186"/>
      <c r="M243" s="186"/>
      <c r="N243" s="186"/>
    </row>
    <row r="244" spans="6:14" ht="12.6">
      <c r="F244" s="211"/>
      <c r="L244" s="186"/>
      <c r="M244" s="186"/>
      <c r="N244" s="186"/>
    </row>
    <row r="245" spans="6:14" ht="12.6">
      <c r="F245" s="211"/>
      <c r="L245" s="186"/>
      <c r="M245" s="186"/>
      <c r="N245" s="186"/>
    </row>
    <row r="246" spans="6:14" ht="12.6">
      <c r="F246" s="211"/>
      <c r="L246" s="186"/>
      <c r="M246" s="186"/>
      <c r="N246" s="186"/>
    </row>
    <row r="247" spans="6:14" ht="12.6">
      <c r="F247" s="211"/>
      <c r="L247" s="186"/>
      <c r="M247" s="186"/>
      <c r="N247" s="186"/>
    </row>
    <row r="248" spans="6:14" ht="12.6">
      <c r="F248" s="211"/>
      <c r="L248" s="186"/>
      <c r="M248" s="186"/>
      <c r="N248" s="186"/>
    </row>
    <row r="249" spans="6:14" ht="12.6">
      <c r="F249" s="211"/>
      <c r="L249" s="186"/>
      <c r="M249" s="186"/>
      <c r="N249" s="186"/>
    </row>
    <row r="250" spans="6:14" ht="12.6">
      <c r="F250" s="211"/>
      <c r="L250" s="186"/>
      <c r="M250" s="186"/>
      <c r="N250" s="186"/>
    </row>
    <row r="251" spans="6:14" ht="12.6">
      <c r="F251" s="211"/>
      <c r="L251" s="186"/>
      <c r="M251" s="186"/>
      <c r="N251" s="186"/>
    </row>
    <row r="252" spans="6:14" ht="12.6">
      <c r="F252" s="211"/>
      <c r="L252" s="186"/>
      <c r="M252" s="186"/>
      <c r="N252" s="186"/>
    </row>
    <row r="253" spans="6:14" ht="12.6">
      <c r="F253" s="211"/>
      <c r="L253" s="186"/>
      <c r="M253" s="186"/>
      <c r="N253" s="186"/>
    </row>
    <row r="254" spans="6:14" ht="12.6">
      <c r="F254" s="211"/>
      <c r="L254" s="186"/>
      <c r="M254" s="186"/>
      <c r="N254" s="186"/>
    </row>
    <row r="255" spans="6:14" ht="12.6">
      <c r="F255" s="211"/>
      <c r="L255" s="186"/>
      <c r="M255" s="186"/>
      <c r="N255" s="186"/>
    </row>
    <row r="256" spans="6:14" ht="12.6">
      <c r="F256" s="211"/>
      <c r="L256" s="186"/>
      <c r="M256" s="186"/>
      <c r="N256" s="186"/>
    </row>
    <row r="257" spans="6:14" ht="12.6">
      <c r="F257" s="211"/>
      <c r="L257" s="186"/>
      <c r="M257" s="186"/>
      <c r="N257" s="186"/>
    </row>
    <row r="258" spans="6:14" ht="12.6">
      <c r="F258" s="211"/>
      <c r="L258" s="186"/>
      <c r="M258" s="186"/>
      <c r="N258" s="186"/>
    </row>
    <row r="259" spans="6:14" ht="12.6">
      <c r="F259" s="211"/>
      <c r="L259" s="186"/>
      <c r="M259" s="186"/>
      <c r="N259" s="186"/>
    </row>
    <row r="260" spans="6:14" ht="12.6">
      <c r="F260" s="211"/>
      <c r="L260" s="186"/>
      <c r="M260" s="186"/>
      <c r="N260" s="186"/>
    </row>
    <row r="261" spans="6:14" ht="12.6">
      <c r="F261" s="211"/>
      <c r="L261" s="186"/>
      <c r="M261" s="186"/>
      <c r="N261" s="186"/>
    </row>
    <row r="262" spans="6:14" ht="12.6">
      <c r="F262" s="211"/>
      <c r="L262" s="186"/>
      <c r="M262" s="186"/>
      <c r="N262" s="186"/>
    </row>
    <row r="263" spans="6:14" ht="12.6">
      <c r="F263" s="211"/>
      <c r="L263" s="186"/>
      <c r="M263" s="186"/>
      <c r="N263" s="186"/>
    </row>
    <row r="264" spans="6:14" ht="12.6">
      <c r="F264" s="211"/>
      <c r="L264" s="186"/>
      <c r="M264" s="186"/>
      <c r="N264" s="186"/>
    </row>
    <row r="265" spans="6:14" ht="12.6">
      <c r="F265" s="211"/>
      <c r="L265" s="186"/>
      <c r="M265" s="186"/>
      <c r="N265" s="186"/>
    </row>
    <row r="266" spans="6:14" ht="12.6">
      <c r="F266" s="211"/>
      <c r="L266" s="186"/>
      <c r="M266" s="186"/>
      <c r="N266" s="186"/>
    </row>
    <row r="267" spans="6:14" ht="12.6">
      <c r="F267" s="211"/>
      <c r="L267" s="186"/>
      <c r="M267" s="186"/>
      <c r="N267" s="186"/>
    </row>
    <row r="268" spans="6:14" ht="12.6">
      <c r="F268" s="211"/>
      <c r="L268" s="186"/>
      <c r="M268" s="186"/>
      <c r="N268" s="186"/>
    </row>
    <row r="269" spans="6:14" ht="12.6">
      <c r="F269" s="211"/>
      <c r="L269" s="186"/>
      <c r="M269" s="186"/>
      <c r="N269" s="186"/>
    </row>
    <row r="270" spans="6:14" ht="12.6">
      <c r="F270" s="211"/>
      <c r="L270" s="186"/>
      <c r="M270" s="186"/>
      <c r="N270" s="186"/>
    </row>
    <row r="271" spans="6:14" ht="12.6">
      <c r="F271" s="211"/>
      <c r="L271" s="186"/>
      <c r="M271" s="186"/>
      <c r="N271" s="186"/>
    </row>
    <row r="272" spans="6:14" ht="12.6">
      <c r="F272" s="211"/>
      <c r="L272" s="186"/>
      <c r="M272" s="186"/>
      <c r="N272" s="186"/>
    </row>
    <row r="273" spans="6:14" ht="12.6">
      <c r="F273" s="211"/>
      <c r="L273" s="186"/>
      <c r="M273" s="186"/>
      <c r="N273" s="186"/>
    </row>
    <row r="274" spans="6:14" ht="12.6">
      <c r="F274" s="211"/>
      <c r="L274" s="186"/>
      <c r="M274" s="186"/>
      <c r="N274" s="186"/>
    </row>
    <row r="275" spans="6:14" ht="12.6">
      <c r="F275" s="211"/>
      <c r="L275" s="186"/>
      <c r="M275" s="186"/>
      <c r="N275" s="186"/>
    </row>
    <row r="276" spans="6:14" ht="12.6">
      <c r="F276" s="211"/>
      <c r="L276" s="186"/>
      <c r="M276" s="186"/>
      <c r="N276" s="186"/>
    </row>
    <row r="277" spans="6:14" ht="12.6">
      <c r="F277" s="211"/>
      <c r="L277" s="186"/>
      <c r="M277" s="186"/>
      <c r="N277" s="186"/>
    </row>
    <row r="278" spans="6:14" ht="12.6">
      <c r="F278" s="211"/>
      <c r="L278" s="186"/>
      <c r="M278" s="186"/>
      <c r="N278" s="186"/>
    </row>
    <row r="279" spans="6:14" ht="12.6">
      <c r="F279" s="211"/>
      <c r="L279" s="186"/>
      <c r="M279" s="186"/>
      <c r="N279" s="186"/>
    </row>
    <row r="280" spans="6:14" ht="12.6">
      <c r="F280" s="211"/>
      <c r="L280" s="186"/>
      <c r="M280" s="186"/>
      <c r="N280" s="186"/>
    </row>
    <row r="281" spans="6:14" ht="12.6">
      <c r="F281" s="211"/>
      <c r="L281" s="186"/>
      <c r="M281" s="186"/>
      <c r="N281" s="186"/>
    </row>
    <row r="282" spans="6:14" ht="12.6">
      <c r="F282" s="211"/>
      <c r="L282" s="186"/>
      <c r="M282" s="186"/>
      <c r="N282" s="186"/>
    </row>
    <row r="283" spans="6:14" ht="12.6">
      <c r="F283" s="211"/>
      <c r="L283" s="186"/>
      <c r="M283" s="186"/>
      <c r="N283" s="186"/>
    </row>
    <row r="284" spans="6:14" ht="12.6">
      <c r="F284" s="211"/>
      <c r="L284" s="186"/>
      <c r="M284" s="186"/>
      <c r="N284" s="186"/>
    </row>
    <row r="285" spans="6:14" ht="12.6">
      <c r="F285" s="211"/>
      <c r="L285" s="186"/>
      <c r="M285" s="186"/>
      <c r="N285" s="186"/>
    </row>
    <row r="286" spans="6:14" ht="12.6">
      <c r="F286" s="211"/>
      <c r="L286" s="186"/>
      <c r="M286" s="186"/>
      <c r="N286" s="186"/>
    </row>
    <row r="287" spans="6:14" ht="12.6">
      <c r="F287" s="211"/>
      <c r="L287" s="186"/>
      <c r="M287" s="186"/>
      <c r="N287" s="186"/>
    </row>
    <row r="288" spans="6:14" ht="12.6">
      <c r="F288" s="211"/>
      <c r="L288" s="186"/>
      <c r="M288" s="186"/>
      <c r="N288" s="186"/>
    </row>
    <row r="289" spans="6:14" ht="12.6">
      <c r="F289" s="211"/>
      <c r="L289" s="186"/>
      <c r="M289" s="186"/>
      <c r="N289" s="186"/>
    </row>
    <row r="290" spans="6:14" ht="12.6">
      <c r="F290" s="211"/>
      <c r="L290" s="186"/>
      <c r="M290" s="186"/>
      <c r="N290" s="186"/>
    </row>
    <row r="291" spans="6:14" ht="12.6">
      <c r="F291" s="211"/>
      <c r="L291" s="186"/>
      <c r="M291" s="186"/>
      <c r="N291" s="186"/>
    </row>
    <row r="292" spans="6:14" ht="12.6">
      <c r="F292" s="211"/>
      <c r="L292" s="186"/>
      <c r="M292" s="186"/>
      <c r="N292" s="186"/>
    </row>
    <row r="293" spans="6:14" ht="12.6">
      <c r="F293" s="211"/>
      <c r="L293" s="186"/>
      <c r="M293" s="186"/>
      <c r="N293" s="186"/>
    </row>
    <row r="294" spans="6:14" ht="12.6">
      <c r="F294" s="211"/>
      <c r="L294" s="186"/>
      <c r="M294" s="186"/>
      <c r="N294" s="186"/>
    </row>
    <row r="295" spans="6:14" ht="12.6">
      <c r="F295" s="211"/>
      <c r="L295" s="186"/>
      <c r="M295" s="186"/>
      <c r="N295" s="186"/>
    </row>
    <row r="296" spans="6:14" ht="12.6">
      <c r="F296" s="211"/>
      <c r="L296" s="186"/>
      <c r="M296" s="186"/>
      <c r="N296" s="186"/>
    </row>
    <row r="297" spans="6:14" ht="12.6">
      <c r="F297" s="211"/>
      <c r="L297" s="186"/>
      <c r="M297" s="186"/>
      <c r="N297" s="186"/>
    </row>
    <row r="298" spans="6:14" ht="12.6">
      <c r="F298" s="211"/>
      <c r="L298" s="186"/>
      <c r="M298" s="186"/>
      <c r="N298" s="186"/>
    </row>
    <row r="299" spans="6:14" ht="12.6">
      <c r="F299" s="211"/>
      <c r="L299" s="186"/>
      <c r="M299" s="186"/>
      <c r="N299" s="186"/>
    </row>
    <row r="300" spans="6:14" ht="12.6">
      <c r="F300" s="211"/>
      <c r="L300" s="186"/>
      <c r="M300" s="186"/>
      <c r="N300" s="186"/>
    </row>
    <row r="301" spans="6:14" ht="12.6">
      <c r="F301" s="211"/>
      <c r="L301" s="186"/>
      <c r="M301" s="186"/>
      <c r="N301" s="186"/>
    </row>
    <row r="302" spans="6:14" ht="12.6">
      <c r="F302" s="211"/>
      <c r="L302" s="186"/>
      <c r="M302" s="186"/>
      <c r="N302" s="186"/>
    </row>
    <row r="303" spans="6:14" ht="12.6">
      <c r="F303" s="211"/>
      <c r="L303" s="186"/>
      <c r="M303" s="186"/>
      <c r="N303" s="186"/>
    </row>
    <row r="304" spans="6:14" ht="12.6">
      <c r="F304" s="211"/>
      <c r="L304" s="186"/>
      <c r="M304" s="186"/>
      <c r="N304" s="186"/>
    </row>
    <row r="305" spans="6:14" ht="12.6">
      <c r="F305" s="211"/>
      <c r="L305" s="186"/>
      <c r="M305" s="186"/>
      <c r="N305" s="186"/>
    </row>
    <row r="306" spans="6:14" ht="12.6">
      <c r="F306" s="211"/>
      <c r="L306" s="186"/>
      <c r="M306" s="186"/>
      <c r="N306" s="186"/>
    </row>
    <row r="307" spans="6:14" ht="12.6">
      <c r="F307" s="211"/>
      <c r="L307" s="186"/>
      <c r="M307" s="186"/>
      <c r="N307" s="186"/>
    </row>
    <row r="308" spans="6:14" ht="12.6">
      <c r="F308" s="211"/>
      <c r="L308" s="186"/>
      <c r="M308" s="186"/>
      <c r="N308" s="186"/>
    </row>
    <row r="309" spans="6:14" ht="12.6">
      <c r="F309" s="211"/>
      <c r="L309" s="186"/>
      <c r="M309" s="186"/>
      <c r="N309" s="186"/>
    </row>
    <row r="310" spans="6:14" ht="12.6">
      <c r="F310" s="211"/>
      <c r="L310" s="186"/>
      <c r="M310" s="186"/>
      <c r="N310" s="186"/>
    </row>
    <row r="311" spans="6:14" ht="12.6">
      <c r="F311" s="211"/>
      <c r="L311" s="186"/>
      <c r="M311" s="186"/>
      <c r="N311" s="186"/>
    </row>
    <row r="312" spans="6:14" ht="12.6">
      <c r="F312" s="211"/>
      <c r="L312" s="186"/>
      <c r="M312" s="186"/>
      <c r="N312" s="186"/>
    </row>
    <row r="313" spans="6:14" ht="12.6">
      <c r="F313" s="211"/>
      <c r="L313" s="186"/>
      <c r="M313" s="186"/>
      <c r="N313" s="186"/>
    </row>
    <row r="314" spans="6:14" ht="12.6">
      <c r="F314" s="211"/>
      <c r="L314" s="186"/>
      <c r="M314" s="186"/>
      <c r="N314" s="186"/>
    </row>
    <row r="315" spans="6:14" ht="12.6">
      <c r="F315" s="211"/>
      <c r="L315" s="186"/>
      <c r="M315" s="186"/>
      <c r="N315" s="186"/>
    </row>
    <row r="316" spans="6:14" ht="12.6">
      <c r="F316" s="211"/>
      <c r="L316" s="186"/>
      <c r="M316" s="186"/>
      <c r="N316" s="186"/>
    </row>
    <row r="317" spans="6:14" ht="12.6">
      <c r="F317" s="211"/>
      <c r="L317" s="186"/>
      <c r="M317" s="186"/>
      <c r="N317" s="186"/>
    </row>
    <row r="318" spans="6:14" ht="12.6">
      <c r="F318" s="211"/>
      <c r="L318" s="186"/>
      <c r="M318" s="186"/>
      <c r="N318" s="186"/>
    </row>
    <row r="319" spans="6:14" ht="12.6">
      <c r="F319" s="211"/>
      <c r="L319" s="186"/>
      <c r="M319" s="186"/>
      <c r="N319" s="186"/>
    </row>
    <row r="320" spans="6:14" ht="12.6">
      <c r="F320" s="211"/>
      <c r="L320" s="186"/>
      <c r="M320" s="186"/>
      <c r="N320" s="186"/>
    </row>
    <row r="321" spans="6:14" ht="12.6">
      <c r="F321" s="211"/>
      <c r="L321" s="186"/>
      <c r="M321" s="186"/>
      <c r="N321" s="186"/>
    </row>
    <row r="322" spans="6:14" ht="12.6">
      <c r="F322" s="211"/>
      <c r="L322" s="186"/>
      <c r="M322" s="186"/>
      <c r="N322" s="186"/>
    </row>
    <row r="323" spans="6:14" ht="12.6">
      <c r="F323" s="211"/>
      <c r="L323" s="186"/>
      <c r="M323" s="186"/>
      <c r="N323" s="186"/>
    </row>
    <row r="324" spans="6:14" ht="12.6">
      <c r="F324" s="211"/>
      <c r="L324" s="186"/>
      <c r="M324" s="186"/>
      <c r="N324" s="186"/>
    </row>
    <row r="325" spans="6:14" ht="12.6">
      <c r="F325" s="211"/>
      <c r="L325" s="186"/>
      <c r="M325" s="186"/>
      <c r="N325" s="186"/>
    </row>
    <row r="326" spans="6:14" ht="12.6">
      <c r="F326" s="211"/>
      <c r="L326" s="186"/>
      <c r="M326" s="186"/>
      <c r="N326" s="186"/>
    </row>
    <row r="327" spans="6:14" ht="12.6">
      <c r="F327" s="211"/>
      <c r="L327" s="186"/>
      <c r="M327" s="186"/>
      <c r="N327" s="186"/>
    </row>
    <row r="328" spans="6:14" ht="12.6">
      <c r="F328" s="211"/>
      <c r="L328" s="186"/>
      <c r="M328" s="186"/>
      <c r="N328" s="186"/>
    </row>
    <row r="329" spans="6:14" ht="12.6">
      <c r="F329" s="211"/>
      <c r="L329" s="186"/>
      <c r="M329" s="186"/>
      <c r="N329" s="186"/>
    </row>
    <row r="330" spans="6:14" ht="12.6">
      <c r="F330" s="211"/>
      <c r="L330" s="186"/>
      <c r="M330" s="186"/>
      <c r="N330" s="186"/>
    </row>
    <row r="331" spans="6:14" ht="12.6">
      <c r="F331" s="211"/>
      <c r="L331" s="186"/>
      <c r="M331" s="186"/>
      <c r="N331" s="186"/>
    </row>
    <row r="332" spans="6:14" ht="12.6">
      <c r="F332" s="211"/>
      <c r="L332" s="186"/>
      <c r="M332" s="186"/>
      <c r="N332" s="186"/>
    </row>
    <row r="333" spans="6:14" ht="12.6">
      <c r="F333" s="211"/>
      <c r="L333" s="186"/>
      <c r="M333" s="186"/>
      <c r="N333" s="186"/>
    </row>
    <row r="334" spans="6:14" ht="12.6">
      <c r="F334" s="211"/>
      <c r="L334" s="186"/>
      <c r="M334" s="186"/>
      <c r="N334" s="186"/>
    </row>
    <row r="335" spans="6:14" ht="12.6">
      <c r="F335" s="211"/>
      <c r="L335" s="186"/>
      <c r="M335" s="186"/>
      <c r="N335" s="186"/>
    </row>
    <row r="336" spans="6:14" ht="12.6">
      <c r="F336" s="211"/>
      <c r="L336" s="186"/>
      <c r="M336" s="186"/>
      <c r="N336" s="186"/>
    </row>
    <row r="337" spans="6:14" ht="12.6">
      <c r="F337" s="211"/>
      <c r="L337" s="186"/>
      <c r="M337" s="186"/>
      <c r="N337" s="186"/>
    </row>
    <row r="338" spans="6:14" ht="12.6">
      <c r="F338" s="211"/>
      <c r="L338" s="186"/>
      <c r="M338" s="186"/>
      <c r="N338" s="186"/>
    </row>
    <row r="339" spans="6:14" ht="12.6">
      <c r="F339" s="211"/>
      <c r="L339" s="186"/>
      <c r="M339" s="186"/>
      <c r="N339" s="186"/>
    </row>
    <row r="340" spans="6:14" ht="12.6">
      <c r="F340" s="211"/>
      <c r="L340" s="186"/>
      <c r="M340" s="186"/>
      <c r="N340" s="186"/>
    </row>
    <row r="341" spans="6:14" ht="12.6">
      <c r="F341" s="211"/>
      <c r="L341" s="186"/>
      <c r="M341" s="186"/>
      <c r="N341" s="186"/>
    </row>
    <row r="342" spans="6:14" ht="12.6">
      <c r="F342" s="211"/>
      <c r="L342" s="186"/>
      <c r="M342" s="186"/>
      <c r="N342" s="186"/>
    </row>
    <row r="343" spans="6:14" ht="12.6">
      <c r="F343" s="211"/>
      <c r="L343" s="186"/>
      <c r="M343" s="186"/>
      <c r="N343" s="186"/>
    </row>
    <row r="344" spans="6:14" ht="12.6">
      <c r="F344" s="211"/>
      <c r="L344" s="186"/>
      <c r="M344" s="186"/>
      <c r="N344" s="186"/>
    </row>
    <row r="345" spans="6:14" ht="12.6">
      <c r="F345" s="211"/>
      <c r="L345" s="186"/>
      <c r="M345" s="186"/>
      <c r="N345" s="186"/>
    </row>
    <row r="346" spans="6:14" ht="12.6">
      <c r="F346" s="211"/>
      <c r="L346" s="186"/>
      <c r="M346" s="186"/>
      <c r="N346" s="186"/>
    </row>
    <row r="347" spans="6:14" ht="12.6">
      <c r="F347" s="211"/>
      <c r="L347" s="186"/>
      <c r="M347" s="186"/>
      <c r="N347" s="186"/>
    </row>
    <row r="348" spans="6:14" ht="12.6">
      <c r="F348" s="211"/>
      <c r="L348" s="186"/>
      <c r="M348" s="186"/>
      <c r="N348" s="186"/>
    </row>
    <row r="349" spans="6:14" ht="12.6">
      <c r="F349" s="211"/>
      <c r="L349" s="186"/>
      <c r="M349" s="186"/>
      <c r="N349" s="186"/>
    </row>
    <row r="350" spans="6:14" ht="12.6">
      <c r="F350" s="211"/>
      <c r="L350" s="186"/>
      <c r="M350" s="186"/>
      <c r="N350" s="186"/>
    </row>
    <row r="351" spans="6:14" ht="12.6">
      <c r="F351" s="211"/>
      <c r="L351" s="186"/>
      <c r="M351" s="186"/>
      <c r="N351" s="186"/>
    </row>
    <row r="352" spans="6:14" ht="12.6">
      <c r="F352" s="211"/>
      <c r="L352" s="186"/>
      <c r="M352" s="186"/>
      <c r="N352" s="186"/>
    </row>
    <row r="353" spans="6:14" ht="12.6">
      <c r="F353" s="211"/>
      <c r="L353" s="186"/>
      <c r="M353" s="186"/>
      <c r="N353" s="186"/>
    </row>
    <row r="354" spans="6:14" ht="12.6">
      <c r="F354" s="211"/>
      <c r="L354" s="186"/>
      <c r="M354" s="186"/>
      <c r="N354" s="186"/>
    </row>
    <row r="355" spans="6:14" ht="12.6">
      <c r="F355" s="211"/>
      <c r="L355" s="186"/>
      <c r="M355" s="186"/>
      <c r="N355" s="186"/>
    </row>
    <row r="356" spans="6:14" ht="12.6">
      <c r="F356" s="211"/>
      <c r="L356" s="186"/>
      <c r="M356" s="186"/>
      <c r="N356" s="186"/>
    </row>
    <row r="357" spans="6:14" ht="12.6">
      <c r="F357" s="211"/>
      <c r="L357" s="186"/>
      <c r="M357" s="186"/>
      <c r="N357" s="186"/>
    </row>
    <row r="358" spans="6:14" ht="12.6">
      <c r="F358" s="211"/>
      <c r="L358" s="186"/>
      <c r="M358" s="186"/>
      <c r="N358" s="186"/>
    </row>
    <row r="359" spans="6:14" ht="12.6">
      <c r="F359" s="211"/>
      <c r="L359" s="186"/>
      <c r="M359" s="186"/>
      <c r="N359" s="186"/>
    </row>
    <row r="360" spans="6:14" ht="12.6">
      <c r="F360" s="211"/>
      <c r="L360" s="186"/>
      <c r="M360" s="186"/>
      <c r="N360" s="186"/>
    </row>
    <row r="361" spans="6:14" ht="12.6">
      <c r="F361" s="211"/>
      <c r="L361" s="186"/>
      <c r="M361" s="186"/>
      <c r="N361" s="186"/>
    </row>
    <row r="362" spans="6:14" ht="12.6">
      <c r="F362" s="211"/>
      <c r="L362" s="186"/>
      <c r="M362" s="186"/>
      <c r="N362" s="186"/>
    </row>
    <row r="363" spans="6:14" ht="12.6">
      <c r="F363" s="211"/>
      <c r="L363" s="186"/>
      <c r="M363" s="186"/>
      <c r="N363" s="186"/>
    </row>
    <row r="364" spans="6:14" ht="12.6">
      <c r="F364" s="211"/>
      <c r="L364" s="186"/>
      <c r="M364" s="186"/>
      <c r="N364" s="186"/>
    </row>
    <row r="365" spans="6:14" ht="12.6">
      <c r="F365" s="211"/>
      <c r="L365" s="186"/>
      <c r="M365" s="186"/>
      <c r="N365" s="186"/>
    </row>
    <row r="366" spans="6:14" ht="12.6">
      <c r="F366" s="211"/>
      <c r="L366" s="186"/>
      <c r="M366" s="186"/>
      <c r="N366" s="186"/>
    </row>
    <row r="367" spans="6:14" ht="12.6">
      <c r="F367" s="211"/>
      <c r="L367" s="186"/>
      <c r="M367" s="186"/>
      <c r="N367" s="186"/>
    </row>
    <row r="368" spans="6:14" ht="12.6">
      <c r="F368" s="211"/>
      <c r="L368" s="186"/>
      <c r="M368" s="186"/>
      <c r="N368" s="186"/>
    </row>
    <row r="369" spans="6:14" ht="12.6">
      <c r="F369" s="211"/>
      <c r="L369" s="186"/>
      <c r="M369" s="186"/>
      <c r="N369" s="186"/>
    </row>
    <row r="370" spans="6:14" ht="12.6">
      <c r="F370" s="211"/>
      <c r="L370" s="186"/>
      <c r="M370" s="186"/>
      <c r="N370" s="186"/>
    </row>
    <row r="371" spans="6:14" ht="12.6">
      <c r="F371" s="211"/>
      <c r="L371" s="186"/>
      <c r="M371" s="186"/>
      <c r="N371" s="186"/>
    </row>
    <row r="372" spans="6:14" ht="12.6">
      <c r="F372" s="211"/>
      <c r="L372" s="186"/>
      <c r="M372" s="186"/>
      <c r="N372" s="186"/>
    </row>
    <row r="373" spans="6:14" ht="12.6">
      <c r="F373" s="211"/>
      <c r="L373" s="186"/>
      <c r="M373" s="186"/>
      <c r="N373" s="186"/>
    </row>
    <row r="374" spans="6:14" ht="12.6">
      <c r="F374" s="211"/>
      <c r="L374" s="186"/>
      <c r="M374" s="186"/>
      <c r="N374" s="186"/>
    </row>
    <row r="375" spans="6:14" ht="12.6">
      <c r="F375" s="211"/>
      <c r="L375" s="186"/>
      <c r="M375" s="186"/>
      <c r="N375" s="186"/>
    </row>
    <row r="376" spans="6:14" ht="12.6">
      <c r="F376" s="211"/>
      <c r="L376" s="186"/>
      <c r="M376" s="186"/>
      <c r="N376" s="186"/>
    </row>
    <row r="377" spans="6:14" ht="12.6">
      <c r="F377" s="211"/>
      <c r="L377" s="186"/>
      <c r="M377" s="186"/>
      <c r="N377" s="186"/>
    </row>
    <row r="378" spans="6:14" ht="12.6">
      <c r="F378" s="211"/>
      <c r="L378" s="186"/>
      <c r="M378" s="186"/>
      <c r="N378" s="186"/>
    </row>
    <row r="379" spans="6:14" ht="12.6">
      <c r="F379" s="211"/>
      <c r="L379" s="186"/>
      <c r="M379" s="186"/>
      <c r="N379" s="186"/>
    </row>
    <row r="380" spans="6:14" ht="12.6">
      <c r="F380" s="211"/>
      <c r="L380" s="186"/>
      <c r="M380" s="186"/>
      <c r="N380" s="186"/>
    </row>
    <row r="381" spans="6:14" ht="12.6">
      <c r="F381" s="211"/>
      <c r="L381" s="186"/>
      <c r="M381" s="186"/>
      <c r="N381" s="186"/>
    </row>
    <row r="382" spans="6:14" ht="12.6">
      <c r="F382" s="211"/>
      <c r="L382" s="186"/>
      <c r="M382" s="186"/>
      <c r="N382" s="186"/>
    </row>
    <row r="383" spans="6:14" ht="12.6">
      <c r="F383" s="211"/>
      <c r="L383" s="186"/>
      <c r="M383" s="186"/>
      <c r="N383" s="186"/>
    </row>
    <row r="384" spans="6:14" ht="12.6">
      <c r="F384" s="211"/>
      <c r="L384" s="186"/>
      <c r="M384" s="186"/>
      <c r="N384" s="186"/>
    </row>
    <row r="385" spans="6:14" ht="12.6">
      <c r="F385" s="211"/>
      <c r="L385" s="186"/>
      <c r="M385" s="186"/>
      <c r="N385" s="186"/>
    </row>
    <row r="386" spans="6:14" ht="12.6">
      <c r="F386" s="211"/>
      <c r="L386" s="186"/>
      <c r="M386" s="186"/>
      <c r="N386" s="186"/>
    </row>
    <row r="387" spans="6:14" ht="12.6">
      <c r="F387" s="211"/>
      <c r="L387" s="186"/>
      <c r="M387" s="186"/>
      <c r="N387" s="186"/>
    </row>
    <row r="388" spans="6:14" ht="12.6">
      <c r="F388" s="211"/>
      <c r="L388" s="186"/>
      <c r="M388" s="186"/>
      <c r="N388" s="186"/>
    </row>
    <row r="389" spans="6:14" ht="12.6">
      <c r="F389" s="211"/>
      <c r="L389" s="186"/>
      <c r="M389" s="186"/>
      <c r="N389" s="186"/>
    </row>
    <row r="390" spans="6:14" ht="12.6">
      <c r="F390" s="211"/>
      <c r="L390" s="186"/>
      <c r="M390" s="186"/>
      <c r="N390" s="186"/>
    </row>
    <row r="391" spans="6:14" ht="12.6">
      <c r="F391" s="211"/>
      <c r="L391" s="186"/>
      <c r="M391" s="186"/>
      <c r="N391" s="186"/>
    </row>
    <row r="392" spans="6:14" ht="12.6">
      <c r="F392" s="211"/>
      <c r="L392" s="186"/>
      <c r="M392" s="186"/>
      <c r="N392" s="186"/>
    </row>
    <row r="393" spans="6:14" ht="12.6">
      <c r="F393" s="211"/>
      <c r="L393" s="186"/>
      <c r="M393" s="186"/>
      <c r="N393" s="186"/>
    </row>
    <row r="394" spans="6:14" ht="12.6">
      <c r="F394" s="211"/>
      <c r="L394" s="186"/>
      <c r="M394" s="186"/>
      <c r="N394" s="186"/>
    </row>
    <row r="395" spans="6:14" ht="12.6">
      <c r="F395" s="211"/>
      <c r="L395" s="186"/>
      <c r="M395" s="186"/>
      <c r="N395" s="186"/>
    </row>
    <row r="396" spans="6:14" ht="12.6">
      <c r="F396" s="211"/>
      <c r="L396" s="186"/>
      <c r="M396" s="186"/>
      <c r="N396" s="186"/>
    </row>
    <row r="397" spans="6:14" ht="12.6">
      <c r="F397" s="211"/>
      <c r="L397" s="186"/>
      <c r="M397" s="186"/>
      <c r="N397" s="186"/>
    </row>
    <row r="398" spans="6:14" ht="12.6">
      <c r="F398" s="211"/>
      <c r="L398" s="186"/>
      <c r="M398" s="186"/>
      <c r="N398" s="186"/>
    </row>
    <row r="399" spans="6:14" ht="12.6">
      <c r="F399" s="211"/>
      <c r="L399" s="186"/>
      <c r="M399" s="186"/>
      <c r="N399" s="186"/>
    </row>
    <row r="400" spans="6:14" ht="12.6">
      <c r="F400" s="211"/>
      <c r="L400" s="186"/>
      <c r="M400" s="186"/>
      <c r="N400" s="186"/>
    </row>
    <row r="401" spans="6:14" ht="12.6">
      <c r="F401" s="211"/>
      <c r="L401" s="186"/>
      <c r="M401" s="186"/>
      <c r="N401" s="186"/>
    </row>
    <row r="402" spans="6:14" ht="12.6">
      <c r="F402" s="211"/>
      <c r="L402" s="186"/>
      <c r="M402" s="186"/>
      <c r="N402" s="186"/>
    </row>
    <row r="403" spans="6:14" ht="12.6">
      <c r="F403" s="211"/>
      <c r="L403" s="186"/>
      <c r="M403" s="186"/>
      <c r="N403" s="186"/>
    </row>
    <row r="404" spans="6:14" ht="12.6">
      <c r="F404" s="211"/>
      <c r="L404" s="186"/>
      <c r="M404" s="186"/>
      <c r="N404" s="186"/>
    </row>
    <row r="405" spans="6:14" ht="12.6">
      <c r="F405" s="211"/>
      <c r="L405" s="186"/>
      <c r="M405" s="186"/>
      <c r="N405" s="186"/>
    </row>
    <row r="406" spans="6:14" ht="12.6">
      <c r="F406" s="211"/>
      <c r="L406" s="186"/>
      <c r="M406" s="186"/>
      <c r="N406" s="186"/>
    </row>
    <row r="407" spans="6:14" ht="12.6">
      <c r="F407" s="211"/>
      <c r="L407" s="186"/>
      <c r="M407" s="186"/>
      <c r="N407" s="186"/>
    </row>
    <row r="408" spans="6:14" ht="12.6">
      <c r="F408" s="211"/>
      <c r="L408" s="186"/>
      <c r="M408" s="186"/>
      <c r="N408" s="186"/>
    </row>
    <row r="409" spans="6:14" ht="12.6">
      <c r="F409" s="211"/>
      <c r="L409" s="186"/>
      <c r="M409" s="186"/>
      <c r="N409" s="186"/>
    </row>
    <row r="410" spans="6:14" ht="12.6">
      <c r="F410" s="211"/>
      <c r="L410" s="186"/>
      <c r="M410" s="186"/>
      <c r="N410" s="186"/>
    </row>
    <row r="411" spans="6:14" ht="12.6">
      <c r="F411" s="211"/>
      <c r="L411" s="186"/>
      <c r="M411" s="186"/>
      <c r="N411" s="186"/>
    </row>
    <row r="412" spans="6:14" ht="12.6">
      <c r="F412" s="211"/>
      <c r="L412" s="186"/>
      <c r="M412" s="186"/>
      <c r="N412" s="186"/>
    </row>
    <row r="413" spans="6:14" ht="12.6">
      <c r="F413" s="211"/>
      <c r="L413" s="186"/>
      <c r="M413" s="186"/>
      <c r="N413" s="186"/>
    </row>
    <row r="414" spans="6:14" ht="12.6">
      <c r="F414" s="211"/>
      <c r="L414" s="186"/>
      <c r="M414" s="186"/>
      <c r="N414" s="186"/>
    </row>
    <row r="415" spans="6:14" ht="12.6">
      <c r="F415" s="211"/>
      <c r="L415" s="186"/>
      <c r="M415" s="186"/>
      <c r="N415" s="186"/>
    </row>
    <row r="416" spans="6:14" ht="12.6">
      <c r="F416" s="211"/>
      <c r="L416" s="186"/>
      <c r="M416" s="186"/>
      <c r="N416" s="186"/>
    </row>
    <row r="417" spans="6:14" ht="12.6">
      <c r="F417" s="211"/>
      <c r="L417" s="186"/>
      <c r="M417" s="186"/>
      <c r="N417" s="186"/>
    </row>
    <row r="418" spans="6:14" ht="12.6">
      <c r="F418" s="211"/>
      <c r="L418" s="186"/>
      <c r="M418" s="186"/>
      <c r="N418" s="186"/>
    </row>
    <row r="419" spans="6:14" ht="12.6">
      <c r="F419" s="211"/>
      <c r="L419" s="186"/>
      <c r="M419" s="186"/>
      <c r="N419" s="186"/>
    </row>
    <row r="420" spans="6:14" ht="12.6">
      <c r="F420" s="211"/>
      <c r="L420" s="186"/>
      <c r="M420" s="186"/>
      <c r="N420" s="186"/>
    </row>
    <row r="421" spans="6:14" ht="12.6">
      <c r="F421" s="211"/>
      <c r="L421" s="186"/>
      <c r="M421" s="186"/>
      <c r="N421" s="186"/>
    </row>
    <row r="422" spans="6:14" ht="12.6">
      <c r="F422" s="211"/>
      <c r="L422" s="186"/>
      <c r="M422" s="186"/>
      <c r="N422" s="186"/>
    </row>
    <row r="423" spans="6:14" ht="12.6">
      <c r="F423" s="211"/>
      <c r="L423" s="186"/>
      <c r="M423" s="186"/>
      <c r="N423" s="186"/>
    </row>
    <row r="424" spans="6:14" ht="12.6">
      <c r="F424" s="211"/>
      <c r="L424" s="186"/>
      <c r="M424" s="186"/>
      <c r="N424" s="186"/>
    </row>
    <row r="425" spans="6:14" ht="12.6">
      <c r="F425" s="211"/>
      <c r="L425" s="186"/>
      <c r="M425" s="186"/>
      <c r="N425" s="186"/>
    </row>
    <row r="426" spans="6:14" ht="12.6">
      <c r="F426" s="211"/>
      <c r="L426" s="186"/>
      <c r="M426" s="186"/>
      <c r="N426" s="186"/>
    </row>
    <row r="427" spans="6:14" ht="12.6">
      <c r="F427" s="211"/>
      <c r="L427" s="186"/>
      <c r="M427" s="186"/>
      <c r="N427" s="186"/>
    </row>
    <row r="428" spans="6:14" ht="12.6">
      <c r="F428" s="211"/>
      <c r="L428" s="186"/>
      <c r="M428" s="186"/>
      <c r="N428" s="186"/>
    </row>
    <row r="429" spans="6:14" ht="12.6">
      <c r="F429" s="211"/>
      <c r="L429" s="186"/>
      <c r="M429" s="186"/>
      <c r="N429" s="186"/>
    </row>
    <row r="430" spans="6:14" ht="12.6">
      <c r="F430" s="211"/>
      <c r="L430" s="186"/>
      <c r="M430" s="186"/>
      <c r="N430" s="186"/>
    </row>
    <row r="431" spans="6:14" ht="12.6">
      <c r="F431" s="211"/>
      <c r="L431" s="186"/>
      <c r="M431" s="186"/>
      <c r="N431" s="186"/>
    </row>
    <row r="432" spans="6:14" ht="12.6">
      <c r="F432" s="211"/>
      <c r="L432" s="186"/>
      <c r="M432" s="186"/>
      <c r="N432" s="186"/>
    </row>
    <row r="433" spans="6:14" ht="12.6">
      <c r="F433" s="211"/>
      <c r="L433" s="186"/>
      <c r="M433" s="186"/>
      <c r="N433" s="186"/>
    </row>
    <row r="434" spans="6:14" ht="12.6">
      <c r="F434" s="211"/>
      <c r="L434" s="186"/>
      <c r="M434" s="186"/>
      <c r="N434" s="186"/>
    </row>
    <row r="435" spans="6:14" ht="12.6">
      <c r="F435" s="211"/>
      <c r="L435" s="186"/>
      <c r="M435" s="186"/>
      <c r="N435" s="186"/>
    </row>
    <row r="436" spans="6:14" ht="12.6">
      <c r="F436" s="211"/>
      <c r="L436" s="186"/>
      <c r="M436" s="186"/>
      <c r="N436" s="186"/>
    </row>
    <row r="437" spans="6:14" ht="12.6">
      <c r="F437" s="211"/>
      <c r="L437" s="186"/>
      <c r="M437" s="186"/>
      <c r="N437" s="186"/>
    </row>
    <row r="438" spans="6:14" ht="12.6">
      <c r="F438" s="211"/>
      <c r="L438" s="186"/>
      <c r="M438" s="186"/>
      <c r="N438" s="186"/>
    </row>
    <row r="439" spans="6:14" ht="12.6">
      <c r="F439" s="211"/>
      <c r="L439" s="186"/>
      <c r="M439" s="186"/>
      <c r="N439" s="186"/>
    </row>
    <row r="440" spans="6:14" ht="12.6">
      <c r="F440" s="211"/>
      <c r="L440" s="186"/>
      <c r="M440" s="186"/>
      <c r="N440" s="186"/>
    </row>
    <row r="441" spans="6:14" ht="12.6">
      <c r="F441" s="211"/>
      <c r="L441" s="186"/>
      <c r="M441" s="186"/>
      <c r="N441" s="186"/>
    </row>
    <row r="442" spans="6:14" ht="12.6">
      <c r="F442" s="211"/>
      <c r="L442" s="186"/>
      <c r="M442" s="186"/>
      <c r="N442" s="186"/>
    </row>
    <row r="443" spans="6:14" ht="12.6">
      <c r="F443" s="211"/>
      <c r="L443" s="186"/>
      <c r="M443" s="186"/>
      <c r="N443" s="186"/>
    </row>
    <row r="444" spans="6:14" ht="12.6">
      <c r="F444" s="211"/>
      <c r="L444" s="186"/>
      <c r="M444" s="186"/>
      <c r="N444" s="186"/>
    </row>
    <row r="445" spans="6:14" ht="12.6">
      <c r="F445" s="211"/>
      <c r="L445" s="186"/>
      <c r="M445" s="186"/>
      <c r="N445" s="186"/>
    </row>
    <row r="446" spans="6:14" ht="12.6">
      <c r="F446" s="211"/>
      <c r="L446" s="186"/>
      <c r="M446" s="186"/>
      <c r="N446" s="186"/>
    </row>
    <row r="447" spans="6:14" ht="12.6">
      <c r="F447" s="211"/>
      <c r="L447" s="186"/>
      <c r="M447" s="186"/>
      <c r="N447" s="186"/>
    </row>
    <row r="448" spans="6:14" ht="12.6">
      <c r="F448" s="211"/>
      <c r="L448" s="186"/>
      <c r="M448" s="186"/>
      <c r="N448" s="186"/>
    </row>
    <row r="449" spans="6:14" ht="12.6">
      <c r="F449" s="211"/>
      <c r="L449" s="186"/>
      <c r="M449" s="186"/>
      <c r="N449" s="186"/>
    </row>
    <row r="450" spans="6:14" ht="12.6">
      <c r="F450" s="211"/>
      <c r="L450" s="186"/>
      <c r="M450" s="186"/>
      <c r="N450" s="186"/>
    </row>
    <row r="451" spans="6:14" ht="12.6">
      <c r="F451" s="211"/>
      <c r="L451" s="186"/>
      <c r="M451" s="186"/>
      <c r="N451" s="186"/>
    </row>
    <row r="452" spans="6:14" ht="12.6">
      <c r="F452" s="211"/>
      <c r="L452" s="186"/>
      <c r="M452" s="186"/>
      <c r="N452" s="186"/>
    </row>
    <row r="453" spans="6:14" ht="12.6">
      <c r="F453" s="211"/>
      <c r="L453" s="186"/>
      <c r="M453" s="186"/>
      <c r="N453" s="186"/>
    </row>
    <row r="454" spans="6:14" ht="12.6">
      <c r="F454" s="211"/>
      <c r="L454" s="186"/>
      <c r="M454" s="186"/>
      <c r="N454" s="186"/>
    </row>
    <row r="455" spans="6:14" ht="12.6">
      <c r="F455" s="211"/>
      <c r="L455" s="186"/>
      <c r="M455" s="186"/>
      <c r="N455" s="186"/>
    </row>
    <row r="456" spans="6:14" ht="12.6">
      <c r="F456" s="211"/>
      <c r="L456" s="186"/>
      <c r="M456" s="186"/>
      <c r="N456" s="186"/>
    </row>
    <row r="457" spans="6:14" ht="12.6">
      <c r="F457" s="211"/>
      <c r="L457" s="186"/>
      <c r="M457" s="186"/>
      <c r="N457" s="186"/>
    </row>
    <row r="458" spans="6:14" ht="12.6">
      <c r="F458" s="211"/>
      <c r="L458" s="186"/>
      <c r="M458" s="186"/>
      <c r="N458" s="186"/>
    </row>
    <row r="459" spans="6:14" ht="12.6">
      <c r="F459" s="211"/>
      <c r="L459" s="186"/>
      <c r="M459" s="186"/>
      <c r="N459" s="186"/>
    </row>
    <row r="460" spans="6:14" ht="12.6">
      <c r="F460" s="211"/>
      <c r="L460" s="186"/>
      <c r="M460" s="186"/>
      <c r="N460" s="186"/>
    </row>
    <row r="461" spans="6:14" ht="12.6">
      <c r="F461" s="211"/>
      <c r="L461" s="186"/>
      <c r="M461" s="186"/>
      <c r="N461" s="186"/>
    </row>
    <row r="462" spans="6:14" ht="12.6">
      <c r="F462" s="211"/>
      <c r="L462" s="186"/>
      <c r="M462" s="186"/>
      <c r="N462" s="186"/>
    </row>
    <row r="463" spans="6:14" ht="12.6">
      <c r="F463" s="211"/>
      <c r="L463" s="186"/>
      <c r="M463" s="186"/>
      <c r="N463" s="186"/>
    </row>
    <row r="464" spans="6:14" ht="12.6">
      <c r="F464" s="211"/>
      <c r="L464" s="186"/>
      <c r="M464" s="186"/>
      <c r="N464" s="186"/>
    </row>
    <row r="465" spans="6:14" ht="12.6">
      <c r="F465" s="211"/>
      <c r="L465" s="186"/>
      <c r="M465" s="186"/>
      <c r="N465" s="186"/>
    </row>
    <row r="466" spans="6:14" ht="12.6">
      <c r="F466" s="211"/>
      <c r="L466" s="186"/>
      <c r="M466" s="186"/>
      <c r="N466" s="186"/>
    </row>
    <row r="467" spans="6:14" ht="12.6">
      <c r="F467" s="211"/>
      <c r="L467" s="186"/>
      <c r="M467" s="186"/>
      <c r="N467" s="186"/>
    </row>
    <row r="468" spans="6:14" ht="12.6">
      <c r="F468" s="211"/>
      <c r="L468" s="186"/>
      <c r="M468" s="186"/>
      <c r="N468" s="186"/>
    </row>
    <row r="469" spans="6:14" ht="12.6">
      <c r="F469" s="211"/>
      <c r="L469" s="186"/>
      <c r="M469" s="186"/>
      <c r="N469" s="186"/>
    </row>
    <row r="470" spans="6:14" ht="12.6">
      <c r="F470" s="211"/>
      <c r="L470" s="186"/>
      <c r="M470" s="186"/>
      <c r="N470" s="186"/>
    </row>
    <row r="471" spans="6:14" ht="12.6">
      <c r="F471" s="211"/>
      <c r="L471" s="186"/>
      <c r="M471" s="186"/>
      <c r="N471" s="186"/>
    </row>
    <row r="472" spans="6:14" ht="12.6">
      <c r="F472" s="211"/>
      <c r="L472" s="186"/>
      <c r="M472" s="186"/>
      <c r="N472" s="186"/>
    </row>
    <row r="473" spans="6:14" ht="12.6">
      <c r="F473" s="211"/>
      <c r="L473" s="186"/>
      <c r="M473" s="186"/>
      <c r="N473" s="186"/>
    </row>
    <row r="474" spans="6:14" ht="12.6">
      <c r="F474" s="211"/>
      <c r="L474" s="186"/>
      <c r="M474" s="186"/>
      <c r="N474" s="186"/>
    </row>
    <row r="475" spans="6:14" ht="12.6">
      <c r="F475" s="211"/>
      <c r="L475" s="186"/>
      <c r="M475" s="186"/>
      <c r="N475" s="186"/>
    </row>
    <row r="476" spans="6:14" ht="12.6">
      <c r="F476" s="211"/>
      <c r="L476" s="186"/>
      <c r="M476" s="186"/>
      <c r="N476" s="186"/>
    </row>
    <row r="477" spans="6:14" ht="12.6">
      <c r="F477" s="211"/>
      <c r="L477" s="186"/>
      <c r="M477" s="186"/>
      <c r="N477" s="186"/>
    </row>
    <row r="478" spans="6:14" ht="12.6">
      <c r="F478" s="211"/>
      <c r="L478" s="186"/>
      <c r="M478" s="186"/>
      <c r="N478" s="186"/>
    </row>
    <row r="479" spans="6:14" ht="12.6">
      <c r="F479" s="211"/>
      <c r="L479" s="186"/>
      <c r="M479" s="186"/>
      <c r="N479" s="186"/>
    </row>
    <row r="480" spans="6:14" ht="12.6">
      <c r="F480" s="211"/>
      <c r="L480" s="186"/>
      <c r="M480" s="186"/>
      <c r="N480" s="186"/>
    </row>
    <row r="481" spans="6:14" ht="12.6">
      <c r="F481" s="211"/>
      <c r="L481" s="186"/>
      <c r="M481" s="186"/>
      <c r="N481" s="186"/>
    </row>
    <row r="482" spans="6:14" ht="12.6">
      <c r="F482" s="211"/>
      <c r="L482" s="186"/>
      <c r="M482" s="186"/>
      <c r="N482" s="186"/>
    </row>
    <row r="483" spans="6:14" ht="12.6">
      <c r="F483" s="211"/>
      <c r="L483" s="186"/>
      <c r="M483" s="186"/>
      <c r="N483" s="186"/>
    </row>
    <row r="484" spans="6:14" ht="12.6">
      <c r="F484" s="211"/>
      <c r="L484" s="186"/>
      <c r="M484" s="186"/>
      <c r="N484" s="186"/>
    </row>
    <row r="485" spans="6:14" ht="12.6">
      <c r="F485" s="211"/>
      <c r="L485" s="186"/>
      <c r="M485" s="186"/>
      <c r="N485" s="186"/>
    </row>
    <row r="486" spans="6:14" ht="12.6">
      <c r="F486" s="211"/>
      <c r="L486" s="186"/>
      <c r="M486" s="186"/>
      <c r="N486" s="186"/>
    </row>
    <row r="487" spans="6:14" ht="12.6">
      <c r="F487" s="211"/>
      <c r="L487" s="186"/>
      <c r="M487" s="186"/>
      <c r="N487" s="186"/>
    </row>
    <row r="488" spans="6:14" ht="12.6">
      <c r="F488" s="211"/>
      <c r="L488" s="186"/>
      <c r="M488" s="186"/>
      <c r="N488" s="186"/>
    </row>
    <row r="489" spans="6:14" ht="12.6">
      <c r="F489" s="211"/>
      <c r="L489" s="186"/>
      <c r="M489" s="186"/>
      <c r="N489" s="186"/>
    </row>
    <row r="490" spans="6:14" ht="12.6">
      <c r="F490" s="211"/>
      <c r="L490" s="186"/>
      <c r="M490" s="186"/>
      <c r="N490" s="186"/>
    </row>
    <row r="491" spans="6:14" ht="12.6">
      <c r="F491" s="211"/>
      <c r="L491" s="186"/>
      <c r="M491" s="186"/>
      <c r="N491" s="186"/>
    </row>
    <row r="492" spans="6:14" ht="12.6">
      <c r="F492" s="211"/>
      <c r="L492" s="186"/>
      <c r="M492" s="186"/>
      <c r="N492" s="186"/>
    </row>
    <row r="493" spans="6:14" ht="12.6">
      <c r="F493" s="211"/>
      <c r="L493" s="186"/>
      <c r="M493" s="186"/>
      <c r="N493" s="186"/>
    </row>
    <row r="494" spans="6:14" ht="12.6">
      <c r="F494" s="211"/>
      <c r="L494" s="186"/>
      <c r="M494" s="186"/>
      <c r="N494" s="186"/>
    </row>
    <row r="495" spans="6:14" ht="12.6">
      <c r="F495" s="211"/>
      <c r="L495" s="186"/>
      <c r="M495" s="186"/>
      <c r="N495" s="186"/>
    </row>
    <row r="496" spans="6:14" ht="12.6">
      <c r="F496" s="211"/>
      <c r="L496" s="186"/>
      <c r="M496" s="186"/>
      <c r="N496" s="186"/>
    </row>
    <row r="497" spans="6:14" ht="12.6">
      <c r="F497" s="211"/>
      <c r="L497" s="186"/>
      <c r="M497" s="186"/>
      <c r="N497" s="186"/>
    </row>
    <row r="498" spans="6:14" ht="12.6">
      <c r="F498" s="211"/>
      <c r="L498" s="186"/>
      <c r="M498" s="186"/>
      <c r="N498" s="186"/>
    </row>
    <row r="499" spans="6:14" ht="12.6">
      <c r="F499" s="211"/>
      <c r="L499" s="186"/>
      <c r="M499" s="186"/>
      <c r="N499" s="186"/>
    </row>
    <row r="500" spans="6:14" ht="12.6">
      <c r="F500" s="211"/>
      <c r="L500" s="186"/>
      <c r="M500" s="186"/>
      <c r="N500" s="186"/>
    </row>
    <row r="501" spans="6:14" ht="12.6">
      <c r="F501" s="211"/>
      <c r="L501" s="186"/>
      <c r="M501" s="186"/>
      <c r="N501" s="186"/>
    </row>
    <row r="502" spans="6:14" ht="12.6">
      <c r="F502" s="211"/>
      <c r="L502" s="186"/>
      <c r="M502" s="186"/>
      <c r="N502" s="186"/>
    </row>
    <row r="503" spans="6:14" ht="12.6">
      <c r="F503" s="211"/>
      <c r="L503" s="186"/>
      <c r="M503" s="186"/>
      <c r="N503" s="186"/>
    </row>
    <row r="504" spans="6:14" ht="12.6">
      <c r="F504" s="211"/>
      <c r="L504" s="186"/>
      <c r="M504" s="186"/>
      <c r="N504" s="186"/>
    </row>
    <row r="505" spans="6:14" ht="12.6">
      <c r="F505" s="211"/>
      <c r="L505" s="186"/>
      <c r="M505" s="186"/>
      <c r="N505" s="186"/>
    </row>
    <row r="506" spans="6:14" ht="12.6">
      <c r="F506" s="211"/>
      <c r="L506" s="186"/>
      <c r="M506" s="186"/>
      <c r="N506" s="186"/>
    </row>
    <row r="507" spans="6:14" ht="12.6">
      <c r="F507" s="211"/>
      <c r="L507" s="186"/>
      <c r="M507" s="186"/>
      <c r="N507" s="186"/>
    </row>
    <row r="508" spans="6:14" ht="12.6">
      <c r="F508" s="211"/>
      <c r="L508" s="186"/>
      <c r="M508" s="186"/>
      <c r="N508" s="186"/>
    </row>
    <row r="509" spans="6:14" ht="12.6">
      <c r="F509" s="211"/>
      <c r="L509" s="186"/>
      <c r="M509" s="186"/>
      <c r="N509" s="186"/>
    </row>
    <row r="510" spans="6:14" ht="12.6">
      <c r="F510" s="211"/>
      <c r="L510" s="186"/>
      <c r="M510" s="186"/>
      <c r="N510" s="186"/>
    </row>
    <row r="511" spans="6:14" ht="12.6">
      <c r="F511" s="211"/>
      <c r="L511" s="186"/>
      <c r="M511" s="186"/>
      <c r="N511" s="186"/>
    </row>
    <row r="512" spans="6:14" ht="12.6">
      <c r="F512" s="211"/>
      <c r="L512" s="186"/>
      <c r="M512" s="186"/>
      <c r="N512" s="186"/>
    </row>
    <row r="513" spans="6:14" ht="12.6">
      <c r="F513" s="211"/>
      <c r="L513" s="186"/>
      <c r="M513" s="186"/>
      <c r="N513" s="186"/>
    </row>
    <row r="514" spans="6:14" ht="12.6">
      <c r="F514" s="211"/>
      <c r="L514" s="186"/>
      <c r="M514" s="186"/>
      <c r="N514" s="186"/>
    </row>
    <row r="515" spans="6:14" ht="12.6">
      <c r="F515" s="211"/>
      <c r="L515" s="186"/>
      <c r="M515" s="186"/>
      <c r="N515" s="186"/>
    </row>
    <row r="516" spans="6:14" ht="12.6">
      <c r="F516" s="211"/>
      <c r="L516" s="186"/>
      <c r="M516" s="186"/>
      <c r="N516" s="186"/>
    </row>
    <row r="517" spans="6:14" ht="12.6">
      <c r="F517" s="211"/>
      <c r="L517" s="186"/>
      <c r="M517" s="186"/>
      <c r="N517" s="186"/>
    </row>
    <row r="518" spans="6:14" ht="12.6">
      <c r="F518" s="211"/>
      <c r="L518" s="186"/>
      <c r="M518" s="186"/>
      <c r="N518" s="186"/>
    </row>
    <row r="519" spans="6:14" ht="12.6">
      <c r="F519" s="211"/>
      <c r="L519" s="186"/>
      <c r="M519" s="186"/>
      <c r="N519" s="186"/>
    </row>
    <row r="520" spans="6:14" ht="12.6">
      <c r="F520" s="211"/>
      <c r="L520" s="186"/>
      <c r="M520" s="186"/>
      <c r="N520" s="186"/>
    </row>
    <row r="521" spans="6:14" ht="12.6">
      <c r="F521" s="211"/>
      <c r="L521" s="186"/>
      <c r="M521" s="186"/>
      <c r="N521" s="186"/>
    </row>
    <row r="522" spans="6:14" ht="12.6">
      <c r="F522" s="211"/>
      <c r="L522" s="186"/>
      <c r="M522" s="186"/>
      <c r="N522" s="186"/>
    </row>
    <row r="523" spans="6:14" ht="12.6">
      <c r="F523" s="211"/>
      <c r="L523" s="186"/>
      <c r="M523" s="186"/>
      <c r="N523" s="186"/>
    </row>
    <row r="524" spans="6:14" ht="12.6">
      <c r="F524" s="211"/>
      <c r="L524" s="186"/>
      <c r="M524" s="186"/>
      <c r="N524" s="186"/>
    </row>
    <row r="525" spans="6:14" ht="12.6">
      <c r="F525" s="211"/>
      <c r="L525" s="186"/>
      <c r="M525" s="186"/>
      <c r="N525" s="186"/>
    </row>
    <row r="526" spans="6:14" ht="12.6">
      <c r="F526" s="211"/>
      <c r="L526" s="186"/>
      <c r="M526" s="186"/>
      <c r="N526" s="186"/>
    </row>
    <row r="527" spans="6:14" ht="12.6">
      <c r="F527" s="211"/>
      <c r="L527" s="186"/>
      <c r="M527" s="186"/>
      <c r="N527" s="186"/>
    </row>
    <row r="528" spans="6:14" ht="12.6">
      <c r="F528" s="211"/>
      <c r="L528" s="186"/>
      <c r="M528" s="186"/>
      <c r="N528" s="186"/>
    </row>
    <row r="529" spans="6:14" ht="12.6">
      <c r="F529" s="211"/>
      <c r="L529" s="186"/>
      <c r="M529" s="186"/>
      <c r="N529" s="186"/>
    </row>
    <row r="530" spans="6:14" ht="12.6">
      <c r="F530" s="211"/>
      <c r="L530" s="186"/>
      <c r="M530" s="186"/>
      <c r="N530" s="186"/>
    </row>
    <row r="531" spans="6:14" ht="12.6">
      <c r="F531" s="211"/>
      <c r="L531" s="186"/>
      <c r="M531" s="186"/>
      <c r="N531" s="186"/>
    </row>
    <row r="532" spans="6:14" ht="12.6">
      <c r="F532" s="211"/>
      <c r="L532" s="186"/>
      <c r="M532" s="186"/>
      <c r="N532" s="186"/>
    </row>
    <row r="533" spans="6:14" ht="12.6">
      <c r="F533" s="211"/>
      <c r="L533" s="186"/>
      <c r="M533" s="186"/>
      <c r="N533" s="186"/>
    </row>
    <row r="534" spans="6:14" ht="12.6">
      <c r="F534" s="211"/>
      <c r="L534" s="186"/>
      <c r="M534" s="186"/>
      <c r="N534" s="186"/>
    </row>
    <row r="535" spans="6:14" ht="12.6">
      <c r="F535" s="211"/>
      <c r="L535" s="186"/>
      <c r="M535" s="186"/>
      <c r="N535" s="186"/>
    </row>
    <row r="536" spans="6:14" ht="12.6">
      <c r="F536" s="211"/>
      <c r="L536" s="186"/>
      <c r="M536" s="186"/>
      <c r="N536" s="186"/>
    </row>
    <row r="537" spans="6:14" ht="12.6">
      <c r="F537" s="211"/>
      <c r="L537" s="186"/>
      <c r="M537" s="186"/>
      <c r="N537" s="186"/>
    </row>
    <row r="538" spans="6:14" ht="12.6">
      <c r="F538" s="211"/>
      <c r="L538" s="186"/>
      <c r="M538" s="186"/>
      <c r="N538" s="186"/>
    </row>
    <row r="539" spans="6:14" ht="12.6">
      <c r="F539" s="211"/>
      <c r="L539" s="186"/>
      <c r="M539" s="186"/>
      <c r="N539" s="186"/>
    </row>
    <row r="540" spans="6:14" ht="12.6">
      <c r="F540" s="211"/>
      <c r="L540" s="186"/>
      <c r="M540" s="186"/>
      <c r="N540" s="186"/>
    </row>
    <row r="541" spans="6:14" ht="12.6">
      <c r="F541" s="211"/>
      <c r="L541" s="186"/>
      <c r="M541" s="186"/>
      <c r="N541" s="186"/>
    </row>
    <row r="542" spans="6:14" ht="12.6">
      <c r="F542" s="211"/>
      <c r="L542" s="186"/>
      <c r="M542" s="186"/>
      <c r="N542" s="186"/>
    </row>
    <row r="543" spans="6:14" ht="12.6">
      <c r="F543" s="211"/>
      <c r="L543" s="186"/>
      <c r="M543" s="186"/>
      <c r="N543" s="186"/>
    </row>
    <row r="544" spans="6:14" ht="12.6">
      <c r="F544" s="211"/>
      <c r="L544" s="186"/>
      <c r="M544" s="186"/>
      <c r="N544" s="186"/>
    </row>
    <row r="545" spans="6:14" ht="12.6">
      <c r="F545" s="211"/>
      <c r="L545" s="186"/>
      <c r="M545" s="186"/>
      <c r="N545" s="186"/>
    </row>
    <row r="546" spans="6:14" ht="12.6">
      <c r="F546" s="211"/>
      <c r="L546" s="186"/>
      <c r="M546" s="186"/>
      <c r="N546" s="186"/>
    </row>
    <row r="547" spans="6:14" ht="12.6">
      <c r="F547" s="211"/>
      <c r="L547" s="186"/>
      <c r="M547" s="186"/>
      <c r="N547" s="186"/>
    </row>
    <row r="548" spans="6:14" ht="12.6">
      <c r="F548" s="211"/>
      <c r="L548" s="186"/>
      <c r="M548" s="186"/>
      <c r="N548" s="186"/>
    </row>
    <row r="549" spans="6:14" ht="12.6">
      <c r="F549" s="211"/>
      <c r="L549" s="186"/>
      <c r="M549" s="186"/>
      <c r="N549" s="186"/>
    </row>
    <row r="550" spans="6:14" ht="12.6">
      <c r="F550" s="211"/>
      <c r="L550" s="186"/>
      <c r="M550" s="186"/>
      <c r="N550" s="186"/>
    </row>
    <row r="551" spans="6:14" ht="12.6">
      <c r="F551" s="211"/>
      <c r="L551" s="186"/>
      <c r="M551" s="186"/>
      <c r="N551" s="186"/>
    </row>
    <row r="552" spans="6:14" ht="12.6">
      <c r="F552" s="211"/>
      <c r="L552" s="186"/>
      <c r="M552" s="186"/>
      <c r="N552" s="186"/>
    </row>
    <row r="553" spans="6:14" ht="12.6">
      <c r="F553" s="211"/>
      <c r="L553" s="186"/>
      <c r="M553" s="186"/>
      <c r="N553" s="186"/>
    </row>
    <row r="554" spans="6:14" ht="12.6">
      <c r="F554" s="211"/>
      <c r="L554" s="186"/>
      <c r="M554" s="186"/>
      <c r="N554" s="186"/>
    </row>
    <row r="555" spans="6:14" ht="12.6">
      <c r="F555" s="211"/>
      <c r="L555" s="186"/>
      <c r="M555" s="186"/>
      <c r="N555" s="186"/>
    </row>
    <row r="556" spans="6:14" ht="12.6">
      <c r="F556" s="211"/>
      <c r="L556" s="186"/>
      <c r="M556" s="186"/>
      <c r="N556" s="186"/>
    </row>
    <row r="557" spans="6:14" ht="12.6">
      <c r="F557" s="211"/>
      <c r="L557" s="186"/>
      <c r="M557" s="186"/>
      <c r="N557" s="186"/>
    </row>
    <row r="558" spans="6:14" ht="12.6">
      <c r="F558" s="211"/>
      <c r="L558" s="186"/>
      <c r="M558" s="186"/>
      <c r="N558" s="186"/>
    </row>
    <row r="559" spans="6:14" ht="12.6">
      <c r="F559" s="211"/>
      <c r="L559" s="186"/>
      <c r="M559" s="186"/>
      <c r="N559" s="186"/>
    </row>
    <row r="560" spans="6:14" ht="12.6">
      <c r="F560" s="211"/>
      <c r="L560" s="186"/>
      <c r="M560" s="186"/>
      <c r="N560" s="186"/>
    </row>
    <row r="561" spans="6:14" ht="12.6">
      <c r="F561" s="211"/>
      <c r="L561" s="186"/>
      <c r="M561" s="186"/>
      <c r="N561" s="186"/>
    </row>
    <row r="562" spans="6:14" ht="12.6">
      <c r="F562" s="211"/>
      <c r="L562" s="186"/>
      <c r="M562" s="186"/>
      <c r="N562" s="186"/>
    </row>
    <row r="563" spans="6:14" ht="12.6">
      <c r="F563" s="211"/>
      <c r="L563" s="186"/>
      <c r="M563" s="186"/>
      <c r="N563" s="186"/>
    </row>
    <row r="564" spans="6:14" ht="12.6">
      <c r="F564" s="211"/>
      <c r="L564" s="186"/>
      <c r="M564" s="186"/>
      <c r="N564" s="186"/>
    </row>
    <row r="565" spans="6:14" ht="12.6">
      <c r="F565" s="211"/>
      <c r="L565" s="186"/>
      <c r="M565" s="186"/>
      <c r="N565" s="186"/>
    </row>
    <row r="566" spans="6:14" ht="12.6">
      <c r="F566" s="211"/>
      <c r="L566" s="186"/>
      <c r="M566" s="186"/>
      <c r="N566" s="186"/>
    </row>
    <row r="567" spans="6:14" ht="12.6">
      <c r="F567" s="211"/>
      <c r="L567" s="186"/>
      <c r="M567" s="186"/>
      <c r="N567" s="186"/>
    </row>
    <row r="568" spans="6:14" ht="12.6">
      <c r="F568" s="211"/>
      <c r="L568" s="186"/>
      <c r="M568" s="186"/>
      <c r="N568" s="186"/>
    </row>
    <row r="569" spans="6:14" ht="12.6">
      <c r="F569" s="211"/>
      <c r="L569" s="186"/>
      <c r="M569" s="186"/>
      <c r="N569" s="186"/>
    </row>
    <row r="570" spans="6:14" ht="12.6">
      <c r="F570" s="211"/>
      <c r="L570" s="186"/>
      <c r="M570" s="186"/>
      <c r="N570" s="186"/>
    </row>
    <row r="571" spans="6:14" ht="12.6">
      <c r="F571" s="211"/>
      <c r="L571" s="186"/>
      <c r="M571" s="186"/>
      <c r="N571" s="186"/>
    </row>
    <row r="572" spans="6:14" ht="12.6">
      <c r="F572" s="211"/>
      <c r="L572" s="186"/>
      <c r="M572" s="186"/>
      <c r="N572" s="186"/>
    </row>
    <row r="573" spans="6:14" ht="12.6">
      <c r="F573" s="211"/>
      <c r="L573" s="186"/>
      <c r="M573" s="186"/>
      <c r="N573" s="186"/>
    </row>
    <row r="574" spans="6:14" ht="12.6">
      <c r="F574" s="211"/>
      <c r="L574" s="186"/>
      <c r="M574" s="186"/>
      <c r="N574" s="186"/>
    </row>
    <row r="575" spans="6:14" ht="12.6">
      <c r="F575" s="211"/>
      <c r="L575" s="186"/>
      <c r="M575" s="186"/>
      <c r="N575" s="186"/>
    </row>
    <row r="576" spans="6:14" ht="12.6">
      <c r="F576" s="211"/>
      <c r="L576" s="186"/>
      <c r="M576" s="186"/>
      <c r="N576" s="186"/>
    </row>
    <row r="577" spans="6:14" ht="12.6">
      <c r="F577" s="211"/>
      <c r="L577" s="186"/>
      <c r="M577" s="186"/>
      <c r="N577" s="186"/>
    </row>
    <row r="578" spans="6:14" ht="12.6">
      <c r="F578" s="211"/>
      <c r="L578" s="186"/>
      <c r="M578" s="186"/>
      <c r="N578" s="186"/>
    </row>
    <row r="579" spans="6:14" ht="12.6">
      <c r="F579" s="211"/>
      <c r="L579" s="186"/>
      <c r="M579" s="186"/>
      <c r="N579" s="186"/>
    </row>
    <row r="580" spans="6:14" ht="12.6">
      <c r="F580" s="211"/>
      <c r="L580" s="186"/>
      <c r="M580" s="186"/>
      <c r="N580" s="186"/>
    </row>
    <row r="581" spans="6:14" ht="12.6">
      <c r="F581" s="211"/>
      <c r="L581" s="186"/>
      <c r="M581" s="186"/>
      <c r="N581" s="186"/>
    </row>
    <row r="582" spans="6:14" ht="12.6">
      <c r="F582" s="211"/>
      <c r="L582" s="186"/>
      <c r="M582" s="186"/>
      <c r="N582" s="186"/>
    </row>
    <row r="583" spans="6:14" ht="12.6">
      <c r="F583" s="211"/>
      <c r="L583" s="186"/>
      <c r="M583" s="186"/>
      <c r="N583" s="186"/>
    </row>
    <row r="584" spans="6:14" ht="12.6">
      <c r="F584" s="211"/>
      <c r="L584" s="186"/>
      <c r="M584" s="186"/>
      <c r="N584" s="186"/>
    </row>
    <row r="585" spans="6:14" ht="12.6">
      <c r="F585" s="211"/>
      <c r="L585" s="186"/>
      <c r="M585" s="186"/>
      <c r="N585" s="186"/>
    </row>
    <row r="586" spans="6:14" ht="12.6">
      <c r="F586" s="211"/>
      <c r="L586" s="186"/>
      <c r="M586" s="186"/>
      <c r="N586" s="186"/>
    </row>
    <row r="587" spans="6:14" ht="12.6">
      <c r="F587" s="211"/>
      <c r="L587" s="186"/>
      <c r="M587" s="186"/>
      <c r="N587" s="186"/>
    </row>
    <row r="588" spans="6:14" ht="12.6">
      <c r="F588" s="211"/>
      <c r="L588" s="186"/>
      <c r="M588" s="186"/>
      <c r="N588" s="186"/>
    </row>
    <row r="589" spans="6:14" ht="12.6">
      <c r="F589" s="211"/>
      <c r="L589" s="186"/>
      <c r="M589" s="186"/>
      <c r="N589" s="186"/>
    </row>
    <row r="590" spans="6:14" ht="12.6">
      <c r="F590" s="211"/>
      <c r="L590" s="186"/>
      <c r="M590" s="186"/>
      <c r="N590" s="186"/>
    </row>
    <row r="591" spans="6:14" ht="12.6">
      <c r="F591" s="211"/>
      <c r="L591" s="186"/>
      <c r="M591" s="186"/>
      <c r="N591" s="186"/>
    </row>
    <row r="592" spans="6:14" ht="12.6">
      <c r="F592" s="211"/>
      <c r="L592" s="186"/>
      <c r="M592" s="186"/>
      <c r="N592" s="186"/>
    </row>
    <row r="593" spans="6:14" ht="12.6">
      <c r="F593" s="211"/>
      <c r="L593" s="186"/>
      <c r="M593" s="186"/>
      <c r="N593" s="186"/>
    </row>
    <row r="594" spans="6:14" ht="12.6">
      <c r="F594" s="211"/>
      <c r="L594" s="186"/>
      <c r="M594" s="186"/>
      <c r="N594" s="186"/>
    </row>
    <row r="595" spans="6:14" ht="12.6">
      <c r="F595" s="211"/>
      <c r="L595" s="186"/>
      <c r="M595" s="186"/>
      <c r="N595" s="186"/>
    </row>
    <row r="596" spans="6:14" ht="12.6">
      <c r="F596" s="211"/>
      <c r="L596" s="186"/>
      <c r="M596" s="186"/>
      <c r="N596" s="186"/>
    </row>
    <row r="597" spans="6:14" ht="12.6">
      <c r="F597" s="211"/>
      <c r="L597" s="186"/>
      <c r="M597" s="186"/>
      <c r="N597" s="186"/>
    </row>
    <row r="598" spans="6:14" ht="12.6">
      <c r="F598" s="211"/>
      <c r="L598" s="186"/>
      <c r="M598" s="186"/>
      <c r="N598" s="186"/>
    </row>
    <row r="599" spans="6:14" ht="12.6">
      <c r="F599" s="211"/>
      <c r="L599" s="186"/>
      <c r="M599" s="186"/>
      <c r="N599" s="186"/>
    </row>
    <row r="600" spans="6:14" ht="12.6">
      <c r="F600" s="211"/>
      <c r="L600" s="186"/>
      <c r="M600" s="186"/>
      <c r="N600" s="186"/>
    </row>
    <row r="601" spans="6:14" ht="12.6">
      <c r="F601" s="211"/>
      <c r="L601" s="186"/>
      <c r="M601" s="186"/>
      <c r="N601" s="186"/>
    </row>
    <row r="602" spans="6:14" ht="12.6">
      <c r="F602" s="211"/>
      <c r="L602" s="186"/>
      <c r="M602" s="186"/>
      <c r="N602" s="186"/>
    </row>
    <row r="603" spans="6:14" ht="12.6">
      <c r="F603" s="211"/>
      <c r="L603" s="186"/>
      <c r="M603" s="186"/>
      <c r="N603" s="186"/>
    </row>
    <row r="604" spans="6:14" ht="12.6">
      <c r="F604" s="211"/>
      <c r="L604" s="186"/>
      <c r="M604" s="186"/>
      <c r="N604" s="186"/>
    </row>
    <row r="605" spans="6:14" ht="12.6">
      <c r="F605" s="211"/>
      <c r="L605" s="186"/>
      <c r="M605" s="186"/>
      <c r="N605" s="186"/>
    </row>
    <row r="606" spans="6:14" ht="12.6">
      <c r="F606" s="211"/>
      <c r="L606" s="186"/>
      <c r="M606" s="186"/>
      <c r="N606" s="186"/>
    </row>
    <row r="607" spans="6:14" ht="12.6">
      <c r="F607" s="211"/>
      <c r="L607" s="186"/>
      <c r="M607" s="186"/>
      <c r="N607" s="186"/>
    </row>
    <row r="608" spans="6:14" ht="12.6">
      <c r="F608" s="211"/>
      <c r="L608" s="186"/>
      <c r="M608" s="186"/>
      <c r="N608" s="186"/>
    </row>
    <row r="609" spans="6:14" ht="12.6">
      <c r="F609" s="211"/>
      <c r="L609" s="186"/>
      <c r="M609" s="186"/>
      <c r="N609" s="186"/>
    </row>
    <row r="610" spans="6:14" ht="12.6">
      <c r="F610" s="211"/>
      <c r="L610" s="186"/>
      <c r="M610" s="186"/>
      <c r="N610" s="186"/>
    </row>
    <row r="611" spans="6:14" ht="12.6">
      <c r="F611" s="211"/>
      <c r="L611" s="186"/>
      <c r="M611" s="186"/>
      <c r="N611" s="186"/>
    </row>
    <row r="612" spans="6:14" ht="12.6">
      <c r="F612" s="211"/>
      <c r="L612" s="186"/>
      <c r="M612" s="186"/>
      <c r="N612" s="186"/>
    </row>
    <row r="613" spans="6:14" ht="12.6">
      <c r="F613" s="211"/>
      <c r="L613" s="186"/>
      <c r="M613" s="186"/>
      <c r="N613" s="186"/>
    </row>
    <row r="614" spans="6:14" ht="12.6">
      <c r="F614" s="211"/>
      <c r="L614" s="186"/>
      <c r="M614" s="186"/>
      <c r="N614" s="186"/>
    </row>
    <row r="615" spans="6:14" ht="12.6">
      <c r="F615" s="211"/>
      <c r="L615" s="186"/>
      <c r="M615" s="186"/>
      <c r="N615" s="186"/>
    </row>
    <row r="616" spans="6:14" ht="12.6">
      <c r="F616" s="211"/>
      <c r="L616" s="186"/>
      <c r="M616" s="186"/>
      <c r="N616" s="186"/>
    </row>
    <row r="617" spans="6:14" ht="12.6">
      <c r="F617" s="211"/>
      <c r="L617" s="186"/>
      <c r="M617" s="186"/>
      <c r="N617" s="186"/>
    </row>
    <row r="618" spans="6:14" ht="12.6">
      <c r="F618" s="211"/>
      <c r="L618" s="186"/>
      <c r="M618" s="186"/>
      <c r="N618" s="186"/>
    </row>
    <row r="619" spans="6:14" ht="12.6">
      <c r="F619" s="211"/>
      <c r="L619" s="186"/>
      <c r="M619" s="186"/>
      <c r="N619" s="186"/>
    </row>
    <row r="620" spans="6:14" ht="12.6">
      <c r="F620" s="211"/>
      <c r="L620" s="186"/>
      <c r="M620" s="186"/>
      <c r="N620" s="186"/>
    </row>
    <row r="621" spans="6:14" ht="12.6">
      <c r="F621" s="211"/>
      <c r="L621" s="186"/>
      <c r="M621" s="186"/>
      <c r="N621" s="186"/>
    </row>
    <row r="622" spans="6:14" ht="12.6">
      <c r="F622" s="211"/>
      <c r="L622" s="186"/>
      <c r="M622" s="186"/>
      <c r="N622" s="186"/>
    </row>
    <row r="623" spans="6:14" ht="12.6">
      <c r="F623" s="211"/>
      <c r="L623" s="186"/>
      <c r="M623" s="186"/>
      <c r="N623" s="186"/>
    </row>
    <row r="624" spans="6:14" ht="12.6">
      <c r="F624" s="211"/>
      <c r="L624" s="186"/>
      <c r="M624" s="186"/>
      <c r="N624" s="186"/>
    </row>
    <row r="625" spans="6:14" ht="12.6">
      <c r="F625" s="211"/>
      <c r="L625" s="186"/>
      <c r="M625" s="186"/>
      <c r="N625" s="186"/>
    </row>
    <row r="626" spans="6:14" ht="12.6">
      <c r="F626" s="211"/>
      <c r="L626" s="186"/>
      <c r="M626" s="186"/>
      <c r="N626" s="186"/>
    </row>
    <row r="627" spans="6:14" ht="12.6">
      <c r="F627" s="211"/>
      <c r="L627" s="186"/>
      <c r="M627" s="186"/>
      <c r="N627" s="186"/>
    </row>
    <row r="628" spans="6:14" ht="12.6">
      <c r="F628" s="211"/>
      <c r="L628" s="186"/>
      <c r="M628" s="186"/>
      <c r="N628" s="186"/>
    </row>
    <row r="629" spans="6:14" ht="12.6">
      <c r="F629" s="211"/>
      <c r="L629" s="186"/>
      <c r="M629" s="186"/>
      <c r="N629" s="186"/>
    </row>
    <row r="630" spans="6:14" ht="12.6">
      <c r="F630" s="211"/>
      <c r="L630" s="186"/>
      <c r="M630" s="186"/>
      <c r="N630" s="186"/>
    </row>
    <row r="631" spans="6:14" ht="12.6">
      <c r="F631" s="211"/>
      <c r="L631" s="186"/>
      <c r="M631" s="186"/>
      <c r="N631" s="186"/>
    </row>
    <row r="632" spans="6:14" ht="12.6">
      <c r="F632" s="211"/>
      <c r="L632" s="186"/>
      <c r="M632" s="186"/>
      <c r="N632" s="186"/>
    </row>
    <row r="633" spans="6:14" ht="12.6">
      <c r="F633" s="211"/>
      <c r="L633" s="186"/>
      <c r="M633" s="186"/>
      <c r="N633" s="186"/>
    </row>
    <row r="634" spans="6:14" ht="12.6">
      <c r="F634" s="211"/>
      <c r="L634" s="186"/>
      <c r="M634" s="186"/>
      <c r="N634" s="186"/>
    </row>
    <row r="635" spans="6:14" ht="12.6">
      <c r="F635" s="211"/>
      <c r="L635" s="186"/>
      <c r="M635" s="186"/>
      <c r="N635" s="186"/>
    </row>
    <row r="636" spans="6:14" ht="12.6">
      <c r="F636" s="211"/>
      <c r="L636" s="186"/>
      <c r="M636" s="186"/>
      <c r="N636" s="186"/>
    </row>
    <row r="637" spans="6:14" ht="12.6">
      <c r="F637" s="211"/>
      <c r="L637" s="186"/>
      <c r="M637" s="186"/>
      <c r="N637" s="186"/>
    </row>
    <row r="638" spans="6:14" ht="12.6">
      <c r="F638" s="211"/>
      <c r="L638" s="186"/>
      <c r="M638" s="186"/>
      <c r="N638" s="186"/>
    </row>
    <row r="639" spans="6:14" ht="12.6">
      <c r="F639" s="211"/>
      <c r="L639" s="186"/>
      <c r="M639" s="186"/>
      <c r="N639" s="186"/>
    </row>
    <row r="640" spans="6:14" ht="12.6">
      <c r="F640" s="211"/>
      <c r="L640" s="186"/>
      <c r="M640" s="186"/>
      <c r="N640" s="186"/>
    </row>
    <row r="641" spans="6:14" ht="12.6">
      <c r="F641" s="211"/>
      <c r="L641" s="186"/>
      <c r="M641" s="186"/>
      <c r="N641" s="186"/>
    </row>
    <row r="642" spans="6:14" ht="12.6">
      <c r="F642" s="211"/>
      <c r="L642" s="186"/>
      <c r="M642" s="186"/>
      <c r="N642" s="186"/>
    </row>
    <row r="643" spans="6:14" ht="12.6">
      <c r="F643" s="211"/>
      <c r="L643" s="186"/>
      <c r="M643" s="186"/>
      <c r="N643" s="186"/>
    </row>
    <row r="644" spans="6:14" ht="12.6">
      <c r="F644" s="211"/>
      <c r="L644" s="186"/>
      <c r="M644" s="186"/>
      <c r="N644" s="186"/>
    </row>
    <row r="645" spans="6:14" ht="12.6">
      <c r="F645" s="211"/>
      <c r="L645" s="186"/>
      <c r="M645" s="186"/>
      <c r="N645" s="186"/>
    </row>
    <row r="646" spans="6:14" ht="12.6">
      <c r="F646" s="211"/>
      <c r="L646" s="186"/>
      <c r="M646" s="186"/>
      <c r="N646" s="186"/>
    </row>
    <row r="647" spans="6:14" ht="12.6">
      <c r="F647" s="211"/>
      <c r="L647" s="186"/>
      <c r="M647" s="186"/>
      <c r="N647" s="186"/>
    </row>
    <row r="648" spans="6:14" ht="12.6">
      <c r="F648" s="211"/>
      <c r="L648" s="186"/>
      <c r="M648" s="186"/>
      <c r="N648" s="186"/>
    </row>
    <row r="649" spans="6:14" ht="12.6">
      <c r="F649" s="211"/>
      <c r="L649" s="186"/>
      <c r="M649" s="186"/>
      <c r="N649" s="186"/>
    </row>
    <row r="650" spans="6:14" ht="12.6">
      <c r="F650" s="211"/>
      <c r="L650" s="186"/>
      <c r="M650" s="186"/>
      <c r="N650" s="186"/>
    </row>
    <row r="651" spans="6:14" ht="12.6">
      <c r="F651" s="211"/>
      <c r="L651" s="186"/>
      <c r="M651" s="186"/>
      <c r="N651" s="186"/>
    </row>
    <row r="652" spans="6:14" ht="12.6">
      <c r="F652" s="211"/>
      <c r="L652" s="186"/>
      <c r="M652" s="186"/>
      <c r="N652" s="186"/>
    </row>
    <row r="653" spans="6:14" ht="12.6">
      <c r="F653" s="211"/>
      <c r="L653" s="186"/>
      <c r="M653" s="186"/>
      <c r="N653" s="186"/>
    </row>
    <row r="654" spans="6:14" ht="12.6">
      <c r="F654" s="211"/>
      <c r="L654" s="186"/>
      <c r="M654" s="186"/>
      <c r="N654" s="186"/>
    </row>
    <row r="655" spans="6:14" ht="12.6">
      <c r="F655" s="211"/>
      <c r="L655" s="186"/>
      <c r="M655" s="186"/>
      <c r="N655" s="186"/>
    </row>
    <row r="656" spans="6:14" ht="12.6">
      <c r="F656" s="211"/>
      <c r="L656" s="186"/>
      <c r="M656" s="186"/>
      <c r="N656" s="186"/>
    </row>
    <row r="657" spans="6:14" ht="12.6">
      <c r="F657" s="211"/>
      <c r="L657" s="186"/>
      <c r="M657" s="186"/>
      <c r="N657" s="186"/>
    </row>
    <row r="658" spans="6:14" ht="12.6">
      <c r="F658" s="211"/>
      <c r="L658" s="186"/>
      <c r="M658" s="186"/>
      <c r="N658" s="186"/>
    </row>
    <row r="659" spans="6:14" ht="12.6">
      <c r="F659" s="211"/>
      <c r="L659" s="186"/>
      <c r="M659" s="186"/>
      <c r="N659" s="186"/>
    </row>
    <row r="660" spans="6:14" ht="12.6">
      <c r="F660" s="211"/>
      <c r="L660" s="186"/>
      <c r="M660" s="186"/>
      <c r="N660" s="186"/>
    </row>
    <row r="661" spans="6:14" ht="12.6">
      <c r="F661" s="211"/>
      <c r="L661" s="186"/>
      <c r="M661" s="186"/>
      <c r="N661" s="186"/>
    </row>
    <row r="662" spans="6:14" ht="12.6">
      <c r="F662" s="211"/>
      <c r="L662" s="186"/>
      <c r="M662" s="186"/>
      <c r="N662" s="186"/>
    </row>
    <row r="663" spans="6:14" ht="12.6">
      <c r="F663" s="211"/>
      <c r="L663" s="186"/>
      <c r="M663" s="186"/>
      <c r="N663" s="186"/>
    </row>
    <row r="664" spans="6:14" ht="12.6">
      <c r="F664" s="211"/>
      <c r="L664" s="186"/>
      <c r="M664" s="186"/>
      <c r="N664" s="186"/>
    </row>
    <row r="665" spans="6:14" ht="12.6">
      <c r="F665" s="211"/>
      <c r="L665" s="186"/>
      <c r="M665" s="186"/>
      <c r="N665" s="186"/>
    </row>
    <row r="666" spans="6:14" ht="12.6">
      <c r="F666" s="211"/>
      <c r="L666" s="186"/>
      <c r="M666" s="186"/>
      <c r="N666" s="186"/>
    </row>
    <row r="667" spans="6:14" ht="12.6">
      <c r="F667" s="211"/>
      <c r="L667" s="186"/>
      <c r="M667" s="186"/>
      <c r="N667" s="186"/>
    </row>
    <row r="668" spans="6:14" ht="12.6">
      <c r="F668" s="211"/>
      <c r="L668" s="186"/>
      <c r="M668" s="186"/>
      <c r="N668" s="186"/>
    </row>
    <row r="669" spans="6:14" ht="12.6">
      <c r="F669" s="211"/>
      <c r="L669" s="186"/>
      <c r="M669" s="186"/>
      <c r="N669" s="186"/>
    </row>
    <row r="670" spans="6:14" ht="12.6">
      <c r="F670" s="211"/>
      <c r="L670" s="186"/>
      <c r="M670" s="186"/>
      <c r="N670" s="186"/>
    </row>
    <row r="671" spans="6:14" ht="12.6">
      <c r="F671" s="211"/>
      <c r="L671" s="186"/>
      <c r="M671" s="186"/>
      <c r="N671" s="186"/>
    </row>
    <row r="672" spans="6:14" ht="12.6">
      <c r="F672" s="211"/>
      <c r="L672" s="186"/>
      <c r="M672" s="186"/>
      <c r="N672" s="186"/>
    </row>
    <row r="673" spans="6:14" ht="12.6">
      <c r="F673" s="211"/>
      <c r="L673" s="186"/>
      <c r="M673" s="186"/>
      <c r="N673" s="186"/>
    </row>
    <row r="674" spans="6:14" ht="12.6">
      <c r="F674" s="211"/>
      <c r="L674" s="186"/>
      <c r="M674" s="186"/>
      <c r="N674" s="186"/>
    </row>
    <row r="675" spans="6:14" ht="12.6">
      <c r="F675" s="211"/>
      <c r="L675" s="186"/>
      <c r="M675" s="186"/>
      <c r="N675" s="186"/>
    </row>
    <row r="676" spans="6:14" ht="12.6">
      <c r="F676" s="211"/>
      <c r="L676" s="186"/>
      <c r="M676" s="186"/>
      <c r="N676" s="186"/>
    </row>
    <row r="677" spans="6:14" ht="12.6">
      <c r="F677" s="211"/>
      <c r="L677" s="186"/>
      <c r="M677" s="186"/>
      <c r="N677" s="186"/>
    </row>
    <row r="678" spans="6:14" ht="12.6">
      <c r="F678" s="211"/>
      <c r="L678" s="186"/>
      <c r="M678" s="186"/>
      <c r="N678" s="186"/>
    </row>
    <row r="679" spans="6:14" ht="12.6">
      <c r="F679" s="211"/>
      <c r="L679" s="186"/>
      <c r="M679" s="186"/>
      <c r="N679" s="186"/>
    </row>
    <row r="680" spans="6:14" ht="12.6">
      <c r="F680" s="211"/>
      <c r="L680" s="186"/>
      <c r="M680" s="186"/>
      <c r="N680" s="186"/>
    </row>
    <row r="681" spans="6:14" ht="12.6">
      <c r="F681" s="211"/>
      <c r="L681" s="186"/>
      <c r="M681" s="186"/>
      <c r="N681" s="186"/>
    </row>
    <row r="682" spans="6:14" ht="12.6">
      <c r="F682" s="211"/>
      <c r="L682" s="186"/>
      <c r="M682" s="186"/>
      <c r="N682" s="186"/>
    </row>
    <row r="683" spans="6:14" ht="12.6">
      <c r="F683" s="211"/>
      <c r="L683" s="186"/>
      <c r="M683" s="186"/>
      <c r="N683" s="186"/>
    </row>
    <row r="684" spans="6:14" ht="12.6">
      <c r="F684" s="211"/>
      <c r="L684" s="186"/>
      <c r="M684" s="186"/>
      <c r="N684" s="186"/>
    </row>
    <row r="685" spans="6:14" ht="12.6">
      <c r="F685" s="211"/>
      <c r="L685" s="186"/>
      <c r="M685" s="186"/>
      <c r="N685" s="186"/>
    </row>
    <row r="686" spans="6:14" ht="12.6">
      <c r="F686" s="211"/>
      <c r="L686" s="186"/>
      <c r="M686" s="186"/>
      <c r="N686" s="186"/>
    </row>
    <row r="687" spans="6:14" ht="12.6">
      <c r="F687" s="211"/>
      <c r="L687" s="186"/>
      <c r="M687" s="186"/>
      <c r="N687" s="186"/>
    </row>
    <row r="688" spans="6:14" ht="12.6">
      <c r="F688" s="211"/>
      <c r="L688" s="186"/>
      <c r="M688" s="186"/>
      <c r="N688" s="186"/>
    </row>
    <row r="689" spans="6:14" ht="12.6">
      <c r="F689" s="211"/>
      <c r="L689" s="186"/>
      <c r="M689" s="186"/>
      <c r="N689" s="186"/>
    </row>
    <row r="690" spans="6:14" ht="12.6">
      <c r="F690" s="211"/>
      <c r="L690" s="186"/>
      <c r="M690" s="186"/>
      <c r="N690" s="186"/>
    </row>
    <row r="691" spans="6:14" ht="12.6">
      <c r="F691" s="211"/>
      <c r="L691" s="186"/>
      <c r="M691" s="186"/>
      <c r="N691" s="186"/>
    </row>
    <row r="692" spans="6:14" ht="12.6">
      <c r="F692" s="211"/>
      <c r="L692" s="186"/>
      <c r="M692" s="186"/>
      <c r="N692" s="186"/>
    </row>
    <row r="693" spans="6:14" ht="12.6">
      <c r="F693" s="211"/>
      <c r="L693" s="186"/>
      <c r="M693" s="186"/>
      <c r="N693" s="186"/>
    </row>
    <row r="694" spans="6:14" ht="12.6">
      <c r="F694" s="211"/>
      <c r="L694" s="186"/>
      <c r="M694" s="186"/>
      <c r="N694" s="186"/>
    </row>
    <row r="695" spans="6:14" ht="12.6">
      <c r="F695" s="211"/>
      <c r="L695" s="186"/>
      <c r="M695" s="186"/>
      <c r="N695" s="186"/>
    </row>
    <row r="696" spans="6:14" ht="12.6">
      <c r="F696" s="211"/>
      <c r="L696" s="186"/>
      <c r="M696" s="186"/>
      <c r="N696" s="186"/>
    </row>
    <row r="697" spans="6:14" ht="12.6">
      <c r="F697" s="211"/>
      <c r="L697" s="186"/>
      <c r="M697" s="186"/>
      <c r="N697" s="186"/>
    </row>
    <row r="698" spans="6:14" ht="12.6">
      <c r="F698" s="211"/>
      <c r="L698" s="186"/>
      <c r="M698" s="186"/>
      <c r="N698" s="186"/>
    </row>
    <row r="699" spans="6:14" ht="12.6">
      <c r="F699" s="211"/>
      <c r="L699" s="186"/>
      <c r="M699" s="186"/>
      <c r="N699" s="186"/>
    </row>
    <row r="700" spans="6:14" ht="12.6">
      <c r="F700" s="211"/>
      <c r="L700" s="186"/>
      <c r="M700" s="186"/>
      <c r="N700" s="186"/>
    </row>
    <row r="701" spans="6:14" ht="12.6">
      <c r="F701" s="211"/>
      <c r="L701" s="186"/>
      <c r="M701" s="186"/>
      <c r="N701" s="186"/>
    </row>
    <row r="702" spans="6:14" ht="12.6">
      <c r="F702" s="211"/>
      <c r="L702" s="186"/>
      <c r="M702" s="186"/>
      <c r="N702" s="186"/>
    </row>
    <row r="703" spans="6:14" ht="12.6">
      <c r="F703" s="211"/>
      <c r="L703" s="186"/>
      <c r="M703" s="186"/>
      <c r="N703" s="186"/>
    </row>
    <row r="704" spans="6:14" ht="12.6">
      <c r="F704" s="211"/>
      <c r="L704" s="186"/>
      <c r="M704" s="186"/>
      <c r="N704" s="186"/>
    </row>
    <row r="705" spans="6:14" ht="12.6">
      <c r="F705" s="211"/>
      <c r="L705" s="186"/>
      <c r="M705" s="186"/>
      <c r="N705" s="186"/>
    </row>
    <row r="706" spans="6:14" ht="12.6">
      <c r="F706" s="211"/>
      <c r="L706" s="186"/>
      <c r="M706" s="186"/>
      <c r="N706" s="186"/>
    </row>
    <row r="707" spans="6:14" ht="12.6">
      <c r="F707" s="211"/>
      <c r="L707" s="186"/>
      <c r="M707" s="186"/>
      <c r="N707" s="186"/>
    </row>
    <row r="708" spans="6:14" ht="12.6">
      <c r="F708" s="211"/>
      <c r="L708" s="186"/>
      <c r="M708" s="186"/>
      <c r="N708" s="186"/>
    </row>
    <row r="709" spans="6:14" ht="12.6">
      <c r="F709" s="211"/>
      <c r="L709" s="186"/>
      <c r="M709" s="186"/>
      <c r="N709" s="186"/>
    </row>
    <row r="710" spans="6:14" ht="12.6">
      <c r="F710" s="211"/>
      <c r="L710" s="186"/>
      <c r="M710" s="186"/>
      <c r="N710" s="186"/>
    </row>
    <row r="711" spans="6:14" ht="12.6">
      <c r="F711" s="211"/>
      <c r="L711" s="186"/>
      <c r="M711" s="186"/>
      <c r="N711" s="186"/>
    </row>
    <row r="712" spans="6:14" ht="12.6">
      <c r="F712" s="211"/>
      <c r="L712" s="186"/>
      <c r="M712" s="186"/>
      <c r="N712" s="186"/>
    </row>
    <row r="713" spans="6:14" ht="12.6">
      <c r="F713" s="211"/>
      <c r="L713" s="186"/>
      <c r="M713" s="186"/>
      <c r="N713" s="186"/>
    </row>
    <row r="714" spans="6:14" ht="12.6">
      <c r="F714" s="211"/>
      <c r="L714" s="186"/>
      <c r="M714" s="186"/>
      <c r="N714" s="186"/>
    </row>
    <row r="715" spans="6:14" ht="12.6">
      <c r="F715" s="211"/>
      <c r="L715" s="186"/>
      <c r="M715" s="186"/>
      <c r="N715" s="186"/>
    </row>
    <row r="716" spans="6:14" ht="12.6">
      <c r="F716" s="211"/>
      <c r="L716" s="186"/>
      <c r="M716" s="186"/>
      <c r="N716" s="186"/>
    </row>
    <row r="717" spans="6:14" ht="12.6">
      <c r="F717" s="211"/>
      <c r="L717" s="186"/>
      <c r="M717" s="186"/>
      <c r="N717" s="186"/>
    </row>
    <row r="718" spans="6:14" ht="12.6">
      <c r="F718" s="211"/>
      <c r="L718" s="186"/>
      <c r="M718" s="186"/>
      <c r="N718" s="186"/>
    </row>
    <row r="719" spans="6:14" ht="12.6">
      <c r="F719" s="211"/>
      <c r="L719" s="186"/>
      <c r="M719" s="186"/>
      <c r="N719" s="186"/>
    </row>
    <row r="720" spans="6:14" ht="12.6">
      <c r="F720" s="211"/>
      <c r="L720" s="186"/>
      <c r="M720" s="186"/>
      <c r="N720" s="186"/>
    </row>
    <row r="721" spans="6:14" ht="12.6">
      <c r="F721" s="211"/>
      <c r="L721" s="186"/>
      <c r="M721" s="186"/>
      <c r="N721" s="186"/>
    </row>
    <row r="722" spans="6:14" ht="12.6">
      <c r="F722" s="211"/>
      <c r="L722" s="186"/>
      <c r="M722" s="186"/>
      <c r="N722" s="186"/>
    </row>
    <row r="723" spans="6:14" ht="12.6">
      <c r="F723" s="211"/>
      <c r="L723" s="186"/>
      <c r="M723" s="186"/>
      <c r="N723" s="186"/>
    </row>
    <row r="724" spans="6:14" ht="12.6">
      <c r="F724" s="211"/>
      <c r="L724" s="186"/>
      <c r="M724" s="186"/>
      <c r="N724" s="186"/>
    </row>
    <row r="725" spans="6:14" ht="12.6">
      <c r="F725" s="211"/>
      <c r="L725" s="186"/>
      <c r="M725" s="186"/>
      <c r="N725" s="186"/>
    </row>
    <row r="726" spans="6:14" ht="12.6">
      <c r="F726" s="211"/>
      <c r="L726" s="186"/>
      <c r="M726" s="186"/>
      <c r="N726" s="186"/>
    </row>
    <row r="727" spans="6:14" ht="12.6">
      <c r="F727" s="211"/>
      <c r="L727" s="186"/>
      <c r="M727" s="186"/>
      <c r="N727" s="186"/>
    </row>
    <row r="728" spans="6:14" ht="12.6">
      <c r="F728" s="211"/>
      <c r="L728" s="186"/>
      <c r="M728" s="186"/>
      <c r="N728" s="186"/>
    </row>
    <row r="729" spans="6:14" ht="12.6">
      <c r="F729" s="211"/>
      <c r="L729" s="186"/>
      <c r="M729" s="186"/>
      <c r="N729" s="186"/>
    </row>
    <row r="730" spans="6:14" ht="12.6">
      <c r="F730" s="211"/>
      <c r="L730" s="186"/>
      <c r="M730" s="186"/>
      <c r="N730" s="186"/>
    </row>
    <row r="731" spans="6:14" ht="12.6">
      <c r="F731" s="211"/>
      <c r="L731" s="186"/>
      <c r="M731" s="186"/>
      <c r="N731" s="186"/>
    </row>
    <row r="732" spans="6:14" ht="12.6">
      <c r="F732" s="211"/>
      <c r="L732" s="186"/>
      <c r="M732" s="186"/>
      <c r="N732" s="186"/>
    </row>
    <row r="733" spans="6:14" ht="12.6">
      <c r="F733" s="211"/>
      <c r="L733" s="186"/>
      <c r="M733" s="186"/>
      <c r="N733" s="186"/>
    </row>
    <row r="734" spans="6:14" ht="12.6">
      <c r="F734" s="211"/>
      <c r="L734" s="186"/>
      <c r="M734" s="186"/>
      <c r="N734" s="186"/>
    </row>
    <row r="735" spans="6:14" ht="12.6">
      <c r="F735" s="211"/>
      <c r="L735" s="186"/>
      <c r="M735" s="186"/>
      <c r="N735" s="186"/>
    </row>
    <row r="736" spans="6:14" ht="12.6">
      <c r="F736" s="211"/>
      <c r="L736" s="186"/>
      <c r="M736" s="186"/>
      <c r="N736" s="186"/>
    </row>
    <row r="737" spans="6:14" ht="12.6">
      <c r="F737" s="211"/>
      <c r="L737" s="186"/>
      <c r="M737" s="186"/>
      <c r="N737" s="186"/>
    </row>
    <row r="738" spans="6:14" ht="12.6">
      <c r="F738" s="211"/>
      <c r="L738" s="186"/>
      <c r="M738" s="186"/>
      <c r="N738" s="186"/>
    </row>
    <row r="739" spans="6:14" ht="12.6">
      <c r="F739" s="211"/>
      <c r="L739" s="186"/>
      <c r="M739" s="186"/>
      <c r="N739" s="186"/>
    </row>
    <row r="740" spans="6:14" ht="12.6">
      <c r="F740" s="211"/>
      <c r="L740" s="186"/>
      <c r="M740" s="186"/>
      <c r="N740" s="186"/>
    </row>
    <row r="741" spans="6:14" ht="12.6">
      <c r="F741" s="211"/>
      <c r="L741" s="186"/>
      <c r="M741" s="186"/>
      <c r="N741" s="186"/>
    </row>
    <row r="742" spans="6:14" ht="12.6">
      <c r="F742" s="211"/>
      <c r="L742" s="186"/>
      <c r="M742" s="186"/>
      <c r="N742" s="186"/>
    </row>
    <row r="743" spans="6:14" ht="12.6">
      <c r="F743" s="211"/>
      <c r="L743" s="186"/>
      <c r="M743" s="186"/>
      <c r="N743" s="186"/>
    </row>
    <row r="744" spans="6:14" ht="12.6">
      <c r="F744" s="211"/>
      <c r="L744" s="186"/>
      <c r="M744" s="186"/>
      <c r="N744" s="186"/>
    </row>
    <row r="745" spans="6:14" ht="12.6">
      <c r="F745" s="211"/>
      <c r="L745" s="186"/>
      <c r="M745" s="186"/>
      <c r="N745" s="186"/>
    </row>
    <row r="746" spans="6:14" ht="12.6">
      <c r="F746" s="211"/>
      <c r="L746" s="186"/>
      <c r="M746" s="186"/>
      <c r="N746" s="186"/>
    </row>
    <row r="747" spans="6:14" ht="12.6">
      <c r="F747" s="211"/>
      <c r="L747" s="186"/>
      <c r="M747" s="186"/>
      <c r="N747" s="186"/>
    </row>
    <row r="748" spans="6:14" ht="12.6">
      <c r="F748" s="211"/>
      <c r="L748" s="186"/>
      <c r="M748" s="186"/>
      <c r="N748" s="186"/>
    </row>
    <row r="749" spans="6:14" ht="12.6">
      <c r="F749" s="211"/>
      <c r="L749" s="186"/>
      <c r="M749" s="186"/>
      <c r="N749" s="186"/>
    </row>
    <row r="750" spans="6:14" ht="12.6">
      <c r="F750" s="211"/>
      <c r="L750" s="186"/>
      <c r="M750" s="186"/>
      <c r="N750" s="186"/>
    </row>
    <row r="751" spans="6:14" ht="12.6">
      <c r="F751" s="211"/>
      <c r="L751" s="186"/>
      <c r="M751" s="186"/>
      <c r="N751" s="186"/>
    </row>
    <row r="752" spans="6:14" ht="12.6">
      <c r="F752" s="211"/>
      <c r="L752" s="186"/>
      <c r="M752" s="186"/>
      <c r="N752" s="186"/>
    </row>
    <row r="753" spans="6:14" ht="12.6">
      <c r="F753" s="211"/>
      <c r="L753" s="186"/>
      <c r="M753" s="186"/>
      <c r="N753" s="186"/>
    </row>
    <row r="754" spans="6:14" ht="12.6">
      <c r="F754" s="211"/>
      <c r="L754" s="186"/>
      <c r="M754" s="186"/>
      <c r="N754" s="186"/>
    </row>
    <row r="755" spans="6:14" ht="12.6">
      <c r="F755" s="211"/>
      <c r="L755" s="186"/>
      <c r="M755" s="186"/>
      <c r="N755" s="186"/>
    </row>
    <row r="756" spans="6:14" ht="12.6">
      <c r="F756" s="211"/>
      <c r="L756" s="186"/>
      <c r="M756" s="186"/>
      <c r="N756" s="186"/>
    </row>
    <row r="757" spans="6:14" ht="12.6">
      <c r="F757" s="211"/>
      <c r="L757" s="186"/>
      <c r="M757" s="186"/>
      <c r="N757" s="186"/>
    </row>
    <row r="758" spans="6:14" ht="12.6">
      <c r="F758" s="211"/>
      <c r="L758" s="186"/>
      <c r="M758" s="186"/>
      <c r="N758" s="186"/>
    </row>
    <row r="759" spans="6:14" ht="12.6">
      <c r="F759" s="211"/>
      <c r="L759" s="186"/>
      <c r="M759" s="186"/>
      <c r="N759" s="186"/>
    </row>
    <row r="760" spans="6:14" ht="12.6">
      <c r="F760" s="211"/>
      <c r="L760" s="186"/>
      <c r="M760" s="186"/>
      <c r="N760" s="186"/>
    </row>
    <row r="761" spans="6:14" ht="12.6">
      <c r="F761" s="211"/>
      <c r="L761" s="186"/>
      <c r="M761" s="186"/>
      <c r="N761" s="186"/>
    </row>
    <row r="762" spans="6:14" ht="12.6">
      <c r="F762" s="211"/>
      <c r="L762" s="186"/>
      <c r="M762" s="186"/>
      <c r="N762" s="186"/>
    </row>
    <row r="763" spans="6:14" ht="12.6">
      <c r="F763" s="211"/>
      <c r="L763" s="186"/>
      <c r="M763" s="186"/>
      <c r="N763" s="186"/>
    </row>
    <row r="764" spans="6:14" ht="12.6">
      <c r="F764" s="211"/>
      <c r="L764" s="186"/>
      <c r="M764" s="186"/>
      <c r="N764" s="186"/>
    </row>
    <row r="765" spans="6:14" ht="12.6">
      <c r="F765" s="211"/>
      <c r="L765" s="186"/>
      <c r="M765" s="186"/>
      <c r="N765" s="186"/>
    </row>
    <row r="766" spans="6:14" ht="12.6">
      <c r="F766" s="211"/>
      <c r="L766" s="186"/>
      <c r="M766" s="186"/>
      <c r="N766" s="186"/>
    </row>
    <row r="767" spans="6:14" ht="12.6">
      <c r="F767" s="211"/>
      <c r="L767" s="186"/>
      <c r="M767" s="186"/>
      <c r="N767" s="186"/>
    </row>
    <row r="768" spans="6:14" ht="12.6">
      <c r="F768" s="211"/>
      <c r="L768" s="186"/>
      <c r="M768" s="186"/>
      <c r="N768" s="186"/>
    </row>
    <row r="769" spans="6:14" ht="12.6">
      <c r="F769" s="211"/>
      <c r="L769" s="186"/>
      <c r="M769" s="186"/>
      <c r="N769" s="186"/>
    </row>
    <row r="770" spans="6:14" ht="12.6">
      <c r="F770" s="211"/>
      <c r="L770" s="186"/>
      <c r="M770" s="186"/>
      <c r="N770" s="186"/>
    </row>
    <row r="771" spans="6:14" ht="12.6">
      <c r="F771" s="211"/>
      <c r="L771" s="186"/>
      <c r="M771" s="186"/>
      <c r="N771" s="186"/>
    </row>
    <row r="772" spans="6:14" ht="12.6">
      <c r="F772" s="211"/>
      <c r="L772" s="186"/>
      <c r="M772" s="186"/>
      <c r="N772" s="186"/>
    </row>
    <row r="773" spans="6:14" ht="12.6">
      <c r="F773" s="211"/>
      <c r="L773" s="186"/>
      <c r="M773" s="186"/>
      <c r="N773" s="186"/>
    </row>
    <row r="774" spans="6:14" ht="12.6">
      <c r="F774" s="211"/>
      <c r="L774" s="186"/>
      <c r="M774" s="186"/>
      <c r="N774" s="186"/>
    </row>
    <row r="775" spans="6:14" ht="12.6">
      <c r="F775" s="211"/>
      <c r="L775" s="186"/>
      <c r="M775" s="186"/>
      <c r="N775" s="186"/>
    </row>
    <row r="776" spans="6:14" ht="12.6">
      <c r="F776" s="211"/>
      <c r="L776" s="186"/>
      <c r="M776" s="186"/>
      <c r="N776" s="186"/>
    </row>
    <row r="777" spans="6:14" ht="12.6">
      <c r="F777" s="211"/>
      <c r="L777" s="186"/>
      <c r="M777" s="186"/>
      <c r="N777" s="186"/>
    </row>
    <row r="778" spans="6:14" ht="12.6">
      <c r="F778" s="211"/>
      <c r="L778" s="186"/>
      <c r="M778" s="186"/>
      <c r="N778" s="186"/>
    </row>
    <row r="779" spans="6:14" ht="12.6">
      <c r="F779" s="211"/>
      <c r="L779" s="186"/>
      <c r="M779" s="186"/>
      <c r="N779" s="186"/>
    </row>
    <row r="780" spans="6:14" ht="12.6">
      <c r="F780" s="211"/>
      <c r="L780" s="186"/>
      <c r="M780" s="186"/>
      <c r="N780" s="186"/>
    </row>
    <row r="781" spans="6:14" ht="12.6">
      <c r="F781" s="211"/>
      <c r="L781" s="186"/>
      <c r="M781" s="186"/>
      <c r="N781" s="186"/>
    </row>
    <row r="782" spans="6:14" ht="12.6">
      <c r="F782" s="211"/>
      <c r="L782" s="186"/>
      <c r="M782" s="186"/>
      <c r="N782" s="186"/>
    </row>
    <row r="783" spans="6:14" ht="12.6">
      <c r="F783" s="211"/>
      <c r="L783" s="186"/>
      <c r="M783" s="186"/>
      <c r="N783" s="186"/>
    </row>
    <row r="784" spans="6:14" ht="12.6">
      <c r="F784" s="211"/>
      <c r="L784" s="186"/>
      <c r="M784" s="186"/>
      <c r="N784" s="186"/>
    </row>
    <row r="785" spans="6:14" ht="12.6">
      <c r="F785" s="211"/>
      <c r="L785" s="186"/>
      <c r="M785" s="186"/>
      <c r="N785" s="186"/>
    </row>
    <row r="786" spans="6:14" ht="12.6">
      <c r="F786" s="211"/>
      <c r="L786" s="186"/>
      <c r="M786" s="186"/>
      <c r="N786" s="186"/>
    </row>
    <row r="787" spans="6:14" ht="12.6">
      <c r="F787" s="211"/>
      <c r="L787" s="186"/>
      <c r="M787" s="186"/>
      <c r="N787" s="186"/>
    </row>
    <row r="788" spans="6:14" ht="12.6">
      <c r="F788" s="211"/>
      <c r="L788" s="186"/>
      <c r="M788" s="186"/>
      <c r="N788" s="186"/>
    </row>
    <row r="789" spans="6:14" ht="12.6">
      <c r="F789" s="211"/>
      <c r="L789" s="186"/>
      <c r="M789" s="186"/>
      <c r="N789" s="186"/>
    </row>
    <row r="790" spans="6:14" ht="12.6">
      <c r="F790" s="211"/>
      <c r="L790" s="186"/>
      <c r="M790" s="186"/>
      <c r="N790" s="186"/>
    </row>
    <row r="791" spans="6:14" ht="12.6">
      <c r="F791" s="211"/>
      <c r="L791" s="186"/>
      <c r="M791" s="186"/>
      <c r="N791" s="186"/>
    </row>
    <row r="792" spans="6:14" ht="12.6">
      <c r="F792" s="211"/>
      <c r="L792" s="186"/>
      <c r="M792" s="186"/>
      <c r="N792" s="186"/>
    </row>
    <row r="793" spans="6:14" ht="12.6">
      <c r="F793" s="211"/>
      <c r="L793" s="186"/>
      <c r="M793" s="186"/>
      <c r="N793" s="186"/>
    </row>
    <row r="794" spans="6:14" ht="12.6">
      <c r="F794" s="211"/>
      <c r="L794" s="186"/>
      <c r="M794" s="186"/>
      <c r="N794" s="186"/>
    </row>
    <row r="795" spans="6:14" ht="12.6">
      <c r="F795" s="211"/>
      <c r="L795" s="186"/>
      <c r="M795" s="186"/>
      <c r="N795" s="186"/>
    </row>
    <row r="796" spans="6:14" ht="12.6">
      <c r="F796" s="211"/>
      <c r="L796" s="186"/>
      <c r="M796" s="186"/>
      <c r="N796" s="186"/>
    </row>
    <row r="797" spans="6:14" ht="12.6">
      <c r="F797" s="211"/>
      <c r="L797" s="186"/>
      <c r="M797" s="186"/>
      <c r="N797" s="186"/>
    </row>
    <row r="798" spans="6:14" ht="12.6">
      <c r="F798" s="211"/>
      <c r="L798" s="186"/>
      <c r="M798" s="186"/>
      <c r="N798" s="186"/>
    </row>
    <row r="799" spans="6:14" ht="12.6">
      <c r="F799" s="211"/>
      <c r="L799" s="186"/>
      <c r="M799" s="186"/>
      <c r="N799" s="186"/>
    </row>
    <row r="800" spans="6:14" ht="12.6">
      <c r="F800" s="211"/>
      <c r="L800" s="186"/>
      <c r="M800" s="186"/>
      <c r="N800" s="186"/>
    </row>
    <row r="801" spans="6:14" ht="12.6">
      <c r="F801" s="211"/>
      <c r="L801" s="186"/>
      <c r="M801" s="186"/>
      <c r="N801" s="186"/>
    </row>
    <row r="802" spans="6:14" ht="12.6">
      <c r="F802" s="211"/>
      <c r="L802" s="186"/>
      <c r="M802" s="186"/>
      <c r="N802" s="186"/>
    </row>
    <row r="803" spans="6:14" ht="12.6">
      <c r="F803" s="211"/>
      <c r="L803" s="186"/>
      <c r="M803" s="186"/>
      <c r="N803" s="186"/>
    </row>
    <row r="804" spans="6:14" ht="12.6">
      <c r="F804" s="211"/>
      <c r="L804" s="186"/>
      <c r="M804" s="186"/>
      <c r="N804" s="186"/>
    </row>
    <row r="805" spans="6:14" ht="12.6">
      <c r="F805" s="211"/>
      <c r="L805" s="186"/>
      <c r="M805" s="186"/>
      <c r="N805" s="186"/>
    </row>
    <row r="806" spans="6:14" ht="12.6">
      <c r="F806" s="211"/>
      <c r="L806" s="186"/>
      <c r="M806" s="186"/>
      <c r="N806" s="186"/>
    </row>
    <row r="807" spans="6:14" ht="12.6">
      <c r="F807" s="211"/>
      <c r="L807" s="186"/>
      <c r="M807" s="186"/>
      <c r="N807" s="186"/>
    </row>
    <row r="808" spans="6:14" ht="12.6">
      <c r="F808" s="211"/>
      <c r="L808" s="186"/>
      <c r="M808" s="186"/>
      <c r="N808" s="186"/>
    </row>
    <row r="809" spans="6:14" ht="12.6">
      <c r="F809" s="211"/>
      <c r="L809" s="186"/>
      <c r="M809" s="186"/>
      <c r="N809" s="186"/>
    </row>
    <row r="810" spans="6:14" ht="12.6">
      <c r="F810" s="211"/>
      <c r="L810" s="186"/>
      <c r="M810" s="186"/>
      <c r="N810" s="186"/>
    </row>
    <row r="811" spans="6:14" ht="12.6">
      <c r="F811" s="211"/>
      <c r="L811" s="186"/>
      <c r="M811" s="186"/>
      <c r="N811" s="186"/>
    </row>
    <row r="812" spans="6:14" ht="12.6">
      <c r="F812" s="211"/>
      <c r="L812" s="186"/>
      <c r="M812" s="186"/>
      <c r="N812" s="186"/>
    </row>
    <row r="813" spans="6:14" ht="12.6">
      <c r="F813" s="211"/>
      <c r="L813" s="186"/>
      <c r="M813" s="186"/>
      <c r="N813" s="186"/>
    </row>
    <row r="814" spans="6:14" ht="12.6">
      <c r="F814" s="211"/>
      <c r="L814" s="186"/>
      <c r="M814" s="186"/>
      <c r="N814" s="186"/>
    </row>
    <row r="815" spans="6:14" ht="12.6">
      <c r="F815" s="211"/>
      <c r="L815" s="186"/>
      <c r="M815" s="186"/>
      <c r="N815" s="186"/>
    </row>
    <row r="816" spans="6:14" ht="12.6">
      <c r="F816" s="211"/>
      <c r="L816" s="186"/>
      <c r="M816" s="186"/>
      <c r="N816" s="186"/>
    </row>
    <row r="817" spans="6:14" ht="12.6">
      <c r="F817" s="211"/>
      <c r="L817" s="186"/>
      <c r="M817" s="186"/>
      <c r="N817" s="186"/>
    </row>
    <row r="818" spans="6:14" ht="12.6">
      <c r="F818" s="211"/>
      <c r="L818" s="186"/>
      <c r="M818" s="186"/>
      <c r="N818" s="186"/>
    </row>
    <row r="819" spans="6:14" ht="12.6">
      <c r="F819" s="211"/>
      <c r="L819" s="186"/>
      <c r="M819" s="186"/>
      <c r="N819" s="186"/>
    </row>
    <row r="820" spans="6:14" ht="12.6">
      <c r="F820" s="211"/>
      <c r="L820" s="186"/>
      <c r="M820" s="186"/>
      <c r="N820" s="186"/>
    </row>
    <row r="821" spans="6:14" ht="12.6">
      <c r="F821" s="211"/>
      <c r="L821" s="186"/>
      <c r="M821" s="186"/>
      <c r="N821" s="186"/>
    </row>
    <row r="822" spans="6:14" ht="12.6">
      <c r="F822" s="211"/>
      <c r="L822" s="186"/>
      <c r="M822" s="186"/>
      <c r="N822" s="186"/>
    </row>
    <row r="823" spans="6:14" ht="12.6">
      <c r="F823" s="211"/>
      <c r="L823" s="186"/>
      <c r="M823" s="186"/>
      <c r="N823" s="186"/>
    </row>
    <row r="824" spans="6:14" ht="12.6">
      <c r="F824" s="211"/>
      <c r="L824" s="186"/>
      <c r="M824" s="186"/>
      <c r="N824" s="186"/>
    </row>
    <row r="825" spans="6:14" ht="12.6">
      <c r="F825" s="211"/>
      <c r="L825" s="186"/>
      <c r="M825" s="186"/>
      <c r="N825" s="186"/>
    </row>
    <row r="826" spans="6:14" ht="12.6">
      <c r="F826" s="211"/>
      <c r="L826" s="186"/>
      <c r="M826" s="186"/>
      <c r="N826" s="186"/>
    </row>
    <row r="827" spans="6:14" ht="12.6">
      <c r="F827" s="211"/>
      <c r="L827" s="186"/>
      <c r="M827" s="186"/>
      <c r="N827" s="186"/>
    </row>
    <row r="828" spans="6:14" ht="12.6">
      <c r="F828" s="211"/>
      <c r="L828" s="186"/>
      <c r="M828" s="186"/>
      <c r="N828" s="186"/>
    </row>
    <row r="829" spans="6:14" ht="12.6">
      <c r="F829" s="211"/>
      <c r="L829" s="186"/>
      <c r="M829" s="186"/>
      <c r="N829" s="186"/>
    </row>
    <row r="830" spans="6:14" ht="12.6">
      <c r="F830" s="211"/>
      <c r="L830" s="186"/>
      <c r="M830" s="186"/>
      <c r="N830" s="186"/>
    </row>
    <row r="831" spans="6:14" ht="12.6">
      <c r="F831" s="211"/>
      <c r="L831" s="186"/>
      <c r="M831" s="186"/>
      <c r="N831" s="186"/>
    </row>
    <row r="832" spans="6:14" ht="12.6">
      <c r="F832" s="211"/>
      <c r="L832" s="186"/>
      <c r="M832" s="186"/>
      <c r="N832" s="186"/>
    </row>
    <row r="833" spans="6:14" ht="12.6">
      <c r="F833" s="211"/>
      <c r="L833" s="186"/>
      <c r="M833" s="186"/>
      <c r="N833" s="186"/>
    </row>
    <row r="834" spans="6:14" ht="12.6">
      <c r="F834" s="211"/>
      <c r="L834" s="186"/>
      <c r="M834" s="186"/>
      <c r="N834" s="186"/>
    </row>
    <row r="835" spans="6:14" ht="12.6">
      <c r="F835" s="211"/>
      <c r="L835" s="186"/>
      <c r="M835" s="186"/>
      <c r="N835" s="186"/>
    </row>
    <row r="836" spans="6:14" ht="12.6">
      <c r="F836" s="211"/>
      <c r="L836" s="186"/>
      <c r="M836" s="186"/>
      <c r="N836" s="186"/>
    </row>
    <row r="837" spans="6:14" ht="12.6">
      <c r="F837" s="211"/>
      <c r="L837" s="186"/>
      <c r="M837" s="186"/>
      <c r="N837" s="186"/>
    </row>
    <row r="838" spans="6:14" ht="12.6">
      <c r="F838" s="211"/>
      <c r="L838" s="186"/>
      <c r="M838" s="186"/>
      <c r="N838" s="186"/>
    </row>
    <row r="839" spans="6:14" ht="12.6">
      <c r="F839" s="211"/>
      <c r="L839" s="186"/>
      <c r="M839" s="186"/>
      <c r="N839" s="186"/>
    </row>
    <row r="840" spans="6:14" ht="12.6">
      <c r="F840" s="211"/>
      <c r="L840" s="186"/>
      <c r="M840" s="186"/>
      <c r="N840" s="186"/>
    </row>
    <row r="841" spans="6:14" ht="12.6">
      <c r="F841" s="211"/>
      <c r="L841" s="186"/>
      <c r="M841" s="186"/>
      <c r="N841" s="186"/>
    </row>
    <row r="842" spans="6:14" ht="12.6">
      <c r="F842" s="211"/>
      <c r="L842" s="186"/>
      <c r="M842" s="186"/>
      <c r="N842" s="186"/>
    </row>
    <row r="843" spans="6:14" ht="12.6">
      <c r="F843" s="211"/>
      <c r="L843" s="186"/>
      <c r="M843" s="186"/>
      <c r="N843" s="186"/>
    </row>
    <row r="844" spans="6:14" ht="12.6">
      <c r="F844" s="211"/>
      <c r="L844" s="186"/>
      <c r="M844" s="186"/>
      <c r="N844" s="186"/>
    </row>
    <row r="845" spans="6:14" ht="12.6">
      <c r="F845" s="211"/>
      <c r="L845" s="186"/>
      <c r="M845" s="186"/>
      <c r="N845" s="186"/>
    </row>
    <row r="846" spans="6:14" ht="12.6">
      <c r="F846" s="211"/>
      <c r="L846" s="186"/>
      <c r="M846" s="186"/>
      <c r="N846" s="186"/>
    </row>
    <row r="847" spans="6:14" ht="12.6">
      <c r="F847" s="211"/>
      <c r="L847" s="186"/>
      <c r="M847" s="186"/>
      <c r="N847" s="186"/>
    </row>
    <row r="848" spans="6:14" ht="12.6">
      <c r="F848" s="211"/>
      <c r="L848" s="186"/>
      <c r="M848" s="186"/>
      <c r="N848" s="186"/>
    </row>
    <row r="849" spans="6:14" ht="12.6">
      <c r="F849" s="211"/>
      <c r="L849" s="186"/>
      <c r="M849" s="186"/>
      <c r="N849" s="186"/>
    </row>
    <row r="850" spans="6:14" ht="12.6">
      <c r="F850" s="211"/>
      <c r="L850" s="186"/>
      <c r="M850" s="186"/>
      <c r="N850" s="186"/>
    </row>
    <row r="851" spans="6:14" ht="12.6">
      <c r="F851" s="211"/>
      <c r="L851" s="186"/>
      <c r="M851" s="186"/>
      <c r="N851" s="186"/>
    </row>
    <row r="852" spans="6:14" ht="12.6">
      <c r="F852" s="211"/>
      <c r="L852" s="186"/>
      <c r="M852" s="186"/>
      <c r="N852" s="186"/>
    </row>
    <row r="853" spans="6:14" ht="12.6">
      <c r="F853" s="211"/>
      <c r="L853" s="186"/>
      <c r="M853" s="186"/>
      <c r="N853" s="186"/>
    </row>
    <row r="854" spans="6:14" ht="12.6">
      <c r="F854" s="211"/>
      <c r="L854" s="186"/>
      <c r="M854" s="186"/>
      <c r="N854" s="186"/>
    </row>
    <row r="855" spans="6:14" ht="12.6">
      <c r="F855" s="211"/>
      <c r="L855" s="186"/>
      <c r="M855" s="186"/>
      <c r="N855" s="186"/>
    </row>
    <row r="856" spans="6:14" ht="12.6">
      <c r="F856" s="211"/>
      <c r="L856" s="186"/>
      <c r="M856" s="186"/>
      <c r="N856" s="186"/>
    </row>
    <row r="857" spans="6:14" ht="12.6">
      <c r="F857" s="211"/>
      <c r="L857" s="186"/>
      <c r="M857" s="186"/>
      <c r="N857" s="186"/>
    </row>
    <row r="858" spans="6:14" ht="12.6">
      <c r="F858" s="211"/>
      <c r="L858" s="186"/>
      <c r="M858" s="186"/>
      <c r="N858" s="186"/>
    </row>
    <row r="859" spans="6:14" ht="12.6">
      <c r="F859" s="211"/>
      <c r="L859" s="186"/>
      <c r="M859" s="186"/>
      <c r="N859" s="186"/>
    </row>
    <row r="860" spans="6:14" ht="12.6">
      <c r="F860" s="211"/>
      <c r="L860" s="186"/>
      <c r="M860" s="186"/>
      <c r="N860" s="186"/>
    </row>
    <row r="861" spans="6:14" ht="12.6">
      <c r="F861" s="211"/>
      <c r="L861" s="186"/>
      <c r="M861" s="186"/>
      <c r="N861" s="186"/>
    </row>
    <row r="862" spans="6:14" ht="12.6">
      <c r="F862" s="211"/>
      <c r="L862" s="186"/>
      <c r="M862" s="186"/>
      <c r="N862" s="186"/>
    </row>
    <row r="863" spans="6:14" ht="12.6">
      <c r="F863" s="211"/>
      <c r="L863" s="186"/>
      <c r="M863" s="186"/>
      <c r="N863" s="186"/>
    </row>
    <row r="864" spans="6:14" ht="12.6">
      <c r="F864" s="211"/>
      <c r="L864" s="186"/>
      <c r="M864" s="186"/>
      <c r="N864" s="186"/>
    </row>
    <row r="865" spans="6:14" ht="12.6">
      <c r="F865" s="211"/>
      <c r="L865" s="186"/>
      <c r="M865" s="186"/>
      <c r="N865" s="186"/>
    </row>
    <row r="866" spans="6:14" ht="12.6">
      <c r="F866" s="211"/>
      <c r="L866" s="186"/>
      <c r="M866" s="186"/>
      <c r="N866" s="186"/>
    </row>
    <row r="867" spans="6:14" ht="12.6">
      <c r="F867" s="211"/>
      <c r="L867" s="186"/>
      <c r="M867" s="186"/>
      <c r="N867" s="186"/>
    </row>
    <row r="868" spans="6:14" ht="12.6">
      <c r="F868" s="211"/>
      <c r="L868" s="186"/>
      <c r="M868" s="186"/>
      <c r="N868" s="186"/>
    </row>
    <row r="869" spans="6:14" ht="12.6">
      <c r="F869" s="211"/>
      <c r="L869" s="186"/>
      <c r="M869" s="186"/>
      <c r="N869" s="186"/>
    </row>
    <row r="870" spans="6:14" ht="12.6">
      <c r="F870" s="211"/>
      <c r="L870" s="186"/>
      <c r="M870" s="186"/>
      <c r="N870" s="186"/>
    </row>
    <row r="871" spans="6:14" ht="12.6">
      <c r="F871" s="211"/>
      <c r="L871" s="186"/>
      <c r="M871" s="186"/>
      <c r="N871" s="186"/>
    </row>
    <row r="872" spans="6:14" ht="12.6">
      <c r="F872" s="211"/>
      <c r="L872" s="186"/>
      <c r="M872" s="186"/>
      <c r="N872" s="186"/>
    </row>
    <row r="873" spans="6:14" ht="12.6">
      <c r="F873" s="211"/>
      <c r="L873" s="186"/>
      <c r="M873" s="186"/>
      <c r="N873" s="186"/>
    </row>
    <row r="874" spans="6:14" ht="12.6">
      <c r="F874" s="211"/>
      <c r="L874" s="186"/>
      <c r="M874" s="186"/>
      <c r="N874" s="186"/>
    </row>
    <row r="875" spans="6:14" ht="12.6">
      <c r="F875" s="211"/>
      <c r="L875" s="186"/>
      <c r="M875" s="186"/>
      <c r="N875" s="186"/>
    </row>
    <row r="876" spans="6:14" ht="12.6">
      <c r="F876" s="211"/>
      <c r="L876" s="186"/>
      <c r="M876" s="186"/>
      <c r="N876" s="186"/>
    </row>
    <row r="877" spans="6:14" ht="12.6">
      <c r="F877" s="211"/>
      <c r="L877" s="186"/>
      <c r="M877" s="186"/>
      <c r="N877" s="186"/>
    </row>
    <row r="878" spans="6:14" ht="12.6">
      <c r="F878" s="211"/>
      <c r="L878" s="186"/>
      <c r="M878" s="186"/>
      <c r="N878" s="186"/>
    </row>
    <row r="879" spans="6:14" ht="12.6">
      <c r="F879" s="211"/>
      <c r="L879" s="186"/>
      <c r="M879" s="186"/>
      <c r="N879" s="186"/>
    </row>
    <row r="880" spans="6:14" ht="12.6">
      <c r="F880" s="211"/>
      <c r="L880" s="186"/>
      <c r="M880" s="186"/>
      <c r="N880" s="186"/>
    </row>
    <row r="881" spans="6:14" ht="12.6">
      <c r="F881" s="211"/>
      <c r="L881" s="186"/>
      <c r="M881" s="186"/>
      <c r="N881" s="186"/>
    </row>
    <row r="882" spans="6:14" ht="12.6">
      <c r="F882" s="211"/>
      <c r="L882" s="186"/>
      <c r="M882" s="186"/>
      <c r="N882" s="186"/>
    </row>
    <row r="883" spans="6:14" ht="12.6">
      <c r="F883" s="211"/>
      <c r="L883" s="186"/>
      <c r="M883" s="186"/>
      <c r="N883" s="186"/>
    </row>
    <row r="884" spans="6:14" ht="12.6">
      <c r="F884" s="211"/>
      <c r="L884" s="186"/>
      <c r="M884" s="186"/>
      <c r="N884" s="186"/>
    </row>
    <row r="885" spans="6:14" ht="12.6">
      <c r="F885" s="211"/>
      <c r="L885" s="186"/>
      <c r="M885" s="186"/>
      <c r="N885" s="186"/>
    </row>
    <row r="886" spans="6:14" ht="12.6">
      <c r="F886" s="211"/>
      <c r="L886" s="186"/>
      <c r="M886" s="186"/>
      <c r="N886" s="186"/>
    </row>
    <row r="887" spans="6:14" ht="12.6">
      <c r="F887" s="211"/>
      <c r="L887" s="186"/>
      <c r="M887" s="186"/>
      <c r="N887" s="186"/>
    </row>
    <row r="888" spans="6:14" ht="12.6">
      <c r="F888" s="211"/>
      <c r="L888" s="186"/>
      <c r="M888" s="186"/>
      <c r="N888" s="186"/>
    </row>
    <row r="889" spans="6:14" ht="12.6">
      <c r="F889" s="211"/>
      <c r="L889" s="186"/>
      <c r="M889" s="186"/>
      <c r="N889" s="186"/>
    </row>
    <row r="890" spans="6:14" ht="12.6">
      <c r="F890" s="211"/>
      <c r="L890" s="186"/>
      <c r="M890" s="186"/>
      <c r="N890" s="186"/>
    </row>
    <row r="891" spans="6:14" ht="12.6">
      <c r="F891" s="211"/>
      <c r="L891" s="186"/>
      <c r="M891" s="186"/>
      <c r="N891" s="186"/>
    </row>
    <row r="892" spans="6:14" ht="12.6">
      <c r="F892" s="211"/>
      <c r="L892" s="186"/>
      <c r="M892" s="186"/>
      <c r="N892" s="186"/>
    </row>
    <row r="893" spans="6:14" ht="12.6">
      <c r="F893" s="211"/>
      <c r="L893" s="186"/>
      <c r="M893" s="186"/>
      <c r="N893" s="186"/>
    </row>
    <row r="894" spans="6:14" ht="12.6">
      <c r="F894" s="211"/>
      <c r="L894" s="186"/>
      <c r="M894" s="186"/>
      <c r="N894" s="186"/>
    </row>
    <row r="895" spans="6:14" ht="12.6">
      <c r="F895" s="211"/>
      <c r="L895" s="186"/>
      <c r="M895" s="186"/>
      <c r="N895" s="186"/>
    </row>
    <row r="896" spans="6:14" ht="12.6">
      <c r="F896" s="211"/>
      <c r="L896" s="186"/>
      <c r="M896" s="186"/>
      <c r="N896" s="186"/>
    </row>
    <row r="897" spans="6:14" ht="12.6">
      <c r="F897" s="211"/>
      <c r="L897" s="186"/>
      <c r="M897" s="186"/>
      <c r="N897" s="186"/>
    </row>
    <row r="898" spans="6:14" ht="12.6">
      <c r="F898" s="211"/>
      <c r="L898" s="186"/>
      <c r="M898" s="186"/>
      <c r="N898" s="186"/>
    </row>
    <row r="899" spans="6:14" ht="12.6">
      <c r="F899" s="211"/>
      <c r="L899" s="186"/>
      <c r="M899" s="186"/>
      <c r="N899" s="186"/>
    </row>
    <row r="900" spans="6:14" ht="12.6">
      <c r="F900" s="211"/>
      <c r="L900" s="186"/>
      <c r="M900" s="186"/>
      <c r="N900" s="186"/>
    </row>
    <row r="901" spans="6:14" ht="12.6">
      <c r="F901" s="211"/>
      <c r="L901" s="186"/>
      <c r="M901" s="186"/>
      <c r="N901" s="186"/>
    </row>
    <row r="902" spans="6:14" ht="12.6">
      <c r="F902" s="211"/>
      <c r="L902" s="186"/>
      <c r="M902" s="186"/>
      <c r="N902" s="186"/>
    </row>
    <row r="903" spans="6:14" ht="12.6">
      <c r="F903" s="211"/>
      <c r="L903" s="186"/>
      <c r="M903" s="186"/>
      <c r="N903" s="186"/>
    </row>
    <row r="904" spans="6:14" ht="12.6">
      <c r="F904" s="211"/>
      <c r="L904" s="186"/>
      <c r="M904" s="186"/>
      <c r="N904" s="186"/>
    </row>
    <row r="905" spans="6:14" ht="12.6">
      <c r="F905" s="211"/>
      <c r="L905" s="186"/>
      <c r="M905" s="186"/>
      <c r="N905" s="186"/>
    </row>
    <row r="906" spans="6:14" ht="12.6">
      <c r="F906" s="211"/>
      <c r="L906" s="186"/>
      <c r="M906" s="186"/>
      <c r="N906" s="186"/>
    </row>
    <row r="907" spans="6:14" ht="12.6">
      <c r="F907" s="211"/>
      <c r="L907" s="186"/>
      <c r="M907" s="186"/>
      <c r="N907" s="186"/>
    </row>
    <row r="908" spans="6:14" ht="12.6">
      <c r="F908" s="211"/>
      <c r="L908" s="186"/>
      <c r="M908" s="186"/>
      <c r="N908" s="186"/>
    </row>
    <row r="909" spans="6:14" ht="12.6">
      <c r="F909" s="211"/>
      <c r="L909" s="186"/>
      <c r="M909" s="186"/>
      <c r="N909" s="186"/>
    </row>
    <row r="910" spans="6:14" ht="12.6">
      <c r="F910" s="211"/>
      <c r="L910" s="186"/>
      <c r="M910" s="186"/>
      <c r="N910" s="186"/>
    </row>
    <row r="911" spans="6:14" ht="12.6">
      <c r="F911" s="211"/>
      <c r="L911" s="186"/>
      <c r="M911" s="186"/>
      <c r="N911" s="186"/>
    </row>
    <row r="912" spans="6:14" ht="12.6">
      <c r="F912" s="211"/>
      <c r="L912" s="186"/>
      <c r="M912" s="186"/>
      <c r="N912" s="186"/>
    </row>
    <row r="913" spans="6:14" ht="12.6">
      <c r="F913" s="211"/>
      <c r="L913" s="186"/>
      <c r="M913" s="186"/>
      <c r="N913" s="186"/>
    </row>
    <row r="914" spans="6:14" ht="12.6">
      <c r="F914" s="211"/>
      <c r="L914" s="186"/>
      <c r="M914" s="186"/>
      <c r="N914" s="186"/>
    </row>
    <row r="915" spans="6:14" ht="12.6">
      <c r="F915" s="211"/>
      <c r="L915" s="186"/>
      <c r="M915" s="186"/>
      <c r="N915" s="186"/>
    </row>
    <row r="916" spans="6:14" ht="12.6">
      <c r="F916" s="211"/>
      <c r="L916" s="186"/>
      <c r="M916" s="186"/>
      <c r="N916" s="186"/>
    </row>
    <row r="917" spans="6:14" ht="12.6">
      <c r="F917" s="211"/>
      <c r="L917" s="186"/>
      <c r="M917" s="186"/>
      <c r="N917" s="186"/>
    </row>
    <row r="918" spans="6:14" ht="12.6">
      <c r="F918" s="211"/>
      <c r="L918" s="186"/>
      <c r="M918" s="186"/>
      <c r="N918" s="186"/>
    </row>
    <row r="919" spans="6:14" ht="12.6">
      <c r="F919" s="211"/>
      <c r="L919" s="186"/>
      <c r="M919" s="186"/>
      <c r="N919" s="186"/>
    </row>
    <row r="920" spans="6:14" ht="12.6">
      <c r="F920" s="211"/>
      <c r="L920" s="186"/>
      <c r="M920" s="186"/>
      <c r="N920" s="186"/>
    </row>
    <row r="921" spans="6:14" ht="12.6">
      <c r="F921" s="211"/>
      <c r="L921" s="186"/>
      <c r="M921" s="186"/>
      <c r="N921" s="186"/>
    </row>
    <row r="922" spans="6:14" ht="12.6">
      <c r="F922" s="211"/>
      <c r="L922" s="186"/>
      <c r="M922" s="186"/>
      <c r="N922" s="186"/>
    </row>
    <row r="923" spans="6:14" ht="12.6">
      <c r="F923" s="211"/>
      <c r="L923" s="186"/>
      <c r="M923" s="186"/>
      <c r="N923" s="186"/>
    </row>
    <row r="924" spans="6:14" ht="12.6">
      <c r="F924" s="211"/>
      <c r="L924" s="186"/>
      <c r="M924" s="186"/>
      <c r="N924" s="186"/>
    </row>
    <row r="925" spans="6:14" ht="12.6">
      <c r="F925" s="211"/>
      <c r="L925" s="186"/>
      <c r="M925" s="186"/>
      <c r="N925" s="186"/>
    </row>
    <row r="926" spans="6:14" ht="12.6">
      <c r="F926" s="211"/>
      <c r="L926" s="186"/>
      <c r="M926" s="186"/>
      <c r="N926" s="186"/>
    </row>
    <row r="927" spans="6:14" ht="12.6">
      <c r="F927" s="211"/>
      <c r="L927" s="186"/>
      <c r="M927" s="186"/>
      <c r="N927" s="186"/>
    </row>
    <row r="928" spans="6:14" ht="12.6">
      <c r="F928" s="211"/>
      <c r="L928" s="186"/>
      <c r="M928" s="186"/>
      <c r="N928" s="186"/>
    </row>
    <row r="929" spans="6:14" ht="12.6">
      <c r="F929" s="211"/>
      <c r="L929" s="186"/>
      <c r="M929" s="186"/>
      <c r="N929" s="186"/>
    </row>
    <row r="930" spans="6:14" ht="12.6">
      <c r="F930" s="211"/>
      <c r="L930" s="186"/>
      <c r="M930" s="186"/>
      <c r="N930" s="186"/>
    </row>
    <row r="931" spans="6:14" ht="12.6">
      <c r="F931" s="211"/>
      <c r="L931" s="186"/>
      <c r="M931" s="186"/>
      <c r="N931" s="186"/>
    </row>
    <row r="932" spans="6:14" ht="12.6">
      <c r="F932" s="211"/>
      <c r="L932" s="186"/>
      <c r="M932" s="186"/>
      <c r="N932" s="186"/>
    </row>
    <row r="933" spans="6:14" ht="12.6">
      <c r="F933" s="211"/>
      <c r="L933" s="186"/>
      <c r="M933" s="186"/>
      <c r="N933" s="186"/>
    </row>
    <row r="934" spans="6:14" ht="12.6">
      <c r="F934" s="211"/>
      <c r="L934" s="186"/>
      <c r="M934" s="186"/>
      <c r="N934" s="186"/>
    </row>
    <row r="935" spans="6:14" ht="12.6">
      <c r="F935" s="211"/>
      <c r="L935" s="186"/>
      <c r="M935" s="186"/>
      <c r="N935" s="186"/>
    </row>
    <row r="936" spans="6:14" ht="12.6">
      <c r="F936" s="211"/>
      <c r="L936" s="186"/>
      <c r="M936" s="186"/>
      <c r="N936" s="186"/>
    </row>
    <row r="937" spans="6:14" ht="12.6">
      <c r="F937" s="211"/>
      <c r="L937" s="186"/>
      <c r="M937" s="186"/>
      <c r="N937" s="186"/>
    </row>
    <row r="938" spans="6:14" ht="12.6">
      <c r="F938" s="211"/>
      <c r="L938" s="186"/>
      <c r="M938" s="186"/>
      <c r="N938" s="186"/>
    </row>
    <row r="939" spans="6:14" ht="12.6">
      <c r="F939" s="211"/>
      <c r="L939" s="186"/>
      <c r="M939" s="186"/>
      <c r="N939" s="186"/>
    </row>
    <row r="940" spans="6:14" ht="12.6">
      <c r="F940" s="211"/>
      <c r="L940" s="186"/>
      <c r="M940" s="186"/>
      <c r="N940" s="186"/>
    </row>
    <row r="941" spans="6:14" ht="12.6">
      <c r="F941" s="211"/>
      <c r="L941" s="186"/>
      <c r="M941" s="186"/>
      <c r="N941" s="186"/>
    </row>
    <row r="942" spans="6:14" ht="12.6">
      <c r="F942" s="211"/>
      <c r="L942" s="186"/>
      <c r="M942" s="186"/>
      <c r="N942" s="186"/>
    </row>
    <row r="943" spans="6:14" ht="12.6">
      <c r="F943" s="211"/>
      <c r="L943" s="186"/>
      <c r="M943" s="186"/>
      <c r="N943" s="186"/>
    </row>
    <row r="944" spans="6:14" ht="12.6">
      <c r="F944" s="211"/>
      <c r="L944" s="186"/>
      <c r="M944" s="186"/>
      <c r="N944" s="186"/>
    </row>
    <row r="945" spans="6:14" ht="12.6">
      <c r="F945" s="211"/>
      <c r="L945" s="186"/>
      <c r="M945" s="186"/>
      <c r="N945" s="186"/>
    </row>
    <row r="946" spans="6:14" ht="12.6">
      <c r="F946" s="211"/>
      <c r="L946" s="186"/>
      <c r="M946" s="186"/>
      <c r="N946" s="186"/>
    </row>
    <row r="947" spans="6:14" ht="12.6">
      <c r="F947" s="211"/>
      <c r="L947" s="186"/>
      <c r="M947" s="186"/>
      <c r="N947" s="186"/>
    </row>
    <row r="948" spans="6:14" ht="12.6">
      <c r="F948" s="211"/>
      <c r="L948" s="186"/>
      <c r="M948" s="186"/>
      <c r="N948" s="186"/>
    </row>
    <row r="949" spans="6:14" ht="12.6">
      <c r="F949" s="211"/>
      <c r="L949" s="186"/>
      <c r="M949" s="186"/>
      <c r="N949" s="186"/>
    </row>
    <row r="950" spans="6:14" ht="12.6">
      <c r="F950" s="211"/>
      <c r="L950" s="186"/>
      <c r="M950" s="186"/>
      <c r="N950" s="186"/>
    </row>
    <row r="951" spans="6:14" ht="12.6">
      <c r="F951" s="211"/>
      <c r="L951" s="186"/>
      <c r="M951" s="186"/>
      <c r="N951" s="186"/>
    </row>
    <row r="952" spans="6:14" ht="12.6">
      <c r="F952" s="211"/>
      <c r="L952" s="186"/>
      <c r="M952" s="186"/>
      <c r="N952" s="186"/>
    </row>
    <row r="953" spans="6:14" ht="12.6">
      <c r="F953" s="211"/>
      <c r="L953" s="186"/>
      <c r="M953" s="186"/>
      <c r="N953" s="186"/>
    </row>
    <row r="954" spans="6:14" ht="12.6">
      <c r="F954" s="211"/>
      <c r="L954" s="186"/>
      <c r="M954" s="186"/>
      <c r="N954" s="186"/>
    </row>
    <row r="955" spans="6:14" ht="12.6">
      <c r="F955" s="211"/>
      <c r="L955" s="186"/>
      <c r="M955" s="186"/>
      <c r="N955" s="186"/>
    </row>
    <row r="956" spans="6:14" ht="12.6">
      <c r="F956" s="211"/>
      <c r="L956" s="186"/>
      <c r="M956" s="186"/>
      <c r="N956" s="186"/>
    </row>
    <row r="957" spans="6:14" ht="12.6">
      <c r="F957" s="211"/>
      <c r="L957" s="186"/>
      <c r="M957" s="186"/>
      <c r="N957" s="186"/>
    </row>
    <row r="958" spans="6:14" ht="12.6">
      <c r="F958" s="211"/>
      <c r="L958" s="186"/>
      <c r="M958" s="186"/>
      <c r="N958" s="186"/>
    </row>
    <row r="959" spans="6:14" ht="12.6">
      <c r="F959" s="211"/>
      <c r="L959" s="186"/>
      <c r="M959" s="186"/>
      <c r="N959" s="186"/>
    </row>
    <row r="960" spans="6:14" ht="12.6">
      <c r="F960" s="211"/>
      <c r="L960" s="186"/>
      <c r="M960" s="186"/>
      <c r="N960" s="186"/>
    </row>
    <row r="961" spans="6:14" ht="12.6">
      <c r="F961" s="211"/>
      <c r="L961" s="186"/>
      <c r="M961" s="186"/>
      <c r="N961" s="186"/>
    </row>
    <row r="962" spans="6:14" ht="12.6">
      <c r="F962" s="211"/>
      <c r="L962" s="186"/>
      <c r="M962" s="186"/>
      <c r="N962" s="186"/>
    </row>
    <row r="963" spans="6:14" ht="12.6">
      <c r="F963" s="211"/>
      <c r="L963" s="186"/>
      <c r="M963" s="186"/>
      <c r="N963" s="186"/>
    </row>
    <row r="964" spans="6:14" ht="12.6">
      <c r="F964" s="211"/>
      <c r="L964" s="186"/>
      <c r="M964" s="186"/>
      <c r="N964" s="186"/>
    </row>
    <row r="965" spans="6:14" ht="12.6">
      <c r="F965" s="211"/>
      <c r="L965" s="186"/>
      <c r="M965" s="186"/>
      <c r="N965" s="186"/>
    </row>
    <row r="966" spans="6:14" ht="12.6">
      <c r="F966" s="211"/>
      <c r="L966" s="186"/>
      <c r="M966" s="186"/>
      <c r="N966" s="186"/>
    </row>
    <row r="967" spans="6:14" ht="12.6">
      <c r="F967" s="211"/>
      <c r="L967" s="186"/>
      <c r="M967" s="186"/>
      <c r="N967" s="186"/>
    </row>
    <row r="968" spans="6:14" ht="12.6">
      <c r="F968" s="211"/>
      <c r="L968" s="186"/>
      <c r="M968" s="186"/>
      <c r="N968" s="186"/>
    </row>
    <row r="969" spans="6:14" ht="12.6">
      <c r="F969" s="211"/>
      <c r="L969" s="186"/>
      <c r="M969" s="186"/>
      <c r="N969" s="186"/>
    </row>
    <row r="970" spans="6:14" ht="12.6">
      <c r="F970" s="211"/>
      <c r="L970" s="186"/>
      <c r="M970" s="186"/>
      <c r="N970" s="186"/>
    </row>
    <row r="971" spans="6:14" ht="12.6">
      <c r="F971" s="211"/>
      <c r="L971" s="186"/>
      <c r="M971" s="186"/>
      <c r="N971" s="186"/>
    </row>
    <row r="972" spans="6:14" ht="12.6">
      <c r="F972" s="211"/>
      <c r="L972" s="186"/>
      <c r="M972" s="186"/>
      <c r="N972" s="186"/>
    </row>
    <row r="973" spans="6:14" ht="12.6">
      <c r="F973" s="211"/>
      <c r="L973" s="186"/>
      <c r="M973" s="186"/>
      <c r="N973" s="186"/>
    </row>
    <row r="974" spans="6:14" ht="12.6">
      <c r="F974" s="211"/>
      <c r="L974" s="186"/>
      <c r="M974" s="186"/>
      <c r="N974" s="186"/>
    </row>
    <row r="975" spans="6:14" ht="12.6">
      <c r="F975" s="211"/>
      <c r="L975" s="186"/>
      <c r="M975" s="186"/>
      <c r="N975" s="186"/>
    </row>
    <row r="976" spans="6:14" ht="12.6">
      <c r="F976" s="211"/>
      <c r="L976" s="186"/>
      <c r="M976" s="186"/>
      <c r="N976" s="186"/>
    </row>
    <row r="977" spans="6:14" ht="12.6">
      <c r="F977" s="211"/>
      <c r="L977" s="186"/>
      <c r="M977" s="186"/>
      <c r="N977" s="186"/>
    </row>
    <row r="978" spans="6:14" ht="12.6">
      <c r="F978" s="211"/>
      <c r="L978" s="186"/>
      <c r="M978" s="186"/>
      <c r="N978" s="186"/>
    </row>
    <row r="979" spans="6:14" ht="12.6">
      <c r="F979" s="211"/>
      <c r="L979" s="186"/>
      <c r="M979" s="186"/>
      <c r="N979" s="186"/>
    </row>
    <row r="980" spans="6:14" ht="12.6">
      <c r="F980" s="211"/>
      <c r="L980" s="186"/>
      <c r="M980" s="186"/>
      <c r="N980" s="186"/>
    </row>
    <row r="981" spans="6:14" ht="12.6">
      <c r="F981" s="211"/>
      <c r="L981" s="186"/>
      <c r="M981" s="186"/>
      <c r="N981" s="186"/>
    </row>
    <row r="982" spans="6:14" ht="12.6">
      <c r="F982" s="211"/>
      <c r="L982" s="186"/>
      <c r="M982" s="186"/>
      <c r="N982" s="186"/>
    </row>
    <row r="983" spans="6:14" ht="12.6">
      <c r="F983" s="211"/>
      <c r="L983" s="186"/>
      <c r="M983" s="186"/>
      <c r="N983" s="186"/>
    </row>
    <row r="984" spans="6:14" ht="12.6">
      <c r="F984" s="211"/>
      <c r="L984" s="186"/>
      <c r="M984" s="186"/>
      <c r="N984" s="186"/>
    </row>
    <row r="985" spans="6:14" ht="12.6">
      <c r="F985" s="211"/>
      <c r="L985" s="186"/>
      <c r="M985" s="186"/>
      <c r="N985" s="186"/>
    </row>
    <row r="986" spans="6:14" ht="12.6">
      <c r="F986" s="211"/>
      <c r="L986" s="186"/>
      <c r="M986" s="186"/>
      <c r="N986" s="186"/>
    </row>
    <row r="987" spans="6:14" ht="12.6">
      <c r="F987" s="211"/>
      <c r="L987" s="186"/>
      <c r="M987" s="186"/>
      <c r="N987" s="186"/>
    </row>
    <row r="988" spans="6:14" ht="12.6">
      <c r="F988" s="211"/>
      <c r="L988" s="186"/>
      <c r="M988" s="186"/>
      <c r="N988" s="186"/>
    </row>
    <row r="989" spans="6:14" ht="12.6">
      <c r="F989" s="211"/>
      <c r="L989" s="186"/>
      <c r="M989" s="186"/>
      <c r="N989" s="186"/>
    </row>
    <row r="990" spans="6:14" ht="12.6">
      <c r="F990" s="211"/>
      <c r="L990" s="186"/>
      <c r="M990" s="186"/>
      <c r="N990" s="186"/>
    </row>
    <row r="991" spans="6:14" ht="12.6">
      <c r="F991" s="211"/>
      <c r="L991" s="186"/>
      <c r="M991" s="186"/>
      <c r="N991" s="186"/>
    </row>
    <row r="992" spans="6:14" ht="12.6">
      <c r="F992" s="211"/>
      <c r="L992" s="186"/>
      <c r="M992" s="186"/>
      <c r="N992" s="186"/>
    </row>
    <row r="993" spans="6:14" ht="12.6">
      <c r="F993" s="211"/>
      <c r="L993" s="186"/>
      <c r="M993" s="186"/>
      <c r="N993" s="186"/>
    </row>
    <row r="994" spans="6:14" ht="12.6">
      <c r="F994" s="211"/>
      <c r="L994" s="186"/>
      <c r="M994" s="186"/>
      <c r="N994" s="186"/>
    </row>
    <row r="995" spans="6:14" ht="12.6">
      <c r="F995" s="211"/>
      <c r="L995" s="186"/>
      <c r="M995" s="186"/>
      <c r="N995" s="186"/>
    </row>
    <row r="996" spans="6:14" ht="12.6">
      <c r="F996" s="211"/>
      <c r="L996" s="186"/>
      <c r="M996" s="186"/>
      <c r="N996" s="186"/>
    </row>
    <row r="997" spans="6:14" ht="12.6">
      <c r="F997" s="211"/>
      <c r="L997" s="186"/>
      <c r="M997" s="186"/>
      <c r="N997" s="186"/>
    </row>
    <row r="998" spans="6:14" ht="12.6">
      <c r="F998" s="211"/>
      <c r="L998" s="186"/>
      <c r="M998" s="186"/>
      <c r="N998" s="186"/>
    </row>
    <row r="999" spans="6:14" ht="12.6">
      <c r="F999" s="211"/>
      <c r="L999" s="186"/>
      <c r="M999" s="186"/>
      <c r="N999" s="186"/>
    </row>
    <row r="1000" spans="6:14" ht="12.6">
      <c r="F1000" s="211"/>
      <c r="L1000" s="186"/>
      <c r="M1000" s="186"/>
      <c r="N1000" s="186"/>
    </row>
  </sheetData>
  <printOptions horizontalCentered="1" gridLines="1"/>
  <pageMargins left="0.7" right="0.7" top="0.75" bottom="0.75" header="0" footer="0"/>
  <pageSetup paperSize="9" fitToWidth="0" pageOrder="overThenDown" orientation="portrait" cellComments="atEnd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outlinePr summaryBelow="0" summaryRight="0"/>
  </sheetPr>
  <dimension ref="A2:AI21"/>
  <sheetViews>
    <sheetView showGridLines="0" workbookViewId="0">
      <pane xSplit="2" topLeftCell="C1" activePane="topRight" state="frozen"/>
      <selection pane="topRight" activeCell="D2" sqref="D2"/>
    </sheetView>
  </sheetViews>
  <sheetFormatPr baseColWidth="10" defaultColWidth="11.1796875" defaultRowHeight="15.75" customHeight="1"/>
  <cols>
    <col min="1" max="1" width="3.453125" customWidth="1"/>
    <col min="3" max="3" width="14.54296875" customWidth="1"/>
    <col min="4" max="4" width="17.1796875" hidden="1" customWidth="1"/>
    <col min="6" max="6" width="16.36328125" customWidth="1"/>
    <col min="8" max="8" width="12.90625" hidden="1" customWidth="1"/>
    <col min="10" max="12" width="11.1796875" hidden="1"/>
  </cols>
  <sheetData>
    <row r="2" spans="1:35" ht="15.75" customHeight="1">
      <c r="A2" s="212"/>
      <c r="B2" s="213" t="str">
        <f ca="1">IFERROR(__xludf.DUMMYFUNCTION("IMPORTRANGE(""https://docs.google.com/spreadsheets/d/1DSyV8tDqZ18nTTyVYUrGOoSmzgfuPJZyajxwAUVpWtY"",""Salarié.es!A2:A16"")"),"Salarié.es")</f>
        <v>Salarié.es</v>
      </c>
      <c r="C2" s="214" t="s">
        <v>134</v>
      </c>
      <c r="D2" s="214" t="s">
        <v>135</v>
      </c>
      <c r="E2" s="214" t="s">
        <v>136</v>
      </c>
      <c r="F2" s="214" t="s">
        <v>137</v>
      </c>
      <c r="G2" s="214" t="s">
        <v>138</v>
      </c>
      <c r="H2" s="214" t="s">
        <v>139</v>
      </c>
      <c r="I2" s="214" t="s">
        <v>140</v>
      </c>
      <c r="J2" s="215" t="s">
        <v>141</v>
      </c>
      <c r="K2" s="215" t="s">
        <v>142</v>
      </c>
      <c r="L2" s="215" t="s">
        <v>128</v>
      </c>
      <c r="M2" s="215" t="s">
        <v>143</v>
      </c>
      <c r="N2" s="216" t="s">
        <v>144</v>
      </c>
      <c r="O2" s="215" t="s">
        <v>145</v>
      </c>
      <c r="P2" s="178" t="s">
        <v>146</v>
      </c>
      <c r="Q2" s="214" t="s">
        <v>147</v>
      </c>
      <c r="R2" s="212"/>
      <c r="S2" s="212"/>
      <c r="T2" s="212"/>
      <c r="U2" s="212"/>
      <c r="V2" s="212"/>
      <c r="W2" s="212"/>
      <c r="X2" s="212"/>
      <c r="Y2" s="212"/>
      <c r="Z2" s="212"/>
      <c r="AA2" s="212"/>
      <c r="AB2" s="212"/>
      <c r="AC2" s="212"/>
      <c r="AD2" s="212"/>
      <c r="AE2" s="212"/>
      <c r="AF2" s="212"/>
      <c r="AG2" s="212"/>
      <c r="AH2" s="212"/>
      <c r="AI2" s="212"/>
    </row>
    <row r="3" spans="1:35">
      <c r="B3" s="17"/>
      <c r="C3" s="17" t="e">
        <f>SUM(COUNTIF(EDT!D$5:R$25,B3),COUNTIF(EDT!D$43:R$60,B3),COUNTIF(#REF!,B3),COUNTIF(#REF!,B3),COUNTIF(#REF!,B3),COUNTIF(#REF!,B3),COUNTIF(#REF!,B3),COUNTIF(#REF!,B3),COUNTIF(#REF!,B3),COUNTIF(#REF!,B3),COUNTIF(#REF!,B3),COUNTIF(#REF!,B3),COUNTIF(#REF!,B3),COUNTIF(#REF!,B3),COUNTIF(#REF!,B3),COUNTIF(#REF!,B3),COUNTIF(#REF!,B3),COUNTIF(#REF!,B3),COUNTIF(#REF!,B3),COUNTIF(#REF!,B3),COUNTIF(#REF!,B3))*3+SUM(COUNTIF(EDT!D$33:R$42,B3),COUNTIF(#REF!,B3),COUNTIF(#REF!,B3),COUNTIF(#REF!,B3),COUNTIF(#REF!,B3),COUNTIF(#REF!,B3),COUNTIF(#REF!,B3),COUNTIF(#REF!,B3),COUNTIF(#REF!,B3),COUNTIF(#REF!,B3))*2</f>
        <v>#REF!</v>
      </c>
      <c r="D3" s="17" t="e">
        <f t="shared" ref="D3:D6" si="0">C3*0.04</f>
        <v>#REF!</v>
      </c>
      <c r="E3" s="17" t="e">
        <f t="shared" ref="E3:E4" si="1">C3*0.04</f>
        <v>#REF!</v>
      </c>
      <c r="F3" s="17" t="e">
        <f t="shared" ref="F3:F5" si="2">C3*0.04</f>
        <v>#REF!</v>
      </c>
      <c r="G3" s="17"/>
      <c r="H3" s="17"/>
      <c r="I3" s="17"/>
      <c r="J3" s="180"/>
      <c r="K3" s="180"/>
      <c r="L3" s="180"/>
      <c r="M3" s="180"/>
      <c r="N3" s="208" t="e">
        <f t="shared" ref="N3:N17" si="3">SUM(C3:M3)</f>
        <v>#REF!</v>
      </c>
      <c r="O3" s="185"/>
      <c r="P3" s="217" t="str">
        <f ca="1">IFERROR(__xludf.DUMMYFUNCTION("IMPORTRANGE(""https://docs.google.com/spreadsheets/d/1DSyV8tDqZ18nTTyVYUrGOoSmzgfuPJZyajxwAUVpWtY"",""Salarié.es!B3:B16"")"),"")</f>
        <v/>
      </c>
      <c r="Q3" s="218" t="e">
        <f t="shared" ref="Q3:Q5" ca="1" si="4">N3-P3+O3</f>
        <v>#REF!</v>
      </c>
    </row>
    <row r="4" spans="1:35" ht="15.75" customHeight="1">
      <c r="B4" s="17" t="str">
        <f ca="1">IFERROR(__xludf.DUMMYFUNCTION("""COMPUTED_VALUE"""),"Antonio")</f>
        <v>Antonio</v>
      </c>
      <c r="C4" s="17"/>
      <c r="D4" s="17">
        <f t="shared" si="0"/>
        <v>0</v>
      </c>
      <c r="E4" s="17">
        <f t="shared" si="1"/>
        <v>0</v>
      </c>
      <c r="F4" s="17">
        <f t="shared" si="2"/>
        <v>0</v>
      </c>
      <c r="G4" s="17"/>
      <c r="H4" s="17"/>
      <c r="I4" s="17"/>
      <c r="J4" s="180"/>
      <c r="K4" s="180"/>
      <c r="L4" s="180"/>
      <c r="M4" s="180"/>
      <c r="N4" s="208">
        <f t="shared" si="3"/>
        <v>0</v>
      </c>
      <c r="O4" s="190"/>
      <c r="P4" s="185"/>
      <c r="Q4" s="218">
        <f t="shared" si="4"/>
        <v>0</v>
      </c>
    </row>
    <row r="5" spans="1:35" ht="15.75" customHeight="1">
      <c r="B5" s="17" t="str">
        <f ca="1">IFERROR(__xludf.DUMMYFUNCTION("""COMPUTED_VALUE"""),"Laurence")</f>
        <v>Laurence</v>
      </c>
      <c r="C5" s="17" t="e">
        <f ca="1">SUM(COUNTIF(EDT!D$5:R$25,B5),COUNTIF(EDT!D$43:R$60,B5),COUNTIF(#REF!,B5),COUNTIF(#REF!,B5),COUNTIF(#REF!,B5),COUNTIF(#REF!,B5),COUNTIF(#REF!,B5),COUNTIF(#REF!,B5),COUNTIF(#REF!,B5),COUNTIF(#REF!,B5),COUNTIF(#REF!,B5),COUNTIF(#REF!,B5),COUNTIF(#REF!,B5),COUNTIF(#REF!,B5),COUNTIF(#REF!,B5),COUNTIF(#REF!,B5),COUNTIF(#REF!,B5),COUNTIF(#REF!,B5),COUNTIF(#REF!,B5),COUNTIF(#REF!,B5),COUNTIF(#REF!,B5))*3+SUM(COUNTIF(EDT!D$33:R$42,B5),COUNTIF(#REF!,B5),COUNTIF(#REF!,B5),COUNTIF(#REF!,B5),COUNTIF(#REF!,B5),COUNTIF(#REF!,B5),COUNTIF(#REF!,B5),COUNTIF(#REF!,B5),COUNTIF(#REF!,B5),COUNTIF(#REF!,B5))*2</f>
        <v>#REF!</v>
      </c>
      <c r="D5" s="17" t="e">
        <f t="shared" ca="1" si="0"/>
        <v>#REF!</v>
      </c>
      <c r="E5" s="17" t="e">
        <f ca="1">C5*0.06</f>
        <v>#REF!</v>
      </c>
      <c r="F5" s="17" t="e">
        <f t="shared" ca="1" si="2"/>
        <v>#REF!</v>
      </c>
      <c r="G5" s="17"/>
      <c r="H5" s="17"/>
      <c r="I5" s="17"/>
      <c r="J5" s="180"/>
      <c r="K5" s="180"/>
      <c r="L5" s="180"/>
      <c r="M5" s="180"/>
      <c r="N5" s="208" t="e">
        <f t="shared" ca="1" si="3"/>
        <v>#REF!</v>
      </c>
      <c r="O5" s="190"/>
      <c r="P5" s="185">
        <f ca="1">IFERROR(__xludf.DUMMYFUNCTION("""COMPUTED_VALUE"""),20)</f>
        <v>20</v>
      </c>
      <c r="Q5" s="218" t="e">
        <f t="shared" ca="1" si="4"/>
        <v>#REF!</v>
      </c>
    </row>
    <row r="6" spans="1:35" ht="15.75" customHeight="1">
      <c r="B6" s="219" t="str">
        <f ca="1">IFERROR(__xludf.DUMMYFUNCTION("""COMPUTED_VALUE"""),"Océane")</f>
        <v>Océane</v>
      </c>
      <c r="C6" s="219"/>
      <c r="D6" s="219">
        <f t="shared" si="0"/>
        <v>0</v>
      </c>
      <c r="E6" s="219"/>
      <c r="F6" s="219"/>
      <c r="G6" s="219"/>
      <c r="H6" s="219"/>
      <c r="I6" s="219"/>
      <c r="J6" s="220"/>
      <c r="K6" s="220"/>
      <c r="L6" s="220"/>
      <c r="M6" s="220"/>
      <c r="N6" s="221">
        <f t="shared" si="3"/>
        <v>0</v>
      </c>
      <c r="O6" s="222"/>
      <c r="P6" s="223">
        <f ca="1">IFERROR(__xludf.DUMMYFUNCTION("""COMPUTED_VALUE"""),87)</f>
        <v>87</v>
      </c>
      <c r="Q6" s="224">
        <v>-87</v>
      </c>
    </row>
    <row r="7" spans="1:35" ht="15.75" customHeight="1">
      <c r="B7" s="225" t="str">
        <f ca="1">IFERROR(__xludf.DUMMYFUNCTION("""COMPUTED_VALUE"""),"Elia")</f>
        <v>Elia</v>
      </c>
      <c r="C7" s="225"/>
      <c r="D7" s="225"/>
      <c r="E7" s="225"/>
      <c r="F7" s="225"/>
      <c r="G7" s="225"/>
      <c r="H7" s="225"/>
      <c r="I7" s="225"/>
      <c r="J7" s="226"/>
      <c r="K7" s="226"/>
      <c r="L7" s="226"/>
      <c r="M7" s="226"/>
      <c r="N7" s="227">
        <f t="shared" si="3"/>
        <v>0</v>
      </c>
      <c r="O7" s="228"/>
      <c r="P7" s="229">
        <f ca="1">IFERROR(__xludf.DUMMYFUNCTION("""COMPUTED_VALUE"""),104)</f>
        <v>104</v>
      </c>
      <c r="Q7" s="218">
        <f t="shared" ref="Q7:Q17" ca="1" si="5">N7-P7+O7</f>
        <v>-104</v>
      </c>
    </row>
    <row r="8" spans="1:35" ht="15.75" customHeight="1">
      <c r="B8" s="17" t="str">
        <f ca="1">IFERROR(__xludf.DUMMYFUNCTION("""COMPUTED_VALUE"""),"Florine")</f>
        <v>Florine</v>
      </c>
      <c r="C8" s="17" t="e">
        <f ca="1">SUM(COUNTIF(EDT!D$5:R$25,B8),COUNTIF(EDT!D$43:R$60,B8),COUNTIF(#REF!,B8),COUNTIF(#REF!,B8),COUNTIF(#REF!,B8),COUNTIF(#REF!,B8),COUNTIF(#REF!,B8),COUNTIF(#REF!,B8),COUNTIF(#REF!,B8),COUNTIF(#REF!,B8),COUNTIF(#REF!,B8),COUNTIF(#REF!,B8),COUNTIF(#REF!,B8),COUNTIF(#REF!,B8),COUNTIF(#REF!,B8),COUNTIF(#REF!,B8),COUNTIF(#REF!,B8),COUNTIF(#REF!,B8),COUNTIF(#REF!,B8),COUNTIF(#REF!,B8),COUNTIF(#REF!,B8))*3+SUM(COUNTIF(EDT!D$33:R$42,B8),COUNTIF(#REF!,B8),COUNTIF(#REF!,B8),COUNTIF(#REF!,B8),COUNTIF(#REF!,B8),COUNTIF(#REF!,B8),COUNTIF(#REF!,B8),COUNTIF(#REF!,B8),COUNTIF(#REF!,B8),COUNTIF(#REF!,B8))*2</f>
        <v>#REF!</v>
      </c>
      <c r="D8" s="17" t="e">
        <f t="shared" ref="D8:D17" ca="1" si="6">C8*0.04</f>
        <v>#REF!</v>
      </c>
      <c r="E8" s="17" t="e">
        <f t="shared" ref="E8:E17" ca="1" si="7">C8*0.04</f>
        <v>#REF!</v>
      </c>
      <c r="F8" s="17" t="e">
        <f t="shared" ref="F8:F17" ca="1" si="8">C8*0.04</f>
        <v>#REF!</v>
      </c>
      <c r="G8" s="17"/>
      <c r="H8" s="17"/>
      <c r="I8" s="17"/>
      <c r="J8" s="180"/>
      <c r="K8" s="180"/>
      <c r="L8" s="180"/>
      <c r="M8" s="180"/>
      <c r="N8" s="208" t="e">
        <f t="shared" ca="1" si="3"/>
        <v>#REF!</v>
      </c>
      <c r="O8" s="190"/>
      <c r="P8" s="185">
        <f ca="1">IFERROR(__xludf.DUMMYFUNCTION("""COMPUTED_VALUE"""),151.67)</f>
        <v>151.66999999999999</v>
      </c>
      <c r="Q8" s="218" t="e">
        <f t="shared" ca="1" si="5"/>
        <v>#REF!</v>
      </c>
    </row>
    <row r="9" spans="1:35" ht="15.75" customHeight="1">
      <c r="B9" s="17"/>
      <c r="C9" s="17" t="e">
        <f>SUM(COUNTIF(EDT!D$5:R$25,B9),COUNTIF(EDT!D$43:R$60,B9),COUNTIF(#REF!,B9),COUNTIF(#REF!,B9),COUNTIF(#REF!,B9),COUNTIF(#REF!,B9),COUNTIF(#REF!,B9),COUNTIF(#REF!,B9),COUNTIF(#REF!,B9),COUNTIF(#REF!,B9),COUNTIF(#REF!,B9),COUNTIF(#REF!,B9),COUNTIF(#REF!,B9),COUNTIF(#REF!,B9),COUNTIF(#REF!,B9),COUNTIF(#REF!,B9),COUNTIF(#REF!,B9),COUNTIF(#REF!,B9),COUNTIF(#REF!,B9),COUNTIF(#REF!,B9),COUNTIF(#REF!,B9))*3+SUM(COUNTIF(EDT!D$33:R$42,B9),COUNTIF(#REF!,B9),COUNTIF(#REF!,B9),COUNTIF(#REF!,B9),COUNTIF(#REF!,B9),COUNTIF(#REF!,B9),COUNTIF(#REF!,B9),COUNTIF(#REF!,B9),COUNTIF(#REF!,B9),COUNTIF(#REF!,B9))*2</f>
        <v>#REF!</v>
      </c>
      <c r="D9" s="17" t="e">
        <f t="shared" si="6"/>
        <v>#REF!</v>
      </c>
      <c r="E9" s="17" t="e">
        <f t="shared" si="7"/>
        <v>#REF!</v>
      </c>
      <c r="F9" s="17" t="e">
        <f t="shared" si="8"/>
        <v>#REF!</v>
      </c>
      <c r="G9" s="17"/>
      <c r="H9" s="17"/>
      <c r="I9" s="17"/>
      <c r="J9" s="180"/>
      <c r="K9" s="180"/>
      <c r="L9" s="180"/>
      <c r="M9" s="180"/>
      <c r="N9" s="208" t="e">
        <f t="shared" si="3"/>
        <v>#REF!</v>
      </c>
      <c r="O9" s="190"/>
      <c r="P9" s="185"/>
      <c r="Q9" s="218" t="e">
        <f t="shared" si="5"/>
        <v>#REF!</v>
      </c>
    </row>
    <row r="10" spans="1:35" ht="15.75" customHeight="1">
      <c r="B10" s="17"/>
      <c r="C10" s="17" t="e">
        <f>SUM(COUNTIF(EDT!D$5:R$25,B10),COUNTIF(EDT!D$43:R$60,B10),COUNTIF(#REF!,B10),COUNTIF(#REF!,B10),COUNTIF(#REF!,B10),COUNTIF(#REF!,B10),COUNTIF(#REF!,B10),COUNTIF(#REF!,B10),COUNTIF(#REF!,B10),COUNTIF(#REF!,B10),COUNTIF(#REF!,B10),COUNTIF(#REF!,B10),COUNTIF(#REF!,B10),COUNTIF(#REF!,B10),COUNTIF(#REF!,B10),COUNTIF(#REF!,B10),COUNTIF(#REF!,B10),COUNTIF(#REF!,B10),COUNTIF(#REF!,B10),COUNTIF(#REF!,B10),COUNTIF(#REF!,B10))*3+SUM(COUNTIF(EDT!D$33:R$42,B10),COUNTIF(#REF!,B10),COUNTIF(#REF!,B10),COUNTIF(#REF!,B10),COUNTIF(#REF!,B10),COUNTIF(#REF!,B10),COUNTIF(#REF!,B10),COUNTIF(#REF!,B10),COUNTIF(#REF!,B10),COUNTIF(#REF!,B10))*2</f>
        <v>#REF!</v>
      </c>
      <c r="D10" s="17" t="e">
        <f t="shared" si="6"/>
        <v>#REF!</v>
      </c>
      <c r="E10" s="17" t="e">
        <f t="shared" si="7"/>
        <v>#REF!</v>
      </c>
      <c r="F10" s="17" t="e">
        <f t="shared" si="8"/>
        <v>#REF!</v>
      </c>
      <c r="G10" s="17">
        <v>3</v>
      </c>
      <c r="H10" s="17"/>
      <c r="I10" s="17"/>
      <c r="J10" s="180">
        <v>5</v>
      </c>
      <c r="K10" s="180"/>
      <c r="L10" s="180"/>
      <c r="M10" s="180"/>
      <c r="N10" s="208" t="e">
        <f t="shared" si="3"/>
        <v>#REF!</v>
      </c>
      <c r="O10" s="190"/>
      <c r="P10" s="185"/>
      <c r="Q10" s="218" t="e">
        <f t="shared" si="5"/>
        <v>#REF!</v>
      </c>
    </row>
    <row r="11" spans="1:35" ht="15.75" customHeight="1">
      <c r="B11" s="17"/>
      <c r="C11" s="17">
        <v>1</v>
      </c>
      <c r="D11" s="17">
        <f t="shared" si="6"/>
        <v>0.04</v>
      </c>
      <c r="E11" s="17">
        <f t="shared" si="7"/>
        <v>0.04</v>
      </c>
      <c r="F11" s="17">
        <f t="shared" si="8"/>
        <v>0.04</v>
      </c>
      <c r="G11" s="17"/>
      <c r="H11" s="17"/>
      <c r="I11" s="17"/>
      <c r="J11" s="180"/>
      <c r="K11" s="180"/>
      <c r="L11" s="180"/>
      <c r="M11" s="180"/>
      <c r="N11" s="208">
        <f t="shared" si="3"/>
        <v>1.1200000000000001</v>
      </c>
      <c r="O11" s="190"/>
      <c r="P11" s="185"/>
      <c r="Q11" s="218">
        <f t="shared" si="5"/>
        <v>1.1200000000000001</v>
      </c>
    </row>
    <row r="12" spans="1:35" ht="15.75" customHeight="1">
      <c r="B12" s="17"/>
      <c r="C12" s="17" t="e">
        <f>SUM(COUNTIF(EDT!D$5:R$25,B12),COUNTIF(EDT!D$43:R$60,B12),COUNTIF(#REF!,B12),COUNTIF(#REF!,B12),COUNTIF(#REF!,B12),COUNTIF(#REF!,B12),COUNTIF(#REF!,B12),COUNTIF(#REF!,B12),COUNTIF(#REF!,B12),COUNTIF(#REF!,B12),COUNTIF(#REF!,B12),COUNTIF(#REF!,B12),COUNTIF(#REF!,B12),COUNTIF(#REF!,B12),COUNTIF(#REF!,B12),COUNTIF(#REF!,B12),COUNTIF(#REF!,B12),COUNTIF(#REF!,B12),COUNTIF(#REF!,B12),COUNTIF(#REF!,B12),COUNTIF(#REF!,B12))*3+SUM(COUNTIF(EDT!D$33:R$42,B12),COUNTIF(#REF!,B12),COUNTIF(#REF!,B12),COUNTIF(#REF!,B12),COUNTIF(#REF!,B12),COUNTIF(#REF!,B12),COUNTIF(#REF!,B12),COUNTIF(#REF!,B12),COUNTIF(#REF!,B12),COUNTIF(#REF!,B12))*2</f>
        <v>#REF!</v>
      </c>
      <c r="D12" s="17" t="e">
        <f t="shared" si="6"/>
        <v>#REF!</v>
      </c>
      <c r="E12" s="17" t="e">
        <f t="shared" si="7"/>
        <v>#REF!</v>
      </c>
      <c r="F12" s="17" t="e">
        <f t="shared" si="8"/>
        <v>#REF!</v>
      </c>
      <c r="G12" s="17"/>
      <c r="H12" s="17"/>
      <c r="I12" s="17"/>
      <c r="J12" s="180"/>
      <c r="K12" s="180"/>
      <c r="L12" s="180"/>
      <c r="M12" s="180"/>
      <c r="N12" s="208" t="e">
        <f t="shared" si="3"/>
        <v>#REF!</v>
      </c>
      <c r="O12" s="190"/>
      <c r="P12" s="185"/>
      <c r="Q12" s="218" t="e">
        <f t="shared" si="5"/>
        <v>#REF!</v>
      </c>
    </row>
    <row r="13" spans="1:35" ht="15.75" customHeight="1">
      <c r="B13" s="17"/>
      <c r="C13" s="17" t="e">
        <f>SUM(COUNTIF(EDT!D$5:R$25,B13),COUNTIF(EDT!D$43:R$60,B13),COUNTIF(#REF!,B13),COUNTIF(#REF!,B13),COUNTIF(#REF!,B13),COUNTIF(#REF!,B13),COUNTIF(#REF!,B13),COUNTIF(#REF!,B13),COUNTIF(#REF!,B13),COUNTIF(#REF!,B13),COUNTIF(#REF!,B13),COUNTIF(#REF!,B13),COUNTIF(#REF!,B13),COUNTIF(#REF!,B13),COUNTIF(#REF!,B13),COUNTIF(#REF!,B13),COUNTIF(#REF!,B13),COUNTIF(#REF!,B13),COUNTIF(#REF!,B13),COUNTIF(#REF!,B13),COUNTIF(#REF!,B13))*3+SUM(COUNTIF(EDT!D$33:R$42,B13),COUNTIF(#REF!,B13),COUNTIF(#REF!,B13),COUNTIF(#REF!,B13),COUNTIF(#REF!,B13),COUNTIF(#REF!,B13),COUNTIF(#REF!,B13),COUNTIF(#REF!,B13),COUNTIF(#REF!,B13),COUNTIF(#REF!,B13))*2</f>
        <v>#REF!</v>
      </c>
      <c r="D13" s="17" t="e">
        <f t="shared" si="6"/>
        <v>#REF!</v>
      </c>
      <c r="E13" s="17" t="e">
        <f t="shared" si="7"/>
        <v>#REF!</v>
      </c>
      <c r="F13" s="17" t="e">
        <f t="shared" si="8"/>
        <v>#REF!</v>
      </c>
      <c r="G13" s="17"/>
      <c r="H13" s="17"/>
      <c r="I13" s="17"/>
      <c r="J13" s="180"/>
      <c r="K13" s="180"/>
      <c r="L13" s="180"/>
      <c r="M13" s="180"/>
      <c r="N13" s="208" t="e">
        <f t="shared" si="3"/>
        <v>#REF!</v>
      </c>
      <c r="O13" s="190"/>
      <c r="P13" s="185"/>
      <c r="Q13" s="218" t="e">
        <f t="shared" si="5"/>
        <v>#REF!</v>
      </c>
    </row>
    <row r="14" spans="1:35" ht="15.75" customHeight="1">
      <c r="B14" s="17"/>
      <c r="C14" s="17">
        <v>18</v>
      </c>
      <c r="D14" s="17">
        <f t="shared" si="6"/>
        <v>0.72</v>
      </c>
      <c r="E14" s="17">
        <f t="shared" si="7"/>
        <v>0.72</v>
      </c>
      <c r="F14" s="17">
        <f t="shared" si="8"/>
        <v>0.72</v>
      </c>
      <c r="G14" s="17">
        <v>3</v>
      </c>
      <c r="H14" s="17"/>
      <c r="I14" s="17"/>
      <c r="J14" s="180"/>
      <c r="K14" s="180"/>
      <c r="L14" s="180"/>
      <c r="M14" s="180"/>
      <c r="N14" s="208">
        <f t="shared" si="3"/>
        <v>23.159999999999997</v>
      </c>
      <c r="O14" s="190"/>
      <c r="P14" s="185"/>
      <c r="Q14" s="218">
        <f t="shared" si="5"/>
        <v>23.159999999999997</v>
      </c>
    </row>
    <row r="15" spans="1:35" ht="15.75" customHeight="1">
      <c r="B15" s="17"/>
      <c r="C15" s="17" t="e">
        <f>SUM(COUNTIF(EDT!D$5:R$25,B15),COUNTIF(EDT!D$43:R$60,B15),COUNTIF(#REF!,B15),COUNTIF(#REF!,B15),COUNTIF(#REF!,B15),COUNTIF(#REF!,B15),COUNTIF(#REF!,B15),COUNTIF(#REF!,B15),COUNTIF(#REF!,B15),COUNTIF(#REF!,B15),COUNTIF(#REF!,B15),COUNTIF(#REF!,B15),COUNTIF(#REF!,B15),COUNTIF(#REF!,B15),COUNTIF(#REF!,B15),COUNTIF(#REF!,B15),COUNTIF(#REF!,B15),COUNTIF(#REF!,B15),COUNTIF(#REF!,B15),COUNTIF(#REF!,B15),COUNTIF(#REF!,B15))*3+SUM(COUNTIF(EDT!D$33:R$42,B15),COUNTIF(#REF!,B15),COUNTIF(#REF!,B15),COUNTIF(#REF!,B15),COUNTIF(#REF!,B15),COUNTIF(#REF!,B15),COUNTIF(#REF!,B15),COUNTIF(#REF!,B15),COUNTIF(#REF!,B15),COUNTIF(#REF!,B15))*2</f>
        <v>#REF!</v>
      </c>
      <c r="D15" s="17" t="e">
        <f t="shared" si="6"/>
        <v>#REF!</v>
      </c>
      <c r="E15" s="17" t="e">
        <f t="shared" si="7"/>
        <v>#REF!</v>
      </c>
      <c r="F15" s="17" t="e">
        <f t="shared" si="8"/>
        <v>#REF!</v>
      </c>
      <c r="G15" s="17"/>
      <c r="H15" s="17"/>
      <c r="I15" s="17"/>
      <c r="J15" s="180"/>
      <c r="K15" s="180"/>
      <c r="L15" s="180"/>
      <c r="M15" s="180"/>
      <c r="N15" s="208" t="e">
        <f t="shared" si="3"/>
        <v>#REF!</v>
      </c>
      <c r="O15" s="190"/>
      <c r="P15" s="185"/>
      <c r="Q15" s="218" t="e">
        <f t="shared" si="5"/>
        <v>#REF!</v>
      </c>
    </row>
    <row r="16" spans="1:35" ht="15.75" customHeight="1">
      <c r="B16" s="17"/>
      <c r="C16" s="17" t="e">
        <f>SUM(COUNTIF(EDT!D$5:R$25,B16),COUNTIF(EDT!D$43:R$60,B16),COUNTIF(#REF!,B16),COUNTIF(#REF!,B16),COUNTIF(#REF!,B16),COUNTIF(#REF!,B16),COUNTIF(#REF!,B16),COUNTIF(#REF!,B16),COUNTIF(#REF!,B16),COUNTIF(#REF!,B16),COUNTIF(#REF!,B16),COUNTIF(#REF!,B16),COUNTIF(#REF!,B16),COUNTIF(#REF!,B16),COUNTIF(#REF!,B16),COUNTIF(#REF!,B16),COUNTIF(#REF!,B16),COUNTIF(#REF!,B16),COUNTIF(#REF!,B16),COUNTIF(#REF!,B16),COUNTIF(#REF!,B16))*3+SUM(COUNTIF(EDT!D$33:R$42,B16),COUNTIF(#REF!,B16),COUNTIF(#REF!,B16),COUNTIF(#REF!,B16),COUNTIF(#REF!,B16),COUNTIF(#REF!,B16),COUNTIF(#REF!,B16),COUNTIF(#REF!,B16),COUNTIF(#REF!,B16),COUNTIF(#REF!,B16))*2</f>
        <v>#REF!</v>
      </c>
      <c r="D16" s="17" t="e">
        <f t="shared" si="6"/>
        <v>#REF!</v>
      </c>
      <c r="E16" s="17" t="e">
        <f t="shared" si="7"/>
        <v>#REF!</v>
      </c>
      <c r="F16" s="17" t="e">
        <f t="shared" si="8"/>
        <v>#REF!</v>
      </c>
      <c r="G16" s="17"/>
      <c r="H16" s="17"/>
      <c r="I16" s="17"/>
      <c r="J16" s="180"/>
      <c r="K16" s="180"/>
      <c r="L16" s="180"/>
      <c r="M16" s="180"/>
      <c r="N16" s="208" t="e">
        <f t="shared" si="3"/>
        <v>#REF!</v>
      </c>
      <c r="O16" s="190"/>
      <c r="P16" s="185"/>
      <c r="Q16" s="218" t="e">
        <f t="shared" si="5"/>
        <v>#REF!</v>
      </c>
    </row>
    <row r="17" spans="2:17" ht="15.75" customHeight="1">
      <c r="B17" s="17"/>
      <c r="C17" s="17" t="e">
        <f>SUM(COUNTIF(EDT!D$5:R$25,B17),COUNTIF(EDT!D$43:R$60,B17),COUNTIF(#REF!,B17),COUNTIF(#REF!,B17),COUNTIF(#REF!,B17),COUNTIF(#REF!,B17),COUNTIF(#REF!,B17),COUNTIF(#REF!,B17),COUNTIF(#REF!,B17),COUNTIF(#REF!,B17),COUNTIF(#REF!,B17),COUNTIF(#REF!,B17),COUNTIF(#REF!,B17),COUNTIF(#REF!,B17),COUNTIF(#REF!,B17),COUNTIF(#REF!,B17),COUNTIF(#REF!,B17),COUNTIF(#REF!,B17),COUNTIF(#REF!,B17),COUNTIF(#REF!,B17),COUNTIF(#REF!,B17))*3+SUM(COUNTIF(EDT!D$33:R$42,B17),COUNTIF(#REF!,B17),COUNTIF(#REF!,B17),COUNTIF(#REF!,B17),COUNTIF(#REF!,B17),COUNTIF(#REF!,B17),COUNTIF(#REF!,B17),COUNTIF(#REF!,B17),COUNTIF(#REF!,B17),COUNTIF(#REF!,B17))*2</f>
        <v>#REF!</v>
      </c>
      <c r="D17" s="17" t="e">
        <f t="shared" si="6"/>
        <v>#REF!</v>
      </c>
      <c r="E17" s="17" t="e">
        <f t="shared" si="7"/>
        <v>#REF!</v>
      </c>
      <c r="F17" s="17" t="e">
        <f t="shared" si="8"/>
        <v>#REF!</v>
      </c>
      <c r="G17" s="17"/>
      <c r="H17" s="17"/>
      <c r="I17" s="17"/>
      <c r="J17" s="180"/>
      <c r="K17" s="180"/>
      <c r="L17" s="180"/>
      <c r="M17" s="180"/>
      <c r="N17" s="208" t="e">
        <f t="shared" si="3"/>
        <v>#REF!</v>
      </c>
      <c r="O17" s="190"/>
      <c r="P17" s="185"/>
      <c r="Q17" s="218" t="e">
        <f t="shared" si="5"/>
        <v>#REF!</v>
      </c>
    </row>
    <row r="21" spans="2:17" ht="15.75" customHeight="1">
      <c r="C21" s="69"/>
    </row>
  </sheetData>
  <conditionalFormatting sqref="Q3:Q17">
    <cfRule type="cellIs" dxfId="1" priority="1" operator="lessThanOrEqual">
      <formula>0</formula>
    </cfRule>
    <cfRule type="cellIs" dxfId="0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outlinePr summaryBelow="0" summaryRight="0"/>
  </sheetPr>
  <dimension ref="A1:AC3"/>
  <sheetViews>
    <sheetView workbookViewId="0"/>
  </sheetViews>
  <sheetFormatPr baseColWidth="10" defaultColWidth="11.1796875" defaultRowHeight="15.75" customHeight="1"/>
  <sheetData>
    <row r="1" spans="1:29" ht="15.75" customHeight="1">
      <c r="A1" s="69" t="s">
        <v>148</v>
      </c>
      <c r="B1" s="69" t="s">
        <v>149</v>
      </c>
      <c r="C1" s="69" t="s">
        <v>150</v>
      </c>
      <c r="D1" s="69" t="s">
        <v>151</v>
      </c>
      <c r="E1" s="69" t="s">
        <v>152</v>
      </c>
      <c r="F1" s="69" t="s">
        <v>153</v>
      </c>
      <c r="G1" s="69" t="s">
        <v>154</v>
      </c>
      <c r="H1" s="69" t="s">
        <v>155</v>
      </c>
      <c r="I1" s="69" t="s">
        <v>156</v>
      </c>
      <c r="J1" s="69" t="s">
        <v>157</v>
      </c>
      <c r="K1" s="69" t="s">
        <v>158</v>
      </c>
      <c r="L1" s="69" t="s">
        <v>159</v>
      </c>
      <c r="M1" s="69" t="s">
        <v>160</v>
      </c>
      <c r="N1" s="69" t="s">
        <v>161</v>
      </c>
      <c r="O1" s="69" t="s">
        <v>162</v>
      </c>
      <c r="P1" s="69" t="s">
        <v>163</v>
      </c>
      <c r="Q1" s="69" t="s">
        <v>164</v>
      </c>
      <c r="R1" s="69" t="s">
        <v>165</v>
      </c>
      <c r="S1" s="69" t="s">
        <v>166</v>
      </c>
      <c r="T1" s="69" t="s">
        <v>167</v>
      </c>
      <c r="U1" s="69" t="s">
        <v>168</v>
      </c>
      <c r="V1" s="69" t="s">
        <v>169</v>
      </c>
      <c r="W1" s="69" t="s">
        <v>170</v>
      </c>
      <c r="X1" s="69" t="s">
        <v>171</v>
      </c>
      <c r="Y1" s="69" t="s">
        <v>172</v>
      </c>
      <c r="Z1" s="69" t="s">
        <v>173</v>
      </c>
      <c r="AA1" s="69" t="s">
        <v>174</v>
      </c>
      <c r="AB1" s="69" t="s">
        <v>175</v>
      </c>
      <c r="AC1" s="69" t="s">
        <v>176</v>
      </c>
    </row>
    <row r="2" spans="1:29" ht="15.75" customHeight="1">
      <c r="A2" s="69" t="s">
        <v>177</v>
      </c>
      <c r="B2" s="69" t="s">
        <v>178</v>
      </c>
      <c r="C2" s="69" t="s">
        <v>179</v>
      </c>
      <c r="D2" s="69">
        <v>1874916339</v>
      </c>
      <c r="E2" s="69">
        <v>1</v>
      </c>
      <c r="F2" s="69">
        <v>2</v>
      </c>
      <c r="G2" s="69" t="s">
        <v>180</v>
      </c>
      <c r="H2" s="69" t="s">
        <v>181</v>
      </c>
      <c r="I2" s="69" t="s">
        <v>181</v>
      </c>
      <c r="J2" s="69" t="s">
        <v>182</v>
      </c>
      <c r="K2" s="69" t="s">
        <v>183</v>
      </c>
      <c r="L2" s="69" t="s">
        <v>184</v>
      </c>
      <c r="M2" s="69" t="s">
        <v>185</v>
      </c>
      <c r="N2" s="69" t="b">
        <v>1</v>
      </c>
      <c r="O2" s="69" t="s">
        <v>186</v>
      </c>
      <c r="P2" s="69" t="b">
        <v>0</v>
      </c>
      <c r="R2" s="69" t="b">
        <v>0</v>
      </c>
      <c r="S2" s="69" t="b">
        <v>0</v>
      </c>
      <c r="X2" s="69" t="b">
        <v>0</v>
      </c>
      <c r="AA2" s="69" t="b">
        <v>0</v>
      </c>
    </row>
    <row r="3" spans="1:29" ht="15.75" customHeight="1">
      <c r="A3" s="69"/>
      <c r="B3" s="69"/>
      <c r="C3" s="69"/>
      <c r="G3" s="69"/>
      <c r="H3" s="69"/>
      <c r="I3" s="69"/>
      <c r="J3" s="69"/>
      <c r="K3" s="69"/>
      <c r="L3" s="69"/>
      <c r="M3" s="69"/>
      <c r="N3" s="69"/>
      <c r="O3" s="69"/>
      <c r="P3" s="69"/>
      <c r="R3" s="69"/>
      <c r="S3" s="69"/>
      <c r="X3" s="69"/>
      <c r="AA3" s="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EDT</vt:lpstr>
      <vt:lpstr>Heures jeunes tableau mars</vt:lpstr>
      <vt:lpstr>NVScriptsProperties</vt:lpstr>
      <vt:lpstr>Recap Accompagnement</vt:lpstr>
      <vt:lpstr>salariés</vt:lpstr>
      <vt:lpstr>DO NOT DELETE - AutoCrat Job 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Mickaël Balioupé</cp:lastModifiedBy>
  <dcterms:modified xsi:type="dcterms:W3CDTF">2025-03-28T08:55:06Z</dcterms:modified>
</cp:coreProperties>
</file>