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/>
  <workbookPr codeName="ThisWorkbook" hidePivotFieldList="1" autoCompressPictures="0"/>
  <bookViews>
    <workbookView xWindow="0" yWindow="0" windowWidth="25600" windowHeight="16060" tabRatio="962"/>
  </bookViews>
  <sheets>
    <sheet name="Feuil2" sheetId="57" r:id="rId1"/>
    <sheet name="Feuil5" sheetId="59" r:id="rId2"/>
    <sheet name="Feuil1" sheetId="54" r:id="rId3"/>
  </sheets>
  <definedNames>
    <definedName name="Date_Paie">#REF!</definedName>
    <definedName name="Date_Paiement">DATE(YEAR(Début_Prêt),MONTH(Début_Prêt)+Payment_Number,DAY(Début_Prêt))</definedName>
    <definedName name="Début_Prêt">#REF!</definedName>
    <definedName name="Dernière_Ligne">IF(Valeurs_Entrées,Ligne_EnTête+Nbre_de_Paiements,Ligne_EnTête)</definedName>
    <definedName name="Données">#REF!</definedName>
    <definedName name="Durée_Prêt">#REF!</definedName>
    <definedName name="Ent">#REF!</definedName>
    <definedName name="Impression_Entière">#REF!</definedName>
    <definedName name="Intérêt_Total">#REF!</definedName>
    <definedName name="Intérêts_Cumulés">#REF!</definedName>
    <definedName name="Ligne_EnTête">ROW(#REF!)</definedName>
    <definedName name="Montant_Prêt">#REF!</definedName>
    <definedName name="Nbre_de_Paiements">MATCH(0.01,Solde_Final,-1)+1</definedName>
    <definedName name="Nbre_Pmt">#REF!</definedName>
    <definedName name="Nbre_Pmt_Par_An">#REF!</definedName>
    <definedName name="Pmt_Mensuel_Programmé">#REF!</definedName>
    <definedName name="Pmt_Programmé">#REF!</definedName>
    <definedName name="Pmt_Supplémentaire">#REF!</definedName>
    <definedName name="Pmt_Total">#REF!</definedName>
    <definedName name="Pmts_Supplémentaires_Programmés">#REF!</definedName>
    <definedName name="Princ">#REF!</definedName>
    <definedName name="Réinit_Zone_Impression">OFFSET(Impression_Entière,0,0,Dernière_Ligne)</definedName>
    <definedName name="Solde_Départ">#REF!</definedName>
    <definedName name="Solde_Final">#REF!</definedName>
    <definedName name="Taux_Intérêt">#REF!</definedName>
    <definedName name="Taux_Intérêt_Programmé">#REF!</definedName>
    <definedName name="Valeurs_Entrées">IF(Montant_Prêt*Taux_Intérêt*Durée_Prêt*Début_Prêt&gt;0,1,0)</definedName>
  </definedNames>
  <calcPr calcId="140001" concurrentCalc="0"/>
  <pivotCaches>
    <pivotCache cacheId="279" r:id="rId4"/>
  </pivotCaches>
  <webPublishing codePage="1252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8" i="57" l="1"/>
  <c r="C10" i="57"/>
  <c r="C5" i="57"/>
  <c r="C49" i="57"/>
  <c r="C48" i="57"/>
  <c r="C20" i="57"/>
  <c r="C21" i="57"/>
  <c r="C9" i="57"/>
  <c r="C11" i="57"/>
  <c r="C24" i="57"/>
  <c r="C25" i="57"/>
  <c r="C27" i="57"/>
  <c r="C28" i="57"/>
  <c r="C29" i="57"/>
  <c r="C32" i="57"/>
  <c r="C33" i="57"/>
  <c r="C36" i="57"/>
  <c r="C12" i="57"/>
  <c r="C13" i="57"/>
  <c r="C14" i="57"/>
  <c r="C7" i="57"/>
  <c r="C6" i="57"/>
  <c r="C46" i="57"/>
  <c r="C42" i="57"/>
  <c r="C45" i="57"/>
  <c r="C44" i="57"/>
  <c r="C39" i="57"/>
  <c r="C37" i="57"/>
  <c r="C30" i="57"/>
  <c r="C23" i="57"/>
  <c r="B8" i="57"/>
  <c r="B10" i="57"/>
  <c r="B11" i="57"/>
  <c r="B12" i="57"/>
  <c r="B13" i="57"/>
  <c r="B14" i="57"/>
  <c r="B7" i="57"/>
  <c r="B6" i="57"/>
  <c r="B48" i="57"/>
  <c r="B49" i="57"/>
  <c r="B9" i="57"/>
  <c r="B24" i="57"/>
  <c r="B39" i="57"/>
  <c r="B25" i="57"/>
  <c r="B20" i="57"/>
  <c r="B21" i="57"/>
  <c r="B27" i="57"/>
  <c r="B28" i="57"/>
  <c r="B29" i="57"/>
  <c r="B32" i="57"/>
  <c r="B33" i="57"/>
  <c r="B36" i="57"/>
  <c r="B42" i="57"/>
  <c r="B5" i="57"/>
  <c r="B46" i="57"/>
  <c r="B45" i="57"/>
  <c r="B44" i="57"/>
  <c r="B37" i="57"/>
  <c r="B30" i="57"/>
  <c r="B23" i="57"/>
  <c r="D17" i="54"/>
  <c r="AE17" i="54"/>
  <c r="U30" i="54"/>
  <c r="U29" i="54"/>
  <c r="U28" i="54"/>
  <c r="U27" i="54"/>
  <c r="U26" i="54"/>
  <c r="U25" i="54"/>
  <c r="U24" i="54"/>
  <c r="U23" i="54"/>
  <c r="U22" i="54"/>
  <c r="U21" i="54"/>
  <c r="U20" i="54"/>
  <c r="U19" i="54"/>
  <c r="U18" i="54"/>
  <c r="U17" i="54"/>
  <c r="U16" i="54"/>
  <c r="U15" i="54"/>
  <c r="U14" i="54"/>
  <c r="U13" i="54"/>
  <c r="U12" i="54"/>
  <c r="U11" i="54"/>
  <c r="U10" i="54"/>
  <c r="U9" i="54"/>
  <c r="U8" i="54"/>
  <c r="U7" i="54"/>
  <c r="U6" i="54"/>
  <c r="U5" i="54"/>
  <c r="U4" i="54"/>
  <c r="U3" i="54"/>
  <c r="D2" i="54"/>
  <c r="AE2" i="54"/>
  <c r="U2" i="54"/>
  <c r="AH6" i="54"/>
  <c r="AH5" i="54"/>
  <c r="AH4" i="54"/>
  <c r="AH3" i="54"/>
  <c r="Q30" i="54"/>
  <c r="R30" i="54"/>
  <c r="I30" i="54"/>
  <c r="T30" i="54"/>
  <c r="W30" i="54"/>
  <c r="X30" i="54"/>
  <c r="Y30" i="54"/>
  <c r="AA30" i="54"/>
  <c r="AB30" i="54"/>
  <c r="AC30" i="54"/>
  <c r="E30" i="54"/>
  <c r="D30" i="54"/>
  <c r="AK30" i="54"/>
  <c r="AH30" i="54"/>
  <c r="AJ30" i="54"/>
  <c r="AI30" i="54"/>
  <c r="AE30" i="54"/>
  <c r="AD30" i="54"/>
  <c r="Z30" i="54"/>
  <c r="S30" i="54"/>
  <c r="Q29" i="54"/>
  <c r="R29" i="54"/>
  <c r="I29" i="54"/>
  <c r="T29" i="54"/>
  <c r="W29" i="54"/>
  <c r="X29" i="54"/>
  <c r="Y29" i="54"/>
  <c r="AA29" i="54"/>
  <c r="AB29" i="54"/>
  <c r="AC29" i="54"/>
  <c r="E29" i="54"/>
  <c r="D29" i="54"/>
  <c r="AK29" i="54"/>
  <c r="AH29" i="54"/>
  <c r="AJ29" i="54"/>
  <c r="AI29" i="54"/>
  <c r="AE29" i="54"/>
  <c r="AD29" i="54"/>
  <c r="Z29" i="54"/>
  <c r="S29" i="54"/>
  <c r="Q28" i="54"/>
  <c r="R28" i="54"/>
  <c r="I28" i="54"/>
  <c r="T28" i="54"/>
  <c r="W28" i="54"/>
  <c r="X28" i="54"/>
  <c r="Y28" i="54"/>
  <c r="AA28" i="54"/>
  <c r="AB28" i="54"/>
  <c r="AC28" i="54"/>
  <c r="E28" i="54"/>
  <c r="D28" i="54"/>
  <c r="AK28" i="54"/>
  <c r="AH28" i="54"/>
  <c r="AJ28" i="54"/>
  <c r="AI28" i="54"/>
  <c r="AE28" i="54"/>
  <c r="AD28" i="54"/>
  <c r="Z28" i="54"/>
  <c r="S28" i="54"/>
  <c r="Q27" i="54"/>
  <c r="R27" i="54"/>
  <c r="I27" i="54"/>
  <c r="T27" i="54"/>
  <c r="W27" i="54"/>
  <c r="X27" i="54"/>
  <c r="Y27" i="54"/>
  <c r="AA27" i="54"/>
  <c r="AB27" i="54"/>
  <c r="AC27" i="54"/>
  <c r="E27" i="54"/>
  <c r="D27" i="54"/>
  <c r="AK27" i="54"/>
  <c r="AH27" i="54"/>
  <c r="AJ27" i="54"/>
  <c r="AI27" i="54"/>
  <c r="AE27" i="54"/>
  <c r="AD27" i="54"/>
  <c r="Z27" i="54"/>
  <c r="S27" i="54"/>
  <c r="Q26" i="54"/>
  <c r="R26" i="54"/>
  <c r="I26" i="54"/>
  <c r="T26" i="54"/>
  <c r="W26" i="54"/>
  <c r="X26" i="54"/>
  <c r="Y26" i="54"/>
  <c r="AA26" i="54"/>
  <c r="AB26" i="54"/>
  <c r="AC26" i="54"/>
  <c r="E26" i="54"/>
  <c r="D26" i="54"/>
  <c r="AK26" i="54"/>
  <c r="AH26" i="54"/>
  <c r="AJ26" i="54"/>
  <c r="AI26" i="54"/>
  <c r="AE26" i="54"/>
  <c r="AD26" i="54"/>
  <c r="Z26" i="54"/>
  <c r="S26" i="54"/>
  <c r="Q25" i="54"/>
  <c r="R25" i="54"/>
  <c r="I25" i="54"/>
  <c r="T25" i="54"/>
  <c r="W25" i="54"/>
  <c r="X25" i="54"/>
  <c r="Y25" i="54"/>
  <c r="AA25" i="54"/>
  <c r="AB25" i="54"/>
  <c r="AC25" i="54"/>
  <c r="E25" i="54"/>
  <c r="D25" i="54"/>
  <c r="AK25" i="54"/>
  <c r="AH25" i="54"/>
  <c r="AJ25" i="54"/>
  <c r="AI25" i="54"/>
  <c r="AE25" i="54"/>
  <c r="AD25" i="54"/>
  <c r="Z25" i="54"/>
  <c r="S25" i="54"/>
  <c r="Q24" i="54"/>
  <c r="R24" i="54"/>
  <c r="I24" i="54"/>
  <c r="T24" i="54"/>
  <c r="W24" i="54"/>
  <c r="X24" i="54"/>
  <c r="Y24" i="54"/>
  <c r="AA24" i="54"/>
  <c r="AB24" i="54"/>
  <c r="AC24" i="54"/>
  <c r="E24" i="54"/>
  <c r="D24" i="54"/>
  <c r="AK24" i="54"/>
  <c r="AH24" i="54"/>
  <c r="AJ24" i="54"/>
  <c r="AI24" i="54"/>
  <c r="AE24" i="54"/>
  <c r="AD24" i="54"/>
  <c r="Z24" i="54"/>
  <c r="S24" i="54"/>
  <c r="Q23" i="54"/>
  <c r="R23" i="54"/>
  <c r="I23" i="54"/>
  <c r="T23" i="54"/>
  <c r="W23" i="54"/>
  <c r="X23" i="54"/>
  <c r="Y23" i="54"/>
  <c r="AA23" i="54"/>
  <c r="AB23" i="54"/>
  <c r="AC23" i="54"/>
  <c r="E23" i="54"/>
  <c r="D23" i="54"/>
  <c r="AK23" i="54"/>
  <c r="AH23" i="54"/>
  <c r="AJ23" i="54"/>
  <c r="AI23" i="54"/>
  <c r="AE23" i="54"/>
  <c r="AD23" i="54"/>
  <c r="Z23" i="54"/>
  <c r="S23" i="54"/>
  <c r="Q22" i="54"/>
  <c r="R22" i="54"/>
  <c r="I22" i="54"/>
  <c r="T22" i="54"/>
  <c r="W22" i="54"/>
  <c r="X22" i="54"/>
  <c r="Y22" i="54"/>
  <c r="AA22" i="54"/>
  <c r="AB22" i="54"/>
  <c r="AC22" i="54"/>
  <c r="E22" i="54"/>
  <c r="D22" i="54"/>
  <c r="AK22" i="54"/>
  <c r="AH22" i="54"/>
  <c r="AJ22" i="54"/>
  <c r="AI22" i="54"/>
  <c r="AE22" i="54"/>
  <c r="AD22" i="54"/>
  <c r="Z22" i="54"/>
  <c r="S22" i="54"/>
  <c r="Q21" i="54"/>
  <c r="R21" i="54"/>
  <c r="I21" i="54"/>
  <c r="T21" i="54"/>
  <c r="W21" i="54"/>
  <c r="X21" i="54"/>
  <c r="Y21" i="54"/>
  <c r="AA21" i="54"/>
  <c r="AB21" i="54"/>
  <c r="AC21" i="54"/>
  <c r="E21" i="54"/>
  <c r="D21" i="54"/>
  <c r="AK21" i="54"/>
  <c r="AH21" i="54"/>
  <c r="AJ21" i="54"/>
  <c r="AI21" i="54"/>
  <c r="AE21" i="54"/>
  <c r="AD21" i="54"/>
  <c r="Z21" i="54"/>
  <c r="S21" i="54"/>
  <c r="Q20" i="54"/>
  <c r="R20" i="54"/>
  <c r="I20" i="54"/>
  <c r="T20" i="54"/>
  <c r="W20" i="54"/>
  <c r="X20" i="54"/>
  <c r="Y20" i="54"/>
  <c r="AA20" i="54"/>
  <c r="AB20" i="54"/>
  <c r="AC20" i="54"/>
  <c r="E20" i="54"/>
  <c r="D20" i="54"/>
  <c r="AK20" i="54"/>
  <c r="AH20" i="54"/>
  <c r="AJ20" i="54"/>
  <c r="AI20" i="54"/>
  <c r="AE20" i="54"/>
  <c r="AD20" i="54"/>
  <c r="Z20" i="54"/>
  <c r="S20" i="54"/>
  <c r="Q19" i="54"/>
  <c r="R19" i="54"/>
  <c r="I19" i="54"/>
  <c r="T19" i="54"/>
  <c r="W19" i="54"/>
  <c r="X19" i="54"/>
  <c r="Y19" i="54"/>
  <c r="AA19" i="54"/>
  <c r="AB19" i="54"/>
  <c r="AC19" i="54"/>
  <c r="E19" i="54"/>
  <c r="D19" i="54"/>
  <c r="AK19" i="54"/>
  <c r="AH19" i="54"/>
  <c r="AJ19" i="54"/>
  <c r="AI19" i="54"/>
  <c r="AE19" i="54"/>
  <c r="AD19" i="54"/>
  <c r="Z19" i="54"/>
  <c r="S19" i="54"/>
  <c r="Q18" i="54"/>
  <c r="R18" i="54"/>
  <c r="I18" i="54"/>
  <c r="T18" i="54"/>
  <c r="W18" i="54"/>
  <c r="X18" i="54"/>
  <c r="Y18" i="54"/>
  <c r="AA18" i="54"/>
  <c r="AB18" i="54"/>
  <c r="AC18" i="54"/>
  <c r="E18" i="54"/>
  <c r="D18" i="54"/>
  <c r="AK18" i="54"/>
  <c r="AH18" i="54"/>
  <c r="AJ18" i="54"/>
  <c r="AI18" i="54"/>
  <c r="AE18" i="54"/>
  <c r="AD18" i="54"/>
  <c r="Z18" i="54"/>
  <c r="S18" i="54"/>
  <c r="Q17" i="54"/>
  <c r="R17" i="54"/>
  <c r="I17" i="54"/>
  <c r="T17" i="54"/>
  <c r="W17" i="54"/>
  <c r="X17" i="54"/>
  <c r="Y17" i="54"/>
  <c r="AA17" i="54"/>
  <c r="AB17" i="54"/>
  <c r="AC17" i="54"/>
  <c r="E17" i="54"/>
  <c r="AK17" i="54"/>
  <c r="AH17" i="54"/>
  <c r="AJ17" i="54"/>
  <c r="AI17" i="54"/>
  <c r="AD17" i="54"/>
  <c r="Z17" i="54"/>
  <c r="S17" i="54"/>
  <c r="Q16" i="54"/>
  <c r="R16" i="54"/>
  <c r="I16" i="54"/>
  <c r="T16" i="54"/>
  <c r="W16" i="54"/>
  <c r="X16" i="54"/>
  <c r="Y16" i="54"/>
  <c r="AA16" i="54"/>
  <c r="AB16" i="54"/>
  <c r="AC16" i="54"/>
  <c r="E16" i="54"/>
  <c r="D16" i="54"/>
  <c r="AK16" i="54"/>
  <c r="AH16" i="54"/>
  <c r="AJ16" i="54"/>
  <c r="AI16" i="54"/>
  <c r="AE16" i="54"/>
  <c r="AD16" i="54"/>
  <c r="Z16" i="54"/>
  <c r="S16" i="54"/>
  <c r="Q15" i="54"/>
  <c r="R15" i="54"/>
  <c r="I15" i="54"/>
  <c r="T15" i="54"/>
  <c r="W15" i="54"/>
  <c r="X15" i="54"/>
  <c r="Y15" i="54"/>
  <c r="AA15" i="54"/>
  <c r="AB15" i="54"/>
  <c r="AC15" i="54"/>
  <c r="E15" i="54"/>
  <c r="D15" i="54"/>
  <c r="AK15" i="54"/>
  <c r="AH15" i="54"/>
  <c r="AJ15" i="54"/>
  <c r="AI15" i="54"/>
  <c r="AE15" i="54"/>
  <c r="AD15" i="54"/>
  <c r="Z15" i="54"/>
  <c r="S15" i="54"/>
  <c r="Q14" i="54"/>
  <c r="R14" i="54"/>
  <c r="I14" i="54"/>
  <c r="T14" i="54"/>
  <c r="W14" i="54"/>
  <c r="X14" i="54"/>
  <c r="Y14" i="54"/>
  <c r="AA14" i="54"/>
  <c r="AB14" i="54"/>
  <c r="AC14" i="54"/>
  <c r="E14" i="54"/>
  <c r="D14" i="54"/>
  <c r="AK14" i="54"/>
  <c r="AH14" i="54"/>
  <c r="AJ14" i="54"/>
  <c r="AI14" i="54"/>
  <c r="AE14" i="54"/>
  <c r="AD14" i="54"/>
  <c r="Z14" i="54"/>
  <c r="S14" i="54"/>
  <c r="Q13" i="54"/>
  <c r="R13" i="54"/>
  <c r="I13" i="54"/>
  <c r="T13" i="54"/>
  <c r="W13" i="54"/>
  <c r="X13" i="54"/>
  <c r="Y13" i="54"/>
  <c r="AA13" i="54"/>
  <c r="AB13" i="54"/>
  <c r="AC13" i="54"/>
  <c r="E13" i="54"/>
  <c r="D13" i="54"/>
  <c r="AK13" i="54"/>
  <c r="AH13" i="54"/>
  <c r="AJ13" i="54"/>
  <c r="AI13" i="54"/>
  <c r="AE13" i="54"/>
  <c r="AD13" i="54"/>
  <c r="Z13" i="54"/>
  <c r="S13" i="54"/>
  <c r="Q12" i="54"/>
  <c r="R12" i="54"/>
  <c r="I12" i="54"/>
  <c r="T12" i="54"/>
  <c r="W12" i="54"/>
  <c r="X12" i="54"/>
  <c r="Y12" i="54"/>
  <c r="AA12" i="54"/>
  <c r="AB12" i="54"/>
  <c r="AC12" i="54"/>
  <c r="E12" i="54"/>
  <c r="D12" i="54"/>
  <c r="AK12" i="54"/>
  <c r="AH12" i="54"/>
  <c r="AJ12" i="54"/>
  <c r="AI12" i="54"/>
  <c r="AE12" i="54"/>
  <c r="AD12" i="54"/>
  <c r="Z12" i="54"/>
  <c r="S12" i="54"/>
  <c r="Q11" i="54"/>
  <c r="R11" i="54"/>
  <c r="I11" i="54"/>
  <c r="T11" i="54"/>
  <c r="W11" i="54"/>
  <c r="X11" i="54"/>
  <c r="Y11" i="54"/>
  <c r="AA11" i="54"/>
  <c r="AB11" i="54"/>
  <c r="AC11" i="54"/>
  <c r="E11" i="54"/>
  <c r="D11" i="54"/>
  <c r="AK11" i="54"/>
  <c r="AH11" i="54"/>
  <c r="AJ11" i="54"/>
  <c r="AI11" i="54"/>
  <c r="AE11" i="54"/>
  <c r="AD11" i="54"/>
  <c r="Z11" i="54"/>
  <c r="S11" i="54"/>
  <c r="Q10" i="54"/>
  <c r="R10" i="54"/>
  <c r="I10" i="54"/>
  <c r="T10" i="54"/>
  <c r="W10" i="54"/>
  <c r="X10" i="54"/>
  <c r="Y10" i="54"/>
  <c r="AA10" i="54"/>
  <c r="AB10" i="54"/>
  <c r="AC10" i="54"/>
  <c r="E10" i="54"/>
  <c r="D10" i="54"/>
  <c r="AK10" i="54"/>
  <c r="AH10" i="54"/>
  <c r="AJ10" i="54"/>
  <c r="AI10" i="54"/>
  <c r="AE10" i="54"/>
  <c r="AD10" i="54"/>
  <c r="Z10" i="54"/>
  <c r="S10" i="54"/>
  <c r="Q9" i="54"/>
  <c r="R9" i="54"/>
  <c r="I9" i="54"/>
  <c r="T9" i="54"/>
  <c r="W9" i="54"/>
  <c r="X9" i="54"/>
  <c r="Y9" i="54"/>
  <c r="AA9" i="54"/>
  <c r="AB9" i="54"/>
  <c r="AC9" i="54"/>
  <c r="E9" i="54"/>
  <c r="D9" i="54"/>
  <c r="AK9" i="54"/>
  <c r="AH9" i="54"/>
  <c r="AJ9" i="54"/>
  <c r="AI9" i="54"/>
  <c r="AE9" i="54"/>
  <c r="AD9" i="54"/>
  <c r="Z9" i="54"/>
  <c r="S9" i="54"/>
  <c r="Q8" i="54"/>
  <c r="R8" i="54"/>
  <c r="I8" i="54"/>
  <c r="T8" i="54"/>
  <c r="W8" i="54"/>
  <c r="X8" i="54"/>
  <c r="Y8" i="54"/>
  <c r="AA8" i="54"/>
  <c r="AB8" i="54"/>
  <c r="AC8" i="54"/>
  <c r="E8" i="54"/>
  <c r="D8" i="54"/>
  <c r="AK8" i="54"/>
  <c r="AH8" i="54"/>
  <c r="AJ8" i="54"/>
  <c r="AI8" i="54"/>
  <c r="AE8" i="54"/>
  <c r="AD8" i="54"/>
  <c r="Z8" i="54"/>
  <c r="S8" i="54"/>
  <c r="Q7" i="54"/>
  <c r="R7" i="54"/>
  <c r="I7" i="54"/>
  <c r="T7" i="54"/>
  <c r="W7" i="54"/>
  <c r="X7" i="54"/>
  <c r="Y7" i="54"/>
  <c r="AA7" i="54"/>
  <c r="AB7" i="54"/>
  <c r="AC7" i="54"/>
  <c r="E7" i="54"/>
  <c r="D7" i="54"/>
  <c r="AK7" i="54"/>
  <c r="AH7" i="54"/>
  <c r="AJ7" i="54"/>
  <c r="AI7" i="54"/>
  <c r="AE7" i="54"/>
  <c r="AD7" i="54"/>
  <c r="Z7" i="54"/>
  <c r="S7" i="54"/>
  <c r="Q6" i="54"/>
  <c r="R6" i="54"/>
  <c r="I6" i="54"/>
  <c r="T6" i="54"/>
  <c r="W6" i="54"/>
  <c r="X6" i="54"/>
  <c r="Y6" i="54"/>
  <c r="AA6" i="54"/>
  <c r="AB6" i="54"/>
  <c r="AC6" i="54"/>
  <c r="E6" i="54"/>
  <c r="D6" i="54"/>
  <c r="AK6" i="54"/>
  <c r="AJ6" i="54"/>
  <c r="AI6" i="54"/>
  <c r="AE6" i="54"/>
  <c r="AD6" i="54"/>
  <c r="Z6" i="54"/>
  <c r="S6" i="54"/>
  <c r="Q5" i="54"/>
  <c r="R5" i="54"/>
  <c r="I5" i="54"/>
  <c r="T5" i="54"/>
  <c r="W5" i="54"/>
  <c r="X5" i="54"/>
  <c r="Y5" i="54"/>
  <c r="AA5" i="54"/>
  <c r="AB5" i="54"/>
  <c r="AC5" i="54"/>
  <c r="E5" i="54"/>
  <c r="D5" i="54"/>
  <c r="AK5" i="54"/>
  <c r="AJ5" i="54"/>
  <c r="AI5" i="54"/>
  <c r="AE5" i="54"/>
  <c r="AD5" i="54"/>
  <c r="Z5" i="54"/>
  <c r="S5" i="54"/>
  <c r="Q4" i="54"/>
  <c r="R4" i="54"/>
  <c r="I4" i="54"/>
  <c r="T4" i="54"/>
  <c r="W4" i="54"/>
  <c r="X4" i="54"/>
  <c r="Y4" i="54"/>
  <c r="AA4" i="54"/>
  <c r="AB4" i="54"/>
  <c r="AC4" i="54"/>
  <c r="E4" i="54"/>
  <c r="D4" i="54"/>
  <c r="AK4" i="54"/>
  <c r="AJ4" i="54"/>
  <c r="AI4" i="54"/>
  <c r="AE4" i="54"/>
  <c r="AD4" i="54"/>
  <c r="Z4" i="54"/>
  <c r="S4" i="54"/>
  <c r="Q3" i="54"/>
  <c r="R3" i="54"/>
  <c r="I3" i="54"/>
  <c r="T3" i="54"/>
  <c r="W3" i="54"/>
  <c r="X3" i="54"/>
  <c r="Y3" i="54"/>
  <c r="AA3" i="54"/>
  <c r="AB3" i="54"/>
  <c r="AC3" i="54"/>
  <c r="E3" i="54"/>
  <c r="D3" i="54"/>
  <c r="AK3" i="54"/>
  <c r="AJ3" i="54"/>
  <c r="AI3" i="54"/>
  <c r="AE3" i="54"/>
  <c r="AD3" i="54"/>
  <c r="Z3" i="54"/>
  <c r="S3" i="54"/>
  <c r="Q2" i="54"/>
  <c r="R2" i="54"/>
  <c r="I2" i="54"/>
  <c r="T2" i="54"/>
  <c r="W2" i="54"/>
  <c r="X2" i="54"/>
  <c r="Y2" i="54"/>
  <c r="AA2" i="54"/>
  <c r="AB2" i="54"/>
  <c r="AC2" i="54"/>
  <c r="E2" i="54"/>
  <c r="AK2" i="54"/>
  <c r="AH2" i="54"/>
  <c r="AJ2" i="54"/>
  <c r="AI2" i="54"/>
  <c r="AD2" i="54"/>
  <c r="Z2" i="54"/>
  <c r="S2" i="54"/>
</calcChain>
</file>

<file path=xl/sharedStrings.xml><?xml version="1.0" encoding="utf-8"?>
<sst xmlns="http://schemas.openxmlformats.org/spreadsheetml/2006/main" count="179" uniqueCount="73">
  <si>
    <t>Intérêts bancaires</t>
  </si>
  <si>
    <t>Décompte de charges</t>
  </si>
  <si>
    <t>Assurance Loyers (Loyer annuel*3%)</t>
  </si>
  <si>
    <t>Loyers mensuel</t>
  </si>
  <si>
    <t>Prix cuisine T.T.C Cuisine</t>
  </si>
  <si>
    <t xml:space="preserve">Valeur Construction </t>
  </si>
  <si>
    <t>Déductible</t>
  </si>
  <si>
    <t>Frais de gestion COCONSULT</t>
  </si>
  <si>
    <t xml:space="preserve">Amortissement </t>
  </si>
  <si>
    <t>Frais d'obtention</t>
  </si>
  <si>
    <t xml:space="preserve">Total </t>
  </si>
  <si>
    <t>Rendement sur fonds propres</t>
  </si>
  <si>
    <t>Avantage fiscal =rev loc fis*38%</t>
  </si>
  <si>
    <t>Surface de vente m2</t>
  </si>
  <si>
    <t>Recettes revenus locatifs</t>
  </si>
  <si>
    <t>Mensualité du crédit</t>
  </si>
  <si>
    <t xml:space="preserve">Taux </t>
  </si>
  <si>
    <t>Rendement locatif</t>
  </si>
  <si>
    <t xml:space="preserve">Loyer  / m2  </t>
  </si>
  <si>
    <t>Frais d'acte et notaire</t>
  </si>
  <si>
    <t xml:space="preserve">Financement  </t>
  </si>
  <si>
    <t>%age couverture du prêt</t>
  </si>
  <si>
    <t>Durée  année</t>
  </si>
  <si>
    <t>Revenu locatif net</t>
  </si>
  <si>
    <t xml:space="preserve">Couverture avantage fisc mens+1loyers-coconsult mens/credit </t>
  </si>
  <si>
    <t xml:space="preserve">Fonds propres </t>
  </si>
  <si>
    <t>Quote part terrain</t>
  </si>
  <si>
    <t>Total Acquisition</t>
  </si>
  <si>
    <t>Acquisition 17%</t>
  </si>
  <si>
    <t>Pking Int</t>
  </si>
  <si>
    <t>Pking Ext</t>
  </si>
  <si>
    <t>Cave</t>
  </si>
  <si>
    <t>Pking Int Nbr</t>
  </si>
  <si>
    <t>Pking Ext  Nbr</t>
  </si>
  <si>
    <t>Cave  Nbr</t>
  </si>
  <si>
    <t xml:space="preserve">Revenu locatif fiscal  </t>
  </si>
  <si>
    <t>Pilate 2</t>
  </si>
  <si>
    <t>Pilate 7</t>
  </si>
  <si>
    <t>Hagen-1</t>
  </si>
  <si>
    <t>Hagen-2</t>
  </si>
  <si>
    <t>Colpach 1</t>
  </si>
  <si>
    <t>Hagen-3</t>
  </si>
  <si>
    <t>Hagen-4</t>
  </si>
  <si>
    <t>Hagen-5</t>
  </si>
  <si>
    <t>Colpach A0</t>
  </si>
  <si>
    <t>Colpach A1</t>
  </si>
  <si>
    <t>Colpach A2</t>
  </si>
  <si>
    <t>Colpach A4</t>
  </si>
  <si>
    <t>Colpach A5</t>
  </si>
  <si>
    <t>Pilate 1</t>
  </si>
  <si>
    <t>Pilate 3</t>
  </si>
  <si>
    <t>Pilate 4</t>
  </si>
  <si>
    <t>Pilate 5</t>
  </si>
  <si>
    <t>Pilate 6</t>
  </si>
  <si>
    <t>Kirch 1</t>
  </si>
  <si>
    <t>Kirch 2</t>
  </si>
  <si>
    <t>Kirch 3</t>
  </si>
  <si>
    <t>Kirch 4</t>
  </si>
  <si>
    <t>Kirch 5</t>
  </si>
  <si>
    <t>Kirch 6</t>
  </si>
  <si>
    <t>Kirch 7</t>
  </si>
  <si>
    <t>Kirch 8</t>
  </si>
  <si>
    <t>Kirch 9</t>
  </si>
  <si>
    <t>Kirch 10</t>
  </si>
  <si>
    <t>Colpach A7</t>
  </si>
  <si>
    <t>Lieux</t>
  </si>
  <si>
    <t>FOND %</t>
  </si>
  <si>
    <t>Étiquettes de lignes</t>
  </si>
  <si>
    <t>Résid</t>
  </si>
  <si>
    <t xml:space="preserve"> </t>
  </si>
  <si>
    <t>Toutes les informations données sur ce fichier ne sont données qu’à titre indicatif et ne sauraient être considérées comme contractuelles.</t>
  </si>
  <si>
    <t>Total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</si>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</sst>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6" formatCode="#,##0.00\ &quot;€&quot;"/>
    <numFmt numFmtId="167" formatCode="#,##0.0"/>
  </numFmts>
  <fonts count="23" x14ac:knownFonts="1">
    <font>
      <sz val="10"/>
      <name val="Book Antiqua"/>
      <family val="1"/>
      <scheme val="minor"/>
    </font>
    <font>
      <sz val="10"/>
      <name val="Arial"/>
      <family val="2"/>
    </font>
    <font>
      <sz val="10"/>
      <name val="Book Antiqua"/>
      <family val="1"/>
      <scheme val="minor"/>
    </font>
    <font>
      <b/>
      <sz val="15"/>
      <color theme="3"/>
      <name val="Book Antiqua"/>
      <family val="2"/>
      <scheme val="minor"/>
    </font>
    <font>
      <u/>
      <sz val="10"/>
      <color theme="11"/>
      <name val="Book Antiqua"/>
      <family val="1"/>
      <scheme val="minor"/>
    </font>
    <font>
      <b/>
      <sz val="8"/>
      <color theme="3"/>
      <name val="Calibri"/>
      <family val="2"/>
    </font>
    <font>
      <b/>
      <sz val="8"/>
      <name val="Calibri"/>
      <family val="2"/>
    </font>
    <font>
      <sz val="8"/>
      <name val="Calibri"/>
      <family val="2"/>
    </font>
    <font>
      <b/>
      <sz val="8"/>
      <color rgb="FFFF0000"/>
      <name val="Calibri"/>
      <family val="2"/>
    </font>
    <font>
      <b/>
      <sz val="8"/>
      <color indexed="10"/>
      <name val="Calibri"/>
      <family val="2"/>
    </font>
    <font>
      <b/>
      <sz val="15"/>
      <color theme="3"/>
      <name val="Arial"/>
      <family val="2"/>
    </font>
    <font>
      <b/>
      <sz val="12"/>
      <color theme="3"/>
      <name val="Calibri"/>
      <family val="2"/>
    </font>
    <font>
      <b/>
      <sz val="12"/>
      <name val="Calibri"/>
      <family val="2"/>
    </font>
    <font>
      <b/>
      <sz val="14"/>
      <color theme="3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1"/>
      <color rgb="FFFF0000"/>
      <name val="Calibri"/>
      <family val="2"/>
    </font>
    <font>
      <b/>
      <sz val="18"/>
      <color rgb="FFFF0000"/>
      <name val="Calibri"/>
      <family val="2"/>
    </font>
    <font>
      <b/>
      <sz val="11"/>
      <color indexed="10"/>
      <name val="Calibri"/>
      <family val="2"/>
    </font>
    <font>
      <sz val="10"/>
      <color indexed="10"/>
      <name val="Arial"/>
      <family val="2"/>
    </font>
    <font>
      <u/>
      <sz val="10"/>
      <color theme="10"/>
      <name val="Book Antiqua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55">
    <xf numFmtId="0" fontId="0" fillId="0" borderId="0"/>
    <xf numFmtId="44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" fillId="0" borderId="1" applyNumberFormat="0" applyFill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9" fontId="5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right"/>
    </xf>
    <xf numFmtId="0" fontId="5" fillId="0" borderId="0" xfId="3" applyFont="1" applyFill="1" applyBorder="1" applyAlignment="1">
      <alignment horizontal="right" vertical="center"/>
    </xf>
    <xf numFmtId="9" fontId="5" fillId="0" borderId="0" xfId="2" applyFont="1" applyFill="1" applyBorder="1" applyAlignment="1">
      <alignment horizontal="right" vertical="center"/>
    </xf>
    <xf numFmtId="166" fontId="5" fillId="0" borderId="0" xfId="2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right"/>
    </xf>
    <xf numFmtId="166" fontId="6" fillId="3" borderId="0" xfId="1" applyNumberFormat="1" applyFont="1" applyFill="1" applyBorder="1" applyAlignment="1">
      <alignment horizontal="right"/>
    </xf>
    <xf numFmtId="166" fontId="7" fillId="3" borderId="0" xfId="1" applyNumberFormat="1" applyFont="1" applyFill="1" applyBorder="1" applyAlignment="1">
      <alignment horizontal="right"/>
    </xf>
    <xf numFmtId="167" fontId="7" fillId="3" borderId="0" xfId="1" applyNumberFormat="1" applyFont="1" applyFill="1" applyBorder="1" applyAlignment="1">
      <alignment horizontal="right"/>
    </xf>
    <xf numFmtId="0" fontId="6" fillId="4" borderId="0" xfId="0" applyFont="1" applyFill="1" applyBorder="1" applyAlignment="1">
      <alignment horizontal="right"/>
    </xf>
    <xf numFmtId="166" fontId="7" fillId="4" borderId="0" xfId="1" applyNumberFormat="1" applyFont="1" applyFill="1" applyBorder="1" applyAlignment="1">
      <alignment horizontal="right"/>
    </xf>
    <xf numFmtId="166" fontId="6" fillId="4" borderId="0" xfId="1" applyNumberFormat="1" applyFont="1" applyFill="1" applyBorder="1" applyAlignment="1">
      <alignment horizontal="right"/>
    </xf>
    <xf numFmtId="166" fontId="8" fillId="4" borderId="0" xfId="1" applyNumberFormat="1" applyFont="1" applyFill="1" applyBorder="1" applyAlignment="1">
      <alignment horizontal="right"/>
    </xf>
    <xf numFmtId="166" fontId="7" fillId="4" borderId="0" xfId="2" applyNumberFormat="1" applyFont="1" applyFill="1" applyBorder="1" applyAlignment="1">
      <alignment horizontal="right"/>
    </xf>
    <xf numFmtId="0" fontId="8" fillId="0" borderId="0" xfId="0" applyFont="1" applyBorder="1" applyAlignment="1">
      <alignment horizontal="right"/>
    </xf>
    <xf numFmtId="10" fontId="8" fillId="0" borderId="0" xfId="0" applyNumberFormat="1" applyFont="1" applyBorder="1" applyAlignment="1">
      <alignment horizontal="right"/>
    </xf>
    <xf numFmtId="166" fontId="7" fillId="3" borderId="0" xfId="0" applyNumberFormat="1" applyFont="1" applyFill="1" applyBorder="1" applyAlignment="1">
      <alignment horizontal="right"/>
    </xf>
    <xf numFmtId="10" fontId="7" fillId="3" borderId="0" xfId="0" applyNumberFormat="1" applyFont="1" applyFill="1" applyBorder="1" applyAlignment="1">
      <alignment horizontal="right"/>
    </xf>
    <xf numFmtId="0" fontId="7" fillId="3" borderId="0" xfId="0" applyFont="1" applyFill="1" applyBorder="1" applyAlignment="1">
      <alignment horizontal="right"/>
    </xf>
    <xf numFmtId="166" fontId="9" fillId="3" borderId="0" xfId="0" applyNumberFormat="1" applyFont="1" applyFill="1" applyBorder="1" applyAlignment="1">
      <alignment horizontal="right"/>
    </xf>
    <xf numFmtId="10" fontId="9" fillId="3" borderId="0" xfId="2" applyNumberFormat="1" applyFont="1" applyFill="1" applyBorder="1" applyAlignment="1">
      <alignment horizontal="right"/>
    </xf>
    <xf numFmtId="0" fontId="7" fillId="2" borderId="0" xfId="0" applyFont="1" applyFill="1" applyBorder="1" applyAlignment="1">
      <alignment horizontal="right"/>
    </xf>
    <xf numFmtId="166" fontId="7" fillId="2" borderId="0" xfId="0" applyNumberFormat="1" applyFont="1" applyFill="1" applyBorder="1" applyAlignment="1">
      <alignment horizontal="right"/>
    </xf>
    <xf numFmtId="2" fontId="7" fillId="2" borderId="0" xfId="0" applyNumberFormat="1" applyFont="1" applyFill="1" applyBorder="1" applyAlignment="1">
      <alignment horizontal="right"/>
    </xf>
    <xf numFmtId="0" fontId="0" fillId="0" borderId="0" xfId="0" pivotButton="1"/>
    <xf numFmtId="14" fontId="10" fillId="0" borderId="0" xfId="3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0" xfId="0" applyFont="1"/>
    <xf numFmtId="9" fontId="13" fillId="0" borderId="0" xfId="2" applyFont="1" applyFill="1" applyBorder="1" applyAlignment="1">
      <alignment horizontal="center" vertical="center"/>
    </xf>
    <xf numFmtId="0" fontId="11" fillId="0" borderId="0" xfId="3" applyFont="1" applyFill="1" applyBorder="1" applyAlignment="1">
      <alignment horizontal="right" vertical="center"/>
    </xf>
    <xf numFmtId="9" fontId="13" fillId="0" borderId="0" xfId="2" applyFont="1" applyFill="1" applyBorder="1" applyAlignment="1">
      <alignment horizontal="right" vertical="center"/>
    </xf>
    <xf numFmtId="166" fontId="13" fillId="0" borderId="0" xfId="2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right"/>
    </xf>
    <xf numFmtId="166" fontId="14" fillId="3" borderId="0" xfId="1" applyNumberFormat="1" applyFont="1" applyFill="1" applyBorder="1" applyAlignment="1">
      <alignment horizontal="right"/>
    </xf>
    <xf numFmtId="166" fontId="15" fillId="3" borderId="0" xfId="1" applyNumberFormat="1" applyFont="1" applyFill="1" applyBorder="1" applyAlignment="1">
      <alignment horizontal="right"/>
    </xf>
    <xf numFmtId="0" fontId="16" fillId="5" borderId="0" xfId="0" applyFont="1" applyFill="1" applyBorder="1" applyAlignment="1">
      <alignment horizontal="right"/>
    </xf>
    <xf numFmtId="166" fontId="17" fillId="5" borderId="0" xfId="0" applyNumberFormat="1" applyFont="1" applyFill="1" applyBorder="1"/>
    <xf numFmtId="0" fontId="14" fillId="4" borderId="0" xfId="0" applyFont="1" applyFill="1" applyBorder="1" applyAlignment="1">
      <alignment horizontal="right"/>
    </xf>
    <xf numFmtId="166" fontId="15" fillId="4" borderId="0" xfId="1" applyNumberFormat="1" applyFont="1" applyFill="1" applyBorder="1" applyAlignment="1">
      <alignment horizontal="right"/>
    </xf>
    <xf numFmtId="166" fontId="1" fillId="5" borderId="0" xfId="1" applyNumberFormat="1" applyFont="1" applyFill="1" applyBorder="1" applyAlignment="1">
      <alignment horizontal="right"/>
    </xf>
    <xf numFmtId="0" fontId="1" fillId="0" borderId="0" xfId="0" applyFont="1" applyBorder="1" applyAlignment="1">
      <alignment horizontal="right"/>
    </xf>
    <xf numFmtId="166" fontId="1" fillId="0" borderId="0" xfId="1" applyNumberFormat="1" applyFont="1" applyBorder="1" applyAlignment="1">
      <alignment horizontal="right"/>
    </xf>
    <xf numFmtId="166" fontId="18" fillId="4" borderId="0" xfId="1" applyNumberFormat="1" applyFont="1" applyFill="1" applyBorder="1" applyAlignment="1">
      <alignment horizontal="right"/>
    </xf>
    <xf numFmtId="0" fontId="19" fillId="0" borderId="0" xfId="0" applyFont="1" applyBorder="1" applyAlignment="1">
      <alignment horizontal="right"/>
    </xf>
    <xf numFmtId="10" fontId="19" fillId="0" borderId="0" xfId="0" applyNumberFormat="1" applyFont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166" fontId="21" fillId="0" borderId="0" xfId="0" applyNumberFormat="1" applyFont="1" applyFill="1" applyBorder="1" applyAlignment="1">
      <alignment horizontal="right"/>
    </xf>
    <xf numFmtId="0" fontId="15" fillId="2" borderId="0" xfId="0" applyFont="1" applyFill="1" applyBorder="1" applyAlignment="1">
      <alignment horizontal="right"/>
    </xf>
    <xf numFmtId="2" fontId="15" fillId="2" borderId="0" xfId="0" applyNumberFormat="1" applyFont="1" applyFill="1" applyBorder="1" applyAlignment="1">
      <alignment horizontal="right"/>
    </xf>
    <xf numFmtId="0" fontId="1" fillId="0" borderId="0" xfId="0" applyFont="1" applyAlignment="1">
      <alignment wrapText="1"/>
    </xf>
    <xf numFmtId="166" fontId="0" fillId="0" borderId="0" xfId="0" applyNumberFormat="1"/>
    <xf numFmtId="167" fontId="0" fillId="0" borderId="0" xfId="0" applyNumberFormat="1"/>
    <xf numFmtId="10" fontId="0" fillId="0" borderId="0" xfId="0" applyNumberFormat="1"/>
    <xf numFmtId="2" fontId="0" fillId="0" borderId="0" xfId="0" applyNumberFormat="1"/>
    <xf numFmtId="167" fontId="15" fillId="3" borderId="0" xfId="1" applyNumberFormat="1" applyFont="1" applyFill="1" applyBorder="1" applyAlignment="1">
      <alignment horizontal="right"/>
    </xf>
    <xf numFmtId="166" fontId="14" fillId="4" borderId="0" xfId="1" applyNumberFormat="1" applyFont="1" applyFill="1" applyBorder="1" applyAlignment="1">
      <alignment horizontal="right"/>
    </xf>
    <xf numFmtId="166" fontId="15" fillId="4" borderId="0" xfId="2" applyNumberFormat="1" applyFont="1" applyFill="1" applyBorder="1" applyAlignment="1">
      <alignment horizontal="right"/>
    </xf>
    <xf numFmtId="166" fontId="15" fillId="3" borderId="0" xfId="0" applyNumberFormat="1" applyFont="1" applyFill="1" applyBorder="1" applyAlignment="1">
      <alignment horizontal="right"/>
    </xf>
    <xf numFmtId="10" fontId="15" fillId="3" borderId="0" xfId="0" applyNumberFormat="1" applyFont="1" applyFill="1" applyBorder="1" applyAlignment="1">
      <alignment horizontal="right"/>
    </xf>
    <xf numFmtId="0" fontId="15" fillId="3" borderId="0" xfId="0" applyFont="1" applyFill="1" applyBorder="1" applyAlignment="1">
      <alignment horizontal="right"/>
    </xf>
    <xf numFmtId="166" fontId="20" fillId="3" borderId="0" xfId="0" applyNumberFormat="1" applyFont="1" applyFill="1" applyBorder="1" applyAlignment="1">
      <alignment horizontal="right"/>
    </xf>
    <xf numFmtId="10" fontId="20" fillId="3" borderId="0" xfId="2" applyNumberFormat="1" applyFont="1" applyFill="1" applyBorder="1" applyAlignment="1">
      <alignment horizontal="right"/>
    </xf>
    <xf numFmtId="166" fontId="15" fillId="2" borderId="0" xfId="0" applyNumberFormat="1" applyFont="1" applyFill="1" applyBorder="1" applyAlignment="1">
      <alignment horizontal="right"/>
    </xf>
    <xf numFmtId="0" fontId="12" fillId="2" borderId="0" xfId="0" applyFont="1" applyFill="1" applyBorder="1" applyAlignment="1">
      <alignment horizontal="right"/>
    </xf>
    <xf numFmtId="9" fontId="13" fillId="2" borderId="0" xfId="2" applyFont="1" applyFill="1" applyBorder="1" applyAlignment="1">
      <alignment horizontal="center" vertical="center"/>
    </xf>
  </cellXfs>
  <cellStyles count="55"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Monétaire" xfId="1" builtinId="4"/>
    <cellStyle name="Normal" xfId="0" builtinId="0" customBuiltin="1"/>
    <cellStyle name="Pourcentage" xfId="2" builtinId="5"/>
    <cellStyle name="Titre 1" xfId="3" builtinId="16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Relationship Id="rId2" Type="http://schemas.openxmlformats.org/officeDocument/2006/relationships/hyperlink" Target="#Feuil5!A1"/><Relationship Id="rId3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2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5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36</xdr:row>
      <xdr:rowOff>88900</xdr:rowOff>
    </xdr:from>
    <xdr:to>
      <xdr:col>5</xdr:col>
      <xdr:colOff>654050</xdr:colOff>
      <xdr:row>43</xdr:row>
      <xdr:rowOff>41275</xdr:rowOff>
    </xdr:to>
    <xdr:sp macro="" textlink="">
      <xdr:nvSpPr>
        <xdr:cNvPr id="2" name="AutoShape 28"/>
        <xdr:cNvSpPr>
          <a:spLocks noChangeAspect="1" noChangeArrowheads="1"/>
        </xdr:cNvSpPr>
      </xdr:nvSpPr>
      <xdr:spPr bwMode="auto">
        <a:xfrm>
          <a:off x="8515350" y="8709025"/>
          <a:ext cx="2838450" cy="1152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52</xdr:row>
      <xdr:rowOff>0</xdr:rowOff>
    </xdr:from>
    <xdr:to>
      <xdr:col>2</xdr:col>
      <xdr:colOff>828675</xdr:colOff>
      <xdr:row>55</xdr:row>
      <xdr:rowOff>68792</xdr:rowOff>
    </xdr:to>
    <xdr:pic>
      <xdr:nvPicPr>
        <xdr:cNvPr id="3" name="Image 2" descr="Macintosh HD:Users:bosscom:Desktop:Yann:En tete Costantini group:matos:coconsult:Pied de page coconsult2-01.jp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4492" b="21428"/>
        <a:stretch/>
      </xdr:blipFill>
      <xdr:spPr bwMode="auto">
        <a:xfrm>
          <a:off x="0" y="11868150"/>
          <a:ext cx="5743575" cy="58314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1</xdr:col>
      <xdr:colOff>63500</xdr:colOff>
      <xdr:row>0</xdr:row>
      <xdr:rowOff>63500</xdr:rowOff>
    </xdr:from>
    <xdr:to>
      <xdr:col>1</xdr:col>
      <xdr:colOff>914400</xdr:colOff>
      <xdr:row>2</xdr:row>
      <xdr:rowOff>38100</xdr:rowOff>
    </xdr:to>
    <xdr:sp macro="" textlink="">
      <xdr:nvSpPr>
        <xdr:cNvPr id="5" name="Rectangle à coins arrondis 4">
          <a:hlinkClick xmlns:r="http://schemas.openxmlformats.org/officeDocument/2006/relationships" r:id="rId2"/>
        </xdr:cNvPr>
        <xdr:cNvSpPr/>
      </xdr:nvSpPr>
      <xdr:spPr>
        <a:xfrm>
          <a:off x="4457700" y="63500"/>
          <a:ext cx="850900" cy="3683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SELECT</a:t>
          </a:r>
        </a:p>
      </xdr:txBody>
    </xdr:sp>
    <xdr:clientData/>
  </xdr:twoCellAnchor>
  <xdr:twoCellAnchor>
    <xdr:from>
      <xdr:col>0</xdr:col>
      <xdr:colOff>3251200</xdr:colOff>
      <xdr:row>0</xdr:row>
      <xdr:rowOff>25400</xdr:rowOff>
    </xdr:from>
    <xdr:to>
      <xdr:col>0</xdr:col>
      <xdr:colOff>3784600</xdr:colOff>
      <xdr:row>2</xdr:row>
      <xdr:rowOff>25400</xdr:rowOff>
    </xdr:to>
    <xdr:sp macro="" textlink="">
      <xdr:nvSpPr>
        <xdr:cNvPr id="6" name="Rectangle à coins arrondis 5">
          <a:hlinkClick xmlns:r="http://schemas.openxmlformats.org/officeDocument/2006/relationships" r:id="rId3"/>
        </xdr:cNvPr>
        <xdr:cNvSpPr/>
      </xdr:nvSpPr>
      <xdr:spPr>
        <a:xfrm>
          <a:off x="3251200" y="25400"/>
          <a:ext cx="533400" cy="393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0</xdr:row>
      <xdr:rowOff>50800</xdr:rowOff>
    </xdr:from>
    <xdr:to>
      <xdr:col>4</xdr:col>
      <xdr:colOff>228600</xdr:colOff>
      <xdr:row>1</xdr:row>
      <xdr:rowOff>88900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4368800" y="50800"/>
          <a:ext cx="1333500" cy="2032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800"/>
            <a:t>SIMULATION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165100</xdr:colOff>
      <xdr:row>32</xdr:row>
      <xdr:rowOff>50800</xdr:rowOff>
    </xdr:from>
    <xdr:to>
      <xdr:col>1</xdr:col>
      <xdr:colOff>431800</xdr:colOff>
      <xdr:row>34</xdr:row>
      <xdr:rowOff>114300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165100" y="5334000"/>
          <a:ext cx="736600" cy="3937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SELECT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Ronchi" refreshedDate="42133.522051504631" createdVersion="5" refreshedVersion="4" minRefreshableVersion="3" recordCount="29">
  <cacheSource type="worksheet">
    <worksheetSource ref="A1:AM30" sheet="Feuil1"/>
  </cacheSource>
  <cacheFields count="39">
    <cacheField name="FOND %" numFmtId="9">
      <sharedItems containsSemiMixedTypes="0" containsString="0" containsNumber="1" minValue="0.1" maxValue="0.9"/>
    </cacheField>
    <cacheField name="Lieux" numFmtId="9">
      <sharedItems count="29">
        <s v="Hagen-1"/>
        <s v="Hagen-2"/>
        <s v="Hagen-3"/>
        <s v="Hagen-4"/>
        <s v="Hagen-5"/>
        <s v="Colpach 1"/>
        <s v="Colpach A0"/>
        <s v="Colpach A1"/>
        <s v="Colpach A2"/>
        <s v="Colpach A4"/>
        <s v="Colpach A5"/>
        <s v="Colpach A7"/>
        <s v="Pilate 1"/>
        <s v="Pilate 2"/>
        <s v="Pilate 3"/>
        <s v="Pilate 4"/>
        <s v="Pilate 5"/>
        <s v="Pilate 6"/>
        <s v="Pilate 7"/>
        <s v="Kirch 1"/>
        <s v="Kirch 2"/>
        <s v="Kirch 3"/>
        <s v="Kirch 4"/>
        <s v="Kirch 5"/>
        <s v="Kirch 6"/>
        <s v="Kirch 7"/>
        <s v="Kirch 8"/>
        <s v="Kirch 9"/>
        <s v="Kirch 10"/>
      </sharedItems>
    </cacheField>
    <cacheField name="Résid" numFmtId="9">
      <sharedItems count="29">
        <s v="Hagen-1"/>
        <s v="Hagen-2"/>
        <s v="Hagen-3"/>
        <s v="Hagen-4"/>
        <s v="Hagen-5"/>
        <s v="Colpach 1"/>
        <s v="Colpach A0"/>
        <s v="Colpach A1"/>
        <s v="Colpach A2"/>
        <s v="Colpach A4"/>
        <s v="Colpach A5"/>
        <s v="Colpach A7"/>
        <s v="Pilate 1"/>
        <s v="Pilate 2"/>
        <s v="Pilate 3"/>
        <s v="Pilate 4"/>
        <s v="Pilate 5"/>
        <s v="Pilate 6"/>
        <s v="Pilate 7"/>
        <s v="Kirch 1"/>
        <s v="Kirch 2"/>
        <s v="Kirch 3"/>
        <s v="Kirch 4"/>
        <s v="Kirch 5"/>
        <s v="Kirch 6"/>
        <s v="Kirch 7"/>
        <s v="Kirch 8"/>
        <s v="Kirch 9"/>
        <s v="Kirch 10"/>
      </sharedItems>
    </cacheField>
    <cacheField name="Fonds propres " numFmtId="166">
      <sharedItems containsSemiMixedTypes="0" containsString="0" containsNumber="1" minValue="56224.879200000003" maxValue="814409.30160000001" count="32">
        <n v="486710.38760000002"/>
        <n v="352108.78"/>
        <n v="261876.68400000001"/>
        <n v="56224.879200000003"/>
        <n v="260386.74"/>
        <n v="436948.85200000001"/>
        <n v="367690.58399999997"/>
        <n v="201638.02"/>
        <n v="170973.584"/>
        <n v="273522.07200000004"/>
        <n v="164113.24320000003"/>
        <n v="194706.34400000001"/>
        <n v="294459.89999999997"/>
        <n v="133031.83439999999"/>
        <n v="814409.30160000001"/>
        <n v="250416.63200000001"/>
        <n v="122675.47679999999"/>
        <n v="199203.9528"/>
        <n v="258362.45999999996"/>
        <n v="263629.98"/>
        <n v="294450.56400000001"/>
        <n v="269809.25999999995"/>
        <n v="680041.98"/>
        <n v="219316.068"/>
        <n v="239039.22"/>
        <n v="248308.14"/>
        <n v="229795.57199999999"/>
        <n v="306758.57999999996"/>
        <n v="337553.89200000005"/>
        <n v="429450.342" u="1"/>
        <n v="150249.9792" u="1"/>
        <n v="286300.228" u="1"/>
      </sharedItems>
    </cacheField>
    <cacheField name="Total Acquisition" numFmtId="166">
      <sharedItems containsSemiMixedTypes="0" containsString="0" containsNumber="1" minValue="341947.16800000001" maxValue="1125179.6400000001" count="28">
        <n v="572600.45600000001"/>
        <n v="704217.56"/>
        <n v="523753.36800000002"/>
        <n v="562248.79200000002"/>
        <n v="520773.48"/>
        <n v="873897.70400000003"/>
        <n v="735381.16799999995"/>
        <n v="403276.04"/>
        <n v="341947.16800000001"/>
        <n v="547044.14400000009"/>
        <n v="389412.68800000002"/>
        <n v="981533"/>
        <n v="443439.44799999997"/>
        <n v="904899.22400000005"/>
        <n v="500833.26400000002"/>
        <n v="408918.25599999999"/>
        <n v="664013.17599999998"/>
        <n v="861208.2"/>
        <n v="878766.6"/>
        <n v="981501.88"/>
        <n v="899364.2"/>
        <n v="755602.2"/>
        <n v="731053.56"/>
        <n v="796797.4"/>
        <n v="827693.8"/>
        <n v="765985.24"/>
        <n v="1022528.6"/>
        <n v="1125179.6400000001"/>
      </sharedItems>
    </cacheField>
    <cacheField name="Acquisition 17%" numFmtId="166">
      <sharedItems containsSemiMixedTypes="0" containsString="0" containsNumber="1" containsInteger="1" minValue="271026" maxValue="990000" count="28">
        <n v="484667"/>
        <n v="612932"/>
        <n v="437064"/>
        <n v="474579"/>
        <n v="434160"/>
        <n v="791173"/>
        <n v="655730"/>
        <n v="330994"/>
        <n v="271026"/>
        <n v="471572"/>
        <n v="311587"/>
        <n v="844408"/>
        <n v="320019"/>
        <n v="769726"/>
        <n v="375951"/>
        <n v="286377"/>
        <n v="534975"/>
        <n v="734139"/>
        <n v="750000"/>
        <n v="850000"/>
        <n v="770000"/>
        <n v="630000"/>
        <n v="606000"/>
        <n v="670000"/>
        <n v="700000"/>
        <n v="640000"/>
        <n v="890000"/>
        <n v="990000"/>
      </sharedItems>
    </cacheField>
    <cacheField name="Valeur Construction " numFmtId="166">
      <sharedItems containsSemiMixedTypes="0" containsString="0" containsNumber="1" containsInteger="1" minValue="155922" maxValue="564000" count="28">
        <n v="263884"/>
        <n v="333720"/>
        <n v="237966"/>
        <n v="258392"/>
        <n v="236385"/>
        <n v="463091"/>
        <n v="383813"/>
        <n v="193738"/>
        <n v="158636"/>
        <n v="276021"/>
        <n v="182379"/>
        <n v="459750"/>
        <n v="174239"/>
        <n v="419089"/>
        <n v="204692"/>
        <n v="155922"/>
        <n v="291275"/>
        <n v="399713"/>
        <n v="435000"/>
        <n v="488000"/>
        <n v="445000"/>
        <n v="370000"/>
        <n v="356000"/>
        <n v="390000"/>
        <n v="405000"/>
        <n v="374000"/>
        <n v="510000"/>
        <n v="564000"/>
      </sharedItems>
    </cacheField>
    <cacheField name="Quote part terrain" numFmtId="166">
      <sharedItems containsSemiMixedTypes="0" containsString="0" containsNumber="1" containsInteger="1" minValue="85419" maxValue="379120" count="28">
        <n v="175923"/>
        <n v="222480"/>
        <n v="158644"/>
        <n v="172261"/>
        <n v="157590"/>
        <n v="249357"/>
        <n v="206669"/>
        <n v="104320"/>
        <n v="85419"/>
        <n v="148627"/>
        <n v="98204"/>
        <n v="306500"/>
        <n v="116159"/>
        <n v="279392"/>
        <n v="136462"/>
        <n v="103948"/>
        <n v="194183"/>
        <n v="266475"/>
        <n v="290050"/>
        <n v="328040"/>
        <n v="298350"/>
        <n v="246100"/>
        <n v="238480"/>
        <n v="262700"/>
        <n v="275150"/>
        <n v="251420"/>
        <n v="342300"/>
        <n v="379120"/>
      </sharedItems>
    </cacheField>
    <cacheField name="Frais d'acte et notaire" numFmtId="166">
      <sharedItems containsSemiMixedTypes="0" containsString="0" containsNumber="1" minValue="6150.1680000000006" maxValue="27296.640000000003" count="28">
        <n v="12666.456000000002"/>
        <n v="16018.560000000001"/>
        <n v="11422.368000000002"/>
        <n v="12402.792000000001"/>
        <n v="11346.480000000001"/>
        <n v="17953.704000000002"/>
        <n v="14880.168000000001"/>
        <n v="7511.0400000000009"/>
        <n v="6150.1680000000006"/>
        <n v="10701.144000000002"/>
        <n v="7070.688000000001"/>
        <n v="22068.000000000004"/>
        <n v="8363.4480000000003"/>
        <n v="20116.224000000002"/>
        <n v="9825.264000000001"/>
        <n v="7484.2560000000012"/>
        <n v="13981.176000000001"/>
        <n v="19186.2"/>
        <n v="20883.600000000002"/>
        <n v="23618.880000000001"/>
        <n v="21481.200000000001"/>
        <n v="17719.2"/>
        <n v="17170.560000000001"/>
        <n v="18914.400000000001"/>
        <n v="19810.800000000003"/>
        <n v="18102.240000000002"/>
        <n v="24645.600000000002"/>
        <n v="27296.640000000003"/>
      </sharedItems>
    </cacheField>
    <cacheField name="Pking Int" numFmtId="166">
      <sharedItems containsSemiMixedTypes="0" containsString="0" containsNumber="1" containsInteger="1" minValue="21563" maxValue="52037" count="3">
        <n v="28909"/>
        <n v="21563"/>
        <n v="52037"/>
      </sharedItems>
    </cacheField>
    <cacheField name="Pking Ext" numFmtId="166">
      <sharedItems containsSemiMixedTypes="0" containsString="0" containsNumber="1" containsInteger="1" minValue="11438" maxValue="29250" count="2">
        <n v="29250"/>
        <n v="11438"/>
      </sharedItems>
    </cacheField>
    <cacheField name="Cave" numFmtId="166">
      <sharedItems containsSemiMixedTypes="0" containsString="0" containsNumber="1" containsInteger="1" minValue="9108" maxValue="29754" count="4">
        <n v="9108"/>
        <n v="23770"/>
        <n v="29754"/>
        <n v="16596"/>
      </sharedItems>
    </cacheField>
    <cacheField name="Pking Int Nbr" numFmtId="167">
      <sharedItems containsSemiMixedTypes="0" containsString="0" containsNumber="1" containsInteger="1" minValue="1" maxValue="1" count="1">
        <n v="1"/>
      </sharedItems>
    </cacheField>
    <cacheField name="Pking Ext  Nbr" numFmtId="167">
      <sharedItems containsSemiMixedTypes="0" containsString="0" containsNumber="1" containsInteger="1" minValue="1" maxValue="1" count="1">
        <n v="1"/>
      </sharedItems>
    </cacheField>
    <cacheField name="Cave  Nbr" numFmtId="167">
      <sharedItems containsSemiMixedTypes="0" containsString="0" containsNumber="1" containsInteger="1" minValue="1" maxValue="1" count="1">
        <n v="1"/>
      </sharedItems>
    </cacheField>
    <cacheField name="Prix cuisine T.T.C Cuisine" numFmtId="166">
      <sharedItems containsSemiMixedTypes="0" containsString="0" containsNumber="1" containsInteger="1" minValue="8000" maxValue="10000" count="2">
        <n v="8000"/>
        <n v="10000"/>
      </sharedItems>
    </cacheField>
    <cacheField name="Loyers mensuel" numFmtId="166">
      <sharedItems containsSemiMixedTypes="0" containsString="0" containsNumber="1" minValue="951.80000000000007" maxValue="3315" count="28">
        <n v="1841.32"/>
        <n v="2349.8000000000002"/>
        <n v="1618.12"/>
        <n v="1746.28"/>
        <n v="1608.2"/>
        <n v="2641.04"/>
        <n v="2210.2400000000002"/>
        <n v="1134.8000000000002"/>
        <n v="951.80000000000007"/>
        <n v="1624.6399999999999"/>
        <n v="1115.1200000000001"/>
        <n v="3315"/>
        <n v="1402.5"/>
        <n v="3021.75"/>
        <n v="1593.25"/>
        <n v="1249.5"/>
        <n v="2191.75"/>
        <n v="2914.75"/>
        <n v="1811.25"/>
        <n v="2232.5"/>
        <n v="2253.25"/>
        <n v="2057.5"/>
        <n v="1910.5"/>
        <n v="2165"/>
        <n v="2130"/>
        <n v="2088.75"/>
        <n v="2674.75"/>
        <n v="2914.25"/>
      </sharedItems>
    </cacheField>
    <cacheField name="Recettes revenus locatifs" numFmtId="166">
      <sharedItems containsSemiMixedTypes="0" containsString="0" containsNumber="1" minValue="11421.6" maxValue="39780" count="28">
        <n v="22095.84"/>
        <n v="28197.600000000002"/>
        <n v="19417.439999999999"/>
        <n v="20955.36"/>
        <n v="19298.400000000001"/>
        <n v="31692.48"/>
        <n v="26522.880000000005"/>
        <n v="13617.600000000002"/>
        <n v="11421.6"/>
        <n v="19495.68"/>
        <n v="13381.440000000002"/>
        <n v="39780"/>
        <n v="16830"/>
        <n v="36261"/>
        <n v="19119"/>
        <n v="14994"/>
        <n v="26301"/>
        <n v="34977"/>
        <n v="21735"/>
        <n v="26790"/>
        <n v="27039"/>
        <n v="24690"/>
        <n v="22926"/>
        <n v="25980"/>
        <n v="25560"/>
        <n v="25065"/>
        <n v="32097"/>
        <n v="34971"/>
      </sharedItems>
    </cacheField>
    <cacheField name="Déductible" numFmtId="166">
      <sharedItems containsSemiMixedTypes="0" containsString="0" containsNumber="1" minValue="18010.594484350418" maxValue="59583.670539228224" count="31">
        <n v="23890.425676702987"/>
        <n v="34773.213607705911"/>
        <n v="25874.318185660522"/>
        <n v="32702.360561032339"/>
        <n v="25730.32412446864"/>
        <n v="44875.230220071928"/>
        <n v="37892.19134627108"/>
        <n v="21091.922727926969"/>
        <n v="18010.594484350418"/>
        <n v="28397.752546891839"/>
        <n v="30814.448932048577"/>
        <n v="20214.65369705177"/>
        <n v="51464.384439703063"/>
        <n v="22919.317940611301"/>
        <n v="35377.906818364136"/>
        <n v="23733.42184364728"/>
        <n v="21046.797783634327"/>
        <n v="34627.62357930711"/>
        <n v="45353.60860938621"/>
        <n v="46302.664299530188"/>
        <n v="51742.534939942416"/>
        <n v="47843.779526709739"/>
        <n v="30705.116566037439"/>
        <n v="39280.02481997032"/>
        <n v="42745.459216621195"/>
        <n v="44107.852057390526"/>
        <n v="41176.101541013712"/>
        <n v="54335.315063977832"/>
        <n v="59583.670539228224"/>
        <n v="25155.224383838311" u="1"/>
        <n v="25945.970779506199" u="1"/>
      </sharedItems>
    </cacheField>
    <cacheField name="Amortissement " numFmtId="166">
      <sharedItems containsSemiMixedTypes="0" containsString="0" containsNumber="1" minValue="10539.566048000001" maxValue="35822.679040000003" count="28">
        <n v="17089.032416000002"/>
        <n v="21399.868160000002"/>
        <n v="15489.165247999999"/>
        <n v="16750.020511999999"/>
        <n v="15391.573280000001"/>
        <n v="29231.793343999998"/>
        <n v="24364.466047999998"/>
        <n v="12694.677439999999"/>
        <n v="10539.566048000001"/>
        <n v="17746.501183999997"/>
        <n v="11997.284768"/>
        <n v="29379.448"/>
        <n v="11755.424128000001"/>
        <n v="26869.524064000001"/>
        <n v="13635.229504000001"/>
        <n v="10624.753215999999"/>
        <n v="18979.822336000001"/>
        <n v="25673.483199999999"/>
        <n v="27851.809600000001"/>
        <n v="31130.27968"/>
        <n v="28473.323199999999"/>
        <n v="23837.891199999998"/>
        <n v="22978.140159999999"/>
        <n v="25080.918399999999"/>
        <n v="26013.1888"/>
        <n v="24091.680639999999"/>
        <n v="32487.241600000001"/>
        <n v="35822.679040000003"/>
      </sharedItems>
    </cacheField>
    <cacheField name="Intérêts bancaires" numFmtId="166">
      <sharedItems containsSemiMixedTypes="0" containsString="0" containsNumber="1" minValue="1669.0253660374412" maxValue="17397.61149922822" count="31">
        <n v="1897.1980607029855"/>
        <n v="7777.617447705913"/>
        <n v="5784.5097376605245"/>
        <n v="11177.39924903234"/>
        <n v="5751.59884446864"/>
        <n v="9651.6224760719342"/>
        <n v="8121.7988982710831"/>
        <n v="4453.9172879269672"/>
        <n v="3776.5804363504153"/>
        <n v="6041.7409628918431"/>
        <n v="8458.437348048581"/>
        <n v="4300.805729051769"/>
        <n v="15176.536439703061"/>
        <n v="6856.4938126113011"/>
        <n v="1998.8027543641319"/>
        <n v="5531.3723396472815"/>
        <n v="6322.7245676343282"/>
        <n v="10267.021243307112"/>
        <n v="13316.065409386214"/>
        <n v="13587.554699530187"/>
        <n v="15176.055259942415"/>
        <n v="13906.036326709738"/>
        <n v="1669.0253660374412"/>
        <n v="11303.604659970322"/>
        <n v="12320.140816621199"/>
        <n v="12797.863257390523"/>
        <n v="11843.720901013714"/>
        <n v="15810.413463977831"/>
        <n v="17397.61149922822"/>
        <n v="7743.9212755061981" u="1"/>
        <n v="3161.9967678383096" u="1"/>
      </sharedItems>
    </cacheField>
    <cacheField name="Décompte de charges" numFmtId="166">
      <sharedItems containsSemiMixedTypes="0" containsString="0" containsNumber="1" containsInteger="1" minValue="2400" maxValue="2400" count="1">
        <n v="2400"/>
      </sharedItems>
    </cacheField>
    <cacheField name="Frais de gestion COCONSULT" numFmtId="166">
      <sharedItems containsSemiMixedTypes="0" containsString="0" containsNumber="1" minValue="951.80000000000007" maxValue="3315" count="28">
        <n v="1841.32"/>
        <n v="2349.8000000000002"/>
        <n v="1618.12"/>
        <n v="1746.28"/>
        <n v="1608.2"/>
        <n v="2641.04"/>
        <n v="2210.2400000000002"/>
        <n v="1134.8000000000002"/>
        <n v="951.80000000000007"/>
        <n v="1624.6399999999999"/>
        <n v="1115.1200000000001"/>
        <n v="3315"/>
        <n v="1402.5"/>
        <n v="3021.75"/>
        <n v="1593.25"/>
        <n v="1249.5"/>
        <n v="2191.75"/>
        <n v="2914.75"/>
        <n v="1811.25"/>
        <n v="2232.5"/>
        <n v="2253.25"/>
        <n v="2057.5"/>
        <n v="1910.5"/>
        <n v="2165"/>
        <n v="2130"/>
        <n v="2088.75"/>
        <n v="2674.75"/>
        <n v="2914.25"/>
      </sharedItems>
    </cacheField>
    <cacheField name="Assurance Loyers (Loyer annuel*3%)" numFmtId="166">
      <sharedItems containsSemiMixedTypes="0" containsString="0" containsNumber="1" minValue="342.64800000000002" maxValue="1193.3999999999999" count="28">
        <n v="662.87519999999995"/>
        <n v="845.928"/>
        <n v="582.52319999999997"/>
        <n v="628.66079999999999"/>
        <n v="578.952"/>
        <n v="950.7743999999999"/>
        <n v="795.68640000000016"/>
        <n v="408.52800000000008"/>
        <n v="342.64800000000002"/>
        <n v="584.87040000000002"/>
        <n v="401.44320000000005"/>
        <n v="1193.3999999999999"/>
        <n v="504.9"/>
        <n v="1087.83"/>
        <n v="573.56999999999994"/>
        <n v="449.82"/>
        <n v="789.03"/>
        <n v="1049.31"/>
        <n v="652.04999999999995"/>
        <n v="803.69999999999993"/>
        <n v="811.17"/>
        <n v="740.69999999999993"/>
        <n v="687.78"/>
        <n v="779.4"/>
        <n v="766.8"/>
        <n v="751.94999999999993"/>
        <n v="962.91"/>
        <n v="1049.1299999999999"/>
      </sharedItems>
    </cacheField>
    <cacheField name="Frais d'obtention" numFmtId="166">
      <sharedItems containsSemiMixedTypes="0" containsString="0" containsNumber="1" minValue="3694.4480000000003" maxValue="6908.4" count="28">
        <n v="4904.1952000000001"/>
        <n v="5595.7280000000001"/>
        <n v="4600.6431999999995"/>
        <n v="4774.9407999999994"/>
        <n v="4587.152"/>
        <n v="5991.8144000000002"/>
        <n v="5405.9264000000003"/>
        <n v="3943.3280000000004"/>
        <n v="3694.4480000000003"/>
        <n v="4609.5104000000001"/>
        <n v="3916.5632000000001"/>
        <n v="6908.4"/>
        <n v="4307.3999999999996"/>
        <n v="6509.58"/>
        <n v="4566.82"/>
        <n v="4099.32"/>
        <n v="5380.78"/>
        <n v="6364.0599999999995"/>
        <n v="4863.3"/>
        <n v="5436.2"/>
        <n v="5464.42"/>
        <n v="5198.2"/>
        <n v="4998.28"/>
        <n v="5344.4"/>
        <n v="5296.8"/>
        <n v="5240.7"/>
        <n v="6037.66"/>
        <n v="6363.38"/>
      </sharedItems>
    </cacheField>
    <cacheField name="Total " numFmtId="166">
      <sharedItems containsSemiMixedTypes="0" containsString="0" containsNumber="1" minValue="18010.594484350418" maxValue="59583.670539228224" count="31">
        <n v="23890.425676702987"/>
        <n v="34773.213607705911"/>
        <n v="25874.318185660522"/>
        <n v="32702.360561032339"/>
        <n v="25730.32412446864"/>
        <n v="44875.230220071928"/>
        <n v="37892.19134627108"/>
        <n v="21091.922727926969"/>
        <n v="18010.594484350418"/>
        <n v="28397.752546891839"/>
        <n v="30814.448932048577"/>
        <n v="20214.65369705177"/>
        <n v="51464.384439703063"/>
        <n v="22919.317940611301"/>
        <n v="35377.906818364136"/>
        <n v="23733.42184364728"/>
        <n v="21046.797783634327"/>
        <n v="34627.62357930711"/>
        <n v="45353.60860938621"/>
        <n v="46302.664299530188"/>
        <n v="51742.534939942416"/>
        <n v="47843.779526709739"/>
        <n v="30705.116566037439"/>
        <n v="39280.02481997032"/>
        <n v="42745.459216621195"/>
        <n v="44107.852057390526"/>
        <n v="41176.101541013712"/>
        <n v="54335.315063977832"/>
        <n v="59583.670539228224"/>
        <n v="25155.224383838311" u="1"/>
        <n v="25945.970779506199" u="1"/>
      </sharedItems>
    </cacheField>
    <cacheField name="Revenu locatif fiscal  " numFmtId="166">
      <sharedItems containsSemiMixedTypes="0" containsString="0" containsNumber="1" minValue="-24952.534939942416" maxValue="883.09318163586704" count="31">
        <n v="-1794.5856767029873"/>
        <n v="-6575.6136077059127"/>
        <n v="-6456.8781856605247"/>
        <n v="-11747.000561032339"/>
        <n v="-6431.9241244686391"/>
        <n v="-13182.750220071932"/>
        <n v="-11369.311346271077"/>
        <n v="-7474.3227279269649"/>
        <n v="-6588.9944843504163"/>
        <n v="-8902.072546891839"/>
        <n v="-11318.768932048577"/>
        <n v="-6833.2136970517658"/>
        <n v="-11684.384439703061"/>
        <n v="-6089.3179406113013"/>
        <n v="883.09318163586704"/>
        <n v="-4614.421843647282"/>
        <n v="-6052.7977836343271"/>
        <n v="-8326.6235793071137"/>
        <n v="-10376.608609386212"/>
        <n v="-24567.664299530185"/>
        <n v="-24952.534939942416"/>
        <n v="-20804.779526709739"/>
        <n v="-6015.116566037439"/>
        <n v="-16354.02481997032"/>
        <n v="-16765.459216621195"/>
        <n v="-18547.852057390523"/>
        <n v="-16111.101541013712"/>
        <n v="-22238.315063977832"/>
        <n v="-24612.670539228224"/>
        <n v="-3059.3843838383114" u="1"/>
        <n v="-6826.9707795061986" u="1"/>
      </sharedItems>
    </cacheField>
    <cacheField name="Avantage fiscal =rev loc fis*38%" numFmtId="166">
      <sharedItems containsSemiMixedTypes="0" containsString="0" containsNumber="1" minValue="-335.57540902162947" maxValue="9481.963277178118" count="31">
        <n v="681.94255714713518"/>
        <n v="2498.7331709282471"/>
        <n v="2453.6137105509993"/>
        <n v="4463.8602131922889"/>
        <n v="2444.1311672980828"/>
        <n v="5009.4450836273345"/>
        <n v="4320.3383115830093"/>
        <n v="2840.2426366122468"/>
        <n v="2503.8179040531581"/>
        <n v="3382.7875678188989"/>
        <n v="4301.132194178459"/>
        <n v="2596.621204879671"/>
        <n v="4440.0660870871634"/>
        <n v="2313.9408174322944"/>
        <n v="-335.57540902162947"/>
        <n v="1753.4803005859671"/>
        <n v="2300.0631577810441"/>
        <n v="3164.1169601367033"/>
        <n v="3943.1112715667609"/>
        <n v="9335.7124338214708"/>
        <n v="9481.963277178118"/>
        <n v="7905.8162201497007"/>
        <n v="2285.7442950942268"/>
        <n v="6214.5294315887213"/>
        <n v="6370.8745023160545"/>
        <n v="7048.1837818083986"/>
        <n v="6122.2185855852103"/>
        <n v="8450.5597243115772"/>
        <n v="9352.8148049067258"/>
        <n v="2594.2488962123557" u="1"/>
        <n v="1162.5660658585584" u="1"/>
      </sharedItems>
    </cacheField>
    <cacheField name="Revenu locatif net" numFmtId="166">
      <sharedItems containsSemiMixedTypes="0" containsString="0" containsNumber="1" minValue="9197.037467702743" maxValue="30904.871836614238" count="32">
        <n v="19039.26449644415"/>
        <n v="20568.915723222337"/>
        <n v="14468.423972890474"/>
        <n v="12495.540964159951"/>
        <n v="14382.732322829441"/>
        <n v="24409.2626075554"/>
        <n v="20511.179413311926"/>
        <n v="10869.12534868528"/>
        <n v="9197.037467702743"/>
        <n v="15212.086604927055"/>
        <n v="13713.734846129879"/>
        <n v="10562.135475827905"/>
        <n v="25728.529647384104"/>
        <n v="10884.947004820995"/>
        <n v="30904.871836614238"/>
        <n v="13747.857960938687"/>
        <n v="9721.8385901467173"/>
        <n v="17006.345716829594"/>
        <n v="22689.295862180548"/>
        <n v="15671.907734291284"/>
        <n v="18863.408017235703"/>
        <n v="18785.529893439965"/>
        <n v="23249.218929056788"/>
        <n v="15926.4247716184"/>
        <n v="17865.733685694857"/>
        <n v="17680.320524417875"/>
        <n v="17254.747684571499"/>
        <n v="22062.396260333746"/>
        <n v="24011.953305678504"/>
        <n v="16294.651301960497" u="1"/>
        <n v="12376.077620706159" u="1"/>
        <n v="18255.089298020248" u="1"/>
      </sharedItems>
    </cacheField>
    <cacheField name="Rendement locatif" numFmtId="10">
      <sharedItems containsSemiMixedTypes="0" containsString="0" containsNumber="1" minValue="1.7833982008750998E-2" maxValue="3.4152832732028328E-2" count="32">
        <n v="3.3250522763195546E-2"/>
        <n v="2.9208183509684613E-2"/>
        <n v="2.7624498202540388E-2"/>
        <n v="2.222422020634586E-2"/>
        <n v="2.761801987848813E-2"/>
        <n v="2.7931487284872644E-2"/>
        <n v="2.789190192223134E-2"/>
        <n v="2.695207319702227E-2"/>
        <n v="2.6896077313623905E-2"/>
        <n v="2.7807786212088677E-2"/>
        <n v="2.5068790145260884E-2"/>
        <n v="2.7123244314596919E-2"/>
        <n v="2.6212597688905114E-2"/>
        <n v="2.4546636646591253E-2"/>
        <n v="3.4152832732028328E-2"/>
        <n v="2.744996977864211E-2"/>
        <n v="2.3774528154464979E-2"/>
        <n v="2.5611458223277175E-2"/>
        <n v="2.6345889254399284E-2"/>
        <n v="1.7833982008750998E-2"/>
        <n v="1.9218921941581715E-2"/>
        <n v="2.0887566898304344E-2"/>
        <n v="3.076912551215016E-2"/>
        <n v="2.1785578571860587E-2"/>
        <n v="2.2421927689140121E-2"/>
        <n v="2.1360943533004446E-2"/>
        <n v="2.2526214323100403E-2"/>
        <n v="2.1576312154333626E-2"/>
        <n v="2.1340550834779148E-2"/>
        <n v="3.1881024729781646E-2" u="1"/>
        <n v="2.4710973711814313E-2" u="1"/>
        <n v="2.8457279646246905E-2" u="1"/>
      </sharedItems>
    </cacheField>
    <cacheField name="Financement  " numFmtId="166">
      <sharedItems containsSemiMixedTypes="0" containsString="0" containsNumber="1" minValue="75560.219999999972" maxValue="787625.74800000014" count="31">
        <n v="85890.068399999989"/>
        <n v="352108.78"/>
        <n v="261876.68400000001"/>
        <n v="506023.91279999999"/>
        <n v="260386.74"/>
        <n v="436948.85200000001"/>
        <n v="367690.58399999997"/>
        <n v="201638.02"/>
        <n v="170973.584"/>
        <n v="273522.07200000004"/>
        <n v="382930.90080000006"/>
        <n v="194706.34400000001"/>
        <n v="687073.10000000009"/>
        <n v="310407.61359999998"/>
        <n v="90489.922400000039"/>
        <n v="250416.63200000001"/>
        <n v="286242.77919999999"/>
        <n v="464809.22320000001"/>
        <n v="602845.74"/>
        <n v="615136.62"/>
        <n v="687051.31599999999"/>
        <n v="629554.93999999994"/>
        <n v="75560.219999999972"/>
        <n v="511737.49200000009"/>
        <n v="557758.18000000005"/>
        <n v="579385.66"/>
        <n v="536189.66800000006"/>
        <n v="715770.02"/>
        <n v="787625.74800000014"/>
        <n v="143150.114" u="1"/>
        <n v="350583.28480000002" u="1"/>
      </sharedItems>
    </cacheField>
    <cacheField name="Taux " numFmtId="10">
      <sharedItems containsSemiMixedTypes="0" containsString="0" containsNumber="1" minValue="2.2499999999999999E-2" maxValue="2.2499999999999999E-2" count="1">
        <n v="2.2499999999999999E-2"/>
      </sharedItems>
    </cacheField>
    <cacheField name="Durée  année" numFmtId="0">
      <sharedItems containsSemiMixedTypes="0" containsString="0" containsNumber="1" containsInteger="1" minValue="20" maxValue="20" count="1">
        <n v="20"/>
      </sharedItems>
    </cacheField>
    <cacheField name="Mensualité du crédit" numFmtId="166">
      <sharedItems containsSemiMixedTypes="0" containsString="0" containsNumber="1" minValue="391.2570797602429" maxValue="4078.3913824821734" count="31">
        <n v="444.74589066299075"/>
        <n v="1823.2484370842471"/>
        <n v="1356.0191677464143"/>
        <n v="2620.2337474795581"/>
        <n v="1348.3041142639561"/>
        <n v="2262.5573593897775"/>
        <n v="1903.9323092386223"/>
        <n v="1044.0983744334978"/>
        <n v="885.31538410002793"/>
        <n v="1416.3199516980094"/>
        <n v="1982.8479323772133"/>
        <n v="1008.2055817761427"/>
        <n v="3557.7214397710527"/>
        <n v="1607.3163422827765"/>
        <n v="468.56431579943813"/>
        <n v="1296.6780689589766"/>
        <n v="1482.1888275636045"/>
        <n v="2406.8206698558979"/>
        <n v="3121.5851909682469"/>
        <n v="3185.2283859785784"/>
        <n v="3557.608640414122"/>
        <n v="3259.8876415795903"/>
        <n v="391.2570797602429"/>
        <n v="2649.8191339801656"/>
        <n v="2888.1180695237258"/>
        <n v="3000.1069529252441"/>
        <n v="2776.4345273120466"/>
        <n v="3706.316469236468"/>
        <n v="4078.3913824821734"/>
        <n v="741.24315110498469" u="1"/>
        <n v="1815.3492965425671" u="1"/>
      </sharedItems>
    </cacheField>
    <cacheField name="Couverture avantage fisc mens+1loyers-coconsult mens/credit " numFmtId="10">
      <sharedItems containsSemiMixedTypes="0" containsString="0" containsNumber="1" minValue="0.75288894346301627" maxValue="5.8518602252143994" count="31">
        <n v="3.9229259892536179"/>
        <n v="1.295605716440388"/>
        <n v="1.2446317249955501"/>
        <n v="0.75288894346301627"/>
        <n v="1.2444232075373618"/>
        <n v="1.2545127656201431"/>
        <n v="1.2532386337408388"/>
        <n v="1.222988418510385"/>
        <n v="1.2211860821065439"/>
        <n v="1.2505312060278666"/>
        <n v="0.93183193023096589"/>
        <n v="1.2284978938104918"/>
        <n v="0.95812883750578981"/>
        <n v="0.91982726894503608"/>
        <n v="5.8518602252143994"/>
        <n v="1.2390141882623753"/>
        <n v="0.90207597368879155"/>
        <n v="0.94430823553940513"/>
        <n v="0.96119330054224494"/>
        <n v="0.7654988090917344"/>
        <n v="0.79733951271116976"/>
        <n v="0.83570278627529837"/>
        <n v="5.3073042389341101"/>
        <n v="0.85634868063264757"/>
        <n v="0.87097877625013298"/>
        <n v="0.84658603454372272"/>
        <n v="0.8733763963379666"/>
        <n v="0.85153750447978904"/>
        <n v="0.84611719265043939"/>
        <n v="2.4077890898476562" u="1"/>
        <n v="0.92360548896990069" u="1"/>
      </sharedItems>
    </cacheField>
    <cacheField name="%age couverture du prêt" numFmtId="10">
      <sharedItems containsSemiMixedTypes="0" containsString="0" containsNumber="1" minValue="0.56864054331964031" maxValue="6.4489546004894969" count="31">
        <n v="4.1401619186522689"/>
        <n v="1.28879858180919"/>
        <n v="1.1932869670929316"/>
        <n v="0.6664596247108765"/>
        <n v="1.1927576152787474"/>
        <n v="1.1672809040794003"/>
        <n v="1.1608816076470017"/>
        <n v="1.0868707660001049"/>
        <n v="1.0750970977055341"/>
        <n v="1.1470854435484286"/>
        <n v="0.81934674539173458"/>
        <n v="1.1060442633490559"/>
        <n v="0.93177615395693481"/>
        <n v="0.87257247568833407"/>
        <n v="6.4489546004894969"/>
        <n v="1.2287167016552711"/>
        <n v="0.84300999762216922"/>
        <n v="0.91064117383171106"/>
        <n v="0.93374033437668535"/>
        <n v="0.56864054331964031"/>
        <n v="0.62752827127722699"/>
        <n v="0.69120480450307165"/>
        <n v="5.2586907852525213"/>
        <n v="0.72099260492935235"/>
        <n v="0.74962309292189921"/>
        <n v="0.70997468871006442"/>
        <n v="0.75231379650871311"/>
        <n v="0.72167339788742346"/>
        <n v="0.71455868912373521"/>
        <n v="0.87765478689662235" u="1"/>
        <n v="2.484097151191361" u="1"/>
      </sharedItems>
    </cacheField>
    <cacheField name="Rendement sur fonds propres" numFmtId="10">
      <sharedItems containsSemiMixedTypes="0" containsString="0" containsNumber="1" minValue="3.4187917235722398E-2" maxValue="0.2222422020634586" count="31">
        <n v="3.9118262074347702E-2"/>
        <n v="5.8416367019369225E-2"/>
        <n v="5.5248996405080776E-2"/>
        <n v="0.2222422020634586"/>
        <n v="5.523603975697626E-2"/>
        <n v="5.5862974569745288E-2"/>
        <n v="5.578380384446268E-2"/>
        <n v="5.390414639404454E-2"/>
        <n v="5.3792154627247811E-2"/>
        <n v="5.5615572424177355E-2"/>
        <n v="8.3562633817536286E-2"/>
        <n v="5.4246488629193838E-2"/>
        <n v="8.7375325629683726E-2"/>
        <n v="8.1822122155304169E-2"/>
        <n v="3.7947591924475922E-2"/>
        <n v="5.4899939557284221E-2"/>
        <n v="7.9248427181549938E-2"/>
        <n v="8.5371527410923909E-2"/>
        <n v="8.7819630847997626E-2"/>
        <n v="5.9446606695836665E-2"/>
        <n v="6.4063073138605708E-2"/>
        <n v="6.9625222994347813E-2"/>
        <n v="3.4187917235722398E-2"/>
        <n v="7.2618595239535302E-2"/>
        <n v="7.4739758963800404E-2"/>
        <n v="7.1203145110014812E-2"/>
        <n v="7.5087381077001344E-2"/>
        <n v="7.1921040514445422E-2"/>
        <n v="7.1135169449263819E-2"/>
        <n v="4.2508032973042197E-2" u="1"/>
        <n v="8.2369912372714391E-2" u="1"/>
      </sharedItems>
    </cacheField>
    <cacheField name="Loyer  / m2  " numFmtId="166">
      <sharedItems containsSemiMixedTypes="0" containsString="0" containsNumber="1" containsInteger="1" minValue="12" maxValue="25" count="3">
        <n v="16"/>
        <n v="12"/>
        <n v="25"/>
      </sharedItems>
    </cacheField>
    <cacheField name="Surface de vente m2" numFmtId="2">
      <sharedItems containsSemiMixedTypes="0" containsString="0" containsNumber="1" minValue="39.979999999999997" maxValue="209.67" count="28">
        <n v="107.27"/>
        <n v="139.05000000000001"/>
        <n v="93.32"/>
        <n v="101.33"/>
        <n v="92.7"/>
        <n v="209.67"/>
        <n v="173.77"/>
        <n v="84.15"/>
        <n v="68.900000000000006"/>
        <n v="124.97"/>
        <n v="82.51"/>
        <n v="122.6"/>
        <n v="46.1"/>
        <n v="110.87"/>
        <n v="53.73"/>
        <n v="39.979999999999997"/>
        <n v="77.67"/>
        <n v="106.59"/>
        <n v="62.45"/>
        <n v="79.3"/>
        <n v="80.13"/>
        <n v="72.3"/>
        <n v="66.42"/>
        <n v="76.599999999999994"/>
        <n v="75.2"/>
        <n v="73.55"/>
        <n v="96.99"/>
        <n v="106.5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n v="0.8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n v="0.5"/>
    <x v="1"/>
    <x v="1"/>
    <x v="1"/>
    <x v="1"/>
    <x v="1"/>
    <x v="1"/>
    <x v="1"/>
    <x v="1"/>
    <x v="0"/>
    <x v="0"/>
    <x v="0"/>
    <x v="0"/>
    <x v="0"/>
    <x v="0"/>
    <x v="0"/>
    <x v="1"/>
    <x v="1"/>
    <x v="1"/>
    <x v="1"/>
    <x v="1"/>
    <x v="0"/>
    <x v="1"/>
    <x v="1"/>
    <x v="1"/>
    <x v="1"/>
    <x v="1"/>
    <x v="1"/>
    <x v="1"/>
    <x v="1"/>
    <x v="1"/>
    <x v="0"/>
    <x v="0"/>
    <x v="1"/>
    <x v="1"/>
    <x v="1"/>
    <x v="1"/>
    <x v="0"/>
    <x v="1"/>
  </r>
  <r>
    <n v="0.5"/>
    <x v="2"/>
    <x v="2"/>
    <x v="2"/>
    <x v="2"/>
    <x v="2"/>
    <x v="2"/>
    <x v="2"/>
    <x v="2"/>
    <x v="0"/>
    <x v="0"/>
    <x v="0"/>
    <x v="0"/>
    <x v="0"/>
    <x v="0"/>
    <x v="0"/>
    <x v="2"/>
    <x v="2"/>
    <x v="2"/>
    <x v="2"/>
    <x v="2"/>
    <x v="0"/>
    <x v="2"/>
    <x v="2"/>
    <x v="2"/>
    <x v="2"/>
    <x v="2"/>
    <x v="2"/>
    <x v="2"/>
    <x v="2"/>
    <x v="2"/>
    <x v="0"/>
    <x v="0"/>
    <x v="2"/>
    <x v="2"/>
    <x v="2"/>
    <x v="2"/>
    <x v="0"/>
    <x v="2"/>
  </r>
  <r>
    <n v="0.1"/>
    <x v="3"/>
    <x v="3"/>
    <x v="3"/>
    <x v="3"/>
    <x v="3"/>
    <x v="3"/>
    <x v="3"/>
    <x v="3"/>
    <x v="0"/>
    <x v="0"/>
    <x v="0"/>
    <x v="0"/>
    <x v="0"/>
    <x v="0"/>
    <x v="0"/>
    <x v="3"/>
    <x v="3"/>
    <x v="3"/>
    <x v="3"/>
    <x v="3"/>
    <x v="0"/>
    <x v="3"/>
    <x v="3"/>
    <x v="3"/>
    <x v="3"/>
    <x v="3"/>
    <x v="3"/>
    <x v="3"/>
    <x v="3"/>
    <x v="3"/>
    <x v="0"/>
    <x v="0"/>
    <x v="3"/>
    <x v="3"/>
    <x v="3"/>
    <x v="3"/>
    <x v="0"/>
    <x v="3"/>
  </r>
  <r>
    <n v="0.5"/>
    <x v="4"/>
    <x v="4"/>
    <x v="4"/>
    <x v="4"/>
    <x v="4"/>
    <x v="4"/>
    <x v="4"/>
    <x v="4"/>
    <x v="0"/>
    <x v="0"/>
    <x v="0"/>
    <x v="0"/>
    <x v="0"/>
    <x v="0"/>
    <x v="0"/>
    <x v="4"/>
    <x v="4"/>
    <x v="4"/>
    <x v="4"/>
    <x v="4"/>
    <x v="0"/>
    <x v="4"/>
    <x v="4"/>
    <x v="4"/>
    <x v="4"/>
    <x v="4"/>
    <x v="4"/>
    <x v="4"/>
    <x v="4"/>
    <x v="4"/>
    <x v="0"/>
    <x v="0"/>
    <x v="4"/>
    <x v="4"/>
    <x v="4"/>
    <x v="4"/>
    <x v="0"/>
    <x v="4"/>
  </r>
  <r>
    <n v="0.5"/>
    <x v="5"/>
    <x v="5"/>
    <x v="5"/>
    <x v="5"/>
    <x v="5"/>
    <x v="5"/>
    <x v="5"/>
    <x v="5"/>
    <x v="1"/>
    <x v="1"/>
    <x v="1"/>
    <x v="0"/>
    <x v="0"/>
    <x v="0"/>
    <x v="0"/>
    <x v="5"/>
    <x v="5"/>
    <x v="5"/>
    <x v="5"/>
    <x v="5"/>
    <x v="0"/>
    <x v="5"/>
    <x v="5"/>
    <x v="5"/>
    <x v="5"/>
    <x v="5"/>
    <x v="5"/>
    <x v="5"/>
    <x v="5"/>
    <x v="5"/>
    <x v="0"/>
    <x v="0"/>
    <x v="5"/>
    <x v="5"/>
    <x v="5"/>
    <x v="5"/>
    <x v="1"/>
    <x v="5"/>
  </r>
  <r>
    <n v="0.5"/>
    <x v="6"/>
    <x v="6"/>
    <x v="6"/>
    <x v="6"/>
    <x v="6"/>
    <x v="6"/>
    <x v="6"/>
    <x v="6"/>
    <x v="1"/>
    <x v="1"/>
    <x v="1"/>
    <x v="0"/>
    <x v="0"/>
    <x v="0"/>
    <x v="0"/>
    <x v="6"/>
    <x v="6"/>
    <x v="6"/>
    <x v="6"/>
    <x v="6"/>
    <x v="0"/>
    <x v="6"/>
    <x v="6"/>
    <x v="6"/>
    <x v="6"/>
    <x v="6"/>
    <x v="6"/>
    <x v="6"/>
    <x v="6"/>
    <x v="6"/>
    <x v="0"/>
    <x v="0"/>
    <x v="6"/>
    <x v="6"/>
    <x v="6"/>
    <x v="6"/>
    <x v="1"/>
    <x v="6"/>
  </r>
  <r>
    <n v="0.5"/>
    <x v="7"/>
    <x v="7"/>
    <x v="7"/>
    <x v="7"/>
    <x v="7"/>
    <x v="7"/>
    <x v="7"/>
    <x v="7"/>
    <x v="1"/>
    <x v="1"/>
    <x v="1"/>
    <x v="0"/>
    <x v="0"/>
    <x v="0"/>
    <x v="0"/>
    <x v="7"/>
    <x v="7"/>
    <x v="7"/>
    <x v="7"/>
    <x v="7"/>
    <x v="0"/>
    <x v="7"/>
    <x v="7"/>
    <x v="7"/>
    <x v="7"/>
    <x v="7"/>
    <x v="7"/>
    <x v="7"/>
    <x v="7"/>
    <x v="7"/>
    <x v="0"/>
    <x v="0"/>
    <x v="7"/>
    <x v="7"/>
    <x v="7"/>
    <x v="7"/>
    <x v="1"/>
    <x v="7"/>
  </r>
  <r>
    <n v="0.5"/>
    <x v="8"/>
    <x v="8"/>
    <x v="8"/>
    <x v="8"/>
    <x v="8"/>
    <x v="8"/>
    <x v="8"/>
    <x v="8"/>
    <x v="1"/>
    <x v="1"/>
    <x v="1"/>
    <x v="0"/>
    <x v="0"/>
    <x v="0"/>
    <x v="0"/>
    <x v="8"/>
    <x v="8"/>
    <x v="8"/>
    <x v="8"/>
    <x v="8"/>
    <x v="0"/>
    <x v="8"/>
    <x v="8"/>
    <x v="8"/>
    <x v="8"/>
    <x v="8"/>
    <x v="8"/>
    <x v="8"/>
    <x v="8"/>
    <x v="8"/>
    <x v="0"/>
    <x v="0"/>
    <x v="8"/>
    <x v="8"/>
    <x v="8"/>
    <x v="8"/>
    <x v="1"/>
    <x v="8"/>
  </r>
  <r>
    <n v="0.5"/>
    <x v="9"/>
    <x v="9"/>
    <x v="9"/>
    <x v="9"/>
    <x v="9"/>
    <x v="9"/>
    <x v="9"/>
    <x v="9"/>
    <x v="1"/>
    <x v="1"/>
    <x v="1"/>
    <x v="0"/>
    <x v="0"/>
    <x v="0"/>
    <x v="0"/>
    <x v="9"/>
    <x v="9"/>
    <x v="9"/>
    <x v="9"/>
    <x v="9"/>
    <x v="0"/>
    <x v="9"/>
    <x v="9"/>
    <x v="9"/>
    <x v="9"/>
    <x v="9"/>
    <x v="9"/>
    <x v="9"/>
    <x v="9"/>
    <x v="9"/>
    <x v="0"/>
    <x v="0"/>
    <x v="9"/>
    <x v="9"/>
    <x v="9"/>
    <x v="9"/>
    <x v="1"/>
    <x v="9"/>
  </r>
  <r>
    <n v="0.3"/>
    <x v="10"/>
    <x v="10"/>
    <x v="10"/>
    <x v="9"/>
    <x v="9"/>
    <x v="9"/>
    <x v="9"/>
    <x v="9"/>
    <x v="1"/>
    <x v="1"/>
    <x v="1"/>
    <x v="0"/>
    <x v="0"/>
    <x v="0"/>
    <x v="0"/>
    <x v="9"/>
    <x v="9"/>
    <x v="10"/>
    <x v="9"/>
    <x v="10"/>
    <x v="0"/>
    <x v="9"/>
    <x v="9"/>
    <x v="9"/>
    <x v="10"/>
    <x v="10"/>
    <x v="10"/>
    <x v="10"/>
    <x v="10"/>
    <x v="10"/>
    <x v="0"/>
    <x v="0"/>
    <x v="10"/>
    <x v="10"/>
    <x v="10"/>
    <x v="10"/>
    <x v="1"/>
    <x v="9"/>
  </r>
  <r>
    <n v="0.5"/>
    <x v="11"/>
    <x v="11"/>
    <x v="11"/>
    <x v="10"/>
    <x v="10"/>
    <x v="10"/>
    <x v="10"/>
    <x v="10"/>
    <x v="1"/>
    <x v="1"/>
    <x v="2"/>
    <x v="0"/>
    <x v="0"/>
    <x v="0"/>
    <x v="0"/>
    <x v="10"/>
    <x v="10"/>
    <x v="11"/>
    <x v="10"/>
    <x v="11"/>
    <x v="0"/>
    <x v="10"/>
    <x v="10"/>
    <x v="10"/>
    <x v="11"/>
    <x v="11"/>
    <x v="11"/>
    <x v="11"/>
    <x v="11"/>
    <x v="11"/>
    <x v="0"/>
    <x v="0"/>
    <x v="11"/>
    <x v="11"/>
    <x v="11"/>
    <x v="11"/>
    <x v="1"/>
    <x v="10"/>
  </r>
  <r>
    <n v="0.3"/>
    <x v="12"/>
    <x v="12"/>
    <x v="12"/>
    <x v="11"/>
    <x v="11"/>
    <x v="11"/>
    <x v="11"/>
    <x v="11"/>
    <x v="2"/>
    <x v="0"/>
    <x v="1"/>
    <x v="0"/>
    <x v="0"/>
    <x v="0"/>
    <x v="1"/>
    <x v="11"/>
    <x v="11"/>
    <x v="12"/>
    <x v="11"/>
    <x v="12"/>
    <x v="0"/>
    <x v="11"/>
    <x v="11"/>
    <x v="11"/>
    <x v="12"/>
    <x v="12"/>
    <x v="12"/>
    <x v="12"/>
    <x v="12"/>
    <x v="12"/>
    <x v="0"/>
    <x v="0"/>
    <x v="12"/>
    <x v="12"/>
    <x v="12"/>
    <x v="12"/>
    <x v="2"/>
    <x v="11"/>
  </r>
  <r>
    <n v="0.3"/>
    <x v="13"/>
    <x v="13"/>
    <x v="13"/>
    <x v="12"/>
    <x v="12"/>
    <x v="12"/>
    <x v="12"/>
    <x v="12"/>
    <x v="2"/>
    <x v="0"/>
    <x v="1"/>
    <x v="0"/>
    <x v="0"/>
    <x v="0"/>
    <x v="1"/>
    <x v="12"/>
    <x v="12"/>
    <x v="13"/>
    <x v="12"/>
    <x v="13"/>
    <x v="0"/>
    <x v="12"/>
    <x v="12"/>
    <x v="12"/>
    <x v="13"/>
    <x v="13"/>
    <x v="13"/>
    <x v="13"/>
    <x v="13"/>
    <x v="13"/>
    <x v="0"/>
    <x v="0"/>
    <x v="13"/>
    <x v="13"/>
    <x v="13"/>
    <x v="13"/>
    <x v="2"/>
    <x v="12"/>
  </r>
  <r>
    <n v="0.9"/>
    <x v="14"/>
    <x v="14"/>
    <x v="14"/>
    <x v="13"/>
    <x v="13"/>
    <x v="13"/>
    <x v="13"/>
    <x v="13"/>
    <x v="2"/>
    <x v="0"/>
    <x v="1"/>
    <x v="0"/>
    <x v="0"/>
    <x v="0"/>
    <x v="1"/>
    <x v="13"/>
    <x v="13"/>
    <x v="14"/>
    <x v="13"/>
    <x v="14"/>
    <x v="0"/>
    <x v="13"/>
    <x v="13"/>
    <x v="13"/>
    <x v="14"/>
    <x v="14"/>
    <x v="14"/>
    <x v="14"/>
    <x v="14"/>
    <x v="14"/>
    <x v="0"/>
    <x v="0"/>
    <x v="14"/>
    <x v="14"/>
    <x v="14"/>
    <x v="14"/>
    <x v="2"/>
    <x v="13"/>
  </r>
  <r>
    <n v="0.5"/>
    <x v="15"/>
    <x v="15"/>
    <x v="15"/>
    <x v="14"/>
    <x v="14"/>
    <x v="14"/>
    <x v="14"/>
    <x v="14"/>
    <x v="2"/>
    <x v="0"/>
    <x v="1"/>
    <x v="0"/>
    <x v="0"/>
    <x v="0"/>
    <x v="1"/>
    <x v="14"/>
    <x v="14"/>
    <x v="15"/>
    <x v="14"/>
    <x v="15"/>
    <x v="0"/>
    <x v="14"/>
    <x v="14"/>
    <x v="14"/>
    <x v="15"/>
    <x v="15"/>
    <x v="15"/>
    <x v="15"/>
    <x v="15"/>
    <x v="15"/>
    <x v="0"/>
    <x v="0"/>
    <x v="15"/>
    <x v="15"/>
    <x v="15"/>
    <x v="15"/>
    <x v="2"/>
    <x v="14"/>
  </r>
  <r>
    <n v="0.3"/>
    <x v="16"/>
    <x v="16"/>
    <x v="16"/>
    <x v="15"/>
    <x v="15"/>
    <x v="15"/>
    <x v="15"/>
    <x v="15"/>
    <x v="2"/>
    <x v="0"/>
    <x v="1"/>
    <x v="0"/>
    <x v="0"/>
    <x v="0"/>
    <x v="1"/>
    <x v="15"/>
    <x v="15"/>
    <x v="16"/>
    <x v="15"/>
    <x v="16"/>
    <x v="0"/>
    <x v="15"/>
    <x v="15"/>
    <x v="15"/>
    <x v="16"/>
    <x v="16"/>
    <x v="16"/>
    <x v="16"/>
    <x v="16"/>
    <x v="16"/>
    <x v="0"/>
    <x v="0"/>
    <x v="16"/>
    <x v="16"/>
    <x v="16"/>
    <x v="16"/>
    <x v="2"/>
    <x v="15"/>
  </r>
  <r>
    <n v="0.3"/>
    <x v="17"/>
    <x v="17"/>
    <x v="17"/>
    <x v="16"/>
    <x v="16"/>
    <x v="16"/>
    <x v="16"/>
    <x v="16"/>
    <x v="2"/>
    <x v="0"/>
    <x v="1"/>
    <x v="0"/>
    <x v="0"/>
    <x v="0"/>
    <x v="1"/>
    <x v="16"/>
    <x v="16"/>
    <x v="17"/>
    <x v="16"/>
    <x v="17"/>
    <x v="0"/>
    <x v="16"/>
    <x v="16"/>
    <x v="16"/>
    <x v="17"/>
    <x v="17"/>
    <x v="17"/>
    <x v="17"/>
    <x v="17"/>
    <x v="17"/>
    <x v="0"/>
    <x v="0"/>
    <x v="17"/>
    <x v="17"/>
    <x v="17"/>
    <x v="17"/>
    <x v="2"/>
    <x v="16"/>
  </r>
  <r>
    <n v="0.3"/>
    <x v="18"/>
    <x v="18"/>
    <x v="18"/>
    <x v="17"/>
    <x v="17"/>
    <x v="17"/>
    <x v="17"/>
    <x v="17"/>
    <x v="2"/>
    <x v="0"/>
    <x v="3"/>
    <x v="0"/>
    <x v="0"/>
    <x v="0"/>
    <x v="1"/>
    <x v="17"/>
    <x v="17"/>
    <x v="18"/>
    <x v="17"/>
    <x v="18"/>
    <x v="0"/>
    <x v="17"/>
    <x v="17"/>
    <x v="17"/>
    <x v="18"/>
    <x v="18"/>
    <x v="18"/>
    <x v="18"/>
    <x v="18"/>
    <x v="18"/>
    <x v="0"/>
    <x v="0"/>
    <x v="18"/>
    <x v="18"/>
    <x v="18"/>
    <x v="18"/>
    <x v="2"/>
    <x v="17"/>
  </r>
  <r>
    <n v="0.3"/>
    <x v="19"/>
    <x v="19"/>
    <x v="19"/>
    <x v="18"/>
    <x v="18"/>
    <x v="18"/>
    <x v="18"/>
    <x v="18"/>
    <x v="2"/>
    <x v="0"/>
    <x v="3"/>
    <x v="0"/>
    <x v="0"/>
    <x v="0"/>
    <x v="1"/>
    <x v="18"/>
    <x v="18"/>
    <x v="19"/>
    <x v="18"/>
    <x v="19"/>
    <x v="0"/>
    <x v="18"/>
    <x v="18"/>
    <x v="18"/>
    <x v="19"/>
    <x v="19"/>
    <x v="19"/>
    <x v="19"/>
    <x v="19"/>
    <x v="19"/>
    <x v="0"/>
    <x v="0"/>
    <x v="19"/>
    <x v="19"/>
    <x v="19"/>
    <x v="19"/>
    <x v="2"/>
    <x v="18"/>
  </r>
  <r>
    <n v="0.3"/>
    <x v="20"/>
    <x v="20"/>
    <x v="20"/>
    <x v="19"/>
    <x v="19"/>
    <x v="19"/>
    <x v="19"/>
    <x v="19"/>
    <x v="2"/>
    <x v="0"/>
    <x v="3"/>
    <x v="0"/>
    <x v="0"/>
    <x v="0"/>
    <x v="1"/>
    <x v="19"/>
    <x v="19"/>
    <x v="20"/>
    <x v="19"/>
    <x v="20"/>
    <x v="0"/>
    <x v="19"/>
    <x v="19"/>
    <x v="19"/>
    <x v="20"/>
    <x v="20"/>
    <x v="20"/>
    <x v="20"/>
    <x v="20"/>
    <x v="20"/>
    <x v="0"/>
    <x v="0"/>
    <x v="20"/>
    <x v="20"/>
    <x v="20"/>
    <x v="20"/>
    <x v="2"/>
    <x v="19"/>
  </r>
  <r>
    <n v="0.3"/>
    <x v="21"/>
    <x v="21"/>
    <x v="21"/>
    <x v="20"/>
    <x v="20"/>
    <x v="20"/>
    <x v="20"/>
    <x v="20"/>
    <x v="2"/>
    <x v="0"/>
    <x v="3"/>
    <x v="0"/>
    <x v="0"/>
    <x v="0"/>
    <x v="1"/>
    <x v="20"/>
    <x v="20"/>
    <x v="21"/>
    <x v="20"/>
    <x v="21"/>
    <x v="0"/>
    <x v="20"/>
    <x v="20"/>
    <x v="20"/>
    <x v="21"/>
    <x v="21"/>
    <x v="21"/>
    <x v="21"/>
    <x v="21"/>
    <x v="21"/>
    <x v="0"/>
    <x v="0"/>
    <x v="21"/>
    <x v="21"/>
    <x v="21"/>
    <x v="21"/>
    <x v="2"/>
    <x v="20"/>
  </r>
  <r>
    <n v="0.9"/>
    <x v="22"/>
    <x v="22"/>
    <x v="22"/>
    <x v="21"/>
    <x v="21"/>
    <x v="21"/>
    <x v="21"/>
    <x v="21"/>
    <x v="2"/>
    <x v="0"/>
    <x v="3"/>
    <x v="0"/>
    <x v="0"/>
    <x v="0"/>
    <x v="1"/>
    <x v="21"/>
    <x v="21"/>
    <x v="22"/>
    <x v="21"/>
    <x v="22"/>
    <x v="0"/>
    <x v="21"/>
    <x v="21"/>
    <x v="21"/>
    <x v="22"/>
    <x v="22"/>
    <x v="22"/>
    <x v="22"/>
    <x v="22"/>
    <x v="22"/>
    <x v="0"/>
    <x v="0"/>
    <x v="22"/>
    <x v="22"/>
    <x v="22"/>
    <x v="22"/>
    <x v="2"/>
    <x v="21"/>
  </r>
  <r>
    <n v="0.3"/>
    <x v="23"/>
    <x v="23"/>
    <x v="23"/>
    <x v="22"/>
    <x v="22"/>
    <x v="22"/>
    <x v="22"/>
    <x v="22"/>
    <x v="2"/>
    <x v="0"/>
    <x v="3"/>
    <x v="0"/>
    <x v="0"/>
    <x v="0"/>
    <x v="1"/>
    <x v="22"/>
    <x v="22"/>
    <x v="23"/>
    <x v="22"/>
    <x v="23"/>
    <x v="0"/>
    <x v="22"/>
    <x v="22"/>
    <x v="22"/>
    <x v="23"/>
    <x v="23"/>
    <x v="23"/>
    <x v="23"/>
    <x v="23"/>
    <x v="23"/>
    <x v="0"/>
    <x v="0"/>
    <x v="23"/>
    <x v="23"/>
    <x v="23"/>
    <x v="23"/>
    <x v="2"/>
    <x v="22"/>
  </r>
  <r>
    <n v="0.3"/>
    <x v="24"/>
    <x v="24"/>
    <x v="24"/>
    <x v="23"/>
    <x v="23"/>
    <x v="23"/>
    <x v="23"/>
    <x v="23"/>
    <x v="2"/>
    <x v="0"/>
    <x v="3"/>
    <x v="0"/>
    <x v="0"/>
    <x v="0"/>
    <x v="1"/>
    <x v="23"/>
    <x v="23"/>
    <x v="24"/>
    <x v="23"/>
    <x v="24"/>
    <x v="0"/>
    <x v="23"/>
    <x v="23"/>
    <x v="23"/>
    <x v="24"/>
    <x v="24"/>
    <x v="24"/>
    <x v="24"/>
    <x v="24"/>
    <x v="24"/>
    <x v="0"/>
    <x v="0"/>
    <x v="24"/>
    <x v="24"/>
    <x v="24"/>
    <x v="24"/>
    <x v="2"/>
    <x v="23"/>
  </r>
  <r>
    <n v="0.3"/>
    <x v="25"/>
    <x v="25"/>
    <x v="25"/>
    <x v="24"/>
    <x v="24"/>
    <x v="24"/>
    <x v="24"/>
    <x v="24"/>
    <x v="2"/>
    <x v="0"/>
    <x v="3"/>
    <x v="0"/>
    <x v="0"/>
    <x v="0"/>
    <x v="1"/>
    <x v="24"/>
    <x v="24"/>
    <x v="25"/>
    <x v="24"/>
    <x v="25"/>
    <x v="0"/>
    <x v="24"/>
    <x v="24"/>
    <x v="24"/>
    <x v="25"/>
    <x v="25"/>
    <x v="25"/>
    <x v="25"/>
    <x v="25"/>
    <x v="25"/>
    <x v="0"/>
    <x v="0"/>
    <x v="25"/>
    <x v="25"/>
    <x v="25"/>
    <x v="25"/>
    <x v="2"/>
    <x v="24"/>
  </r>
  <r>
    <n v="0.3"/>
    <x v="26"/>
    <x v="26"/>
    <x v="26"/>
    <x v="25"/>
    <x v="25"/>
    <x v="25"/>
    <x v="25"/>
    <x v="25"/>
    <x v="2"/>
    <x v="0"/>
    <x v="3"/>
    <x v="0"/>
    <x v="0"/>
    <x v="0"/>
    <x v="1"/>
    <x v="25"/>
    <x v="25"/>
    <x v="26"/>
    <x v="25"/>
    <x v="26"/>
    <x v="0"/>
    <x v="25"/>
    <x v="25"/>
    <x v="25"/>
    <x v="26"/>
    <x v="26"/>
    <x v="26"/>
    <x v="26"/>
    <x v="26"/>
    <x v="26"/>
    <x v="0"/>
    <x v="0"/>
    <x v="26"/>
    <x v="26"/>
    <x v="26"/>
    <x v="26"/>
    <x v="2"/>
    <x v="25"/>
  </r>
  <r>
    <n v="0.3"/>
    <x v="27"/>
    <x v="27"/>
    <x v="27"/>
    <x v="26"/>
    <x v="26"/>
    <x v="26"/>
    <x v="26"/>
    <x v="26"/>
    <x v="2"/>
    <x v="0"/>
    <x v="3"/>
    <x v="0"/>
    <x v="0"/>
    <x v="0"/>
    <x v="1"/>
    <x v="26"/>
    <x v="26"/>
    <x v="27"/>
    <x v="26"/>
    <x v="27"/>
    <x v="0"/>
    <x v="26"/>
    <x v="26"/>
    <x v="26"/>
    <x v="27"/>
    <x v="27"/>
    <x v="27"/>
    <x v="27"/>
    <x v="27"/>
    <x v="27"/>
    <x v="0"/>
    <x v="0"/>
    <x v="27"/>
    <x v="27"/>
    <x v="27"/>
    <x v="27"/>
    <x v="2"/>
    <x v="26"/>
  </r>
  <r>
    <n v="0.3"/>
    <x v="28"/>
    <x v="28"/>
    <x v="28"/>
    <x v="27"/>
    <x v="27"/>
    <x v="27"/>
    <x v="27"/>
    <x v="27"/>
    <x v="2"/>
    <x v="0"/>
    <x v="3"/>
    <x v="0"/>
    <x v="0"/>
    <x v="0"/>
    <x v="1"/>
    <x v="27"/>
    <x v="27"/>
    <x v="28"/>
    <x v="27"/>
    <x v="28"/>
    <x v="0"/>
    <x v="27"/>
    <x v="27"/>
    <x v="27"/>
    <x v="28"/>
    <x v="28"/>
    <x v="28"/>
    <x v="28"/>
    <x v="28"/>
    <x v="28"/>
    <x v="0"/>
    <x v="0"/>
    <x v="28"/>
    <x v="28"/>
    <x v="28"/>
    <x v="28"/>
    <x v="2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79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AP7" firstHeaderRow="2" firstDataRow="2" firstDataCol="37" rowPageCount="1" colPageCount="1"/>
  <pivotFields count="39">
    <pivotField numFmtId="9" showAll="0"/>
    <pivotField axis="axisRow" outline="0" showAll="0" defaultSubtotal="0">
      <items count="29">
        <item x="5"/>
        <item x="6"/>
        <item x="7"/>
        <item x="8"/>
        <item x="9"/>
        <item x="10"/>
        <item x="11"/>
        <item x="0"/>
        <item x="1"/>
        <item x="2"/>
        <item x="3"/>
        <item x="4"/>
        <item x="19"/>
        <item x="28"/>
        <item x="20"/>
        <item x="21"/>
        <item x="22"/>
        <item x="23"/>
        <item x="24"/>
        <item x="25"/>
        <item x="26"/>
        <item x="27"/>
        <item x="12"/>
        <item x="13"/>
        <item x="14"/>
        <item x="15"/>
        <item x="16"/>
        <item x="17"/>
        <item x="18"/>
      </items>
    </pivotField>
    <pivotField axis="axisPage" multipleItemSelectionAllowed="1" showAll="0">
      <items count="30">
        <item x="5"/>
        <item x="6"/>
        <item h="1" x="7"/>
        <item h="1" x="8"/>
        <item h="1" x="9"/>
        <item h="1" x="10"/>
        <item h="1" x="11"/>
        <item h="1" x="0"/>
        <item h="1" x="1"/>
        <item h="1" x="2"/>
        <item h="1" x="3"/>
        <item h="1" x="4"/>
        <item h="1" x="19"/>
        <item h="1" x="28"/>
        <item h="1" x="20"/>
        <item h="1" x="21"/>
        <item h="1" x="22"/>
        <item h="1" x="23"/>
        <item h="1" x="24"/>
        <item h="1" x="25"/>
        <item h="1" x="26"/>
        <item h="1" x="27"/>
        <item h="1" x="12"/>
        <item h="1" x="13"/>
        <item h="1" x="14"/>
        <item h="1" x="15"/>
        <item h="1" x="16"/>
        <item h="1" x="17"/>
        <item h="1" x="18"/>
        <item t="default"/>
      </items>
    </pivotField>
    <pivotField axis="axisRow" numFmtId="166" outline="0" showAll="0" defaultSubtotal="0">
      <items count="32">
        <item x="3"/>
        <item x="16"/>
        <item x="13"/>
        <item m="1" x="30"/>
        <item x="10"/>
        <item x="8"/>
        <item x="11"/>
        <item x="17"/>
        <item x="7"/>
        <item x="23"/>
        <item x="26"/>
        <item x="24"/>
        <item x="25"/>
        <item x="18"/>
        <item x="4"/>
        <item x="2"/>
        <item x="19"/>
        <item x="21"/>
        <item x="9"/>
        <item m="1" x="31"/>
        <item x="20"/>
        <item x="12"/>
        <item x="27"/>
        <item x="28"/>
        <item x="1"/>
        <item x="6"/>
        <item m="1" x="29"/>
        <item x="5"/>
        <item x="22"/>
        <item x="14"/>
        <item x="0"/>
        <item x="15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0"/>
        <item x="16"/>
        <item x="1"/>
        <item x="22"/>
        <item x="6"/>
        <item x="21"/>
        <item x="25"/>
        <item x="23"/>
        <item x="24"/>
        <item x="17"/>
        <item x="5"/>
        <item x="18"/>
        <item x="20"/>
        <item x="13"/>
        <item x="19"/>
        <item x="11"/>
        <item x="26"/>
        <item x="27"/>
      </items>
    </pivotField>
    <pivotField axis="axisRow" numFmtId="166" outline="0" showAll="0" defaultSubtotal="0">
      <items count="28">
        <item x="8"/>
        <item x="15"/>
        <item x="10"/>
        <item x="12"/>
        <item x="7"/>
        <item x="14"/>
        <item x="4"/>
        <item x="2"/>
        <item x="9"/>
        <item x="3"/>
        <item x="0"/>
        <item x="16"/>
        <item x="22"/>
        <item x="1"/>
        <item x="21"/>
        <item x="25"/>
        <item x="6"/>
        <item x="23"/>
        <item x="24"/>
        <item x="17"/>
        <item x="18"/>
        <item x="13"/>
        <item x="20"/>
        <item x="5"/>
        <item x="11"/>
        <item x="19"/>
        <item x="26"/>
        <item x="27"/>
      </items>
    </pivotField>
    <pivotField axis="axisRow" numFmtId="166" outline="0" showAll="0" defaultSubtotal="0">
      <items count="28">
        <item x="15"/>
        <item x="8"/>
        <item x="12"/>
        <item x="10"/>
        <item x="7"/>
        <item x="14"/>
        <item x="4"/>
        <item x="2"/>
        <item x="3"/>
        <item x="0"/>
        <item x="9"/>
        <item x="16"/>
        <item x="1"/>
        <item x="22"/>
        <item x="21"/>
        <item x="25"/>
        <item x="6"/>
        <item x="23"/>
        <item x="17"/>
        <item x="24"/>
        <item x="13"/>
        <item x="18"/>
        <item x="20"/>
        <item x="11"/>
        <item x="5"/>
        <item x="19"/>
        <item x="26"/>
        <item x="27"/>
      </items>
    </pivotField>
    <pivotField axis="axisRow" numFmtId="166" outline="0" showAll="0" defaultSubtotal="0">
      <items count="28">
        <item x="8"/>
        <item x="10"/>
        <item x="15"/>
        <item x="7"/>
        <item x="12"/>
        <item x="14"/>
        <item x="9"/>
        <item x="4"/>
        <item x="2"/>
        <item x="3"/>
        <item x="0"/>
        <item x="16"/>
        <item x="6"/>
        <item x="1"/>
        <item x="22"/>
        <item x="21"/>
        <item x="5"/>
        <item x="25"/>
        <item x="23"/>
        <item x="17"/>
        <item x="24"/>
        <item x="13"/>
        <item x="18"/>
        <item x="20"/>
        <item x="11"/>
        <item x="19"/>
        <item x="26"/>
        <item x="27"/>
      </items>
    </pivotField>
    <pivotField axis="axisRow" numFmtId="166" outline="0" showAll="0" defaultSubtotal="0">
      <items count="28">
        <item x="8"/>
        <item x="10"/>
        <item x="15"/>
        <item x="7"/>
        <item x="12"/>
        <item x="14"/>
        <item x="9"/>
        <item x="4"/>
        <item x="2"/>
        <item x="3"/>
        <item x="0"/>
        <item x="16"/>
        <item x="6"/>
        <item x="1"/>
        <item x="22"/>
        <item x="21"/>
        <item x="5"/>
        <item x="25"/>
        <item x="23"/>
        <item x="17"/>
        <item x="24"/>
        <item x="13"/>
        <item x="18"/>
        <item x="20"/>
        <item x="11"/>
        <item x="19"/>
        <item x="26"/>
        <item x="27"/>
      </items>
    </pivotField>
    <pivotField axis="axisRow" numFmtId="166" outline="0" showAll="0" defaultSubtotal="0">
      <items count="3">
        <item x="1"/>
        <item x="0"/>
        <item x="2"/>
      </items>
    </pivotField>
    <pivotField axis="axisRow" numFmtId="166" outline="0" showAll="0" defaultSubtotal="0">
      <items count="2">
        <item x="1"/>
        <item x="0"/>
      </items>
    </pivotField>
    <pivotField axis="axisRow" numFmtId="166" outline="0" showAll="0" defaultSubtotal="0">
      <items count="4">
        <item x="0"/>
        <item x="3"/>
        <item x="1"/>
        <item x="2"/>
      </items>
    </pivotField>
    <pivotField axis="axisRow" numFmtId="167" outline="0" showAll="0" defaultSubtotal="0">
      <items count="1">
        <item x="0"/>
      </items>
    </pivotField>
    <pivotField axis="axisRow" numFmtId="167" outline="0" showAll="0" defaultSubtotal="0">
      <items count="1">
        <item x="0"/>
      </items>
    </pivotField>
    <pivotField axis="axisRow" numFmtId="167" outline="0" showAll="0" defaultSubtotal="0">
      <items count="1">
        <item x="0"/>
      </items>
    </pivotField>
    <pivotField axis="axisRow" numFmtId="166" outline="0" showAll="0" defaultSubtotal="0">
      <items count="2">
        <item x="0"/>
        <item x="1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18"/>
        <item x="0"/>
        <item x="22"/>
        <item x="21"/>
        <item x="25"/>
        <item x="24"/>
        <item x="23"/>
        <item x="16"/>
        <item x="6"/>
        <item x="19"/>
        <item x="20"/>
        <item x="1"/>
        <item x="5"/>
        <item x="26"/>
        <item x="27"/>
        <item x="17"/>
        <item x="13"/>
        <item x="11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18"/>
        <item x="0"/>
        <item x="22"/>
        <item x="21"/>
        <item x="25"/>
        <item x="24"/>
        <item x="23"/>
        <item x="16"/>
        <item x="6"/>
        <item x="19"/>
        <item x="20"/>
        <item x="1"/>
        <item x="5"/>
        <item x="26"/>
        <item x="27"/>
        <item x="17"/>
        <item x="13"/>
        <item x="11"/>
      </items>
    </pivotField>
    <pivotField axis="axisRow" numFmtId="166" outline="0" showAll="0" defaultSubtotal="0">
      <items count="31">
        <item x="8"/>
        <item x="11"/>
        <item x="16"/>
        <item x="7"/>
        <item x="13"/>
        <item m="1" x="29"/>
        <item x="4"/>
        <item x="2"/>
        <item m="1" x="30"/>
        <item x="9"/>
        <item x="22"/>
        <item x="10"/>
        <item x="3"/>
        <item x="17"/>
        <item x="1"/>
        <item x="14"/>
        <item x="6"/>
        <item x="23"/>
        <item x="26"/>
        <item x="24"/>
        <item x="25"/>
        <item x="5"/>
        <item x="18"/>
        <item x="19"/>
        <item x="21"/>
        <item x="12"/>
        <item x="20"/>
        <item x="27"/>
        <item x="28"/>
        <item x="0"/>
        <item x="15"/>
      </items>
    </pivotField>
    <pivotField axis="axisRow" numFmtId="166" outline="0" showAll="0" defaultSubtotal="0">
      <items count="28">
        <item x="8"/>
        <item x="15"/>
        <item x="12"/>
        <item x="10"/>
        <item x="7"/>
        <item x="14"/>
        <item x="4"/>
        <item x="2"/>
        <item x="3"/>
        <item x="0"/>
        <item x="9"/>
        <item x="16"/>
        <item x="1"/>
        <item x="22"/>
        <item x="21"/>
        <item x="25"/>
        <item x="6"/>
        <item x="23"/>
        <item x="17"/>
        <item x="24"/>
        <item x="13"/>
        <item x="18"/>
        <item x="20"/>
        <item x="5"/>
        <item x="11"/>
        <item x="19"/>
        <item x="26"/>
        <item x="27"/>
      </items>
    </pivotField>
    <pivotField axis="axisRow" numFmtId="166" outline="0" showAll="0" defaultSubtotal="0">
      <items count="31">
        <item x="22"/>
        <item x="14"/>
        <item m="1" x="30"/>
        <item x="8"/>
        <item x="11"/>
        <item x="7"/>
        <item x="4"/>
        <item x="2"/>
        <item x="9"/>
        <item x="16"/>
        <item x="13"/>
        <item m="1" x="29"/>
        <item x="1"/>
        <item x="6"/>
        <item x="10"/>
        <item x="5"/>
        <item x="17"/>
        <item x="3"/>
        <item x="23"/>
        <item x="26"/>
        <item x="24"/>
        <item x="25"/>
        <item x="18"/>
        <item x="19"/>
        <item x="21"/>
        <item x="20"/>
        <item x="12"/>
        <item x="27"/>
        <item x="28"/>
        <item x="0"/>
        <item x="15"/>
      </items>
    </pivotField>
    <pivotField axis="axisRow" numFmtId="166" outline="0" showAll="0" defaultSubtotal="0">
      <items count="1">
        <item x="0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18"/>
        <item x="0"/>
        <item x="22"/>
        <item x="21"/>
        <item x="25"/>
        <item x="24"/>
        <item x="23"/>
        <item x="16"/>
        <item x="6"/>
        <item x="19"/>
        <item x="20"/>
        <item x="1"/>
        <item x="5"/>
        <item x="26"/>
        <item x="27"/>
        <item x="17"/>
        <item x="13"/>
        <item x="11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18"/>
        <item x="0"/>
        <item x="22"/>
        <item x="21"/>
        <item x="25"/>
        <item x="24"/>
        <item x="23"/>
        <item x="16"/>
        <item x="6"/>
        <item x="19"/>
        <item x="20"/>
        <item x="1"/>
        <item x="5"/>
        <item x="26"/>
        <item x="27"/>
        <item x="17"/>
        <item x="13"/>
        <item x="11"/>
      </items>
    </pivotField>
    <pivotField axis="axisRow" numFmtId="166" outline="0" showAll="0" defaultSubtotal="0">
      <items count="28">
        <item x="8"/>
        <item x="10"/>
        <item x="7"/>
        <item x="15"/>
        <item x="12"/>
        <item x="14"/>
        <item x="4"/>
        <item x="2"/>
        <item x="9"/>
        <item x="3"/>
        <item x="18"/>
        <item x="0"/>
        <item x="22"/>
        <item x="21"/>
        <item x="25"/>
        <item x="24"/>
        <item x="23"/>
        <item x="16"/>
        <item x="6"/>
        <item x="19"/>
        <item x="20"/>
        <item x="1"/>
        <item x="5"/>
        <item x="26"/>
        <item x="27"/>
        <item x="17"/>
        <item x="13"/>
        <item x="11"/>
      </items>
    </pivotField>
    <pivotField axis="axisRow" numFmtId="166" outline="0" showAll="0" defaultSubtotal="0">
      <items count="31">
        <item x="8"/>
        <item x="11"/>
        <item x="16"/>
        <item x="7"/>
        <item x="13"/>
        <item m="1" x="29"/>
        <item x="4"/>
        <item x="2"/>
        <item m="1" x="30"/>
        <item x="9"/>
        <item x="22"/>
        <item x="10"/>
        <item x="3"/>
        <item x="17"/>
        <item x="1"/>
        <item x="14"/>
        <item x="6"/>
        <item x="23"/>
        <item x="26"/>
        <item x="24"/>
        <item x="25"/>
        <item x="5"/>
        <item x="18"/>
        <item x="19"/>
        <item x="21"/>
        <item x="12"/>
        <item x="20"/>
        <item x="27"/>
        <item x="28"/>
        <item x="0"/>
        <item x="15"/>
      </items>
    </pivotField>
    <pivotField axis="axisRow" numFmtId="166" outline="0" showAll="0" defaultSubtotal="0">
      <items count="31">
        <item x="20"/>
        <item x="28"/>
        <item x="19"/>
        <item x="27"/>
        <item x="21"/>
        <item x="25"/>
        <item x="24"/>
        <item x="23"/>
        <item x="26"/>
        <item x="5"/>
        <item x="3"/>
        <item x="12"/>
        <item x="6"/>
        <item x="10"/>
        <item x="18"/>
        <item x="9"/>
        <item x="17"/>
        <item x="7"/>
        <item x="11"/>
        <item m="1" x="30"/>
        <item x="8"/>
        <item x="1"/>
        <item x="2"/>
        <item x="4"/>
        <item x="13"/>
        <item x="16"/>
        <item x="22"/>
        <item m="1" x="29"/>
        <item x="14"/>
        <item x="0"/>
        <item x="15"/>
      </items>
    </pivotField>
    <pivotField axis="axisRow" numFmtId="166" outline="0" showAll="0" defaultSubtotal="0">
      <items count="31">
        <item x="14"/>
        <item m="1" x="30"/>
        <item x="22"/>
        <item x="16"/>
        <item x="13"/>
        <item x="4"/>
        <item x="2"/>
        <item x="1"/>
        <item x="8"/>
        <item m="1" x="29"/>
        <item x="11"/>
        <item x="7"/>
        <item x="17"/>
        <item x="9"/>
        <item x="18"/>
        <item x="10"/>
        <item x="6"/>
        <item x="12"/>
        <item x="3"/>
        <item x="5"/>
        <item x="26"/>
        <item x="23"/>
        <item x="24"/>
        <item x="25"/>
        <item x="21"/>
        <item x="27"/>
        <item x="19"/>
        <item x="28"/>
        <item x="20"/>
        <item x="0"/>
        <item x="15"/>
      </items>
    </pivotField>
    <pivotField axis="axisRow" numFmtId="166" outline="0" showAll="0" defaultSubtotal="0">
      <items count="32">
        <item x="8"/>
        <item x="16"/>
        <item x="11"/>
        <item x="7"/>
        <item x="13"/>
        <item m="1" x="30"/>
        <item x="3"/>
        <item x="10"/>
        <item x="4"/>
        <item x="2"/>
        <item x="9"/>
        <item x="19"/>
        <item x="23"/>
        <item m="1" x="29"/>
        <item x="17"/>
        <item x="26"/>
        <item x="25"/>
        <item x="24"/>
        <item m="1" x="31"/>
        <item x="21"/>
        <item x="20"/>
        <item x="6"/>
        <item x="1"/>
        <item x="27"/>
        <item x="18"/>
        <item x="22"/>
        <item x="28"/>
        <item x="5"/>
        <item x="12"/>
        <item x="14"/>
        <item x="0"/>
        <item x="15"/>
      </items>
    </pivotField>
    <pivotField axis="axisRow" numFmtId="10" outline="0" showAll="0" defaultSubtotal="0">
      <items count="32">
        <item x="19"/>
        <item x="20"/>
        <item x="21"/>
        <item x="28"/>
        <item x="25"/>
        <item x="27"/>
        <item x="23"/>
        <item x="3"/>
        <item x="24"/>
        <item x="26"/>
        <item x="16"/>
        <item x="13"/>
        <item m="1" x="30"/>
        <item x="10"/>
        <item x="17"/>
        <item x="12"/>
        <item x="18"/>
        <item x="8"/>
        <item x="7"/>
        <item x="11"/>
        <item x="4"/>
        <item x="2"/>
        <item x="9"/>
        <item x="6"/>
        <item x="5"/>
        <item m="1" x="31"/>
        <item x="1"/>
        <item x="22"/>
        <item m="1" x="29"/>
        <item x="14"/>
        <item x="0"/>
        <item x="15"/>
      </items>
    </pivotField>
    <pivotField axis="axisRow" numFmtId="166" outline="0" showAll="0" defaultSubtotal="0">
      <items count="31">
        <item x="22"/>
        <item x="14"/>
        <item m="1" x="29"/>
        <item x="8"/>
        <item x="11"/>
        <item x="7"/>
        <item x="4"/>
        <item x="2"/>
        <item x="9"/>
        <item x="16"/>
        <item x="13"/>
        <item m="1" x="30"/>
        <item x="1"/>
        <item x="6"/>
        <item x="10"/>
        <item x="5"/>
        <item x="17"/>
        <item x="3"/>
        <item x="23"/>
        <item x="26"/>
        <item x="24"/>
        <item x="25"/>
        <item x="18"/>
        <item x="19"/>
        <item x="21"/>
        <item x="20"/>
        <item x="12"/>
        <item x="27"/>
        <item x="28"/>
        <item x="0"/>
        <item x="15"/>
      </items>
    </pivotField>
    <pivotField axis="axisRow" numFmtId="10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axis="axisRow" numFmtId="166" outline="0" showAll="0" defaultSubtotal="0">
      <items count="31">
        <item x="22"/>
        <item x="14"/>
        <item m="1" x="29"/>
        <item x="8"/>
        <item x="11"/>
        <item x="7"/>
        <item x="4"/>
        <item x="2"/>
        <item x="9"/>
        <item x="16"/>
        <item x="13"/>
        <item m="1" x="30"/>
        <item x="1"/>
        <item x="6"/>
        <item x="10"/>
        <item x="5"/>
        <item x="17"/>
        <item x="3"/>
        <item x="23"/>
        <item x="26"/>
        <item x="24"/>
        <item x="25"/>
        <item x="18"/>
        <item x="19"/>
        <item x="21"/>
        <item x="20"/>
        <item x="12"/>
        <item x="27"/>
        <item x="28"/>
        <item x="0"/>
        <item x="15"/>
      </items>
    </pivotField>
    <pivotField axis="axisRow" numFmtId="10" outline="0" showAll="0" defaultSubtotal="0">
      <items count="31">
        <item x="3"/>
        <item x="19"/>
        <item x="20"/>
        <item x="21"/>
        <item x="28"/>
        <item x="25"/>
        <item x="27"/>
        <item x="23"/>
        <item x="24"/>
        <item x="26"/>
        <item x="16"/>
        <item x="13"/>
        <item m="1" x="30"/>
        <item x="10"/>
        <item x="17"/>
        <item x="12"/>
        <item x="18"/>
        <item x="8"/>
        <item x="7"/>
        <item x="11"/>
        <item x="4"/>
        <item x="2"/>
        <item x="9"/>
        <item x="6"/>
        <item x="5"/>
        <item x="1"/>
        <item m="1" x="29"/>
        <item x="22"/>
        <item x="14"/>
        <item x="0"/>
        <item x="15"/>
      </items>
    </pivotField>
    <pivotField axis="axisRow" numFmtId="10" outline="0" showAll="0" defaultSubtotal="0">
      <items count="31">
        <item x="19"/>
        <item x="20"/>
        <item x="3"/>
        <item x="21"/>
        <item x="25"/>
        <item x="28"/>
        <item x="23"/>
        <item x="27"/>
        <item x="24"/>
        <item x="26"/>
        <item x="10"/>
        <item x="16"/>
        <item x="13"/>
        <item m="1" x="29"/>
        <item x="17"/>
        <item x="12"/>
        <item x="18"/>
        <item x="8"/>
        <item x="7"/>
        <item x="11"/>
        <item x="9"/>
        <item x="6"/>
        <item x="5"/>
        <item x="4"/>
        <item x="2"/>
        <item x="1"/>
        <item m="1" x="30"/>
        <item x="22"/>
        <item x="14"/>
        <item x="0"/>
        <item x="15"/>
      </items>
    </pivotField>
    <pivotField axis="axisRow" numFmtId="10" outline="0" showAll="0" defaultSubtotal="0">
      <items count="31">
        <item x="22"/>
        <item x="14"/>
        <item m="1" x="29"/>
        <item x="8"/>
        <item x="7"/>
        <item x="11"/>
        <item x="4"/>
        <item x="2"/>
        <item x="9"/>
        <item x="6"/>
        <item x="5"/>
        <item x="1"/>
        <item x="19"/>
        <item x="20"/>
        <item x="21"/>
        <item x="28"/>
        <item x="25"/>
        <item x="27"/>
        <item x="23"/>
        <item x="24"/>
        <item x="26"/>
        <item x="16"/>
        <item x="13"/>
        <item m="1" x="30"/>
        <item x="10"/>
        <item x="17"/>
        <item x="12"/>
        <item x="18"/>
        <item x="3"/>
        <item x="0"/>
        <item x="15"/>
      </items>
    </pivotField>
    <pivotField axis="axisRow" numFmtId="166" outline="0" showAll="0" defaultSubtotal="0">
      <items count="3">
        <item x="1"/>
        <item x="0"/>
        <item x="2"/>
      </items>
    </pivotField>
    <pivotField axis="axisRow" numFmtId="2" outline="0" showAll="0" defaultSubtotal="0">
      <items count="28">
        <item x="15"/>
        <item x="12"/>
        <item x="14"/>
        <item x="18"/>
        <item x="22"/>
        <item x="8"/>
        <item x="21"/>
        <item x="25"/>
        <item x="24"/>
        <item x="23"/>
        <item x="16"/>
        <item x="19"/>
        <item x="20"/>
        <item x="10"/>
        <item x="7"/>
        <item x="4"/>
        <item x="2"/>
        <item x="26"/>
        <item x="3"/>
        <item x="27"/>
        <item x="17"/>
        <item x="0"/>
        <item x="13"/>
        <item x="11"/>
        <item x="9"/>
        <item x="1"/>
        <item x="6"/>
        <item x="5"/>
      </items>
    </pivotField>
  </pivotFields>
  <rowFields count="37">
    <field x="1"/>
    <field x="3"/>
    <field x="4"/>
    <field x="5"/>
    <field x="6"/>
    <field x="7"/>
    <field x="8"/>
    <field x="9"/>
    <field x="10"/>
    <field x="11"/>
    <field x="12"/>
    <field x="14"/>
    <field x="13"/>
    <field x="15"/>
    <field x="16"/>
    <field x="17"/>
    <field x="18"/>
    <field x="19"/>
    <field x="20"/>
    <field x="21"/>
    <field x="23"/>
    <field x="22"/>
    <field x="24"/>
    <field x="25"/>
    <field x="26"/>
    <field x="27"/>
    <field x="28"/>
    <field x="29"/>
    <field x="30"/>
    <field x="31"/>
    <field x="32"/>
    <field x="33"/>
    <field x="34"/>
    <field x="36"/>
    <field x="35"/>
    <field x="37"/>
    <field x="38"/>
  </rowFields>
  <rowItems count="3">
    <i>
      <x/>
      <x v="27"/>
      <x v="20"/>
      <x v="23"/>
      <x v="24"/>
      <x v="16"/>
      <x v="16"/>
      <x/>
      <x/>
      <x v="2"/>
      <x/>
      <x/>
      <x/>
      <x/>
      <x v="22"/>
      <x v="22"/>
      <x v="21"/>
      <x v="23"/>
      <x v="15"/>
      <x/>
      <x v="22"/>
      <x v="22"/>
      <x v="22"/>
      <x v="21"/>
      <x v="9"/>
      <x v="19"/>
      <x v="27"/>
      <x v="24"/>
      <x v="15"/>
      <x/>
      <x/>
      <x v="15"/>
      <x v="24"/>
      <x v="10"/>
      <x v="22"/>
      <x/>
      <x v="27"/>
    </i>
    <i>
      <x v="1"/>
      <x v="25"/>
      <x v="14"/>
      <x v="16"/>
      <x v="16"/>
      <x v="12"/>
      <x v="12"/>
      <x/>
      <x/>
      <x v="2"/>
      <x/>
      <x/>
      <x/>
      <x/>
      <x v="18"/>
      <x v="18"/>
      <x v="16"/>
      <x v="16"/>
      <x v="13"/>
      <x/>
      <x v="18"/>
      <x v="18"/>
      <x v="18"/>
      <x v="16"/>
      <x v="12"/>
      <x v="16"/>
      <x v="21"/>
      <x v="23"/>
      <x v="13"/>
      <x/>
      <x/>
      <x v="13"/>
      <x v="23"/>
      <x v="9"/>
      <x v="21"/>
      <x/>
      <x v="26"/>
    </i>
    <i t="grand">
      <x/>
    </i>
  </rowItems>
  <colItems count="1">
    <i/>
  </colItems>
  <pageFields count="1">
    <pageField fld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pex">
      <a:majorFont>
        <a:latin typeface="Lucida Sans"/>
        <a:ea typeface=""/>
        <a:cs typeface=""/>
        <a:font script="Grek" typeface="Arial"/>
        <a:font script="Cyrl" typeface="Arial"/>
        <a:font script="Jpan" typeface="HG丸ｺﾞｼｯｸM-PRO"/>
        <a:font script="Hang" typeface="휴먼옛체"/>
        <a:font script="Hans" typeface="楷体_GB2312"/>
        <a:font script="Hant" typeface="微軟正黑體"/>
        <a:font script="Arab" typeface="Tahoma"/>
        <a:font script="Hebr" typeface="Levenim MT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Book Antiqua"/>
        <a:ea typeface=""/>
        <a:cs typeface=""/>
        <a:font script="Grek" typeface="Times New Roman"/>
        <a:font script="Cyrl" typeface="Times New Roman"/>
        <a:font script="Jpan" typeface="HG明朝B"/>
        <a:font script="Hang" typeface="돋움"/>
        <a:font script="Hans" typeface="宋体"/>
        <a:font script="Hant" typeface="新細明體"/>
        <a:font script="Arab" typeface="Times New Roman"/>
        <a:font script="Hebr" typeface="David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mbre extrême">
      <a:fillStyleLst>
        <a:solidFill>
          <a:schemeClr val="phClr"/>
        </a:solidFill>
        <a:gradFill rotWithShape="1">
          <a:gsLst>
            <a:gs pos="0">
              <a:schemeClr val="phClr">
                <a:tint val="90000"/>
              </a:schemeClr>
            </a:gs>
            <a:gs pos="48000">
              <a:schemeClr val="phClr">
                <a:tint val="54000"/>
                <a:satMod val="140000"/>
              </a:schemeClr>
            </a:gs>
            <a:gs pos="100000">
              <a:schemeClr val="phClr">
                <a:tint val="24000"/>
                <a:satMod val="260000"/>
              </a:schemeClr>
            </a:gs>
          </a:gsLst>
          <a:lin ang="16200000" scaled="1"/>
        </a:gradFill>
        <a:gradFill rotWithShape="1">
          <a:gsLst>
            <a:gs pos="0">
              <a:schemeClr val="phClr"/>
            </a:gs>
            <a:gs pos="100000">
              <a:schemeClr val="phClr">
                <a:shade val="48000"/>
                <a:satMod val="180000"/>
                <a:lumMod val="94000"/>
              </a:schemeClr>
            </a:gs>
            <a:gs pos="100000">
              <a:schemeClr val="phClr">
                <a:shade val="48000"/>
                <a:satMod val="180000"/>
                <a:lumMod val="94000"/>
              </a:schemeClr>
            </a:gs>
          </a:gsLst>
          <a:lin ang="4140000" scaled="1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12700" dir="5400000" sx="102000" sy="102000" rotWithShape="0">
              <a:srgbClr val="000000">
                <a:alpha val="32000"/>
              </a:srgbClr>
            </a:outerShdw>
          </a:effectLst>
        </a:effectStyle>
        <a:effectStyle>
          <a:effectLst>
            <a:outerShdw blurRad="76200" dist="38100" dir="54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9800000"/>
            </a:lightRig>
          </a:scene3d>
          <a:sp3d prstMaterial="plastic">
            <a:bevelT w="25400" h="19050"/>
          </a:sp3d>
        </a:effectStyle>
        <a:effectStyle>
          <a:effectLst>
            <a:outerShdw blurRad="114300" dist="114300" dir="5400000" rotWithShape="0">
              <a:srgbClr val="000000">
                <a:alpha val="70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9800000"/>
            </a:lightRig>
          </a:scene3d>
          <a:sp3d prstMaterial="plastic">
            <a:bevelT w="38100" h="3175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showGridLines="0" tabSelected="1" workbookViewId="0">
      <selection activeCell="C15" sqref="C15"/>
    </sheetView>
  </sheetViews>
  <sheetFormatPr baseColWidth="10" defaultRowHeight="13" x14ac:dyDescent="0"/>
  <cols>
    <col min="1" max="1" width="57.6640625" bestFit="1" customWidth="1"/>
    <col min="2" max="2" width="16" bestFit="1" customWidth="1"/>
    <col min="3" max="3" width="11" bestFit="1" customWidth="1"/>
  </cols>
  <sheetData>
    <row r="1" spans="1:3" ht="18">
      <c r="A1" s="26"/>
      <c r="B1" s="27"/>
    </row>
    <row r="2" spans="1:3">
      <c r="A2" s="28"/>
      <c r="B2" s="27"/>
    </row>
    <row r="3" spans="1:3">
      <c r="A3" s="28"/>
      <c r="B3" s="27"/>
    </row>
    <row r="4" spans="1:3" ht="18">
      <c r="A4" s="64"/>
      <c r="B4" s="65">
        <v>0.25</v>
      </c>
      <c r="C4" s="65">
        <v>0.25</v>
      </c>
    </row>
    <row r="5" spans="1:3" ht="18">
      <c r="A5" s="30" t="s">
        <v>69</v>
      </c>
      <c r="B5" s="29" t="str">
        <f>Feuil5!A5</f>
        <v>Colpach 1</v>
      </c>
      <c r="C5" s="29" t="str">
        <f>Feuil5!A6</f>
        <v>Colpach A0</v>
      </c>
    </row>
    <row r="6" spans="1:3" ht="18">
      <c r="A6" s="31" t="s">
        <v>25</v>
      </c>
      <c r="B6" s="32">
        <f t="shared" ref="B6:C6" si="0">B7*B4</f>
        <v>218974.42600000001</v>
      </c>
      <c r="C6" s="32">
        <f t="shared" si="0"/>
        <v>178954.79199999999</v>
      </c>
    </row>
    <row r="7" spans="1:3" ht="18">
      <c r="A7" s="31" t="s">
        <v>27</v>
      </c>
      <c r="B7" s="32">
        <f t="shared" ref="B7:C7" si="1">B8+B11+B18+(B12*B15)+(B13*B16)+(B14*B17)</f>
        <v>875897.70400000003</v>
      </c>
      <c r="C7" s="32">
        <f t="shared" si="1"/>
        <v>715819.16799999995</v>
      </c>
    </row>
    <row r="8" spans="1:3" ht="14">
      <c r="A8" s="33" t="s">
        <v>28</v>
      </c>
      <c r="B8" s="34">
        <f>Feuil5!D5</f>
        <v>791173</v>
      </c>
      <c r="C8" s="34">
        <f>Feuil5!D6</f>
        <v>655730</v>
      </c>
    </row>
    <row r="9" spans="1:3" ht="14">
      <c r="A9" s="33" t="s">
        <v>5</v>
      </c>
      <c r="B9" s="34">
        <f>Feuil5!E5</f>
        <v>463091</v>
      </c>
      <c r="C9" s="34">
        <f>Feuil5!F5</f>
        <v>249357</v>
      </c>
    </row>
    <row r="10" spans="1:3" ht="14">
      <c r="A10" s="33" t="s">
        <v>26</v>
      </c>
      <c r="B10" s="34">
        <f>Feuil5!F5</f>
        <v>249357</v>
      </c>
      <c r="C10" s="34">
        <f>Feuil5!F6</f>
        <v>206669</v>
      </c>
    </row>
    <row r="11" spans="1:3" ht="14">
      <c r="A11" s="33" t="s">
        <v>19</v>
      </c>
      <c r="B11" s="35">
        <f t="shared" ref="B11:C11" si="2">B10*7.2%</f>
        <v>17953.704000000002</v>
      </c>
      <c r="C11" s="35">
        <f t="shared" si="2"/>
        <v>14880.168000000001</v>
      </c>
    </row>
    <row r="12" spans="1:3" ht="14">
      <c r="A12" s="33" t="s">
        <v>29</v>
      </c>
      <c r="B12" s="35">
        <f>Feuil5!H5</f>
        <v>21563</v>
      </c>
      <c r="C12" s="35">
        <f>Feuil5!I5</f>
        <v>11438</v>
      </c>
    </row>
    <row r="13" spans="1:3" ht="14">
      <c r="A13" s="33" t="s">
        <v>30</v>
      </c>
      <c r="B13" s="35">
        <f>Feuil5!I5</f>
        <v>11438</v>
      </c>
      <c r="C13" s="35">
        <f>Feuil5!J5</f>
        <v>23770</v>
      </c>
    </row>
    <row r="14" spans="1:3" ht="14">
      <c r="A14" s="33" t="s">
        <v>31</v>
      </c>
      <c r="B14" s="35">
        <f>Feuil5!J5</f>
        <v>23770</v>
      </c>
      <c r="C14" s="35">
        <f>Feuil5!K5</f>
        <v>1</v>
      </c>
    </row>
    <row r="15" spans="1:3" ht="14">
      <c r="A15" s="33" t="s">
        <v>32</v>
      </c>
      <c r="B15" s="55">
        <v>1</v>
      </c>
      <c r="C15" s="55">
        <v>1</v>
      </c>
    </row>
    <row r="16" spans="1:3" ht="14">
      <c r="A16" s="33" t="s">
        <v>33</v>
      </c>
      <c r="B16" s="55">
        <v>1</v>
      </c>
      <c r="C16" s="55">
        <v>1</v>
      </c>
    </row>
    <row r="17" spans="1:3" ht="14">
      <c r="A17" s="33" t="s">
        <v>34</v>
      </c>
      <c r="B17" s="55">
        <v>1</v>
      </c>
      <c r="C17" s="55">
        <v>1</v>
      </c>
    </row>
    <row r="18" spans="1:3" ht="14">
      <c r="A18" s="33" t="s">
        <v>4</v>
      </c>
      <c r="B18" s="35">
        <v>10000</v>
      </c>
      <c r="C18" s="35">
        <v>10000</v>
      </c>
    </row>
    <row r="19" spans="1:3" ht="17">
      <c r="A19" s="36"/>
      <c r="B19" s="37"/>
      <c r="C19" s="37"/>
    </row>
    <row r="20" spans="1:3" ht="14">
      <c r="A20" s="38" t="s">
        <v>3</v>
      </c>
      <c r="B20" s="39">
        <f t="shared" ref="B20:C20" si="3">IF(B15&gt;0,(B49*B48)+250,(B49*B48))</f>
        <v>2766.04</v>
      </c>
      <c r="C20" s="39">
        <f t="shared" si="3"/>
        <v>250</v>
      </c>
    </row>
    <row r="21" spans="1:3" ht="14">
      <c r="A21" s="38" t="s">
        <v>14</v>
      </c>
      <c r="B21" s="39">
        <f t="shared" ref="B21:C21" si="4">B20*12</f>
        <v>33192.479999999996</v>
      </c>
      <c r="C21" s="39">
        <f t="shared" si="4"/>
        <v>3000</v>
      </c>
    </row>
    <row r="22" spans="1:3">
      <c r="A22" s="36"/>
      <c r="B22" s="40"/>
      <c r="C22" s="40"/>
    </row>
    <row r="23" spans="1:3" ht="14">
      <c r="A23" s="38" t="s">
        <v>6</v>
      </c>
      <c r="B23" s="56" t="e">
        <f t="shared" ref="B23:C23" si="5">B30</f>
        <v>#REF!</v>
      </c>
      <c r="C23" s="56" t="e">
        <f t="shared" si="5"/>
        <v>#REF!</v>
      </c>
    </row>
    <row r="24" spans="1:3" ht="14">
      <c r="A24" s="38" t="s">
        <v>8</v>
      </c>
      <c r="B24" s="39">
        <f t="shared" ref="B24:C24" si="6">(B9*6%)+(B18*10%)+((B11*60%)*6%)</f>
        <v>29431.793343999998</v>
      </c>
      <c r="C24" s="39">
        <f t="shared" si="6"/>
        <v>16497.106048000001</v>
      </c>
    </row>
    <row r="25" spans="1:3" ht="14">
      <c r="A25" s="38" t="s">
        <v>0</v>
      </c>
      <c r="B25" s="39" t="e">
        <f>SUM(#REF!)</f>
        <v>#REF!</v>
      </c>
      <c r="C25" s="39" t="e">
        <f>SUM(#REF!)</f>
        <v>#REF!</v>
      </c>
    </row>
    <row r="26" spans="1:3" ht="14">
      <c r="A26" s="38" t="s">
        <v>1</v>
      </c>
      <c r="B26" s="39">
        <v>2400</v>
      </c>
      <c r="C26" s="39">
        <v>2400</v>
      </c>
    </row>
    <row r="27" spans="1:3" ht="14">
      <c r="A27" s="38" t="s">
        <v>7</v>
      </c>
      <c r="B27" s="39">
        <f t="shared" ref="B27:C27" si="7">B20</f>
        <v>2766.04</v>
      </c>
      <c r="C27" s="39">
        <f t="shared" si="7"/>
        <v>250</v>
      </c>
    </row>
    <row r="28" spans="1:3" ht="14">
      <c r="A28" s="38" t="s">
        <v>2</v>
      </c>
      <c r="B28" s="39">
        <f t="shared" ref="B28:C28" si="8">(B20*12)*3%</f>
        <v>995.77439999999979</v>
      </c>
      <c r="C28" s="39">
        <f t="shared" si="8"/>
        <v>90</v>
      </c>
    </row>
    <row r="29" spans="1:3" ht="14">
      <c r="A29" s="38" t="s">
        <v>9</v>
      </c>
      <c r="B29" s="39">
        <f t="shared" ref="B29:C29" si="9">SUM(B26:B28)</f>
        <v>6161.8143999999993</v>
      </c>
      <c r="C29" s="39">
        <f t="shared" si="9"/>
        <v>2740</v>
      </c>
    </row>
    <row r="30" spans="1:3" ht="14">
      <c r="A30" s="38" t="s">
        <v>10</v>
      </c>
      <c r="B30" s="39" t="e">
        <f t="shared" ref="B30:C30" si="10">B29+B25+B24</f>
        <v>#REF!</v>
      </c>
      <c r="C30" s="39" t="e">
        <f t="shared" si="10"/>
        <v>#REF!</v>
      </c>
    </row>
    <row r="31" spans="1:3">
      <c r="A31" s="41"/>
      <c r="B31" s="42" t="s">
        <v>69</v>
      </c>
      <c r="C31" s="42" t="s">
        <v>69</v>
      </c>
    </row>
    <row r="32" spans="1:3" ht="14">
      <c r="A32" s="43" t="s">
        <v>35</v>
      </c>
      <c r="B32" s="43" t="e">
        <f t="shared" ref="B32:C32" si="11">B21-B24-B25-B29</f>
        <v>#REF!</v>
      </c>
      <c r="C32" s="43" t="e">
        <f t="shared" si="11"/>
        <v>#REF!</v>
      </c>
    </row>
    <row r="33" spans="1:3" ht="14">
      <c r="A33" s="38" t="s">
        <v>12</v>
      </c>
      <c r="B33" s="39" t="e">
        <f t="shared" ref="B33:C33" si="12">-B32*38%</f>
        <v>#REF!</v>
      </c>
      <c r="C33" s="39" t="e">
        <f t="shared" si="12"/>
        <v>#REF!</v>
      </c>
    </row>
    <row r="34" spans="1:3">
      <c r="A34" s="36"/>
      <c r="B34" s="40"/>
      <c r="C34" s="40"/>
    </row>
    <row r="35" spans="1:3">
      <c r="A35" s="36"/>
      <c r="B35" s="40"/>
      <c r="C35" s="40"/>
    </row>
    <row r="36" spans="1:3" ht="14">
      <c r="A36" s="38" t="s">
        <v>23</v>
      </c>
      <c r="B36" s="57" t="e">
        <f t="shared" ref="B36:C36" si="13">B21+B33-B27-B25</f>
        <v>#REF!</v>
      </c>
      <c r="C36" s="57" t="e">
        <f t="shared" si="13"/>
        <v>#REF!</v>
      </c>
    </row>
    <row r="37" spans="1:3" ht="23">
      <c r="A37" s="44" t="s">
        <v>17</v>
      </c>
      <c r="B37" s="45" t="e">
        <f t="shared" ref="B37:C37" si="14">B36/B7</f>
        <v>#REF!</v>
      </c>
      <c r="C37" s="45" t="e">
        <f t="shared" si="14"/>
        <v>#REF!</v>
      </c>
    </row>
    <row r="38" spans="1:3">
      <c r="A38" s="27"/>
      <c r="B38" s="27"/>
      <c r="C38" s="27"/>
    </row>
    <row r="39" spans="1:3" ht="14">
      <c r="A39" s="33" t="s">
        <v>20</v>
      </c>
      <c r="B39" s="58">
        <f t="shared" ref="B39:C39" si="15">B7-B6</f>
        <v>656923.27800000005</v>
      </c>
      <c r="C39" s="58">
        <f t="shared" si="15"/>
        <v>536864.37599999993</v>
      </c>
    </row>
    <row r="40" spans="1:3" ht="14">
      <c r="A40" s="33" t="s">
        <v>16</v>
      </c>
      <c r="B40" s="59">
        <v>2.2499999999999999E-2</v>
      </c>
      <c r="C40" s="59">
        <v>2.2499999999999999E-2</v>
      </c>
    </row>
    <row r="41" spans="1:3" ht="14">
      <c r="A41" s="33" t="s">
        <v>22</v>
      </c>
      <c r="B41" s="60">
        <v>20</v>
      </c>
      <c r="C41" s="60">
        <v>20</v>
      </c>
    </row>
    <row r="42" spans="1:3" ht="14">
      <c r="A42" s="33" t="s">
        <v>15</v>
      </c>
      <c r="B42" s="61" t="e">
        <f>[0]!Pmt_Mensuel_Programmé</f>
        <v>#REF!</v>
      </c>
      <c r="C42" s="61" t="e">
        <f>[0]!Pmt_Mensuel_Programmé</f>
        <v>#REF!</v>
      </c>
    </row>
    <row r="43" spans="1:3">
      <c r="A43" s="46"/>
      <c r="B43" s="47"/>
      <c r="C43" s="47"/>
    </row>
    <row r="44" spans="1:3" ht="14">
      <c r="A44" s="33" t="s">
        <v>24</v>
      </c>
      <c r="B44" s="62" t="e">
        <f t="shared" ref="B44:C44" si="16">((B33/12)+B20-(B27/12))/B42</f>
        <v>#REF!</v>
      </c>
      <c r="C44" s="62" t="e">
        <f t="shared" si="16"/>
        <v>#REF!</v>
      </c>
    </row>
    <row r="45" spans="1:3" ht="14">
      <c r="A45" s="33" t="s">
        <v>21</v>
      </c>
      <c r="B45" s="62" t="e">
        <f t="shared" ref="B45:C45" si="17">B20/B42</f>
        <v>#REF!</v>
      </c>
      <c r="C45" s="62" t="e">
        <f t="shared" si="17"/>
        <v>#REF!</v>
      </c>
    </row>
    <row r="46" spans="1:3" ht="23">
      <c r="A46" s="44" t="s">
        <v>11</v>
      </c>
      <c r="B46" s="45" t="e">
        <f t="shared" ref="B46:C46" si="18">B36/B6</f>
        <v>#REF!</v>
      </c>
      <c r="C46" s="45" t="e">
        <f t="shared" si="18"/>
        <v>#REF!</v>
      </c>
    </row>
    <row r="47" spans="1:3">
      <c r="A47" s="27"/>
      <c r="B47" s="27"/>
      <c r="C47" s="27"/>
    </row>
    <row r="48" spans="1:3" ht="14">
      <c r="A48" s="48" t="s">
        <v>18</v>
      </c>
      <c r="B48" s="63">
        <f>Feuil5!AJ5</f>
        <v>12</v>
      </c>
      <c r="C48" s="63">
        <f>Feuil5!AK5</f>
        <v>209.67</v>
      </c>
    </row>
    <row r="49" spans="1:3" ht="14">
      <c r="A49" s="48" t="s">
        <v>13</v>
      </c>
      <c r="B49" s="49">
        <f>Feuil5!J1+Feuil5!AL5+Feuil5!AK5</f>
        <v>209.67</v>
      </c>
      <c r="C49" s="49">
        <f>Feuil5!K1+Feuil5!AM5+Feuil5!AL5</f>
        <v>0</v>
      </c>
    </row>
    <row r="50" spans="1:3">
      <c r="A50" s="28"/>
      <c r="B50" s="27"/>
    </row>
    <row r="51" spans="1:3" ht="25">
      <c r="A51" s="50" t="s">
        <v>70</v>
      </c>
      <c r="B51" s="27"/>
    </row>
    <row r="52" spans="1:3">
      <c r="A52" s="28"/>
      <c r="B52" s="27"/>
    </row>
    <row r="53" spans="1:3">
      <c r="A53" s="28"/>
      <c r="B53" s="27"/>
    </row>
    <row r="54" spans="1:3">
      <c r="A54" s="28"/>
      <c r="B54" s="27"/>
    </row>
    <row r="55" spans="1:3">
      <c r="A55" s="28"/>
      <c r="B55" s="27"/>
    </row>
    <row r="56" spans="1:3">
      <c r="A56" s="28"/>
      <c r="B56" s="27"/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workbookViewId="0">
      <selection activeCell="F33" sqref="F33"/>
    </sheetView>
  </sheetViews>
  <sheetFormatPr baseColWidth="10" defaultRowHeight="13" x14ac:dyDescent="0"/>
  <cols>
    <col min="1" max="1" width="19" bestFit="1" customWidth="1"/>
    <col min="2" max="2" width="19" customWidth="1"/>
    <col min="3" max="3" width="17.33203125" bestFit="1" customWidth="1"/>
    <col min="4" max="4" width="16.5" bestFit="1" customWidth="1"/>
    <col min="5" max="5" width="20" bestFit="1" customWidth="1"/>
    <col min="6" max="6" width="17.83203125" bestFit="1" customWidth="1"/>
    <col min="7" max="7" width="20.1640625" bestFit="1" customWidth="1"/>
    <col min="8" max="8" width="11.33203125" customWidth="1"/>
    <col min="9" max="9" width="11.33203125" bestFit="1" customWidth="1"/>
    <col min="10" max="10" width="11.33203125" customWidth="1"/>
    <col min="11" max="11" width="14.6640625" bestFit="1" customWidth="1"/>
    <col min="12" max="12" width="11.6640625" bestFit="1" customWidth="1"/>
    <col min="13" max="13" width="15.1640625" bestFit="1" customWidth="1"/>
    <col min="14" max="14" width="24" bestFit="1" customWidth="1"/>
    <col min="15" max="15" width="16" bestFit="1" customWidth="1"/>
    <col min="16" max="16" width="22.83203125" bestFit="1" customWidth="1"/>
    <col min="17" max="17" width="12.5" bestFit="1" customWidth="1"/>
    <col min="18" max="18" width="16.1640625" bestFit="1" customWidth="1"/>
    <col min="19" max="19" width="17.5" bestFit="1" customWidth="1"/>
    <col min="20" max="20" width="20.33203125" bestFit="1" customWidth="1"/>
    <col min="21" max="21" width="32.1640625" bestFit="1" customWidth="1"/>
    <col min="22" max="22" width="27.5" bestFit="1" customWidth="1"/>
    <col min="23" max="23" width="17" bestFit="1" customWidth="1"/>
    <col min="24" max="24" width="11.33203125" customWidth="1"/>
    <col min="25" max="25" width="20.5" bestFit="1" customWidth="1"/>
    <col min="26" max="26" width="28.5" bestFit="1" customWidth="1"/>
    <col min="27" max="27" width="17.83203125" bestFit="1" customWidth="1"/>
    <col min="28" max="28" width="18" bestFit="1" customWidth="1"/>
    <col min="29" max="29" width="14.6640625" bestFit="1" customWidth="1"/>
    <col min="30" max="30" width="8.1640625" bestFit="1" customWidth="1"/>
    <col min="31" max="31" width="14" bestFit="1" customWidth="1"/>
    <col min="32" max="32" width="19.83203125" bestFit="1" customWidth="1"/>
    <col min="33" max="33" width="51.6640625" bestFit="1" customWidth="1"/>
    <col min="34" max="34" width="26.83203125" bestFit="1" customWidth="1"/>
    <col min="35" max="35" width="22.6640625" bestFit="1" customWidth="1"/>
    <col min="36" max="36" width="13.1640625" bestFit="1" customWidth="1"/>
    <col min="37" max="37" width="19.33203125" bestFit="1" customWidth="1"/>
    <col min="38" max="38" width="7" bestFit="1" customWidth="1"/>
  </cols>
  <sheetData>
    <row r="1" spans="1:37">
      <c r="A1" s="25" t="s">
        <v>68</v>
      </c>
      <c r="B1" t="s">
        <v>72</v>
      </c>
    </row>
    <row r="4" spans="1:37">
      <c r="A4" s="25" t="s">
        <v>67</v>
      </c>
      <c r="B4" s="25" t="s">
        <v>25</v>
      </c>
      <c r="C4" s="25" t="s">
        <v>27</v>
      </c>
      <c r="D4" s="25" t="s">
        <v>28</v>
      </c>
      <c r="E4" s="25" t="s">
        <v>5</v>
      </c>
      <c r="F4" s="25" t="s">
        <v>26</v>
      </c>
      <c r="G4" s="25" t="s">
        <v>19</v>
      </c>
      <c r="H4" s="25" t="s">
        <v>29</v>
      </c>
      <c r="I4" s="25" t="s">
        <v>30</v>
      </c>
      <c r="J4" s="25" t="s">
        <v>31</v>
      </c>
      <c r="K4" s="25" t="s">
        <v>32</v>
      </c>
      <c r="L4" s="25" t="s">
        <v>34</v>
      </c>
      <c r="M4" s="25" t="s">
        <v>33</v>
      </c>
      <c r="N4" s="25" t="s">
        <v>4</v>
      </c>
      <c r="O4" s="25" t="s">
        <v>3</v>
      </c>
      <c r="P4" s="25" t="s">
        <v>14</v>
      </c>
      <c r="Q4" s="25" t="s">
        <v>6</v>
      </c>
      <c r="R4" s="25" t="s">
        <v>8</v>
      </c>
      <c r="S4" s="25" t="s">
        <v>0</v>
      </c>
      <c r="T4" s="25" t="s">
        <v>1</v>
      </c>
      <c r="U4" s="25" t="s">
        <v>2</v>
      </c>
      <c r="V4" s="25" t="s">
        <v>7</v>
      </c>
      <c r="W4" s="25" t="s">
        <v>9</v>
      </c>
      <c r="X4" s="25" t="s">
        <v>10</v>
      </c>
      <c r="Y4" s="25" t="s">
        <v>35</v>
      </c>
      <c r="Z4" s="25" t="s">
        <v>12</v>
      </c>
      <c r="AA4" s="25" t="s">
        <v>23</v>
      </c>
      <c r="AB4" s="25" t="s">
        <v>17</v>
      </c>
      <c r="AC4" s="25" t="s">
        <v>20</v>
      </c>
      <c r="AD4" s="25" t="s">
        <v>16</v>
      </c>
      <c r="AE4" s="25" t="s">
        <v>22</v>
      </c>
      <c r="AF4" s="25" t="s">
        <v>15</v>
      </c>
      <c r="AG4" s="25" t="s">
        <v>24</v>
      </c>
      <c r="AH4" s="25" t="s">
        <v>11</v>
      </c>
      <c r="AI4" s="25" t="s">
        <v>21</v>
      </c>
      <c r="AJ4" s="25" t="s">
        <v>18</v>
      </c>
      <c r="AK4" s="25" t="s">
        <v>13</v>
      </c>
    </row>
    <row r="5" spans="1:37">
      <c r="A5" t="s">
        <v>40</v>
      </c>
      <c r="B5" s="51">
        <v>436948.85200000001</v>
      </c>
      <c r="C5" s="51">
        <v>873897.70400000003</v>
      </c>
      <c r="D5" s="51">
        <v>791173</v>
      </c>
      <c r="E5" s="51">
        <v>463091</v>
      </c>
      <c r="F5" s="51">
        <v>249357</v>
      </c>
      <c r="G5" s="51">
        <v>17953.704000000002</v>
      </c>
      <c r="H5" s="51">
        <v>21563</v>
      </c>
      <c r="I5" s="51">
        <v>11438</v>
      </c>
      <c r="J5" s="51">
        <v>23770</v>
      </c>
      <c r="K5" s="52">
        <v>1</v>
      </c>
      <c r="L5" s="52">
        <v>1</v>
      </c>
      <c r="M5" s="52">
        <v>1</v>
      </c>
      <c r="N5" s="51">
        <v>8000</v>
      </c>
      <c r="O5" s="51">
        <v>2641.04</v>
      </c>
      <c r="P5" s="51">
        <v>31692.48</v>
      </c>
      <c r="Q5" s="51">
        <v>44875.230220071928</v>
      </c>
      <c r="R5" s="51">
        <v>29231.793343999998</v>
      </c>
      <c r="S5" s="51">
        <v>9651.6224760719342</v>
      </c>
      <c r="T5" s="51">
        <v>2400</v>
      </c>
      <c r="U5" s="51">
        <v>950.7743999999999</v>
      </c>
      <c r="V5" s="51">
        <v>2641.04</v>
      </c>
      <c r="W5" s="51">
        <v>5991.8144000000002</v>
      </c>
      <c r="X5" s="51">
        <v>44875.230220071928</v>
      </c>
      <c r="Y5" s="51">
        <v>-13182.750220071932</v>
      </c>
      <c r="Z5" s="51">
        <v>5009.4450836273345</v>
      </c>
      <c r="AA5" s="51">
        <v>24409.2626075554</v>
      </c>
      <c r="AB5" s="53">
        <v>2.7931487284872644E-2</v>
      </c>
      <c r="AC5" s="51">
        <v>436948.85200000001</v>
      </c>
      <c r="AD5" s="53">
        <v>2.2499999999999999E-2</v>
      </c>
      <c r="AE5">
        <v>20</v>
      </c>
      <c r="AF5" s="51">
        <v>2262.5573593897775</v>
      </c>
      <c r="AG5" s="53">
        <v>1.2545127656201431</v>
      </c>
      <c r="AH5" s="53">
        <v>5.5862974569745288E-2</v>
      </c>
      <c r="AI5" s="53">
        <v>1.1672809040794003</v>
      </c>
      <c r="AJ5" s="51">
        <v>12</v>
      </c>
      <c r="AK5" s="54">
        <v>209.67</v>
      </c>
    </row>
    <row r="6" spans="1:37">
      <c r="A6" t="s">
        <v>44</v>
      </c>
      <c r="B6" s="51">
        <v>367690.58399999997</v>
      </c>
      <c r="C6" s="51">
        <v>735381.16799999995</v>
      </c>
      <c r="D6" s="51">
        <v>655730</v>
      </c>
      <c r="E6" s="51">
        <v>383813</v>
      </c>
      <c r="F6" s="51">
        <v>206669</v>
      </c>
      <c r="G6" s="51">
        <v>14880.168000000001</v>
      </c>
      <c r="H6" s="51">
        <v>21563</v>
      </c>
      <c r="I6" s="51">
        <v>11438</v>
      </c>
      <c r="J6" s="51">
        <v>23770</v>
      </c>
      <c r="K6" s="52">
        <v>1</v>
      </c>
      <c r="L6" s="52">
        <v>1</v>
      </c>
      <c r="M6" s="52">
        <v>1</v>
      </c>
      <c r="N6" s="51">
        <v>8000</v>
      </c>
      <c r="O6" s="51">
        <v>2210.2400000000002</v>
      </c>
      <c r="P6" s="51">
        <v>26522.880000000005</v>
      </c>
      <c r="Q6" s="51">
        <v>37892.19134627108</v>
      </c>
      <c r="R6" s="51">
        <v>24364.466047999998</v>
      </c>
      <c r="S6" s="51">
        <v>8121.7988982710831</v>
      </c>
      <c r="T6" s="51">
        <v>2400</v>
      </c>
      <c r="U6" s="51">
        <v>795.68640000000016</v>
      </c>
      <c r="V6" s="51">
        <v>2210.2400000000002</v>
      </c>
      <c r="W6" s="51">
        <v>5405.9264000000003</v>
      </c>
      <c r="X6" s="51">
        <v>37892.19134627108</v>
      </c>
      <c r="Y6" s="51">
        <v>-11369.311346271077</v>
      </c>
      <c r="Z6" s="51">
        <v>4320.3383115830093</v>
      </c>
      <c r="AA6" s="51">
        <v>20511.179413311926</v>
      </c>
      <c r="AB6" s="53">
        <v>2.789190192223134E-2</v>
      </c>
      <c r="AC6" s="51">
        <v>367690.58399999997</v>
      </c>
      <c r="AD6" s="53">
        <v>2.2499999999999999E-2</v>
      </c>
      <c r="AE6">
        <v>20</v>
      </c>
      <c r="AF6" s="51">
        <v>1903.9323092386223</v>
      </c>
      <c r="AG6" s="53">
        <v>1.2532386337408388</v>
      </c>
      <c r="AH6" s="53">
        <v>5.578380384446268E-2</v>
      </c>
      <c r="AI6" s="53">
        <v>1.1608816076470017</v>
      </c>
      <c r="AJ6" s="51">
        <v>12</v>
      </c>
      <c r="AK6" s="54">
        <v>173.77</v>
      </c>
    </row>
    <row r="7" spans="1:37">
      <c r="A7" t="s">
        <v>71</v>
      </c>
    </row>
  </sheetData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0"/>
  <sheetViews>
    <sheetView workbookViewId="0">
      <selection activeCell="E1" sqref="E1"/>
    </sheetView>
  </sheetViews>
  <sheetFormatPr baseColWidth="10" defaultRowHeight="13" x14ac:dyDescent="0"/>
  <cols>
    <col min="1" max="1" width="6.1640625" bestFit="1" customWidth="1"/>
    <col min="2" max="2" width="8.5" bestFit="1" customWidth="1"/>
    <col min="3" max="3" width="8.5" customWidth="1"/>
    <col min="4" max="4" width="10.5" bestFit="1" customWidth="1"/>
    <col min="5" max="5" width="12.1640625" bestFit="1" customWidth="1"/>
    <col min="6" max="6" width="11.6640625" bestFit="1" customWidth="1"/>
    <col min="7" max="7" width="14.5" bestFit="1" customWidth="1"/>
    <col min="8" max="8" width="13.1640625" bestFit="1" customWidth="1"/>
    <col min="9" max="9" width="15.33203125" bestFit="1" customWidth="1"/>
    <col min="10" max="12" width="8.83203125" bestFit="1" customWidth="1"/>
    <col min="13" max="13" width="9.5" bestFit="1" customWidth="1"/>
    <col min="14" max="14" width="9.83203125" bestFit="1" customWidth="1"/>
    <col min="15" max="15" width="7.1640625" bestFit="1" customWidth="1"/>
    <col min="16" max="16" width="17.33203125" bestFit="1" customWidth="1"/>
    <col min="17" max="17" width="11.33203125" bestFit="1" customWidth="1"/>
    <col min="18" max="18" width="17.5" bestFit="1" customWidth="1"/>
    <col min="19" max="19" width="8.83203125" bestFit="1" customWidth="1"/>
    <col min="20" max="20" width="11.5" bestFit="1" customWidth="1"/>
    <col min="21" max="21" width="12.83203125" bestFit="1" customWidth="1"/>
    <col min="22" max="22" width="15.33203125" bestFit="1" customWidth="1"/>
    <col min="23" max="23" width="19.5" bestFit="1" customWidth="1"/>
    <col min="24" max="24" width="25" bestFit="1" customWidth="1"/>
    <col min="25" max="25" width="12.33203125" bestFit="1" customWidth="1"/>
    <col min="26" max="26" width="8.83203125" bestFit="1" customWidth="1"/>
    <col min="27" max="27" width="14.5" bestFit="1" customWidth="1"/>
    <col min="28" max="28" width="21.6640625" bestFit="1" customWidth="1"/>
    <col min="29" max="29" width="13" bestFit="1" customWidth="1"/>
    <col min="30" max="30" width="13.33203125" bestFit="1" customWidth="1"/>
    <col min="31" max="31" width="10.33203125" bestFit="1" customWidth="1"/>
    <col min="32" max="32" width="5.1640625" bestFit="1" customWidth="1"/>
    <col min="33" max="33" width="9.83203125" bestFit="1" customWidth="1"/>
    <col min="34" max="34" width="14.83203125" bestFit="1" customWidth="1"/>
    <col min="35" max="35" width="13.5" customWidth="1"/>
    <col min="36" max="36" width="17.5" bestFit="1" customWidth="1"/>
    <col min="37" max="37" width="20.5" bestFit="1" customWidth="1"/>
    <col min="38" max="38" width="8.83203125" bestFit="1" customWidth="1"/>
    <col min="39" max="39" width="14.5" bestFit="1" customWidth="1"/>
  </cols>
  <sheetData>
    <row r="1" spans="1:39">
      <c r="A1" s="2" t="s">
        <v>66</v>
      </c>
      <c r="B1" s="3" t="s">
        <v>65</v>
      </c>
      <c r="C1" s="3" t="s">
        <v>68</v>
      </c>
      <c r="D1" s="4" t="s">
        <v>25</v>
      </c>
      <c r="E1" s="4" t="s">
        <v>27</v>
      </c>
      <c r="F1" s="6" t="s">
        <v>28</v>
      </c>
      <c r="G1" s="6" t="s">
        <v>5</v>
      </c>
      <c r="H1" s="6" t="s">
        <v>26</v>
      </c>
      <c r="I1" s="6" t="s">
        <v>19</v>
      </c>
      <c r="J1" s="6" t="s">
        <v>29</v>
      </c>
      <c r="K1" s="6" t="s">
        <v>30</v>
      </c>
      <c r="L1" s="6" t="s">
        <v>31</v>
      </c>
      <c r="M1" s="6" t="s">
        <v>32</v>
      </c>
      <c r="N1" s="6" t="s">
        <v>33</v>
      </c>
      <c r="O1" s="6" t="s">
        <v>34</v>
      </c>
      <c r="P1" s="6" t="s">
        <v>4</v>
      </c>
      <c r="Q1" s="10" t="s">
        <v>3</v>
      </c>
      <c r="R1" s="10" t="s">
        <v>14</v>
      </c>
      <c r="S1" s="10" t="s">
        <v>6</v>
      </c>
      <c r="T1" s="10" t="s">
        <v>8</v>
      </c>
      <c r="U1" s="10" t="s">
        <v>0</v>
      </c>
      <c r="V1" s="10" t="s">
        <v>1</v>
      </c>
      <c r="W1" s="10" t="s">
        <v>7</v>
      </c>
      <c r="X1" s="10" t="s">
        <v>2</v>
      </c>
      <c r="Y1" s="10" t="s">
        <v>9</v>
      </c>
      <c r="Z1" s="10" t="s">
        <v>10</v>
      </c>
      <c r="AA1" s="13" t="s">
        <v>35</v>
      </c>
      <c r="AB1" s="10" t="s">
        <v>12</v>
      </c>
      <c r="AC1" s="10" t="s">
        <v>23</v>
      </c>
      <c r="AD1" s="15" t="s">
        <v>17</v>
      </c>
      <c r="AE1" s="6" t="s">
        <v>20</v>
      </c>
      <c r="AF1" s="6" t="s">
        <v>16</v>
      </c>
      <c r="AG1" s="6" t="s">
        <v>22</v>
      </c>
      <c r="AH1" s="6" t="s">
        <v>15</v>
      </c>
      <c r="AI1" s="6" t="s">
        <v>24</v>
      </c>
      <c r="AJ1" s="6" t="s">
        <v>21</v>
      </c>
      <c r="AK1" s="15" t="s">
        <v>11</v>
      </c>
      <c r="AL1" s="22" t="s">
        <v>18</v>
      </c>
      <c r="AM1" s="22" t="s">
        <v>13</v>
      </c>
    </row>
    <row r="2" spans="1:39">
      <c r="A2" s="1">
        <v>0.85</v>
      </c>
      <c r="B2" s="1" t="s">
        <v>38</v>
      </c>
      <c r="C2" s="1" t="s">
        <v>38</v>
      </c>
      <c r="D2" s="5">
        <f t="shared" ref="D2:D30" si="0">E2*A2</f>
        <v>486710.38760000002</v>
      </c>
      <c r="E2" s="5">
        <f t="shared" ref="E2:E30" si="1">F2+I2+P2+(J2*M2)+(K2*N2)+(L2*O2)</f>
        <v>572600.45600000001</v>
      </c>
      <c r="F2" s="7">
        <v>484667</v>
      </c>
      <c r="G2" s="8">
        <v>263884</v>
      </c>
      <c r="H2" s="8">
        <v>175923</v>
      </c>
      <c r="I2" s="8">
        <f t="shared" ref="I2:I30" si="2">H2*7.2%</f>
        <v>12666.456000000002</v>
      </c>
      <c r="J2" s="8">
        <v>28909</v>
      </c>
      <c r="K2" s="8">
        <v>29250</v>
      </c>
      <c r="L2" s="8">
        <v>9108</v>
      </c>
      <c r="M2" s="9">
        <v>1</v>
      </c>
      <c r="N2" s="9">
        <v>1</v>
      </c>
      <c r="O2" s="9">
        <v>1</v>
      </c>
      <c r="P2" s="8">
        <v>8000</v>
      </c>
      <c r="Q2" s="11">
        <f t="shared" ref="Q2:Q13" si="3">IF(M2&gt;0,(AM2*AL2)+125,(AM2*AL2))</f>
        <v>1841.32</v>
      </c>
      <c r="R2" s="11">
        <f t="shared" ref="R2:R30" si="4">Q2*12</f>
        <v>22095.84</v>
      </c>
      <c r="S2" s="12" t="e">
        <f t="shared" ref="S2:S30" si="5">Z2</f>
        <v>#REF!</v>
      </c>
      <c r="T2" s="11">
        <f t="shared" ref="T2:T30" si="6">(G2*6%)+(P2*10%)+((I2*60%)*6%)</f>
        <v>17089.032416000002</v>
      </c>
      <c r="U2" s="11" t="e">
        <f>SUM(#REF!)</f>
        <v>#REF!</v>
      </c>
      <c r="V2" s="11">
        <v>2400</v>
      </c>
      <c r="W2" s="11">
        <f t="shared" ref="W2:W30" si="7">Q2</f>
        <v>1841.32</v>
      </c>
      <c r="X2" s="11">
        <f t="shared" ref="X2:X30" si="8">(Q2*12)*3%</f>
        <v>662.87519999999995</v>
      </c>
      <c r="Y2" s="11">
        <f t="shared" ref="Y2:Y30" si="9">SUM(V2:X2)</f>
        <v>4904.1952000000001</v>
      </c>
      <c r="Z2" s="11" t="e">
        <f t="shared" ref="Z2:Z30" si="10">Y2+U2+T2</f>
        <v>#REF!</v>
      </c>
      <c r="AA2" s="13" t="e">
        <f t="shared" ref="AA2:AA30" si="11">R2-T2-U2-Y2</f>
        <v>#REF!</v>
      </c>
      <c r="AB2" s="11" t="e">
        <f t="shared" ref="AB2:AB30" si="12">-AA2*38%</f>
        <v>#REF!</v>
      </c>
      <c r="AC2" s="14" t="e">
        <f t="shared" ref="AC2:AC30" si="13">R2+AB2-W2-U2</f>
        <v>#REF!</v>
      </c>
      <c r="AD2" s="16" t="e">
        <f t="shared" ref="AD2:AD30" si="14">AC2/E2</f>
        <v>#REF!</v>
      </c>
      <c r="AE2" s="17">
        <f t="shared" ref="AE2:AE30" si="15">E2-D2</f>
        <v>85890.068399999989</v>
      </c>
      <c r="AF2" s="18">
        <v>2.2499999999999999E-2</v>
      </c>
      <c r="AG2" s="19">
        <v>20</v>
      </c>
      <c r="AH2" s="20" t="e">
        <f>[0]!Pmt_Mensuel_Programmé</f>
        <v>#REF!</v>
      </c>
      <c r="AI2" s="21" t="e">
        <f t="shared" ref="AI2:AI30" si="16">((AB2/12)+Q2-(W2/12))/AH2</f>
        <v>#REF!</v>
      </c>
      <c r="AJ2" s="21" t="e">
        <f t="shared" ref="AJ2:AJ30" si="17">Q2/AH2</f>
        <v>#REF!</v>
      </c>
      <c r="AK2" s="16" t="e">
        <f t="shared" ref="AK2:AK30" si="18">AC2/D2</f>
        <v>#REF!</v>
      </c>
      <c r="AL2" s="23">
        <v>16</v>
      </c>
      <c r="AM2" s="24">
        <v>107.27</v>
      </c>
    </row>
    <row r="3" spans="1:39">
      <c r="A3" s="1">
        <v>0.5</v>
      </c>
      <c r="B3" s="1" t="s">
        <v>39</v>
      </c>
      <c r="C3" s="1" t="s">
        <v>39</v>
      </c>
      <c r="D3" s="5">
        <f t="shared" si="0"/>
        <v>352108.78</v>
      </c>
      <c r="E3" s="5">
        <f t="shared" si="1"/>
        <v>704217.56</v>
      </c>
      <c r="F3" s="7">
        <v>612932</v>
      </c>
      <c r="G3" s="8">
        <v>333720</v>
      </c>
      <c r="H3" s="8">
        <v>222480</v>
      </c>
      <c r="I3" s="8">
        <f t="shared" si="2"/>
        <v>16018.560000000001</v>
      </c>
      <c r="J3" s="8">
        <v>28909</v>
      </c>
      <c r="K3" s="8">
        <v>29250</v>
      </c>
      <c r="L3" s="8">
        <v>9108</v>
      </c>
      <c r="M3" s="9">
        <v>1</v>
      </c>
      <c r="N3" s="9">
        <v>1</v>
      </c>
      <c r="O3" s="9">
        <v>1</v>
      </c>
      <c r="P3" s="8">
        <v>8000</v>
      </c>
      <c r="Q3" s="11">
        <f t="shared" si="3"/>
        <v>2349.8000000000002</v>
      </c>
      <c r="R3" s="11">
        <f t="shared" si="4"/>
        <v>28197.600000000002</v>
      </c>
      <c r="S3" s="12" t="e">
        <f t="shared" si="5"/>
        <v>#REF!</v>
      </c>
      <c r="T3" s="11">
        <f t="shared" si="6"/>
        <v>21399.868160000002</v>
      </c>
      <c r="U3" s="11" t="e">
        <f>SUM(#REF!)</f>
        <v>#REF!</v>
      </c>
      <c r="V3" s="11">
        <v>2400</v>
      </c>
      <c r="W3" s="11">
        <f t="shared" si="7"/>
        <v>2349.8000000000002</v>
      </c>
      <c r="X3" s="11">
        <f t="shared" si="8"/>
        <v>845.928</v>
      </c>
      <c r="Y3" s="11">
        <f t="shared" si="9"/>
        <v>5595.7280000000001</v>
      </c>
      <c r="Z3" s="11" t="e">
        <f t="shared" si="10"/>
        <v>#REF!</v>
      </c>
      <c r="AA3" s="13" t="e">
        <f t="shared" si="11"/>
        <v>#REF!</v>
      </c>
      <c r="AB3" s="11" t="e">
        <f t="shared" si="12"/>
        <v>#REF!</v>
      </c>
      <c r="AC3" s="14" t="e">
        <f t="shared" si="13"/>
        <v>#REF!</v>
      </c>
      <c r="AD3" s="16" t="e">
        <f t="shared" si="14"/>
        <v>#REF!</v>
      </c>
      <c r="AE3" s="17">
        <f t="shared" si="15"/>
        <v>352108.78</v>
      </c>
      <c r="AF3" s="18">
        <v>2.2499999999999999E-2</v>
      </c>
      <c r="AG3" s="19">
        <v>20</v>
      </c>
      <c r="AH3" s="20" t="e">
        <f>[0]!Pmt_Mensuel_Programmé</f>
        <v>#REF!</v>
      </c>
      <c r="AI3" s="21" t="e">
        <f t="shared" si="16"/>
        <v>#REF!</v>
      </c>
      <c r="AJ3" s="21" t="e">
        <f t="shared" si="17"/>
        <v>#REF!</v>
      </c>
      <c r="AK3" s="16" t="e">
        <f t="shared" si="18"/>
        <v>#REF!</v>
      </c>
      <c r="AL3" s="23">
        <v>16</v>
      </c>
      <c r="AM3" s="24">
        <v>139.05000000000001</v>
      </c>
    </row>
    <row r="4" spans="1:39">
      <c r="A4" s="1">
        <v>0.5</v>
      </c>
      <c r="B4" s="1" t="s">
        <v>41</v>
      </c>
      <c r="C4" s="1" t="s">
        <v>41</v>
      </c>
      <c r="D4" s="5">
        <f t="shared" si="0"/>
        <v>261876.68400000001</v>
      </c>
      <c r="E4" s="5">
        <f t="shared" si="1"/>
        <v>523753.36800000002</v>
      </c>
      <c r="F4" s="7">
        <v>437064</v>
      </c>
      <c r="G4" s="8">
        <v>237966</v>
      </c>
      <c r="H4" s="8">
        <v>158644</v>
      </c>
      <c r="I4" s="8">
        <f t="shared" si="2"/>
        <v>11422.368000000002</v>
      </c>
      <c r="J4" s="8">
        <v>28909</v>
      </c>
      <c r="K4" s="8">
        <v>29250</v>
      </c>
      <c r="L4" s="8">
        <v>9108</v>
      </c>
      <c r="M4" s="9">
        <v>1</v>
      </c>
      <c r="N4" s="9">
        <v>1</v>
      </c>
      <c r="O4" s="9">
        <v>1</v>
      </c>
      <c r="P4" s="8">
        <v>8000</v>
      </c>
      <c r="Q4" s="11">
        <f t="shared" si="3"/>
        <v>1618.12</v>
      </c>
      <c r="R4" s="11">
        <f t="shared" si="4"/>
        <v>19417.439999999999</v>
      </c>
      <c r="S4" s="12" t="e">
        <f t="shared" si="5"/>
        <v>#REF!</v>
      </c>
      <c r="T4" s="11">
        <f t="shared" si="6"/>
        <v>15489.165247999999</v>
      </c>
      <c r="U4" s="11" t="e">
        <f>SUM(#REF!)</f>
        <v>#REF!</v>
      </c>
      <c r="V4" s="11">
        <v>2400</v>
      </c>
      <c r="W4" s="11">
        <f t="shared" si="7"/>
        <v>1618.12</v>
      </c>
      <c r="X4" s="11">
        <f t="shared" si="8"/>
        <v>582.52319999999997</v>
      </c>
      <c r="Y4" s="11">
        <f t="shared" si="9"/>
        <v>4600.6431999999995</v>
      </c>
      <c r="Z4" s="11" t="e">
        <f t="shared" si="10"/>
        <v>#REF!</v>
      </c>
      <c r="AA4" s="13" t="e">
        <f t="shared" si="11"/>
        <v>#REF!</v>
      </c>
      <c r="AB4" s="11" t="e">
        <f t="shared" si="12"/>
        <v>#REF!</v>
      </c>
      <c r="AC4" s="14" t="e">
        <f t="shared" si="13"/>
        <v>#REF!</v>
      </c>
      <c r="AD4" s="16" t="e">
        <f t="shared" si="14"/>
        <v>#REF!</v>
      </c>
      <c r="AE4" s="17">
        <f t="shared" si="15"/>
        <v>261876.68400000001</v>
      </c>
      <c r="AF4" s="18">
        <v>2.2499999999999999E-2</v>
      </c>
      <c r="AG4" s="19">
        <v>20</v>
      </c>
      <c r="AH4" s="20" t="e">
        <f>[0]!Pmt_Mensuel_Programmé</f>
        <v>#REF!</v>
      </c>
      <c r="AI4" s="21" t="e">
        <f t="shared" si="16"/>
        <v>#REF!</v>
      </c>
      <c r="AJ4" s="21" t="e">
        <f t="shared" si="17"/>
        <v>#REF!</v>
      </c>
      <c r="AK4" s="16" t="e">
        <f t="shared" si="18"/>
        <v>#REF!</v>
      </c>
      <c r="AL4" s="23">
        <v>16</v>
      </c>
      <c r="AM4" s="24">
        <v>93.32</v>
      </c>
    </row>
    <row r="5" spans="1:39">
      <c r="A5" s="1">
        <v>0.1</v>
      </c>
      <c r="B5" s="1" t="s">
        <v>42</v>
      </c>
      <c r="C5" s="1" t="s">
        <v>42</v>
      </c>
      <c r="D5" s="5">
        <f t="shared" si="0"/>
        <v>56224.879200000003</v>
      </c>
      <c r="E5" s="5">
        <f t="shared" si="1"/>
        <v>562248.79200000002</v>
      </c>
      <c r="F5" s="7">
        <v>474579</v>
      </c>
      <c r="G5" s="8">
        <v>258392</v>
      </c>
      <c r="H5" s="8">
        <v>172261</v>
      </c>
      <c r="I5" s="8">
        <f t="shared" si="2"/>
        <v>12402.792000000001</v>
      </c>
      <c r="J5" s="8">
        <v>28909</v>
      </c>
      <c r="K5" s="8">
        <v>29250</v>
      </c>
      <c r="L5" s="8">
        <v>9108</v>
      </c>
      <c r="M5" s="9">
        <v>1</v>
      </c>
      <c r="N5" s="9">
        <v>1</v>
      </c>
      <c r="O5" s="9">
        <v>1</v>
      </c>
      <c r="P5" s="8">
        <v>8000</v>
      </c>
      <c r="Q5" s="11">
        <f t="shared" si="3"/>
        <v>1746.28</v>
      </c>
      <c r="R5" s="11">
        <f t="shared" si="4"/>
        <v>20955.36</v>
      </c>
      <c r="S5" s="12" t="e">
        <f t="shared" si="5"/>
        <v>#REF!</v>
      </c>
      <c r="T5" s="11">
        <f t="shared" si="6"/>
        <v>16750.020511999999</v>
      </c>
      <c r="U5" s="11" t="e">
        <f>SUM(#REF!)</f>
        <v>#REF!</v>
      </c>
      <c r="V5" s="11">
        <v>2400</v>
      </c>
      <c r="W5" s="11">
        <f t="shared" si="7"/>
        <v>1746.28</v>
      </c>
      <c r="X5" s="11">
        <f t="shared" si="8"/>
        <v>628.66079999999999</v>
      </c>
      <c r="Y5" s="11">
        <f t="shared" si="9"/>
        <v>4774.9407999999994</v>
      </c>
      <c r="Z5" s="11" t="e">
        <f t="shared" si="10"/>
        <v>#REF!</v>
      </c>
      <c r="AA5" s="13" t="e">
        <f t="shared" si="11"/>
        <v>#REF!</v>
      </c>
      <c r="AB5" s="11" t="e">
        <f t="shared" si="12"/>
        <v>#REF!</v>
      </c>
      <c r="AC5" s="14" t="e">
        <f t="shared" si="13"/>
        <v>#REF!</v>
      </c>
      <c r="AD5" s="16" t="e">
        <f t="shared" si="14"/>
        <v>#REF!</v>
      </c>
      <c r="AE5" s="17">
        <f t="shared" si="15"/>
        <v>506023.91279999999</v>
      </c>
      <c r="AF5" s="18">
        <v>2.2499999999999999E-2</v>
      </c>
      <c r="AG5" s="19">
        <v>20</v>
      </c>
      <c r="AH5" s="20" t="e">
        <f>[0]!Pmt_Mensuel_Programmé</f>
        <v>#REF!</v>
      </c>
      <c r="AI5" s="21" t="e">
        <f t="shared" si="16"/>
        <v>#REF!</v>
      </c>
      <c r="AJ5" s="21" t="e">
        <f t="shared" si="17"/>
        <v>#REF!</v>
      </c>
      <c r="AK5" s="16" t="e">
        <f t="shared" si="18"/>
        <v>#REF!</v>
      </c>
      <c r="AL5" s="23">
        <v>16</v>
      </c>
      <c r="AM5" s="24">
        <v>101.33</v>
      </c>
    </row>
    <row r="6" spans="1:39">
      <c r="A6" s="1">
        <v>0.5</v>
      </c>
      <c r="B6" s="1" t="s">
        <v>43</v>
      </c>
      <c r="C6" s="1" t="s">
        <v>43</v>
      </c>
      <c r="D6" s="5">
        <f t="shared" si="0"/>
        <v>260386.74</v>
      </c>
      <c r="E6" s="5">
        <f t="shared" si="1"/>
        <v>520773.48</v>
      </c>
      <c r="F6" s="7">
        <v>434160</v>
      </c>
      <c r="G6" s="8">
        <v>236385</v>
      </c>
      <c r="H6" s="8">
        <v>157590</v>
      </c>
      <c r="I6" s="8">
        <f t="shared" si="2"/>
        <v>11346.480000000001</v>
      </c>
      <c r="J6" s="8">
        <v>28909</v>
      </c>
      <c r="K6" s="8">
        <v>29250</v>
      </c>
      <c r="L6" s="8">
        <v>9108</v>
      </c>
      <c r="M6" s="9">
        <v>1</v>
      </c>
      <c r="N6" s="9">
        <v>1</v>
      </c>
      <c r="O6" s="9">
        <v>1</v>
      </c>
      <c r="P6" s="8">
        <v>8000</v>
      </c>
      <c r="Q6" s="11">
        <f t="shared" si="3"/>
        <v>1608.2</v>
      </c>
      <c r="R6" s="11">
        <f t="shared" si="4"/>
        <v>19298.400000000001</v>
      </c>
      <c r="S6" s="12" t="e">
        <f t="shared" si="5"/>
        <v>#REF!</v>
      </c>
      <c r="T6" s="11">
        <f t="shared" si="6"/>
        <v>15391.573280000001</v>
      </c>
      <c r="U6" s="11" t="e">
        <f>SUM(#REF!)</f>
        <v>#REF!</v>
      </c>
      <c r="V6" s="11">
        <v>2400</v>
      </c>
      <c r="W6" s="11">
        <f t="shared" si="7"/>
        <v>1608.2</v>
      </c>
      <c r="X6" s="11">
        <f t="shared" si="8"/>
        <v>578.952</v>
      </c>
      <c r="Y6" s="11">
        <f t="shared" si="9"/>
        <v>4587.152</v>
      </c>
      <c r="Z6" s="11" t="e">
        <f t="shared" si="10"/>
        <v>#REF!</v>
      </c>
      <c r="AA6" s="13" t="e">
        <f t="shared" si="11"/>
        <v>#REF!</v>
      </c>
      <c r="AB6" s="11" t="e">
        <f t="shared" si="12"/>
        <v>#REF!</v>
      </c>
      <c r="AC6" s="14" t="e">
        <f t="shared" si="13"/>
        <v>#REF!</v>
      </c>
      <c r="AD6" s="16" t="e">
        <f t="shared" si="14"/>
        <v>#REF!</v>
      </c>
      <c r="AE6" s="17">
        <f t="shared" si="15"/>
        <v>260386.74</v>
      </c>
      <c r="AF6" s="18">
        <v>2.2499999999999999E-2</v>
      </c>
      <c r="AG6" s="19">
        <v>20</v>
      </c>
      <c r="AH6" s="20" t="e">
        <f>[0]!Pmt_Mensuel_Programmé</f>
        <v>#REF!</v>
      </c>
      <c r="AI6" s="21" t="e">
        <f t="shared" si="16"/>
        <v>#REF!</v>
      </c>
      <c r="AJ6" s="21" t="e">
        <f t="shared" si="17"/>
        <v>#REF!</v>
      </c>
      <c r="AK6" s="16" t="e">
        <f t="shared" si="18"/>
        <v>#REF!</v>
      </c>
      <c r="AL6" s="23">
        <v>16</v>
      </c>
      <c r="AM6" s="24">
        <v>92.7</v>
      </c>
    </row>
    <row r="7" spans="1:39">
      <c r="A7" s="1">
        <v>0.5</v>
      </c>
      <c r="B7" s="1" t="s">
        <v>40</v>
      </c>
      <c r="C7" s="1" t="s">
        <v>40</v>
      </c>
      <c r="D7" s="5">
        <f t="shared" si="0"/>
        <v>436948.85200000001</v>
      </c>
      <c r="E7" s="5">
        <f t="shared" si="1"/>
        <v>873897.70400000003</v>
      </c>
      <c r="F7" s="7">
        <v>791173</v>
      </c>
      <c r="G7" s="8">
        <v>463091</v>
      </c>
      <c r="H7" s="8">
        <v>249357</v>
      </c>
      <c r="I7" s="8">
        <f t="shared" si="2"/>
        <v>17953.704000000002</v>
      </c>
      <c r="J7" s="8">
        <v>21563</v>
      </c>
      <c r="K7" s="8">
        <v>11438</v>
      </c>
      <c r="L7" s="8">
        <v>23770</v>
      </c>
      <c r="M7" s="9">
        <v>1</v>
      </c>
      <c r="N7" s="9">
        <v>1</v>
      </c>
      <c r="O7" s="9">
        <v>1</v>
      </c>
      <c r="P7" s="8">
        <v>8000</v>
      </c>
      <c r="Q7" s="11">
        <f t="shared" si="3"/>
        <v>2641.04</v>
      </c>
      <c r="R7" s="11">
        <f t="shared" si="4"/>
        <v>31692.48</v>
      </c>
      <c r="S7" s="12" t="e">
        <f t="shared" si="5"/>
        <v>#REF!</v>
      </c>
      <c r="T7" s="11">
        <f t="shared" si="6"/>
        <v>29231.793343999998</v>
      </c>
      <c r="U7" s="11" t="e">
        <f>SUM(#REF!)</f>
        <v>#REF!</v>
      </c>
      <c r="V7" s="11">
        <v>2400</v>
      </c>
      <c r="W7" s="11">
        <f t="shared" si="7"/>
        <v>2641.04</v>
      </c>
      <c r="X7" s="11">
        <f t="shared" si="8"/>
        <v>950.7743999999999</v>
      </c>
      <c r="Y7" s="11">
        <f t="shared" si="9"/>
        <v>5991.8144000000002</v>
      </c>
      <c r="Z7" s="11" t="e">
        <f t="shared" si="10"/>
        <v>#REF!</v>
      </c>
      <c r="AA7" s="13" t="e">
        <f t="shared" si="11"/>
        <v>#REF!</v>
      </c>
      <c r="AB7" s="11" t="e">
        <f t="shared" si="12"/>
        <v>#REF!</v>
      </c>
      <c r="AC7" s="14" t="e">
        <f t="shared" si="13"/>
        <v>#REF!</v>
      </c>
      <c r="AD7" s="16" t="e">
        <f t="shared" si="14"/>
        <v>#REF!</v>
      </c>
      <c r="AE7" s="17">
        <f t="shared" si="15"/>
        <v>436948.85200000001</v>
      </c>
      <c r="AF7" s="18">
        <v>2.2499999999999999E-2</v>
      </c>
      <c r="AG7" s="19">
        <v>20</v>
      </c>
      <c r="AH7" s="20" t="e">
        <f>[0]!Pmt_Mensuel_Programmé</f>
        <v>#REF!</v>
      </c>
      <c r="AI7" s="21" t="e">
        <f t="shared" si="16"/>
        <v>#REF!</v>
      </c>
      <c r="AJ7" s="21" t="e">
        <f t="shared" si="17"/>
        <v>#REF!</v>
      </c>
      <c r="AK7" s="16" t="e">
        <f t="shared" si="18"/>
        <v>#REF!</v>
      </c>
      <c r="AL7" s="23">
        <v>12</v>
      </c>
      <c r="AM7" s="24">
        <v>209.67</v>
      </c>
    </row>
    <row r="8" spans="1:39">
      <c r="A8" s="1">
        <v>0.5</v>
      </c>
      <c r="B8" s="1" t="s">
        <v>44</v>
      </c>
      <c r="C8" s="1" t="s">
        <v>44</v>
      </c>
      <c r="D8" s="5">
        <f t="shared" si="0"/>
        <v>367690.58399999997</v>
      </c>
      <c r="E8" s="5">
        <f t="shared" si="1"/>
        <v>735381.16799999995</v>
      </c>
      <c r="F8" s="7">
        <v>655730</v>
      </c>
      <c r="G8" s="8">
        <v>383813</v>
      </c>
      <c r="H8" s="8">
        <v>206669</v>
      </c>
      <c r="I8" s="8">
        <f t="shared" si="2"/>
        <v>14880.168000000001</v>
      </c>
      <c r="J8" s="8">
        <v>21563</v>
      </c>
      <c r="K8" s="8">
        <v>11438</v>
      </c>
      <c r="L8" s="8">
        <v>23770</v>
      </c>
      <c r="M8" s="9">
        <v>1</v>
      </c>
      <c r="N8" s="9">
        <v>1</v>
      </c>
      <c r="O8" s="9">
        <v>1</v>
      </c>
      <c r="P8" s="8">
        <v>8000</v>
      </c>
      <c r="Q8" s="11">
        <f t="shared" si="3"/>
        <v>2210.2400000000002</v>
      </c>
      <c r="R8" s="11">
        <f t="shared" si="4"/>
        <v>26522.880000000005</v>
      </c>
      <c r="S8" s="12" t="e">
        <f t="shared" si="5"/>
        <v>#REF!</v>
      </c>
      <c r="T8" s="11">
        <f t="shared" si="6"/>
        <v>24364.466047999998</v>
      </c>
      <c r="U8" s="11" t="e">
        <f>SUM(#REF!)</f>
        <v>#REF!</v>
      </c>
      <c r="V8" s="11">
        <v>2400</v>
      </c>
      <c r="W8" s="11">
        <f t="shared" si="7"/>
        <v>2210.2400000000002</v>
      </c>
      <c r="X8" s="11">
        <f t="shared" si="8"/>
        <v>795.68640000000016</v>
      </c>
      <c r="Y8" s="11">
        <f t="shared" si="9"/>
        <v>5405.9264000000003</v>
      </c>
      <c r="Z8" s="11" t="e">
        <f t="shared" si="10"/>
        <v>#REF!</v>
      </c>
      <c r="AA8" s="13" t="e">
        <f t="shared" si="11"/>
        <v>#REF!</v>
      </c>
      <c r="AB8" s="11" t="e">
        <f t="shared" si="12"/>
        <v>#REF!</v>
      </c>
      <c r="AC8" s="14" t="e">
        <f t="shared" si="13"/>
        <v>#REF!</v>
      </c>
      <c r="AD8" s="16" t="e">
        <f t="shared" si="14"/>
        <v>#REF!</v>
      </c>
      <c r="AE8" s="17">
        <f t="shared" si="15"/>
        <v>367690.58399999997</v>
      </c>
      <c r="AF8" s="18">
        <v>2.2499999999999999E-2</v>
      </c>
      <c r="AG8" s="19">
        <v>20</v>
      </c>
      <c r="AH8" s="20" t="e">
        <f>[0]!Pmt_Mensuel_Programmé</f>
        <v>#REF!</v>
      </c>
      <c r="AI8" s="21" t="e">
        <f t="shared" si="16"/>
        <v>#REF!</v>
      </c>
      <c r="AJ8" s="21" t="e">
        <f t="shared" si="17"/>
        <v>#REF!</v>
      </c>
      <c r="AK8" s="16" t="e">
        <f t="shared" si="18"/>
        <v>#REF!</v>
      </c>
      <c r="AL8" s="23">
        <v>12</v>
      </c>
      <c r="AM8" s="24">
        <v>173.77</v>
      </c>
    </row>
    <row r="9" spans="1:39">
      <c r="A9" s="1">
        <v>0.5</v>
      </c>
      <c r="B9" s="1" t="s">
        <v>45</v>
      </c>
      <c r="C9" s="1" t="s">
        <v>45</v>
      </c>
      <c r="D9" s="5">
        <f t="shared" si="0"/>
        <v>201638.02</v>
      </c>
      <c r="E9" s="5">
        <f t="shared" si="1"/>
        <v>403276.04</v>
      </c>
      <c r="F9" s="7">
        <v>330994</v>
      </c>
      <c r="G9" s="8">
        <v>193738</v>
      </c>
      <c r="H9" s="8">
        <v>104320</v>
      </c>
      <c r="I9" s="8">
        <f t="shared" si="2"/>
        <v>7511.0400000000009</v>
      </c>
      <c r="J9" s="8">
        <v>21563</v>
      </c>
      <c r="K9" s="8">
        <v>11438</v>
      </c>
      <c r="L9" s="8">
        <v>23770</v>
      </c>
      <c r="M9" s="9">
        <v>1</v>
      </c>
      <c r="N9" s="9">
        <v>1</v>
      </c>
      <c r="O9" s="9">
        <v>1</v>
      </c>
      <c r="P9" s="8">
        <v>8000</v>
      </c>
      <c r="Q9" s="11">
        <f t="shared" si="3"/>
        <v>1134.8000000000002</v>
      </c>
      <c r="R9" s="11">
        <f t="shared" si="4"/>
        <v>13617.600000000002</v>
      </c>
      <c r="S9" s="12" t="e">
        <f t="shared" si="5"/>
        <v>#REF!</v>
      </c>
      <c r="T9" s="11">
        <f t="shared" si="6"/>
        <v>12694.677439999999</v>
      </c>
      <c r="U9" s="11" t="e">
        <f>SUM(#REF!)</f>
        <v>#REF!</v>
      </c>
      <c r="V9" s="11">
        <v>2400</v>
      </c>
      <c r="W9" s="11">
        <f t="shared" si="7"/>
        <v>1134.8000000000002</v>
      </c>
      <c r="X9" s="11">
        <f t="shared" si="8"/>
        <v>408.52800000000008</v>
      </c>
      <c r="Y9" s="11">
        <f t="shared" si="9"/>
        <v>3943.3280000000004</v>
      </c>
      <c r="Z9" s="11" t="e">
        <f t="shared" si="10"/>
        <v>#REF!</v>
      </c>
      <c r="AA9" s="13" t="e">
        <f t="shared" si="11"/>
        <v>#REF!</v>
      </c>
      <c r="AB9" s="11" t="e">
        <f t="shared" si="12"/>
        <v>#REF!</v>
      </c>
      <c r="AC9" s="14" t="e">
        <f t="shared" si="13"/>
        <v>#REF!</v>
      </c>
      <c r="AD9" s="16" t="e">
        <f t="shared" si="14"/>
        <v>#REF!</v>
      </c>
      <c r="AE9" s="17">
        <f t="shared" si="15"/>
        <v>201638.02</v>
      </c>
      <c r="AF9" s="18">
        <v>2.2499999999999999E-2</v>
      </c>
      <c r="AG9" s="19">
        <v>20</v>
      </c>
      <c r="AH9" s="20" t="e">
        <f>[0]!Pmt_Mensuel_Programmé</f>
        <v>#REF!</v>
      </c>
      <c r="AI9" s="21" t="e">
        <f t="shared" si="16"/>
        <v>#REF!</v>
      </c>
      <c r="AJ9" s="21" t="e">
        <f t="shared" si="17"/>
        <v>#REF!</v>
      </c>
      <c r="AK9" s="16" t="e">
        <f t="shared" si="18"/>
        <v>#REF!</v>
      </c>
      <c r="AL9" s="23">
        <v>12</v>
      </c>
      <c r="AM9" s="24">
        <v>84.15</v>
      </c>
    </row>
    <row r="10" spans="1:39">
      <c r="A10" s="1">
        <v>0.5</v>
      </c>
      <c r="B10" s="1" t="s">
        <v>46</v>
      </c>
      <c r="C10" s="1" t="s">
        <v>46</v>
      </c>
      <c r="D10" s="5">
        <f t="shared" si="0"/>
        <v>170973.584</v>
      </c>
      <c r="E10" s="5">
        <f t="shared" si="1"/>
        <v>341947.16800000001</v>
      </c>
      <c r="F10" s="7">
        <v>271026</v>
      </c>
      <c r="G10" s="8">
        <v>158636</v>
      </c>
      <c r="H10" s="8">
        <v>85419</v>
      </c>
      <c r="I10" s="8">
        <f t="shared" si="2"/>
        <v>6150.1680000000006</v>
      </c>
      <c r="J10" s="8">
        <v>21563</v>
      </c>
      <c r="K10" s="8">
        <v>11438</v>
      </c>
      <c r="L10" s="8">
        <v>23770</v>
      </c>
      <c r="M10" s="9">
        <v>1</v>
      </c>
      <c r="N10" s="9">
        <v>1</v>
      </c>
      <c r="O10" s="9">
        <v>1</v>
      </c>
      <c r="P10" s="8">
        <v>8000</v>
      </c>
      <c r="Q10" s="11">
        <f t="shared" si="3"/>
        <v>951.80000000000007</v>
      </c>
      <c r="R10" s="11">
        <f t="shared" si="4"/>
        <v>11421.6</v>
      </c>
      <c r="S10" s="12" t="e">
        <f t="shared" si="5"/>
        <v>#REF!</v>
      </c>
      <c r="T10" s="11">
        <f t="shared" si="6"/>
        <v>10539.566048000001</v>
      </c>
      <c r="U10" s="11" t="e">
        <f>SUM(#REF!)</f>
        <v>#REF!</v>
      </c>
      <c r="V10" s="11">
        <v>2400</v>
      </c>
      <c r="W10" s="11">
        <f t="shared" si="7"/>
        <v>951.80000000000007</v>
      </c>
      <c r="X10" s="11">
        <f t="shared" si="8"/>
        <v>342.64800000000002</v>
      </c>
      <c r="Y10" s="11">
        <f t="shared" si="9"/>
        <v>3694.4480000000003</v>
      </c>
      <c r="Z10" s="11" t="e">
        <f t="shared" si="10"/>
        <v>#REF!</v>
      </c>
      <c r="AA10" s="13" t="e">
        <f t="shared" si="11"/>
        <v>#REF!</v>
      </c>
      <c r="AB10" s="11" t="e">
        <f t="shared" si="12"/>
        <v>#REF!</v>
      </c>
      <c r="AC10" s="14" t="e">
        <f t="shared" si="13"/>
        <v>#REF!</v>
      </c>
      <c r="AD10" s="16" t="e">
        <f t="shared" si="14"/>
        <v>#REF!</v>
      </c>
      <c r="AE10" s="17">
        <f t="shared" si="15"/>
        <v>170973.584</v>
      </c>
      <c r="AF10" s="18">
        <v>2.2499999999999999E-2</v>
      </c>
      <c r="AG10" s="19">
        <v>20</v>
      </c>
      <c r="AH10" s="20" t="e">
        <f>[0]!Pmt_Mensuel_Programmé</f>
        <v>#REF!</v>
      </c>
      <c r="AI10" s="21" t="e">
        <f t="shared" si="16"/>
        <v>#REF!</v>
      </c>
      <c r="AJ10" s="21" t="e">
        <f t="shared" si="17"/>
        <v>#REF!</v>
      </c>
      <c r="AK10" s="16" t="e">
        <f t="shared" si="18"/>
        <v>#REF!</v>
      </c>
      <c r="AL10" s="23">
        <v>12</v>
      </c>
      <c r="AM10" s="24">
        <v>68.900000000000006</v>
      </c>
    </row>
    <row r="11" spans="1:39">
      <c r="A11" s="1">
        <v>0.5</v>
      </c>
      <c r="B11" s="1" t="s">
        <v>47</v>
      </c>
      <c r="C11" s="1" t="s">
        <v>47</v>
      </c>
      <c r="D11" s="5">
        <f t="shared" si="0"/>
        <v>273522.07200000004</v>
      </c>
      <c r="E11" s="5">
        <f t="shared" si="1"/>
        <v>547044.14400000009</v>
      </c>
      <c r="F11" s="7">
        <v>471572</v>
      </c>
      <c r="G11" s="8">
        <v>276021</v>
      </c>
      <c r="H11" s="8">
        <v>148627</v>
      </c>
      <c r="I11" s="8">
        <f t="shared" si="2"/>
        <v>10701.144000000002</v>
      </c>
      <c r="J11" s="8">
        <v>21563</v>
      </c>
      <c r="K11" s="8">
        <v>11438</v>
      </c>
      <c r="L11" s="8">
        <v>23770</v>
      </c>
      <c r="M11" s="9">
        <v>1</v>
      </c>
      <c r="N11" s="9">
        <v>1</v>
      </c>
      <c r="O11" s="9">
        <v>1</v>
      </c>
      <c r="P11" s="8">
        <v>8000</v>
      </c>
      <c r="Q11" s="11">
        <f t="shared" si="3"/>
        <v>1624.6399999999999</v>
      </c>
      <c r="R11" s="11">
        <f t="shared" si="4"/>
        <v>19495.68</v>
      </c>
      <c r="S11" s="12" t="e">
        <f t="shared" si="5"/>
        <v>#REF!</v>
      </c>
      <c r="T11" s="11">
        <f t="shared" si="6"/>
        <v>17746.501183999997</v>
      </c>
      <c r="U11" s="11" t="e">
        <f>SUM(#REF!)</f>
        <v>#REF!</v>
      </c>
      <c r="V11" s="11">
        <v>2400</v>
      </c>
      <c r="W11" s="11">
        <f t="shared" si="7"/>
        <v>1624.6399999999999</v>
      </c>
      <c r="X11" s="11">
        <f t="shared" si="8"/>
        <v>584.87040000000002</v>
      </c>
      <c r="Y11" s="11">
        <f t="shared" si="9"/>
        <v>4609.5104000000001</v>
      </c>
      <c r="Z11" s="11" t="e">
        <f t="shared" si="10"/>
        <v>#REF!</v>
      </c>
      <c r="AA11" s="13" t="e">
        <f t="shared" si="11"/>
        <v>#REF!</v>
      </c>
      <c r="AB11" s="11" t="e">
        <f t="shared" si="12"/>
        <v>#REF!</v>
      </c>
      <c r="AC11" s="14" t="e">
        <f t="shared" si="13"/>
        <v>#REF!</v>
      </c>
      <c r="AD11" s="16" t="e">
        <f t="shared" si="14"/>
        <v>#REF!</v>
      </c>
      <c r="AE11" s="17">
        <f t="shared" si="15"/>
        <v>273522.07200000004</v>
      </c>
      <c r="AF11" s="18">
        <v>2.2499999999999999E-2</v>
      </c>
      <c r="AG11" s="19">
        <v>20</v>
      </c>
      <c r="AH11" s="20" t="e">
        <f>[0]!Pmt_Mensuel_Programmé</f>
        <v>#REF!</v>
      </c>
      <c r="AI11" s="21" t="e">
        <f t="shared" si="16"/>
        <v>#REF!</v>
      </c>
      <c r="AJ11" s="21" t="e">
        <f t="shared" si="17"/>
        <v>#REF!</v>
      </c>
      <c r="AK11" s="16" t="e">
        <f t="shared" si="18"/>
        <v>#REF!</v>
      </c>
      <c r="AL11" s="23">
        <v>12</v>
      </c>
      <c r="AM11" s="24">
        <v>124.97</v>
      </c>
    </row>
    <row r="12" spans="1:39">
      <c r="A12" s="1">
        <v>0.3</v>
      </c>
      <c r="B12" s="1" t="s">
        <v>48</v>
      </c>
      <c r="C12" s="1" t="s">
        <v>48</v>
      </c>
      <c r="D12" s="5">
        <f t="shared" si="0"/>
        <v>164113.24320000003</v>
      </c>
      <c r="E12" s="5">
        <f t="shared" si="1"/>
        <v>547044.14400000009</v>
      </c>
      <c r="F12" s="7">
        <v>471572</v>
      </c>
      <c r="G12" s="8">
        <v>276021</v>
      </c>
      <c r="H12" s="8">
        <v>148627</v>
      </c>
      <c r="I12" s="8">
        <f t="shared" si="2"/>
        <v>10701.144000000002</v>
      </c>
      <c r="J12" s="8">
        <v>21563</v>
      </c>
      <c r="K12" s="8">
        <v>11438</v>
      </c>
      <c r="L12" s="8">
        <v>23770</v>
      </c>
      <c r="M12" s="9">
        <v>1</v>
      </c>
      <c r="N12" s="9">
        <v>1</v>
      </c>
      <c r="O12" s="9">
        <v>1</v>
      </c>
      <c r="P12" s="8">
        <v>8000</v>
      </c>
      <c r="Q12" s="11">
        <f t="shared" si="3"/>
        <v>1624.6399999999999</v>
      </c>
      <c r="R12" s="11">
        <f t="shared" si="4"/>
        <v>19495.68</v>
      </c>
      <c r="S12" s="12" t="e">
        <f t="shared" si="5"/>
        <v>#REF!</v>
      </c>
      <c r="T12" s="11">
        <f t="shared" si="6"/>
        <v>17746.501183999997</v>
      </c>
      <c r="U12" s="11" t="e">
        <f>SUM(#REF!)</f>
        <v>#REF!</v>
      </c>
      <c r="V12" s="11">
        <v>2400</v>
      </c>
      <c r="W12" s="11">
        <f t="shared" si="7"/>
        <v>1624.6399999999999</v>
      </c>
      <c r="X12" s="11">
        <f t="shared" si="8"/>
        <v>584.87040000000002</v>
      </c>
      <c r="Y12" s="11">
        <f t="shared" si="9"/>
        <v>4609.5104000000001</v>
      </c>
      <c r="Z12" s="11" t="e">
        <f t="shared" si="10"/>
        <v>#REF!</v>
      </c>
      <c r="AA12" s="13" t="e">
        <f t="shared" si="11"/>
        <v>#REF!</v>
      </c>
      <c r="AB12" s="11" t="e">
        <f t="shared" si="12"/>
        <v>#REF!</v>
      </c>
      <c r="AC12" s="14" t="e">
        <f t="shared" si="13"/>
        <v>#REF!</v>
      </c>
      <c r="AD12" s="16" t="e">
        <f t="shared" si="14"/>
        <v>#REF!</v>
      </c>
      <c r="AE12" s="17">
        <f t="shared" si="15"/>
        <v>382930.90080000006</v>
      </c>
      <c r="AF12" s="18">
        <v>2.2499999999999999E-2</v>
      </c>
      <c r="AG12" s="19">
        <v>20</v>
      </c>
      <c r="AH12" s="20" t="e">
        <f>[0]!Pmt_Mensuel_Programmé</f>
        <v>#REF!</v>
      </c>
      <c r="AI12" s="21" t="e">
        <f t="shared" si="16"/>
        <v>#REF!</v>
      </c>
      <c r="AJ12" s="21" t="e">
        <f t="shared" si="17"/>
        <v>#REF!</v>
      </c>
      <c r="AK12" s="16" t="e">
        <f t="shared" si="18"/>
        <v>#REF!</v>
      </c>
      <c r="AL12" s="23">
        <v>12</v>
      </c>
      <c r="AM12" s="24">
        <v>124.97</v>
      </c>
    </row>
    <row r="13" spans="1:39">
      <c r="A13" s="1">
        <v>0.5</v>
      </c>
      <c r="B13" s="1" t="s">
        <v>64</v>
      </c>
      <c r="C13" s="1" t="s">
        <v>64</v>
      </c>
      <c r="D13" s="5">
        <f t="shared" si="0"/>
        <v>194706.34400000001</v>
      </c>
      <c r="E13" s="5">
        <f t="shared" si="1"/>
        <v>389412.68800000002</v>
      </c>
      <c r="F13" s="7">
        <v>311587</v>
      </c>
      <c r="G13" s="8">
        <v>182379</v>
      </c>
      <c r="H13" s="8">
        <v>98204</v>
      </c>
      <c r="I13" s="8">
        <f t="shared" si="2"/>
        <v>7070.688000000001</v>
      </c>
      <c r="J13" s="8">
        <v>21563</v>
      </c>
      <c r="K13" s="8">
        <v>11438</v>
      </c>
      <c r="L13" s="8">
        <v>29754</v>
      </c>
      <c r="M13" s="9">
        <v>1</v>
      </c>
      <c r="N13" s="9">
        <v>1</v>
      </c>
      <c r="O13" s="9">
        <v>1</v>
      </c>
      <c r="P13" s="8">
        <v>8000</v>
      </c>
      <c r="Q13" s="11">
        <f t="shared" si="3"/>
        <v>1115.1200000000001</v>
      </c>
      <c r="R13" s="11">
        <f t="shared" si="4"/>
        <v>13381.440000000002</v>
      </c>
      <c r="S13" s="12" t="e">
        <f t="shared" si="5"/>
        <v>#REF!</v>
      </c>
      <c r="T13" s="11">
        <f t="shared" si="6"/>
        <v>11997.284768</v>
      </c>
      <c r="U13" s="11" t="e">
        <f>SUM(#REF!)</f>
        <v>#REF!</v>
      </c>
      <c r="V13" s="11">
        <v>2400</v>
      </c>
      <c r="W13" s="11">
        <f t="shared" si="7"/>
        <v>1115.1200000000001</v>
      </c>
      <c r="X13" s="11">
        <f t="shared" si="8"/>
        <v>401.44320000000005</v>
      </c>
      <c r="Y13" s="11">
        <f t="shared" si="9"/>
        <v>3916.5632000000001</v>
      </c>
      <c r="Z13" s="11" t="e">
        <f t="shared" si="10"/>
        <v>#REF!</v>
      </c>
      <c r="AA13" s="13" t="e">
        <f t="shared" si="11"/>
        <v>#REF!</v>
      </c>
      <c r="AB13" s="11" t="e">
        <f t="shared" si="12"/>
        <v>#REF!</v>
      </c>
      <c r="AC13" s="14" t="e">
        <f t="shared" si="13"/>
        <v>#REF!</v>
      </c>
      <c r="AD13" s="16" t="e">
        <f t="shared" si="14"/>
        <v>#REF!</v>
      </c>
      <c r="AE13" s="17">
        <f t="shared" si="15"/>
        <v>194706.34400000001</v>
      </c>
      <c r="AF13" s="18">
        <v>2.2499999999999999E-2</v>
      </c>
      <c r="AG13" s="19">
        <v>20</v>
      </c>
      <c r="AH13" s="20" t="e">
        <f>[0]!Pmt_Mensuel_Programmé</f>
        <v>#REF!</v>
      </c>
      <c r="AI13" s="21" t="e">
        <f t="shared" si="16"/>
        <v>#REF!</v>
      </c>
      <c r="AJ13" s="21" t="e">
        <f t="shared" si="17"/>
        <v>#REF!</v>
      </c>
      <c r="AK13" s="16" t="e">
        <f t="shared" si="18"/>
        <v>#REF!</v>
      </c>
      <c r="AL13" s="23">
        <v>12</v>
      </c>
      <c r="AM13" s="24">
        <v>82.51</v>
      </c>
    </row>
    <row r="14" spans="1:39">
      <c r="A14" s="1">
        <v>0.3</v>
      </c>
      <c r="B14" s="1" t="s">
        <v>49</v>
      </c>
      <c r="C14" s="1" t="s">
        <v>49</v>
      </c>
      <c r="D14" s="5">
        <f t="shared" si="0"/>
        <v>294459.89999999997</v>
      </c>
      <c r="E14" s="5">
        <f t="shared" si="1"/>
        <v>981533</v>
      </c>
      <c r="F14" s="7">
        <v>844408</v>
      </c>
      <c r="G14" s="8">
        <v>459750</v>
      </c>
      <c r="H14" s="8">
        <v>306500</v>
      </c>
      <c r="I14" s="8">
        <f t="shared" si="2"/>
        <v>22068.000000000004</v>
      </c>
      <c r="J14" s="8">
        <v>52037</v>
      </c>
      <c r="K14" s="8">
        <v>29250</v>
      </c>
      <c r="L14" s="8">
        <v>23770</v>
      </c>
      <c r="M14" s="9">
        <v>1</v>
      </c>
      <c r="N14" s="9">
        <v>1</v>
      </c>
      <c r="O14" s="9">
        <v>1</v>
      </c>
      <c r="P14" s="8">
        <v>10000</v>
      </c>
      <c r="Q14" s="11">
        <f t="shared" ref="Q14:Q30" si="19">IF(M14&gt;0,(AM14*AL14)+250,(AM14*AL14))</f>
        <v>3315</v>
      </c>
      <c r="R14" s="11">
        <f t="shared" si="4"/>
        <v>39780</v>
      </c>
      <c r="S14" s="12" t="e">
        <f t="shared" si="5"/>
        <v>#REF!</v>
      </c>
      <c r="T14" s="11">
        <f t="shared" si="6"/>
        <v>29379.448</v>
      </c>
      <c r="U14" s="11" t="e">
        <f>SUM(#REF!)</f>
        <v>#REF!</v>
      </c>
      <c r="V14" s="11">
        <v>2400</v>
      </c>
      <c r="W14" s="11">
        <f t="shared" si="7"/>
        <v>3315</v>
      </c>
      <c r="X14" s="11">
        <f t="shared" si="8"/>
        <v>1193.3999999999999</v>
      </c>
      <c r="Y14" s="11">
        <f t="shared" si="9"/>
        <v>6908.4</v>
      </c>
      <c r="Z14" s="11" t="e">
        <f t="shared" si="10"/>
        <v>#REF!</v>
      </c>
      <c r="AA14" s="13" t="e">
        <f t="shared" si="11"/>
        <v>#REF!</v>
      </c>
      <c r="AB14" s="11" t="e">
        <f t="shared" si="12"/>
        <v>#REF!</v>
      </c>
      <c r="AC14" s="14" t="e">
        <f t="shared" si="13"/>
        <v>#REF!</v>
      </c>
      <c r="AD14" s="16" t="e">
        <f t="shared" si="14"/>
        <v>#REF!</v>
      </c>
      <c r="AE14" s="17">
        <f t="shared" si="15"/>
        <v>687073.10000000009</v>
      </c>
      <c r="AF14" s="18">
        <v>2.2499999999999999E-2</v>
      </c>
      <c r="AG14" s="19">
        <v>20</v>
      </c>
      <c r="AH14" s="20" t="e">
        <f>+[0]!Pmt_Mensuel_Programmé</f>
        <v>#REF!</v>
      </c>
      <c r="AI14" s="21" t="e">
        <f t="shared" si="16"/>
        <v>#REF!</v>
      </c>
      <c r="AJ14" s="21" t="e">
        <f t="shared" si="17"/>
        <v>#REF!</v>
      </c>
      <c r="AK14" s="16" t="e">
        <f t="shared" si="18"/>
        <v>#REF!</v>
      </c>
      <c r="AL14" s="23">
        <v>25</v>
      </c>
      <c r="AM14" s="24">
        <v>122.6</v>
      </c>
    </row>
    <row r="15" spans="1:39">
      <c r="A15" s="1">
        <v>0.3</v>
      </c>
      <c r="B15" s="1" t="s">
        <v>36</v>
      </c>
      <c r="C15" s="1" t="s">
        <v>36</v>
      </c>
      <c r="D15" s="5">
        <f t="shared" si="0"/>
        <v>133031.83439999999</v>
      </c>
      <c r="E15" s="5">
        <f t="shared" si="1"/>
        <v>443439.44799999997</v>
      </c>
      <c r="F15" s="7">
        <v>320019</v>
      </c>
      <c r="G15" s="8">
        <v>174239</v>
      </c>
      <c r="H15" s="8">
        <v>116159</v>
      </c>
      <c r="I15" s="8">
        <f t="shared" si="2"/>
        <v>8363.4480000000003</v>
      </c>
      <c r="J15" s="8">
        <v>52037</v>
      </c>
      <c r="K15" s="8">
        <v>29250</v>
      </c>
      <c r="L15" s="8">
        <v>23770</v>
      </c>
      <c r="M15" s="9">
        <v>1</v>
      </c>
      <c r="N15" s="9">
        <v>1</v>
      </c>
      <c r="O15" s="9">
        <v>1</v>
      </c>
      <c r="P15" s="8">
        <v>10000</v>
      </c>
      <c r="Q15" s="11">
        <f t="shared" si="19"/>
        <v>1402.5</v>
      </c>
      <c r="R15" s="11">
        <f t="shared" si="4"/>
        <v>16830</v>
      </c>
      <c r="S15" s="12" t="e">
        <f t="shared" si="5"/>
        <v>#REF!</v>
      </c>
      <c r="T15" s="11">
        <f t="shared" si="6"/>
        <v>11755.424128000001</v>
      </c>
      <c r="U15" s="11" t="e">
        <f>SUM(#REF!)</f>
        <v>#REF!</v>
      </c>
      <c r="V15" s="11">
        <v>2400</v>
      </c>
      <c r="W15" s="11">
        <f t="shared" si="7"/>
        <v>1402.5</v>
      </c>
      <c r="X15" s="11">
        <f t="shared" si="8"/>
        <v>504.9</v>
      </c>
      <c r="Y15" s="11">
        <f t="shared" si="9"/>
        <v>4307.3999999999996</v>
      </c>
      <c r="Z15" s="11" t="e">
        <f t="shared" si="10"/>
        <v>#REF!</v>
      </c>
      <c r="AA15" s="13" t="e">
        <f t="shared" si="11"/>
        <v>#REF!</v>
      </c>
      <c r="AB15" s="11" t="e">
        <f t="shared" si="12"/>
        <v>#REF!</v>
      </c>
      <c r="AC15" s="14" t="e">
        <f t="shared" si="13"/>
        <v>#REF!</v>
      </c>
      <c r="AD15" s="16" t="e">
        <f t="shared" si="14"/>
        <v>#REF!</v>
      </c>
      <c r="AE15" s="17">
        <f t="shared" si="15"/>
        <v>310407.61359999998</v>
      </c>
      <c r="AF15" s="18">
        <v>2.2499999999999999E-2</v>
      </c>
      <c r="AG15" s="19">
        <v>20</v>
      </c>
      <c r="AH15" s="20" t="e">
        <f>[0]!Pmt_Mensuel_Programmé</f>
        <v>#REF!</v>
      </c>
      <c r="AI15" s="21" t="e">
        <f t="shared" si="16"/>
        <v>#REF!</v>
      </c>
      <c r="AJ15" s="21" t="e">
        <f t="shared" si="17"/>
        <v>#REF!</v>
      </c>
      <c r="AK15" s="16" t="e">
        <f t="shared" si="18"/>
        <v>#REF!</v>
      </c>
      <c r="AL15" s="23">
        <v>25</v>
      </c>
      <c r="AM15" s="24">
        <v>46.1</v>
      </c>
    </row>
    <row r="16" spans="1:39">
      <c r="A16" s="1">
        <v>0.9</v>
      </c>
      <c r="B16" s="1" t="s">
        <v>50</v>
      </c>
      <c r="C16" s="1" t="s">
        <v>50</v>
      </c>
      <c r="D16" s="5">
        <f t="shared" si="0"/>
        <v>814409.30160000001</v>
      </c>
      <c r="E16" s="5">
        <f t="shared" si="1"/>
        <v>904899.22400000005</v>
      </c>
      <c r="F16" s="7">
        <v>769726</v>
      </c>
      <c r="G16" s="8">
        <v>419089</v>
      </c>
      <c r="H16" s="8">
        <v>279392</v>
      </c>
      <c r="I16" s="8">
        <f t="shared" si="2"/>
        <v>20116.224000000002</v>
      </c>
      <c r="J16" s="8">
        <v>52037</v>
      </c>
      <c r="K16" s="8">
        <v>29250</v>
      </c>
      <c r="L16" s="8">
        <v>23770</v>
      </c>
      <c r="M16" s="9">
        <v>1</v>
      </c>
      <c r="N16" s="9">
        <v>1</v>
      </c>
      <c r="O16" s="9">
        <v>1</v>
      </c>
      <c r="P16" s="8">
        <v>10000</v>
      </c>
      <c r="Q16" s="11">
        <f t="shared" si="19"/>
        <v>3021.75</v>
      </c>
      <c r="R16" s="11">
        <f t="shared" si="4"/>
        <v>36261</v>
      </c>
      <c r="S16" s="12" t="e">
        <f t="shared" si="5"/>
        <v>#REF!</v>
      </c>
      <c r="T16" s="11">
        <f t="shared" si="6"/>
        <v>26869.524064000001</v>
      </c>
      <c r="U16" s="11" t="e">
        <f>SUM(#REF!)</f>
        <v>#REF!</v>
      </c>
      <c r="V16" s="11">
        <v>2400</v>
      </c>
      <c r="W16" s="11">
        <f t="shared" si="7"/>
        <v>3021.75</v>
      </c>
      <c r="X16" s="11">
        <f t="shared" si="8"/>
        <v>1087.83</v>
      </c>
      <c r="Y16" s="11">
        <f t="shared" si="9"/>
        <v>6509.58</v>
      </c>
      <c r="Z16" s="11" t="e">
        <f t="shared" si="10"/>
        <v>#REF!</v>
      </c>
      <c r="AA16" s="13" t="e">
        <f t="shared" si="11"/>
        <v>#REF!</v>
      </c>
      <c r="AB16" s="11" t="e">
        <f t="shared" si="12"/>
        <v>#REF!</v>
      </c>
      <c r="AC16" s="14" t="e">
        <f t="shared" si="13"/>
        <v>#REF!</v>
      </c>
      <c r="AD16" s="16" t="e">
        <f t="shared" si="14"/>
        <v>#REF!</v>
      </c>
      <c r="AE16" s="17">
        <f t="shared" si="15"/>
        <v>90489.922400000039</v>
      </c>
      <c r="AF16" s="18">
        <v>2.2499999999999999E-2</v>
      </c>
      <c r="AG16" s="19">
        <v>20</v>
      </c>
      <c r="AH16" s="20" t="e">
        <f>[0]!Pmt_Mensuel_Programmé</f>
        <v>#REF!</v>
      </c>
      <c r="AI16" s="21" t="e">
        <f t="shared" si="16"/>
        <v>#REF!</v>
      </c>
      <c r="AJ16" s="21" t="e">
        <f t="shared" si="17"/>
        <v>#REF!</v>
      </c>
      <c r="AK16" s="16" t="e">
        <f t="shared" si="18"/>
        <v>#REF!</v>
      </c>
      <c r="AL16" s="23">
        <v>25</v>
      </c>
      <c r="AM16" s="24">
        <v>110.87</v>
      </c>
    </row>
    <row r="17" spans="1:39">
      <c r="A17" s="1">
        <v>0.5</v>
      </c>
      <c r="B17" s="1" t="s">
        <v>51</v>
      </c>
      <c r="C17" s="1" t="s">
        <v>51</v>
      </c>
      <c r="D17" s="5">
        <f t="shared" si="0"/>
        <v>250416.63200000001</v>
      </c>
      <c r="E17" s="5">
        <f t="shared" si="1"/>
        <v>500833.26400000002</v>
      </c>
      <c r="F17" s="7">
        <v>375951</v>
      </c>
      <c r="G17" s="8">
        <v>204692</v>
      </c>
      <c r="H17" s="8">
        <v>136462</v>
      </c>
      <c r="I17" s="8">
        <f t="shared" si="2"/>
        <v>9825.264000000001</v>
      </c>
      <c r="J17" s="8">
        <v>52037</v>
      </c>
      <c r="K17" s="8">
        <v>29250</v>
      </c>
      <c r="L17" s="8">
        <v>23770</v>
      </c>
      <c r="M17" s="9">
        <v>1</v>
      </c>
      <c r="N17" s="9">
        <v>1</v>
      </c>
      <c r="O17" s="9">
        <v>1</v>
      </c>
      <c r="P17" s="8">
        <v>10000</v>
      </c>
      <c r="Q17" s="11">
        <f t="shared" si="19"/>
        <v>1593.25</v>
      </c>
      <c r="R17" s="11">
        <f t="shared" si="4"/>
        <v>19119</v>
      </c>
      <c r="S17" s="12" t="e">
        <f t="shared" si="5"/>
        <v>#REF!</v>
      </c>
      <c r="T17" s="11">
        <f t="shared" si="6"/>
        <v>13635.229504000001</v>
      </c>
      <c r="U17" s="11" t="e">
        <f>SUM(#REF!)</f>
        <v>#REF!</v>
      </c>
      <c r="V17" s="11">
        <v>2400</v>
      </c>
      <c r="W17" s="11">
        <f t="shared" si="7"/>
        <v>1593.25</v>
      </c>
      <c r="X17" s="11">
        <f t="shared" si="8"/>
        <v>573.56999999999994</v>
      </c>
      <c r="Y17" s="11">
        <f t="shared" si="9"/>
        <v>4566.82</v>
      </c>
      <c r="Z17" s="11" t="e">
        <f t="shared" si="10"/>
        <v>#REF!</v>
      </c>
      <c r="AA17" s="13" t="e">
        <f t="shared" si="11"/>
        <v>#REF!</v>
      </c>
      <c r="AB17" s="11" t="e">
        <f t="shared" si="12"/>
        <v>#REF!</v>
      </c>
      <c r="AC17" s="14" t="e">
        <f t="shared" si="13"/>
        <v>#REF!</v>
      </c>
      <c r="AD17" s="16" t="e">
        <f t="shared" si="14"/>
        <v>#REF!</v>
      </c>
      <c r="AE17" s="17">
        <f t="shared" si="15"/>
        <v>250416.63200000001</v>
      </c>
      <c r="AF17" s="18">
        <v>2.2499999999999999E-2</v>
      </c>
      <c r="AG17" s="19">
        <v>20</v>
      </c>
      <c r="AH17" s="20" t="e">
        <f>[0]!Pmt_Mensuel_Programmé</f>
        <v>#REF!</v>
      </c>
      <c r="AI17" s="21" t="e">
        <f t="shared" si="16"/>
        <v>#REF!</v>
      </c>
      <c r="AJ17" s="21" t="e">
        <f t="shared" si="17"/>
        <v>#REF!</v>
      </c>
      <c r="AK17" s="16" t="e">
        <f t="shared" si="18"/>
        <v>#REF!</v>
      </c>
      <c r="AL17" s="23">
        <v>25</v>
      </c>
      <c r="AM17" s="24">
        <v>53.73</v>
      </c>
    </row>
    <row r="18" spans="1:39">
      <c r="A18" s="1">
        <v>0.3</v>
      </c>
      <c r="B18" s="1" t="s">
        <v>52</v>
      </c>
      <c r="C18" s="1" t="s">
        <v>52</v>
      </c>
      <c r="D18" s="5">
        <f t="shared" si="0"/>
        <v>122675.47679999999</v>
      </c>
      <c r="E18" s="5">
        <f t="shared" si="1"/>
        <v>408918.25599999999</v>
      </c>
      <c r="F18" s="7">
        <v>286377</v>
      </c>
      <c r="G18" s="8">
        <v>155922</v>
      </c>
      <c r="H18" s="8">
        <v>103948</v>
      </c>
      <c r="I18" s="8">
        <f t="shared" si="2"/>
        <v>7484.2560000000012</v>
      </c>
      <c r="J18" s="8">
        <v>52037</v>
      </c>
      <c r="K18" s="8">
        <v>29250</v>
      </c>
      <c r="L18" s="8">
        <v>23770</v>
      </c>
      <c r="M18" s="9">
        <v>1</v>
      </c>
      <c r="N18" s="9">
        <v>1</v>
      </c>
      <c r="O18" s="9">
        <v>1</v>
      </c>
      <c r="P18" s="8">
        <v>10000</v>
      </c>
      <c r="Q18" s="11">
        <f t="shared" si="19"/>
        <v>1249.5</v>
      </c>
      <c r="R18" s="11">
        <f t="shared" si="4"/>
        <v>14994</v>
      </c>
      <c r="S18" s="12" t="e">
        <f t="shared" si="5"/>
        <v>#REF!</v>
      </c>
      <c r="T18" s="11">
        <f t="shared" si="6"/>
        <v>10624.753215999999</v>
      </c>
      <c r="U18" s="11" t="e">
        <f>SUM(#REF!)</f>
        <v>#REF!</v>
      </c>
      <c r="V18" s="11">
        <v>2400</v>
      </c>
      <c r="W18" s="11">
        <f t="shared" si="7"/>
        <v>1249.5</v>
      </c>
      <c r="X18" s="11">
        <f t="shared" si="8"/>
        <v>449.82</v>
      </c>
      <c r="Y18" s="11">
        <f t="shared" si="9"/>
        <v>4099.32</v>
      </c>
      <c r="Z18" s="11" t="e">
        <f t="shared" si="10"/>
        <v>#REF!</v>
      </c>
      <c r="AA18" s="13" t="e">
        <f t="shared" si="11"/>
        <v>#REF!</v>
      </c>
      <c r="AB18" s="11" t="e">
        <f t="shared" si="12"/>
        <v>#REF!</v>
      </c>
      <c r="AC18" s="14" t="e">
        <f t="shared" si="13"/>
        <v>#REF!</v>
      </c>
      <c r="AD18" s="16" t="e">
        <f t="shared" si="14"/>
        <v>#REF!</v>
      </c>
      <c r="AE18" s="17">
        <f t="shared" si="15"/>
        <v>286242.77919999999</v>
      </c>
      <c r="AF18" s="18">
        <v>2.2499999999999999E-2</v>
      </c>
      <c r="AG18" s="19">
        <v>20</v>
      </c>
      <c r="AH18" s="20" t="e">
        <f>[0]!Pmt_Mensuel_Programmé</f>
        <v>#REF!</v>
      </c>
      <c r="AI18" s="21" t="e">
        <f t="shared" si="16"/>
        <v>#REF!</v>
      </c>
      <c r="AJ18" s="21" t="e">
        <f t="shared" si="17"/>
        <v>#REF!</v>
      </c>
      <c r="AK18" s="16" t="e">
        <f t="shared" si="18"/>
        <v>#REF!</v>
      </c>
      <c r="AL18" s="23">
        <v>25</v>
      </c>
      <c r="AM18" s="24">
        <v>39.979999999999997</v>
      </c>
    </row>
    <row r="19" spans="1:39">
      <c r="A19" s="1">
        <v>0.3</v>
      </c>
      <c r="B19" s="1" t="s">
        <v>53</v>
      </c>
      <c r="C19" s="1" t="s">
        <v>53</v>
      </c>
      <c r="D19" s="5">
        <f t="shared" si="0"/>
        <v>199203.9528</v>
      </c>
      <c r="E19" s="5">
        <f t="shared" si="1"/>
        <v>664013.17599999998</v>
      </c>
      <c r="F19" s="7">
        <v>534975</v>
      </c>
      <c r="G19" s="8">
        <v>291275</v>
      </c>
      <c r="H19" s="8">
        <v>194183</v>
      </c>
      <c r="I19" s="8">
        <f t="shared" si="2"/>
        <v>13981.176000000001</v>
      </c>
      <c r="J19" s="8">
        <v>52037</v>
      </c>
      <c r="K19" s="8">
        <v>29250</v>
      </c>
      <c r="L19" s="8">
        <v>23770</v>
      </c>
      <c r="M19" s="9">
        <v>1</v>
      </c>
      <c r="N19" s="9">
        <v>1</v>
      </c>
      <c r="O19" s="9">
        <v>1</v>
      </c>
      <c r="P19" s="8">
        <v>10000</v>
      </c>
      <c r="Q19" s="11">
        <f t="shared" si="19"/>
        <v>2191.75</v>
      </c>
      <c r="R19" s="11">
        <f t="shared" si="4"/>
        <v>26301</v>
      </c>
      <c r="S19" s="12" t="e">
        <f t="shared" si="5"/>
        <v>#REF!</v>
      </c>
      <c r="T19" s="11">
        <f t="shared" si="6"/>
        <v>18979.822336000001</v>
      </c>
      <c r="U19" s="11" t="e">
        <f>SUM(#REF!)</f>
        <v>#REF!</v>
      </c>
      <c r="V19" s="11">
        <v>2400</v>
      </c>
      <c r="W19" s="11">
        <f t="shared" si="7"/>
        <v>2191.75</v>
      </c>
      <c r="X19" s="11">
        <f t="shared" si="8"/>
        <v>789.03</v>
      </c>
      <c r="Y19" s="11">
        <f t="shared" si="9"/>
        <v>5380.78</v>
      </c>
      <c r="Z19" s="11" t="e">
        <f t="shared" si="10"/>
        <v>#REF!</v>
      </c>
      <c r="AA19" s="13" t="e">
        <f t="shared" si="11"/>
        <v>#REF!</v>
      </c>
      <c r="AB19" s="11" t="e">
        <f t="shared" si="12"/>
        <v>#REF!</v>
      </c>
      <c r="AC19" s="14" t="e">
        <f t="shared" si="13"/>
        <v>#REF!</v>
      </c>
      <c r="AD19" s="16" t="e">
        <f t="shared" si="14"/>
        <v>#REF!</v>
      </c>
      <c r="AE19" s="17">
        <f t="shared" si="15"/>
        <v>464809.22320000001</v>
      </c>
      <c r="AF19" s="18">
        <v>2.2499999999999999E-2</v>
      </c>
      <c r="AG19" s="19">
        <v>20</v>
      </c>
      <c r="AH19" s="20" t="e">
        <f>[0]!Pmt_Mensuel_Programmé</f>
        <v>#REF!</v>
      </c>
      <c r="AI19" s="21" t="e">
        <f t="shared" si="16"/>
        <v>#REF!</v>
      </c>
      <c r="AJ19" s="21" t="e">
        <f t="shared" si="17"/>
        <v>#REF!</v>
      </c>
      <c r="AK19" s="16" t="e">
        <f t="shared" si="18"/>
        <v>#REF!</v>
      </c>
      <c r="AL19" s="23">
        <v>25</v>
      </c>
      <c r="AM19" s="24">
        <v>77.67</v>
      </c>
    </row>
    <row r="20" spans="1:39">
      <c r="A20" s="1">
        <v>0.3</v>
      </c>
      <c r="B20" s="1" t="s">
        <v>37</v>
      </c>
      <c r="C20" s="1" t="s">
        <v>37</v>
      </c>
      <c r="D20" s="5">
        <f t="shared" si="0"/>
        <v>258362.45999999996</v>
      </c>
      <c r="E20" s="5">
        <f t="shared" si="1"/>
        <v>861208.2</v>
      </c>
      <c r="F20" s="7">
        <v>734139</v>
      </c>
      <c r="G20" s="8">
        <v>399713</v>
      </c>
      <c r="H20" s="8">
        <v>266475</v>
      </c>
      <c r="I20" s="8">
        <f t="shared" si="2"/>
        <v>19186.2</v>
      </c>
      <c r="J20" s="8">
        <v>52037</v>
      </c>
      <c r="K20" s="8">
        <v>29250</v>
      </c>
      <c r="L20" s="8">
        <v>16596</v>
      </c>
      <c r="M20" s="9">
        <v>1</v>
      </c>
      <c r="N20" s="9">
        <v>1</v>
      </c>
      <c r="O20" s="9">
        <v>1</v>
      </c>
      <c r="P20" s="8">
        <v>10000</v>
      </c>
      <c r="Q20" s="11">
        <f t="shared" si="19"/>
        <v>2914.75</v>
      </c>
      <c r="R20" s="11">
        <f t="shared" si="4"/>
        <v>34977</v>
      </c>
      <c r="S20" s="12" t="e">
        <f t="shared" si="5"/>
        <v>#REF!</v>
      </c>
      <c r="T20" s="11">
        <f t="shared" si="6"/>
        <v>25673.483199999999</v>
      </c>
      <c r="U20" s="11" t="e">
        <f>SUM(#REF!)</f>
        <v>#REF!</v>
      </c>
      <c r="V20" s="11">
        <v>2400</v>
      </c>
      <c r="W20" s="11">
        <f t="shared" si="7"/>
        <v>2914.75</v>
      </c>
      <c r="X20" s="11">
        <f t="shared" si="8"/>
        <v>1049.31</v>
      </c>
      <c r="Y20" s="11">
        <f t="shared" si="9"/>
        <v>6364.0599999999995</v>
      </c>
      <c r="Z20" s="11" t="e">
        <f t="shared" si="10"/>
        <v>#REF!</v>
      </c>
      <c r="AA20" s="13" t="e">
        <f t="shared" si="11"/>
        <v>#REF!</v>
      </c>
      <c r="AB20" s="11" t="e">
        <f t="shared" si="12"/>
        <v>#REF!</v>
      </c>
      <c r="AC20" s="14" t="e">
        <f t="shared" si="13"/>
        <v>#REF!</v>
      </c>
      <c r="AD20" s="16" t="e">
        <f t="shared" si="14"/>
        <v>#REF!</v>
      </c>
      <c r="AE20" s="17">
        <f t="shared" si="15"/>
        <v>602845.74</v>
      </c>
      <c r="AF20" s="18">
        <v>2.2499999999999999E-2</v>
      </c>
      <c r="AG20" s="19">
        <v>20</v>
      </c>
      <c r="AH20" s="20" t="e">
        <f>[0]!Pmt_Mensuel_Programmé</f>
        <v>#REF!</v>
      </c>
      <c r="AI20" s="21" t="e">
        <f t="shared" si="16"/>
        <v>#REF!</v>
      </c>
      <c r="AJ20" s="21" t="e">
        <f t="shared" si="17"/>
        <v>#REF!</v>
      </c>
      <c r="AK20" s="16" t="e">
        <f t="shared" si="18"/>
        <v>#REF!</v>
      </c>
      <c r="AL20" s="23">
        <v>25</v>
      </c>
      <c r="AM20" s="24">
        <v>106.59</v>
      </c>
    </row>
    <row r="21" spans="1:39">
      <c r="A21" s="1">
        <v>0.3</v>
      </c>
      <c r="B21" s="1" t="s">
        <v>54</v>
      </c>
      <c r="C21" s="1" t="s">
        <v>54</v>
      </c>
      <c r="D21" s="5">
        <f t="shared" si="0"/>
        <v>263629.98</v>
      </c>
      <c r="E21" s="5">
        <f t="shared" si="1"/>
        <v>878766.6</v>
      </c>
      <c r="F21" s="7">
        <v>750000</v>
      </c>
      <c r="G21" s="8">
        <v>435000</v>
      </c>
      <c r="H21" s="8">
        <v>290050</v>
      </c>
      <c r="I21" s="8">
        <f t="shared" si="2"/>
        <v>20883.600000000002</v>
      </c>
      <c r="J21" s="8">
        <v>52037</v>
      </c>
      <c r="K21" s="8">
        <v>29250</v>
      </c>
      <c r="L21" s="8">
        <v>16596</v>
      </c>
      <c r="M21" s="9">
        <v>1</v>
      </c>
      <c r="N21" s="9">
        <v>1</v>
      </c>
      <c r="O21" s="9">
        <v>1</v>
      </c>
      <c r="P21" s="8">
        <v>10000</v>
      </c>
      <c r="Q21" s="11">
        <f t="shared" si="19"/>
        <v>1811.25</v>
      </c>
      <c r="R21" s="11">
        <f t="shared" si="4"/>
        <v>21735</v>
      </c>
      <c r="S21" s="12" t="e">
        <f t="shared" si="5"/>
        <v>#REF!</v>
      </c>
      <c r="T21" s="11">
        <f t="shared" si="6"/>
        <v>27851.809600000001</v>
      </c>
      <c r="U21" s="11" t="e">
        <f>SUM(#REF!)</f>
        <v>#REF!</v>
      </c>
      <c r="V21" s="11">
        <v>2400</v>
      </c>
      <c r="W21" s="11">
        <f t="shared" si="7"/>
        <v>1811.25</v>
      </c>
      <c r="X21" s="11">
        <f t="shared" si="8"/>
        <v>652.04999999999995</v>
      </c>
      <c r="Y21" s="11">
        <f t="shared" si="9"/>
        <v>4863.3</v>
      </c>
      <c r="Z21" s="11" t="e">
        <f t="shared" si="10"/>
        <v>#REF!</v>
      </c>
      <c r="AA21" s="13" t="e">
        <f t="shared" si="11"/>
        <v>#REF!</v>
      </c>
      <c r="AB21" s="11" t="e">
        <f t="shared" si="12"/>
        <v>#REF!</v>
      </c>
      <c r="AC21" s="14" t="e">
        <f t="shared" si="13"/>
        <v>#REF!</v>
      </c>
      <c r="AD21" s="16" t="e">
        <f t="shared" si="14"/>
        <v>#REF!</v>
      </c>
      <c r="AE21" s="17">
        <f t="shared" si="15"/>
        <v>615136.62</v>
      </c>
      <c r="AF21" s="18">
        <v>2.2499999999999999E-2</v>
      </c>
      <c r="AG21" s="19">
        <v>20</v>
      </c>
      <c r="AH21" s="20" t="e">
        <f>[0]!Pmt_Mensuel_Programmé</f>
        <v>#REF!</v>
      </c>
      <c r="AI21" s="21" t="e">
        <f t="shared" si="16"/>
        <v>#REF!</v>
      </c>
      <c r="AJ21" s="21" t="e">
        <f t="shared" si="17"/>
        <v>#REF!</v>
      </c>
      <c r="AK21" s="16" t="e">
        <f t="shared" si="18"/>
        <v>#REF!</v>
      </c>
      <c r="AL21" s="23">
        <v>25</v>
      </c>
      <c r="AM21" s="24">
        <v>62.45</v>
      </c>
    </row>
    <row r="22" spans="1:39">
      <c r="A22" s="1">
        <v>0.3</v>
      </c>
      <c r="B22" s="1" t="s">
        <v>55</v>
      </c>
      <c r="C22" s="1" t="s">
        <v>55</v>
      </c>
      <c r="D22" s="5">
        <f t="shared" si="0"/>
        <v>294450.56400000001</v>
      </c>
      <c r="E22" s="5">
        <f t="shared" si="1"/>
        <v>981501.88</v>
      </c>
      <c r="F22" s="7">
        <v>850000</v>
      </c>
      <c r="G22" s="8">
        <v>488000</v>
      </c>
      <c r="H22" s="8">
        <v>328040</v>
      </c>
      <c r="I22" s="8">
        <f t="shared" si="2"/>
        <v>23618.880000000001</v>
      </c>
      <c r="J22" s="8">
        <v>52037</v>
      </c>
      <c r="K22" s="8">
        <v>29250</v>
      </c>
      <c r="L22" s="8">
        <v>16596</v>
      </c>
      <c r="M22" s="9">
        <v>1</v>
      </c>
      <c r="N22" s="9">
        <v>1</v>
      </c>
      <c r="O22" s="9">
        <v>1</v>
      </c>
      <c r="P22" s="8">
        <v>10000</v>
      </c>
      <c r="Q22" s="11">
        <f t="shared" si="19"/>
        <v>2232.5</v>
      </c>
      <c r="R22" s="11">
        <f t="shared" si="4"/>
        <v>26790</v>
      </c>
      <c r="S22" s="12" t="e">
        <f t="shared" si="5"/>
        <v>#REF!</v>
      </c>
      <c r="T22" s="11">
        <f t="shared" si="6"/>
        <v>31130.27968</v>
      </c>
      <c r="U22" s="11" t="e">
        <f>SUM(#REF!)</f>
        <v>#REF!</v>
      </c>
      <c r="V22" s="11">
        <v>2400</v>
      </c>
      <c r="W22" s="11">
        <f t="shared" si="7"/>
        <v>2232.5</v>
      </c>
      <c r="X22" s="11">
        <f t="shared" si="8"/>
        <v>803.69999999999993</v>
      </c>
      <c r="Y22" s="11">
        <f t="shared" si="9"/>
        <v>5436.2</v>
      </c>
      <c r="Z22" s="11" t="e">
        <f t="shared" si="10"/>
        <v>#REF!</v>
      </c>
      <c r="AA22" s="13" t="e">
        <f t="shared" si="11"/>
        <v>#REF!</v>
      </c>
      <c r="AB22" s="11" t="e">
        <f t="shared" si="12"/>
        <v>#REF!</v>
      </c>
      <c r="AC22" s="14" t="e">
        <f t="shared" si="13"/>
        <v>#REF!</v>
      </c>
      <c r="AD22" s="16" t="e">
        <f t="shared" si="14"/>
        <v>#REF!</v>
      </c>
      <c r="AE22" s="17">
        <f t="shared" si="15"/>
        <v>687051.31599999999</v>
      </c>
      <c r="AF22" s="18">
        <v>2.2499999999999999E-2</v>
      </c>
      <c r="AG22" s="19">
        <v>20</v>
      </c>
      <c r="AH22" s="20" t="e">
        <f>[0]!Pmt_Mensuel_Programmé</f>
        <v>#REF!</v>
      </c>
      <c r="AI22" s="21" t="e">
        <f t="shared" si="16"/>
        <v>#REF!</v>
      </c>
      <c r="AJ22" s="21" t="e">
        <f t="shared" si="17"/>
        <v>#REF!</v>
      </c>
      <c r="AK22" s="16" t="e">
        <f t="shared" si="18"/>
        <v>#REF!</v>
      </c>
      <c r="AL22" s="23">
        <v>25</v>
      </c>
      <c r="AM22" s="24">
        <v>79.3</v>
      </c>
    </row>
    <row r="23" spans="1:39">
      <c r="A23" s="1">
        <v>0.3</v>
      </c>
      <c r="B23" s="1" t="s">
        <v>56</v>
      </c>
      <c r="C23" s="1" t="s">
        <v>56</v>
      </c>
      <c r="D23" s="5">
        <f t="shared" si="0"/>
        <v>269809.25999999995</v>
      </c>
      <c r="E23" s="5">
        <f t="shared" si="1"/>
        <v>899364.2</v>
      </c>
      <c r="F23" s="7">
        <v>770000</v>
      </c>
      <c r="G23" s="8">
        <v>445000</v>
      </c>
      <c r="H23" s="8">
        <v>298350</v>
      </c>
      <c r="I23" s="8">
        <f t="shared" si="2"/>
        <v>21481.200000000001</v>
      </c>
      <c r="J23" s="8">
        <v>52037</v>
      </c>
      <c r="K23" s="8">
        <v>29250</v>
      </c>
      <c r="L23" s="8">
        <v>16596</v>
      </c>
      <c r="M23" s="9">
        <v>1</v>
      </c>
      <c r="N23" s="9">
        <v>1</v>
      </c>
      <c r="O23" s="9">
        <v>1</v>
      </c>
      <c r="P23" s="8">
        <v>10000</v>
      </c>
      <c r="Q23" s="11">
        <f t="shared" si="19"/>
        <v>2253.25</v>
      </c>
      <c r="R23" s="11">
        <f t="shared" si="4"/>
        <v>27039</v>
      </c>
      <c r="S23" s="12" t="e">
        <f t="shared" si="5"/>
        <v>#REF!</v>
      </c>
      <c r="T23" s="11">
        <f t="shared" si="6"/>
        <v>28473.323199999999</v>
      </c>
      <c r="U23" s="11" t="e">
        <f>SUM(#REF!)</f>
        <v>#REF!</v>
      </c>
      <c r="V23" s="11">
        <v>2400</v>
      </c>
      <c r="W23" s="11">
        <f t="shared" si="7"/>
        <v>2253.25</v>
      </c>
      <c r="X23" s="11">
        <f t="shared" si="8"/>
        <v>811.17</v>
      </c>
      <c r="Y23" s="11">
        <f t="shared" si="9"/>
        <v>5464.42</v>
      </c>
      <c r="Z23" s="11" t="e">
        <f t="shared" si="10"/>
        <v>#REF!</v>
      </c>
      <c r="AA23" s="13" t="e">
        <f t="shared" si="11"/>
        <v>#REF!</v>
      </c>
      <c r="AB23" s="11" t="e">
        <f t="shared" si="12"/>
        <v>#REF!</v>
      </c>
      <c r="AC23" s="14" t="e">
        <f t="shared" si="13"/>
        <v>#REF!</v>
      </c>
      <c r="AD23" s="16" t="e">
        <f t="shared" si="14"/>
        <v>#REF!</v>
      </c>
      <c r="AE23" s="17">
        <f t="shared" si="15"/>
        <v>629554.93999999994</v>
      </c>
      <c r="AF23" s="18">
        <v>2.2499999999999999E-2</v>
      </c>
      <c r="AG23" s="19">
        <v>20</v>
      </c>
      <c r="AH23" s="20" t="e">
        <f>[0]!Pmt_Mensuel_Programmé</f>
        <v>#REF!</v>
      </c>
      <c r="AI23" s="21" t="e">
        <f t="shared" si="16"/>
        <v>#REF!</v>
      </c>
      <c r="AJ23" s="21" t="e">
        <f t="shared" si="17"/>
        <v>#REF!</v>
      </c>
      <c r="AK23" s="16" t="e">
        <f t="shared" si="18"/>
        <v>#REF!</v>
      </c>
      <c r="AL23" s="23">
        <v>25</v>
      </c>
      <c r="AM23" s="24">
        <v>80.13</v>
      </c>
    </row>
    <row r="24" spans="1:39">
      <c r="A24" s="1">
        <v>0.9</v>
      </c>
      <c r="B24" s="1" t="s">
        <v>57</v>
      </c>
      <c r="C24" s="1" t="s">
        <v>57</v>
      </c>
      <c r="D24" s="5">
        <f t="shared" si="0"/>
        <v>680041.98</v>
      </c>
      <c r="E24" s="5">
        <f t="shared" si="1"/>
        <v>755602.2</v>
      </c>
      <c r="F24" s="7">
        <v>630000</v>
      </c>
      <c r="G24" s="8">
        <v>370000</v>
      </c>
      <c r="H24" s="8">
        <v>246100</v>
      </c>
      <c r="I24" s="8">
        <f t="shared" si="2"/>
        <v>17719.2</v>
      </c>
      <c r="J24" s="8">
        <v>52037</v>
      </c>
      <c r="K24" s="8">
        <v>29250</v>
      </c>
      <c r="L24" s="8">
        <v>16596</v>
      </c>
      <c r="M24" s="9">
        <v>1</v>
      </c>
      <c r="N24" s="9">
        <v>1</v>
      </c>
      <c r="O24" s="9">
        <v>1</v>
      </c>
      <c r="P24" s="8">
        <v>10000</v>
      </c>
      <c r="Q24" s="11">
        <f t="shared" si="19"/>
        <v>2057.5</v>
      </c>
      <c r="R24" s="11">
        <f t="shared" si="4"/>
        <v>24690</v>
      </c>
      <c r="S24" s="12" t="e">
        <f t="shared" si="5"/>
        <v>#REF!</v>
      </c>
      <c r="T24" s="11">
        <f t="shared" si="6"/>
        <v>23837.891199999998</v>
      </c>
      <c r="U24" s="11" t="e">
        <f>SUM(#REF!)</f>
        <v>#REF!</v>
      </c>
      <c r="V24" s="11">
        <v>2400</v>
      </c>
      <c r="W24" s="11">
        <f t="shared" si="7"/>
        <v>2057.5</v>
      </c>
      <c r="X24" s="11">
        <f t="shared" si="8"/>
        <v>740.69999999999993</v>
      </c>
      <c r="Y24" s="11">
        <f t="shared" si="9"/>
        <v>5198.2</v>
      </c>
      <c r="Z24" s="11" t="e">
        <f t="shared" si="10"/>
        <v>#REF!</v>
      </c>
      <c r="AA24" s="13" t="e">
        <f t="shared" si="11"/>
        <v>#REF!</v>
      </c>
      <c r="AB24" s="11" t="e">
        <f t="shared" si="12"/>
        <v>#REF!</v>
      </c>
      <c r="AC24" s="14" t="e">
        <f t="shared" si="13"/>
        <v>#REF!</v>
      </c>
      <c r="AD24" s="16" t="e">
        <f t="shared" si="14"/>
        <v>#REF!</v>
      </c>
      <c r="AE24" s="17">
        <f t="shared" si="15"/>
        <v>75560.219999999972</v>
      </c>
      <c r="AF24" s="18">
        <v>2.2499999999999999E-2</v>
      </c>
      <c r="AG24" s="19">
        <v>20</v>
      </c>
      <c r="AH24" s="20" t="e">
        <f>Pmt_Mensuel_Programmé</f>
        <v>#REF!</v>
      </c>
      <c r="AI24" s="21" t="e">
        <f t="shared" si="16"/>
        <v>#REF!</v>
      </c>
      <c r="AJ24" s="21" t="e">
        <f t="shared" si="17"/>
        <v>#REF!</v>
      </c>
      <c r="AK24" s="16" t="e">
        <f t="shared" si="18"/>
        <v>#REF!</v>
      </c>
      <c r="AL24" s="23">
        <v>25</v>
      </c>
      <c r="AM24" s="24">
        <v>72.3</v>
      </c>
    </row>
    <row r="25" spans="1:39">
      <c r="A25" s="1">
        <v>0.3</v>
      </c>
      <c r="B25" s="1" t="s">
        <v>58</v>
      </c>
      <c r="C25" s="1" t="s">
        <v>58</v>
      </c>
      <c r="D25" s="5">
        <f t="shared" si="0"/>
        <v>219316.068</v>
      </c>
      <c r="E25" s="5">
        <f t="shared" si="1"/>
        <v>731053.56</v>
      </c>
      <c r="F25" s="7">
        <v>606000</v>
      </c>
      <c r="G25" s="8">
        <v>356000</v>
      </c>
      <c r="H25" s="8">
        <v>238480</v>
      </c>
      <c r="I25" s="8">
        <f t="shared" si="2"/>
        <v>17170.560000000001</v>
      </c>
      <c r="J25" s="8">
        <v>52037</v>
      </c>
      <c r="K25" s="8">
        <v>29250</v>
      </c>
      <c r="L25" s="8">
        <v>16596</v>
      </c>
      <c r="M25" s="9">
        <v>1</v>
      </c>
      <c r="N25" s="9">
        <v>1</v>
      </c>
      <c r="O25" s="9">
        <v>1</v>
      </c>
      <c r="P25" s="8">
        <v>10000</v>
      </c>
      <c r="Q25" s="11">
        <f t="shared" si="19"/>
        <v>1910.5</v>
      </c>
      <c r="R25" s="11">
        <f t="shared" si="4"/>
        <v>22926</v>
      </c>
      <c r="S25" s="12" t="e">
        <f t="shared" si="5"/>
        <v>#REF!</v>
      </c>
      <c r="T25" s="11">
        <f t="shared" si="6"/>
        <v>22978.140159999999</v>
      </c>
      <c r="U25" s="11" t="e">
        <f>SUM(#REF!)</f>
        <v>#REF!</v>
      </c>
      <c r="V25" s="11">
        <v>2400</v>
      </c>
      <c r="W25" s="11">
        <f t="shared" si="7"/>
        <v>1910.5</v>
      </c>
      <c r="X25" s="11">
        <f t="shared" si="8"/>
        <v>687.78</v>
      </c>
      <c r="Y25" s="11">
        <f t="shared" si="9"/>
        <v>4998.28</v>
      </c>
      <c r="Z25" s="11" t="e">
        <f t="shared" si="10"/>
        <v>#REF!</v>
      </c>
      <c r="AA25" s="13" t="e">
        <f t="shared" si="11"/>
        <v>#REF!</v>
      </c>
      <c r="AB25" s="11" t="e">
        <f t="shared" si="12"/>
        <v>#REF!</v>
      </c>
      <c r="AC25" s="14" t="e">
        <f t="shared" si="13"/>
        <v>#REF!</v>
      </c>
      <c r="AD25" s="16" t="e">
        <f t="shared" si="14"/>
        <v>#REF!</v>
      </c>
      <c r="AE25" s="17">
        <f t="shared" si="15"/>
        <v>511737.49200000009</v>
      </c>
      <c r="AF25" s="18">
        <v>2.2499999999999999E-2</v>
      </c>
      <c r="AG25" s="19">
        <v>20</v>
      </c>
      <c r="AH25" s="20" t="e">
        <f>[0]!Pmt_Mensuel_Programmé</f>
        <v>#REF!</v>
      </c>
      <c r="AI25" s="21" t="e">
        <f t="shared" si="16"/>
        <v>#REF!</v>
      </c>
      <c r="AJ25" s="21" t="e">
        <f t="shared" si="17"/>
        <v>#REF!</v>
      </c>
      <c r="AK25" s="16" t="e">
        <f t="shared" si="18"/>
        <v>#REF!</v>
      </c>
      <c r="AL25" s="23">
        <v>25</v>
      </c>
      <c r="AM25" s="24">
        <v>66.42</v>
      </c>
    </row>
    <row r="26" spans="1:39">
      <c r="A26" s="1">
        <v>0.3</v>
      </c>
      <c r="B26" s="1" t="s">
        <v>59</v>
      </c>
      <c r="C26" s="1" t="s">
        <v>59</v>
      </c>
      <c r="D26" s="5">
        <f t="shared" si="0"/>
        <v>239039.22</v>
      </c>
      <c r="E26" s="5">
        <f t="shared" si="1"/>
        <v>796797.4</v>
      </c>
      <c r="F26" s="7">
        <v>670000</v>
      </c>
      <c r="G26" s="8">
        <v>390000</v>
      </c>
      <c r="H26" s="8">
        <v>262700</v>
      </c>
      <c r="I26" s="8">
        <f t="shared" si="2"/>
        <v>18914.400000000001</v>
      </c>
      <c r="J26" s="8">
        <v>52037</v>
      </c>
      <c r="K26" s="8">
        <v>29250</v>
      </c>
      <c r="L26" s="8">
        <v>16596</v>
      </c>
      <c r="M26" s="9">
        <v>1</v>
      </c>
      <c r="N26" s="9">
        <v>1</v>
      </c>
      <c r="O26" s="9">
        <v>1</v>
      </c>
      <c r="P26" s="8">
        <v>10000</v>
      </c>
      <c r="Q26" s="11">
        <f t="shared" si="19"/>
        <v>2165</v>
      </c>
      <c r="R26" s="11">
        <f t="shared" si="4"/>
        <v>25980</v>
      </c>
      <c r="S26" s="12" t="e">
        <f t="shared" si="5"/>
        <v>#REF!</v>
      </c>
      <c r="T26" s="11">
        <f t="shared" si="6"/>
        <v>25080.918399999999</v>
      </c>
      <c r="U26" s="11" t="e">
        <f>SUM(#REF!)</f>
        <v>#REF!</v>
      </c>
      <c r="V26" s="11">
        <v>2400</v>
      </c>
      <c r="W26" s="11">
        <f t="shared" si="7"/>
        <v>2165</v>
      </c>
      <c r="X26" s="11">
        <f t="shared" si="8"/>
        <v>779.4</v>
      </c>
      <c r="Y26" s="11">
        <f t="shared" si="9"/>
        <v>5344.4</v>
      </c>
      <c r="Z26" s="11" t="e">
        <f t="shared" si="10"/>
        <v>#REF!</v>
      </c>
      <c r="AA26" s="13" t="e">
        <f t="shared" si="11"/>
        <v>#REF!</v>
      </c>
      <c r="AB26" s="11" t="e">
        <f t="shared" si="12"/>
        <v>#REF!</v>
      </c>
      <c r="AC26" s="14" t="e">
        <f t="shared" si="13"/>
        <v>#REF!</v>
      </c>
      <c r="AD26" s="16" t="e">
        <f t="shared" si="14"/>
        <v>#REF!</v>
      </c>
      <c r="AE26" s="17">
        <f t="shared" si="15"/>
        <v>557758.18000000005</v>
      </c>
      <c r="AF26" s="18">
        <v>2.2499999999999999E-2</v>
      </c>
      <c r="AG26" s="19">
        <v>20</v>
      </c>
      <c r="AH26" s="20" t="e">
        <f>[0]!Pmt_Mensuel_Programmé</f>
        <v>#REF!</v>
      </c>
      <c r="AI26" s="21" t="e">
        <f t="shared" si="16"/>
        <v>#REF!</v>
      </c>
      <c r="AJ26" s="21" t="e">
        <f t="shared" si="17"/>
        <v>#REF!</v>
      </c>
      <c r="AK26" s="16" t="e">
        <f t="shared" si="18"/>
        <v>#REF!</v>
      </c>
      <c r="AL26" s="23">
        <v>25</v>
      </c>
      <c r="AM26" s="24">
        <v>76.599999999999994</v>
      </c>
    </row>
    <row r="27" spans="1:39">
      <c r="A27" s="1">
        <v>0.3</v>
      </c>
      <c r="B27" s="1" t="s">
        <v>60</v>
      </c>
      <c r="C27" s="1" t="s">
        <v>60</v>
      </c>
      <c r="D27" s="5">
        <f t="shared" si="0"/>
        <v>248308.14</v>
      </c>
      <c r="E27" s="5">
        <f t="shared" si="1"/>
        <v>827693.8</v>
      </c>
      <c r="F27" s="7">
        <v>700000</v>
      </c>
      <c r="G27" s="8">
        <v>405000</v>
      </c>
      <c r="H27" s="8">
        <v>275150</v>
      </c>
      <c r="I27" s="8">
        <f t="shared" si="2"/>
        <v>19810.800000000003</v>
      </c>
      <c r="J27" s="8">
        <v>52037</v>
      </c>
      <c r="K27" s="8">
        <v>29250</v>
      </c>
      <c r="L27" s="8">
        <v>16596</v>
      </c>
      <c r="M27" s="9">
        <v>1</v>
      </c>
      <c r="N27" s="9">
        <v>1</v>
      </c>
      <c r="O27" s="9">
        <v>1</v>
      </c>
      <c r="P27" s="8">
        <v>10000</v>
      </c>
      <c r="Q27" s="11">
        <f t="shared" si="19"/>
        <v>2130</v>
      </c>
      <c r="R27" s="11">
        <f t="shared" si="4"/>
        <v>25560</v>
      </c>
      <c r="S27" s="12" t="e">
        <f t="shared" si="5"/>
        <v>#REF!</v>
      </c>
      <c r="T27" s="11">
        <f t="shared" si="6"/>
        <v>26013.1888</v>
      </c>
      <c r="U27" s="11" t="e">
        <f>SUM(#REF!)</f>
        <v>#REF!</v>
      </c>
      <c r="V27" s="11">
        <v>2400</v>
      </c>
      <c r="W27" s="11">
        <f t="shared" si="7"/>
        <v>2130</v>
      </c>
      <c r="X27" s="11">
        <f t="shared" si="8"/>
        <v>766.8</v>
      </c>
      <c r="Y27" s="11">
        <f t="shared" si="9"/>
        <v>5296.8</v>
      </c>
      <c r="Z27" s="11" t="e">
        <f t="shared" si="10"/>
        <v>#REF!</v>
      </c>
      <c r="AA27" s="13" t="e">
        <f t="shared" si="11"/>
        <v>#REF!</v>
      </c>
      <c r="AB27" s="11" t="e">
        <f t="shared" si="12"/>
        <v>#REF!</v>
      </c>
      <c r="AC27" s="14" t="e">
        <f t="shared" si="13"/>
        <v>#REF!</v>
      </c>
      <c r="AD27" s="16" t="e">
        <f t="shared" si="14"/>
        <v>#REF!</v>
      </c>
      <c r="AE27" s="17">
        <f t="shared" si="15"/>
        <v>579385.66</v>
      </c>
      <c r="AF27" s="18">
        <v>2.2499999999999999E-2</v>
      </c>
      <c r="AG27" s="19">
        <v>20</v>
      </c>
      <c r="AH27" s="20" t="e">
        <f>[0]!Pmt_Mensuel_Programmé</f>
        <v>#REF!</v>
      </c>
      <c r="AI27" s="21" t="e">
        <f t="shared" si="16"/>
        <v>#REF!</v>
      </c>
      <c r="AJ27" s="21" t="e">
        <f t="shared" si="17"/>
        <v>#REF!</v>
      </c>
      <c r="AK27" s="16" t="e">
        <f t="shared" si="18"/>
        <v>#REF!</v>
      </c>
      <c r="AL27" s="23">
        <v>25</v>
      </c>
      <c r="AM27" s="24">
        <v>75.2</v>
      </c>
    </row>
    <row r="28" spans="1:39">
      <c r="A28" s="1">
        <v>0.3</v>
      </c>
      <c r="B28" s="1" t="s">
        <v>61</v>
      </c>
      <c r="C28" s="1" t="s">
        <v>61</v>
      </c>
      <c r="D28" s="5">
        <f t="shared" si="0"/>
        <v>229795.57199999999</v>
      </c>
      <c r="E28" s="5">
        <f t="shared" si="1"/>
        <v>765985.24</v>
      </c>
      <c r="F28" s="7">
        <v>640000</v>
      </c>
      <c r="G28" s="8">
        <v>374000</v>
      </c>
      <c r="H28" s="8">
        <v>251420</v>
      </c>
      <c r="I28" s="8">
        <f t="shared" si="2"/>
        <v>18102.240000000002</v>
      </c>
      <c r="J28" s="8">
        <v>52037</v>
      </c>
      <c r="K28" s="8">
        <v>29250</v>
      </c>
      <c r="L28" s="8">
        <v>16596</v>
      </c>
      <c r="M28" s="9">
        <v>1</v>
      </c>
      <c r="N28" s="9">
        <v>1</v>
      </c>
      <c r="O28" s="9">
        <v>1</v>
      </c>
      <c r="P28" s="8">
        <v>10000</v>
      </c>
      <c r="Q28" s="11">
        <f t="shared" si="19"/>
        <v>2088.75</v>
      </c>
      <c r="R28" s="11">
        <f t="shared" si="4"/>
        <v>25065</v>
      </c>
      <c r="S28" s="12" t="e">
        <f t="shared" si="5"/>
        <v>#REF!</v>
      </c>
      <c r="T28" s="11">
        <f t="shared" si="6"/>
        <v>24091.680639999999</v>
      </c>
      <c r="U28" s="11" t="e">
        <f>SUM(#REF!)</f>
        <v>#REF!</v>
      </c>
      <c r="V28" s="11">
        <v>2400</v>
      </c>
      <c r="W28" s="11">
        <f t="shared" si="7"/>
        <v>2088.75</v>
      </c>
      <c r="X28" s="11">
        <f t="shared" si="8"/>
        <v>751.94999999999993</v>
      </c>
      <c r="Y28" s="11">
        <f t="shared" si="9"/>
        <v>5240.7</v>
      </c>
      <c r="Z28" s="11" t="e">
        <f t="shared" si="10"/>
        <v>#REF!</v>
      </c>
      <c r="AA28" s="13" t="e">
        <f t="shared" si="11"/>
        <v>#REF!</v>
      </c>
      <c r="AB28" s="11" t="e">
        <f t="shared" si="12"/>
        <v>#REF!</v>
      </c>
      <c r="AC28" s="14" t="e">
        <f t="shared" si="13"/>
        <v>#REF!</v>
      </c>
      <c r="AD28" s="16" t="e">
        <f t="shared" si="14"/>
        <v>#REF!</v>
      </c>
      <c r="AE28" s="17">
        <f t="shared" si="15"/>
        <v>536189.66800000006</v>
      </c>
      <c r="AF28" s="18">
        <v>2.2499999999999999E-2</v>
      </c>
      <c r="AG28" s="19">
        <v>20</v>
      </c>
      <c r="AH28" s="20" t="e">
        <f>[0]!Pmt_Mensuel_Programmé</f>
        <v>#REF!</v>
      </c>
      <c r="AI28" s="21" t="e">
        <f t="shared" si="16"/>
        <v>#REF!</v>
      </c>
      <c r="AJ28" s="21" t="e">
        <f t="shared" si="17"/>
        <v>#REF!</v>
      </c>
      <c r="AK28" s="16" t="e">
        <f t="shared" si="18"/>
        <v>#REF!</v>
      </c>
      <c r="AL28" s="23">
        <v>25</v>
      </c>
      <c r="AM28" s="24">
        <v>73.55</v>
      </c>
    </row>
    <row r="29" spans="1:39">
      <c r="A29" s="1">
        <v>0.3</v>
      </c>
      <c r="B29" s="1" t="s">
        <v>62</v>
      </c>
      <c r="C29" s="1" t="s">
        <v>62</v>
      </c>
      <c r="D29" s="5">
        <f t="shared" si="0"/>
        <v>306758.57999999996</v>
      </c>
      <c r="E29" s="5">
        <f t="shared" si="1"/>
        <v>1022528.6</v>
      </c>
      <c r="F29" s="7">
        <v>890000</v>
      </c>
      <c r="G29" s="8">
        <v>510000</v>
      </c>
      <c r="H29" s="8">
        <v>342300</v>
      </c>
      <c r="I29" s="8">
        <f t="shared" si="2"/>
        <v>24645.600000000002</v>
      </c>
      <c r="J29" s="8">
        <v>52037</v>
      </c>
      <c r="K29" s="8">
        <v>29250</v>
      </c>
      <c r="L29" s="8">
        <v>16596</v>
      </c>
      <c r="M29" s="9">
        <v>1</v>
      </c>
      <c r="N29" s="9">
        <v>1</v>
      </c>
      <c r="O29" s="9">
        <v>1</v>
      </c>
      <c r="P29" s="8">
        <v>10000</v>
      </c>
      <c r="Q29" s="11">
        <f t="shared" si="19"/>
        <v>2674.75</v>
      </c>
      <c r="R29" s="11">
        <f t="shared" si="4"/>
        <v>32097</v>
      </c>
      <c r="S29" s="12" t="e">
        <f t="shared" si="5"/>
        <v>#REF!</v>
      </c>
      <c r="T29" s="11">
        <f t="shared" si="6"/>
        <v>32487.241600000001</v>
      </c>
      <c r="U29" s="11" t="e">
        <f>SUM(#REF!)</f>
        <v>#REF!</v>
      </c>
      <c r="V29" s="11">
        <v>2400</v>
      </c>
      <c r="W29" s="11">
        <f t="shared" si="7"/>
        <v>2674.75</v>
      </c>
      <c r="X29" s="11">
        <f t="shared" si="8"/>
        <v>962.91</v>
      </c>
      <c r="Y29" s="11">
        <f t="shared" si="9"/>
        <v>6037.66</v>
      </c>
      <c r="Z29" s="11" t="e">
        <f t="shared" si="10"/>
        <v>#REF!</v>
      </c>
      <c r="AA29" s="13" t="e">
        <f t="shared" si="11"/>
        <v>#REF!</v>
      </c>
      <c r="AB29" s="11" t="e">
        <f t="shared" si="12"/>
        <v>#REF!</v>
      </c>
      <c r="AC29" s="14" t="e">
        <f t="shared" si="13"/>
        <v>#REF!</v>
      </c>
      <c r="AD29" s="16" t="e">
        <f t="shared" si="14"/>
        <v>#REF!</v>
      </c>
      <c r="AE29" s="17">
        <f t="shared" si="15"/>
        <v>715770.02</v>
      </c>
      <c r="AF29" s="18">
        <v>2.2499999999999999E-2</v>
      </c>
      <c r="AG29" s="19">
        <v>20</v>
      </c>
      <c r="AH29" s="20" t="e">
        <f>[0]!Pmt_Mensuel_Programmé</f>
        <v>#REF!</v>
      </c>
      <c r="AI29" s="21" t="e">
        <f t="shared" si="16"/>
        <v>#REF!</v>
      </c>
      <c r="AJ29" s="21" t="e">
        <f t="shared" si="17"/>
        <v>#REF!</v>
      </c>
      <c r="AK29" s="16" t="e">
        <f t="shared" si="18"/>
        <v>#REF!</v>
      </c>
      <c r="AL29" s="23">
        <v>25</v>
      </c>
      <c r="AM29" s="24">
        <v>96.99</v>
      </c>
    </row>
    <row r="30" spans="1:39">
      <c r="A30" s="1">
        <v>0.3</v>
      </c>
      <c r="B30" s="1" t="s">
        <v>63</v>
      </c>
      <c r="C30" s="1" t="s">
        <v>63</v>
      </c>
      <c r="D30" s="5">
        <f t="shared" si="0"/>
        <v>337553.89200000005</v>
      </c>
      <c r="E30" s="5">
        <f t="shared" si="1"/>
        <v>1125179.6400000001</v>
      </c>
      <c r="F30" s="7">
        <v>990000</v>
      </c>
      <c r="G30" s="8">
        <v>564000</v>
      </c>
      <c r="H30" s="8">
        <v>379120</v>
      </c>
      <c r="I30" s="8">
        <f t="shared" si="2"/>
        <v>27296.640000000003</v>
      </c>
      <c r="J30" s="8">
        <v>52037</v>
      </c>
      <c r="K30" s="8">
        <v>29250</v>
      </c>
      <c r="L30" s="8">
        <v>16596</v>
      </c>
      <c r="M30" s="9">
        <v>1</v>
      </c>
      <c r="N30" s="9">
        <v>1</v>
      </c>
      <c r="O30" s="9">
        <v>1</v>
      </c>
      <c r="P30" s="8">
        <v>10000</v>
      </c>
      <c r="Q30" s="11">
        <f t="shared" si="19"/>
        <v>2914.25</v>
      </c>
      <c r="R30" s="11">
        <f t="shared" si="4"/>
        <v>34971</v>
      </c>
      <c r="S30" s="12" t="e">
        <f t="shared" si="5"/>
        <v>#REF!</v>
      </c>
      <c r="T30" s="11">
        <f t="shared" si="6"/>
        <v>35822.679040000003</v>
      </c>
      <c r="U30" s="11" t="e">
        <f>SUM(#REF!)</f>
        <v>#REF!</v>
      </c>
      <c r="V30" s="11">
        <v>2400</v>
      </c>
      <c r="W30" s="11">
        <f t="shared" si="7"/>
        <v>2914.25</v>
      </c>
      <c r="X30" s="11">
        <f t="shared" si="8"/>
        <v>1049.1299999999999</v>
      </c>
      <c r="Y30" s="11">
        <f t="shared" si="9"/>
        <v>6363.38</v>
      </c>
      <c r="Z30" s="11" t="e">
        <f t="shared" si="10"/>
        <v>#REF!</v>
      </c>
      <c r="AA30" s="13" t="e">
        <f t="shared" si="11"/>
        <v>#REF!</v>
      </c>
      <c r="AB30" s="11" t="e">
        <f t="shared" si="12"/>
        <v>#REF!</v>
      </c>
      <c r="AC30" s="14" t="e">
        <f t="shared" si="13"/>
        <v>#REF!</v>
      </c>
      <c r="AD30" s="16" t="e">
        <f t="shared" si="14"/>
        <v>#REF!</v>
      </c>
      <c r="AE30" s="17">
        <f t="shared" si="15"/>
        <v>787625.74800000014</v>
      </c>
      <c r="AF30" s="18">
        <v>2.2499999999999999E-2</v>
      </c>
      <c r="AG30" s="19">
        <v>20</v>
      </c>
      <c r="AH30" s="20" t="e">
        <f>[0]!Pmt_Mensuel_Programmé</f>
        <v>#REF!</v>
      </c>
      <c r="AI30" s="21" t="e">
        <f t="shared" si="16"/>
        <v>#REF!</v>
      </c>
      <c r="AJ30" s="21" t="e">
        <f t="shared" si="17"/>
        <v>#REF!</v>
      </c>
      <c r="AK30" s="16" t="e">
        <f t="shared" si="18"/>
        <v>#REF!</v>
      </c>
      <c r="AL30" s="23">
        <v>25</v>
      </c>
      <c r="AM30" s="24">
        <v>106.57</v>
      </c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Feuil5</vt:lpstr>
      <vt:lpstr>Feuil1</vt:lpstr>
    </vt:vector>
  </TitlesOfParts>
  <Manager/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...</dc:creator>
  <cp:keywords/>
  <dc:description/>
  <cp:lastModifiedBy>Olivier Ronchi</cp:lastModifiedBy>
  <cp:lastPrinted>2015-05-07T15:36:15Z</cp:lastPrinted>
  <dcterms:created xsi:type="dcterms:W3CDTF">2006-09-15T19:51:41Z</dcterms:created>
  <dcterms:modified xsi:type="dcterms:W3CDTF">2015-05-09T20:14:26Z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  <property fmtid="{D5CDD505-2E9C-101B-9397-08002B2CF9AE}" pid="4" name="_TemplateID">
    <vt:lpwstr>TC100738811036</vt:lpwstr>
  </property>
</Properties>
</file>