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POLLET.A\Planings vièrges_2014_2015_2016_2017_2018_2019\2019_Beta 0.3\"/>
    </mc:Choice>
  </mc:AlternateContent>
  <xr:revisionPtr revIDLastSave="0" documentId="13_ncr:1_{6719E457-D9AD-42F2-99C9-167E5D43BEBF}" xr6:coauthVersionLast="38" xr6:coauthVersionMax="38" xr10:uidLastSave="{00000000-0000-0000-0000-000000000000}"/>
  <bookViews>
    <workbookView xWindow="0" yWindow="180" windowWidth="28800" windowHeight="12045" tabRatio="692" activeTab="1" xr2:uid="{00000000-000D-0000-FFFF-FFFF00000000}"/>
  </bookViews>
  <sheets>
    <sheet name="Config." sheetId="2" r:id="rId1"/>
    <sheet name="jan." sheetId="3" r:id="rId2"/>
  </sheets>
  <definedNames>
    <definedName name="Agent">'Config.'!$D$5</definedName>
    <definedName name="Année">'Config.'!$C$5</definedName>
    <definedName name="CA">'Config.'!$C$73:$C$99</definedName>
    <definedName name="CET">'Config.'!$F$73:$F$132</definedName>
    <definedName name="Choix">'Config.'!$S$51</definedName>
    <definedName name="CHP">'Config.'!$D$73:$D$74</definedName>
    <definedName name="Décès">'Config.'!$I$73:$I$77</definedName>
    <definedName name="Division">'Config.'!$B$1</definedName>
    <definedName name="DON_CA">'Config.'!$M$73:$M$107</definedName>
    <definedName name="Fériés">'Config.'!$T$35:$T$47</definedName>
    <definedName name="J.Nettoyage">'Config.'!$K$73:$K$82</definedName>
    <definedName name="Liste_agents">'Config.'!$X$35:$X$97</definedName>
    <definedName name="Liste_années">'Config.'!$T$51:$T$63</definedName>
    <definedName name="Liste_Fériés">'Config.'!$R$35:$R$47</definedName>
    <definedName name="Liste_fonctions">OFFSET('Config.'!$AC$35,0,0,COUNTA('Config.'!$AA:$AA))</definedName>
    <definedName name="Liste_restaurants">OFFSET('Config.'!$AA$35,0,0,COUNTA('Config.'!$AA:$AA)-1)</definedName>
    <definedName name="Localisation">'Config.'!$K$5</definedName>
    <definedName name="Mariage">'Config.'!$G$73:$G$77</definedName>
    <definedName name="Médaille">'Config.'!$J$73:$J$77</definedName>
    <definedName name="Mercredi">'Config.'!$L$73:$L$82</definedName>
    <definedName name="Naissance">'Config.'!$H$73:$H$77</definedName>
    <definedName name="RTT">'Config.'!$E$73:$E$81</definedName>
    <definedName name="S_3">'Config.'!$B$73:$B$75</definedName>
    <definedName name="Service">'Config.'!$E$1</definedName>
    <definedName name="Situation">'Config.'!$C$36:$P$70</definedName>
    <definedName name="Situation_01">'Config.'!$B$36:$B$70</definedName>
    <definedName name="Situation_02">'Config.'!$C$35:$P$35</definedName>
    <definedName name="Vacances">'Config.'!$W$35:$W$114</definedName>
    <definedName name="_xlnm.Print_Area" localSheetId="1">jan.!$B$1:$P$56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7" i="3" l="1"/>
  <c r="N36" i="3"/>
  <c r="N35" i="3"/>
  <c r="N34" i="3"/>
  <c r="N33" i="3"/>
  <c r="N32" i="3"/>
  <c r="N31" i="3"/>
  <c r="N30" i="3"/>
  <c r="N29" i="3"/>
  <c r="N28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T36" i="2" l="1"/>
  <c r="O5" i="2"/>
  <c r="E81" i="2"/>
  <c r="E80" i="2"/>
  <c r="E79" i="2"/>
  <c r="E78" i="2"/>
  <c r="E77" i="2"/>
  <c r="E76" i="2"/>
  <c r="E75" i="2"/>
  <c r="E74" i="2"/>
  <c r="D76" i="2"/>
  <c r="D75" i="2"/>
  <c r="D74" i="2"/>
  <c r="E73" i="2"/>
  <c r="D73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91" i="2"/>
  <c r="C92" i="2"/>
  <c r="C93" i="2"/>
  <c r="C94" i="2"/>
  <c r="C95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8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73" i="2"/>
  <c r="O20" i="3" l="1"/>
  <c r="B1" i="3" l="1"/>
  <c r="K40" i="3"/>
  <c r="J77" i="2" l="1"/>
  <c r="J76" i="2"/>
  <c r="J75" i="2"/>
  <c r="J74" i="2"/>
  <c r="I82" i="2"/>
  <c r="I81" i="2"/>
  <c r="I80" i="2"/>
  <c r="I79" i="2"/>
  <c r="I78" i="2"/>
  <c r="I77" i="2"/>
  <c r="I76" i="2"/>
  <c r="I75" i="2"/>
  <c r="I74" i="2"/>
  <c r="H77" i="2"/>
  <c r="H76" i="2"/>
  <c r="H75" i="2"/>
  <c r="H74" i="2"/>
  <c r="G82" i="2"/>
  <c r="G81" i="2"/>
  <c r="G80" i="2"/>
  <c r="G79" i="2"/>
  <c r="G78" i="2"/>
  <c r="G77" i="2"/>
  <c r="G76" i="2"/>
  <c r="G75" i="2"/>
  <c r="G74" i="2"/>
  <c r="J73" i="2"/>
  <c r="I73" i="2"/>
  <c r="H73" i="2"/>
  <c r="G73" i="2"/>
  <c r="K73" i="2"/>
  <c r="K82" i="2"/>
  <c r="K81" i="2"/>
  <c r="K80" i="2"/>
  <c r="K79" i="2"/>
  <c r="K78" i="2"/>
  <c r="K77" i="2"/>
  <c r="K76" i="2"/>
  <c r="K75" i="2"/>
  <c r="K74" i="2"/>
  <c r="L73" i="2"/>
  <c r="L82" i="2"/>
  <c r="L81" i="2"/>
  <c r="L80" i="2"/>
  <c r="L79" i="2"/>
  <c r="L78" i="2"/>
  <c r="L77" i="2"/>
  <c r="L76" i="2"/>
  <c r="L75" i="2"/>
  <c r="L74" i="2"/>
  <c r="M73" i="2"/>
  <c r="M90" i="2"/>
  <c r="M89" i="2"/>
  <c r="M88" i="2"/>
  <c r="M87" i="2"/>
  <c r="M86" i="2"/>
  <c r="M85" i="2"/>
  <c r="M84" i="2"/>
  <c r="M83" i="2"/>
  <c r="M82" i="2"/>
  <c r="M81" i="2"/>
  <c r="M80" i="2"/>
  <c r="M79" i="2"/>
  <c r="M78" i="2"/>
  <c r="M77" i="2"/>
  <c r="M76" i="2"/>
  <c r="M75" i="2"/>
  <c r="M74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F73" i="2"/>
  <c r="F121" i="2" l="1"/>
  <c r="F120" i="2"/>
  <c r="F119" i="2"/>
  <c r="F118" i="2"/>
  <c r="F117" i="2"/>
  <c r="F116" i="2"/>
  <c r="F104" i="2"/>
  <c r="F103" i="2"/>
  <c r="F102" i="2"/>
  <c r="F101" i="2"/>
  <c r="F100" i="2"/>
  <c r="F99" i="2"/>
  <c r="F115" i="2"/>
  <c r="F114" i="2"/>
  <c r="F113" i="2"/>
  <c r="F112" i="2"/>
  <c r="F111" i="2"/>
  <c r="F98" i="2"/>
  <c r="F97" i="2"/>
  <c r="F96" i="2"/>
  <c r="F95" i="2"/>
  <c r="F84" i="2"/>
  <c r="F83" i="2"/>
  <c r="F82" i="2"/>
  <c r="F81" i="2"/>
  <c r="F80" i="2"/>
  <c r="F110" i="2"/>
  <c r="F109" i="2"/>
  <c r="F108" i="2"/>
  <c r="F79" i="2"/>
  <c r="F78" i="2"/>
  <c r="F107" i="2"/>
  <c r="F106" i="2"/>
  <c r="F105" i="2"/>
  <c r="F94" i="2"/>
  <c r="F93" i="2"/>
  <c r="F92" i="2"/>
  <c r="F91" i="2"/>
  <c r="F90" i="2"/>
  <c r="F89" i="2"/>
  <c r="F88" i="2"/>
  <c r="F87" i="2"/>
  <c r="F86" i="2"/>
  <c r="F85" i="2"/>
  <c r="F77" i="2"/>
  <c r="F122" i="2"/>
  <c r="F123" i="2"/>
  <c r="F124" i="2"/>
  <c r="F125" i="2"/>
  <c r="F126" i="2"/>
  <c r="F127" i="2"/>
  <c r="F128" i="2"/>
  <c r="F129" i="2"/>
  <c r="F130" i="2"/>
  <c r="F131" i="2"/>
  <c r="F132" i="2"/>
  <c r="F76" i="2"/>
  <c r="F75" i="2"/>
  <c r="F74" i="2"/>
  <c r="T35" i="2" l="1"/>
  <c r="T42" i="2"/>
  <c r="T38" i="2"/>
  <c r="T39" i="2"/>
  <c r="T43" i="2"/>
  <c r="T44" i="2"/>
  <c r="T45" i="2"/>
  <c r="T46" i="2"/>
  <c r="T47" i="2"/>
  <c r="T41" i="2" l="1"/>
  <c r="T40" i="2"/>
  <c r="T37" i="2"/>
  <c r="P10" i="2" l="1"/>
  <c r="P11" i="2" s="1"/>
  <c r="S11" i="2"/>
  <c r="S10" i="2"/>
  <c r="S12" i="2"/>
  <c r="B2" i="3" l="1"/>
  <c r="Q5" i="2" l="1"/>
  <c r="K21" i="2" l="1"/>
  <c r="K20" i="2"/>
  <c r="E4" i="3" l="1"/>
  <c r="B4" i="3"/>
  <c r="H4" i="3" l="1"/>
  <c r="B7" i="3" l="1"/>
  <c r="M4" i="3" l="1"/>
  <c r="E17" i="2" l="1"/>
  <c r="F17" i="2" s="1"/>
  <c r="R5" i="2" l="1"/>
  <c r="S5" i="2" s="1"/>
  <c r="Q9" i="2" l="1"/>
  <c r="C42" i="2" l="1"/>
  <c r="Q10" i="2"/>
  <c r="Q11" i="2" s="1"/>
  <c r="R9" i="2"/>
  <c r="H8" i="2"/>
  <c r="C8" i="2"/>
  <c r="C69" i="2" l="1"/>
  <c r="C60" i="2"/>
  <c r="C57" i="2"/>
  <c r="N27" i="3" s="1"/>
  <c r="C53" i="2"/>
  <c r="C56" i="2"/>
  <c r="C52" i="2"/>
  <c r="C58" i="2"/>
  <c r="C62" i="2"/>
  <c r="C51" i="2"/>
  <c r="C59" i="2"/>
  <c r="C50" i="2"/>
  <c r="R11" i="2"/>
  <c r="N50" i="2" s="1"/>
  <c r="R10" i="2"/>
  <c r="Q12" i="2"/>
  <c r="N52" i="2" l="1"/>
  <c r="N54" i="2"/>
  <c r="N59" i="2"/>
  <c r="N51" i="2"/>
  <c r="N42" i="2"/>
  <c r="N60" i="2"/>
  <c r="N58" i="2"/>
  <c r="N53" i="2"/>
  <c r="N56" i="2"/>
  <c r="N57" i="2"/>
  <c r="R12" i="2"/>
  <c r="O37" i="3" l="1"/>
  <c r="O36" i="3"/>
  <c r="O35" i="3"/>
  <c r="O34" i="3"/>
  <c r="O33" i="3"/>
  <c r="O32" i="3"/>
  <c r="O31" i="3"/>
  <c r="O30" i="3"/>
  <c r="O29" i="3"/>
  <c r="O28" i="3"/>
  <c r="O27" i="3"/>
  <c r="O26" i="3"/>
  <c r="O25" i="3"/>
  <c r="O24" i="3"/>
  <c r="O23" i="3"/>
  <c r="O22" i="3"/>
  <c r="O21" i="3"/>
  <c r="O19" i="3"/>
  <c r="O18" i="3"/>
  <c r="O17" i="3"/>
  <c r="O16" i="3"/>
  <c r="O15" i="3"/>
  <c r="O14" i="3"/>
  <c r="O13" i="3"/>
  <c r="O12" i="3"/>
  <c r="O11" i="3"/>
  <c r="O10" i="3"/>
  <c r="O9" i="3"/>
  <c r="O8" i="3"/>
  <c r="B8" i="3" l="1"/>
  <c r="O7" i="3"/>
  <c r="C7" i="3" a="1"/>
  <c r="C7" i="3" s="1"/>
  <c r="B9" i="3" l="1"/>
  <c r="C8" i="3"/>
  <c r="B10" i="3" l="1"/>
  <c r="C9" i="3"/>
  <c r="C10" i="3" l="1"/>
  <c r="B11" i="3"/>
  <c r="C11" i="3" s="1"/>
  <c r="B12" i="3" l="1"/>
  <c r="C12" i="3" s="1"/>
  <c r="B13" i="3" l="1"/>
  <c r="C13" i="3" s="1"/>
  <c r="B14" i="3" l="1"/>
  <c r="C14" i="3" s="1"/>
  <c r="B15" i="3" l="1"/>
  <c r="C15" i="3" l="1"/>
  <c r="B16" i="3"/>
  <c r="C16" i="3" s="1"/>
  <c r="B17" i="3" l="1"/>
  <c r="B18" i="3" s="1"/>
  <c r="C17" i="3" l="1"/>
  <c r="B19" i="3"/>
  <c r="C18" i="3"/>
  <c r="B20" i="3" l="1"/>
  <c r="C19" i="3"/>
  <c r="B21" i="3" l="1"/>
  <c r="C20" i="3"/>
  <c r="B22" i="3" l="1"/>
  <c r="C21" i="3"/>
  <c r="B23" i="3" l="1"/>
  <c r="C22" i="3"/>
  <c r="B24" i="3" l="1"/>
  <c r="C23" i="3"/>
  <c r="B25" i="3" l="1"/>
  <c r="C24" i="3"/>
  <c r="B26" i="3" l="1"/>
  <c r="C25" i="3"/>
  <c r="B27" i="3" l="1"/>
  <c r="C26" i="3"/>
  <c r="B28" i="3" l="1"/>
  <c r="C27" i="3"/>
  <c r="B29" i="3" l="1"/>
  <c r="C28" i="3"/>
  <c r="B30" i="3" l="1"/>
  <c r="C29" i="3"/>
  <c r="B31" i="3" l="1"/>
  <c r="C30" i="3"/>
  <c r="B32" i="3" l="1"/>
  <c r="C31" i="3"/>
  <c r="B33" i="3" l="1"/>
  <c r="C32" i="3"/>
  <c r="B34" i="3" l="1"/>
  <c r="B35" i="3" s="1"/>
  <c r="C33" i="3"/>
  <c r="C34" i="3" l="1"/>
  <c r="B36" i="3" l="1"/>
  <c r="C35" i="3"/>
  <c r="B37" i="3" l="1"/>
  <c r="C36" i="3"/>
  <c r="C37" i="3" l="1"/>
  <c r="M40" i="3"/>
  <c r="O40" i="3"/>
</calcChain>
</file>

<file path=xl/sharedStrings.xml><?xml version="1.0" encoding="utf-8"?>
<sst xmlns="http://schemas.openxmlformats.org/spreadsheetml/2006/main" count="297" uniqueCount="201">
  <si>
    <t>Année</t>
  </si>
  <si>
    <t>Nom de l'agent</t>
  </si>
  <si>
    <t>Fonction</t>
  </si>
  <si>
    <t>Restaurant</t>
  </si>
  <si>
    <t>Base 100%</t>
  </si>
  <si>
    <t>% temps de travail</t>
  </si>
  <si>
    <t>Heures à effectuer à l'année</t>
  </si>
  <si>
    <t>Temps de travail hebdo.</t>
  </si>
  <si>
    <t>Temps de travail journalier</t>
  </si>
  <si>
    <t>CA</t>
  </si>
  <si>
    <t>CET</t>
  </si>
  <si>
    <t>PONT</t>
  </si>
  <si>
    <t>CLSH</t>
  </si>
  <si>
    <t>J.MAIRE</t>
  </si>
  <si>
    <t>ALSH</t>
  </si>
  <si>
    <t>1/2 NOËL</t>
  </si>
  <si>
    <t>1/2 N.AN</t>
  </si>
  <si>
    <t>RÉCUP.</t>
  </si>
  <si>
    <t>MARIAGE</t>
  </si>
  <si>
    <t>NAISSANCE</t>
  </si>
  <si>
    <t>DÉCÈS</t>
  </si>
  <si>
    <t>MÉDAILLE</t>
  </si>
  <si>
    <t xml:space="preserve"> </t>
  </si>
  <si>
    <t>FORMATION</t>
  </si>
  <si>
    <t>CONCOURS</t>
  </si>
  <si>
    <t>CM</t>
  </si>
  <si>
    <t>CEM</t>
  </si>
  <si>
    <t>Jour de l’an</t>
  </si>
  <si>
    <t>Hiver</t>
  </si>
  <si>
    <t>AT</t>
  </si>
  <si>
    <t>Pâques</t>
  </si>
  <si>
    <t>C.MAT</t>
  </si>
  <si>
    <t>Lundi de Pâques</t>
  </si>
  <si>
    <t>Printemps</t>
  </si>
  <si>
    <t>J.NETTOYAGE</t>
  </si>
  <si>
    <t>Fête du travail</t>
  </si>
  <si>
    <t>Victoire 1945</t>
  </si>
  <si>
    <t>Été</t>
  </si>
  <si>
    <t>Ascension</t>
  </si>
  <si>
    <t>RÉUNION</t>
  </si>
  <si>
    <t>Pentecôte</t>
  </si>
  <si>
    <t>Toussaint</t>
  </si>
  <si>
    <t>RETARD</t>
  </si>
  <si>
    <t>Lundi de Pentecôte</t>
  </si>
  <si>
    <t>GRÈVE</t>
  </si>
  <si>
    <t>Fête nationale</t>
  </si>
  <si>
    <t>Noël</t>
  </si>
  <si>
    <t>ANJ</t>
  </si>
  <si>
    <t>Assomption</t>
  </si>
  <si>
    <t>Armistice</t>
  </si>
  <si>
    <t>Observations</t>
  </si>
  <si>
    <t>Prévu</t>
  </si>
  <si>
    <t>HORAIRES</t>
  </si>
  <si>
    <t>Situation</t>
  </si>
  <si>
    <t>Réalisé</t>
  </si>
  <si>
    <t>+ / -</t>
  </si>
  <si>
    <t>Total</t>
  </si>
  <si>
    <t>1/2 Noël</t>
  </si>
  <si>
    <t>Pont</t>
  </si>
  <si>
    <t>Mariage</t>
  </si>
  <si>
    <t>Décès</t>
  </si>
  <si>
    <t>Médaille</t>
  </si>
  <si>
    <t>AGENT DE RESTAURATION</t>
  </si>
  <si>
    <t>RENFORT RESTAURATION</t>
  </si>
  <si>
    <t>CHEF D'ÉQUIPE</t>
  </si>
  <si>
    <t>ASSISTANTE ADMINISTRATIVE</t>
  </si>
  <si>
    <t>LOGISTIQUE</t>
  </si>
  <si>
    <t>Service Restauration scolaire</t>
  </si>
  <si>
    <t>Journée du maire</t>
  </si>
  <si>
    <t>Journée fête</t>
  </si>
  <si>
    <t>1/2 nouvel an</t>
  </si>
  <si>
    <t>Solde CET</t>
  </si>
  <si>
    <t>Mercredi ALSH</t>
  </si>
  <si>
    <t>Enfant malade</t>
  </si>
  <si>
    <t>VENDREDI</t>
  </si>
  <si>
    <t>CHP</t>
  </si>
  <si>
    <t>Total semaine</t>
  </si>
  <si>
    <t>RTT</t>
  </si>
  <si>
    <t>+/-</t>
  </si>
  <si>
    <t>J.nettoyage</t>
  </si>
  <si>
    <t>Fériés</t>
  </si>
  <si>
    <t>Dates vacances</t>
  </si>
  <si>
    <t>Liste agents</t>
  </si>
  <si>
    <t>Liste restaurants</t>
  </si>
  <si>
    <t>Liste fonctions</t>
  </si>
  <si>
    <t>Liste années</t>
  </si>
  <si>
    <t xml:space="preserve">Sur cette feuille, seules les cellules en </t>
  </si>
  <si>
    <t>peuvent être modifiées</t>
  </si>
  <si>
    <t>cent. en h</t>
  </si>
  <si>
    <t>h. en cent.</t>
  </si>
  <si>
    <t>Calculatrice conversion heures</t>
  </si>
  <si>
    <t>J.FÊTE</t>
  </si>
  <si>
    <t>MERCREDI</t>
  </si>
  <si>
    <t>DS</t>
  </si>
  <si>
    <t>J.APM</t>
  </si>
  <si>
    <t>Choix</t>
  </si>
  <si>
    <t>X</t>
  </si>
  <si>
    <t>Journée arrondie</t>
  </si>
  <si>
    <t>Choix planning</t>
  </si>
  <si>
    <t>Division Education Jeunesse</t>
  </si>
  <si>
    <t>1/2 CA</t>
  </si>
  <si>
    <t>1/2 RTT</t>
  </si>
  <si>
    <t>1/2 FORMATION</t>
  </si>
  <si>
    <t>1/2 J.APM</t>
  </si>
  <si>
    <t>1/2 CET</t>
  </si>
  <si>
    <t>1/2 CHP</t>
  </si>
  <si>
    <t>1/2 CA N-1</t>
  </si>
  <si>
    <t>N-1</t>
  </si>
  <si>
    <t>Naissance</t>
  </si>
  <si>
    <t>Mercredi</t>
  </si>
  <si>
    <t>Autres</t>
  </si>
  <si>
    <t>DON_CA</t>
  </si>
  <si>
    <t>Don_CA</t>
  </si>
  <si>
    <t>Agent 1</t>
  </si>
  <si>
    <t>Agent 3</t>
  </si>
  <si>
    <t>Agent 2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</si>
  <si>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</si>
  <si>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</si>
  <si>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</si>
  <si>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</si>
  <si>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</si>
  <si>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</si>
  <si>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</si>
  <si>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</si>
  <si>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</si>
  <si>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</si>
  <si>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</si>
  <si>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</si>
  <si>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</si>
  <si>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</si>
  <si>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</si>
  <si>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</si>
  <si>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</si>
  <si>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</si>
  <si>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</si>
  <si>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</si>
  <si>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</si>
  <si>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</si>
  <si>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</si>
  <si>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</si>
  <si>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</si>
  <si>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</si>
  <si>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</si>
  <si>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</si>
  <si>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</si>
  <si>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</si>
  <si>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</si>
  <si>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</si>
  <si>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</si>
  <si>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</si>
  <si>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</si>
  <si>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</si>
  <si>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</si>
  <si>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</si>
  <si>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</si>
  <si>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</si>
  <si>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</si>
  <si>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</si>
  <si>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</si>
  <si>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</si>
  <si>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</si>
  <si>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</si>
  <si>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</si>
  <si>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Agent 51</t>
  </si>
  <si>
    <t>Agent 52</t>
  </si>
  <si>
    <t>Agent 53</t>
  </si>
  <si>
    <t>Agent 54</t>
  </si>
  <si>
    <t>Agent 55</t>
  </si>
  <si>
    <t>Agent 56</t>
  </si>
  <si>
    <t>Agent 57</t>
  </si>
  <si>
    <t>Agent 58</t>
  </si>
  <si>
    <t>Restaurant 1</t>
  </si>
  <si>
    <t>Restaurant 2</t>
  </si>
  <si>
    <t>Restaurant 3</t>
  </si>
  <si>
    <t>Restaurant 4</t>
  </si>
  <si>
    <t>Restaurant 5</t>
  </si>
  <si>
    <t>Restaurant 6</t>
  </si>
  <si>
    <t>Restaurant 7</t>
  </si>
  <si>
    <t>Restaurant 8</t>
  </si>
  <si>
    <t>Restaurant 9</t>
  </si>
  <si>
    <t>Restaurant 10</t>
  </si>
  <si>
    <t>Restaurant 11</t>
  </si>
  <si>
    <t>Restaurant 12</t>
  </si>
  <si>
    <t>Restaurant 13</t>
  </si>
  <si>
    <t>Restaurant 14</t>
  </si>
  <si>
    <t>Restaurant 15</t>
  </si>
  <si>
    <t>Restaurant 16</t>
  </si>
  <si>
    <t>Restaurant 17</t>
  </si>
  <si>
    <t>Restaurant 18</t>
  </si>
  <si>
    <t>Restaurant 19</t>
  </si>
  <si>
    <t>Restaurant 20</t>
  </si>
  <si>
    <t>Restaurant 21</t>
  </si>
  <si>
    <t>Restaurant 22</t>
  </si>
  <si>
    <t>Restaurant 23</t>
  </si>
  <si>
    <t>Restaurant 24</t>
  </si>
  <si>
    <t>Restaurant 25</t>
  </si>
  <si>
    <t>Restaurant 26</t>
  </si>
  <si>
    <t>Restaurant 27</t>
  </si>
  <si>
    <t>Restaurant 28</t>
  </si>
  <si>
    <t>Restaurant 29</t>
  </si>
  <si>
    <t>Restaurant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</si>
</sst>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[h]:mm;@"/>
    <numFmt numFmtId="165" formatCode="h:mm;@"/>
    <numFmt numFmtId="166" formatCode="dd/mm/yy"/>
    <numFmt numFmtId="167" formatCode="[hh]:mm;@"/>
    <numFmt numFmtId="168" formatCode="dd"/>
    <numFmt numFmtId="169" formatCode="ddd\ dd"/>
    <numFmt numFmtId="170" formatCode="0;;;@"/>
    <numFmt numFmtId="171" formatCode="mmmm\ yyyy"/>
  </numFmts>
  <fonts count="31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2"/>
      <name val="Calibri"/>
      <family val="2"/>
    </font>
    <font>
      <sz val="9"/>
      <name val="Calibri"/>
      <family val="2"/>
    </font>
    <font>
      <b/>
      <sz val="11"/>
      <name val="Calibri"/>
      <family val="2"/>
    </font>
    <font>
      <b/>
      <sz val="9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  <font>
      <sz val="12"/>
      <name val="Calibri"/>
      <family val="2"/>
    </font>
    <font>
      <sz val="10"/>
      <name val="Calibri"/>
      <family val="2"/>
    </font>
    <font>
      <sz val="11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Garamond"/>
      <family val="1"/>
    </font>
    <font>
      <sz val="9"/>
      <name val="Liberation Sans"/>
      <family val="2"/>
    </font>
    <font>
      <sz val="8"/>
      <name val="Liberation Sans"/>
      <family val="2"/>
    </font>
    <font>
      <sz val="12"/>
      <name val="Calibri"/>
      <family val="2"/>
      <scheme val="minor"/>
    </font>
    <font>
      <sz val="10"/>
      <color theme="0"/>
      <name val="Calibri"/>
      <family val="2"/>
    </font>
    <font>
      <u/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EEEEEE"/>
        <bgColor rgb="FFEEEEE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8D5D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medium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medium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34998626667073579"/>
      </top>
      <bottom/>
      <diagonal/>
    </border>
  </borders>
  <cellStyleXfs count="3">
    <xf numFmtId="0" fontId="0" fillId="0" borderId="0"/>
    <xf numFmtId="0" fontId="1" fillId="0" borderId="0"/>
    <xf numFmtId="0" fontId="25" fillId="0" borderId="0"/>
  </cellStyleXfs>
  <cellXfs count="262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3" fillId="2" borderId="14" xfId="1" applyFont="1" applyFill="1" applyBorder="1" applyAlignment="1">
      <alignment horizontal="centerContinuous" vertical="center"/>
    </xf>
    <xf numFmtId="0" fontId="3" fillId="2" borderId="12" xfId="1" applyFont="1" applyFill="1" applyBorder="1" applyAlignment="1">
      <alignment horizontal="centerContinuous" vertical="center"/>
    </xf>
    <xf numFmtId="0" fontId="3" fillId="5" borderId="13" xfId="1" applyFont="1" applyFill="1" applyBorder="1" applyAlignment="1">
      <alignment horizontal="centerContinuous" vertical="center"/>
    </xf>
    <xf numFmtId="0" fontId="3" fillId="5" borderId="11" xfId="1" applyFont="1" applyFill="1" applyBorder="1" applyAlignment="1">
      <alignment horizontal="centerContinuous" vertical="center"/>
    </xf>
    <xf numFmtId="0" fontId="3" fillId="5" borderId="12" xfId="1" applyFont="1" applyFill="1" applyBorder="1" applyAlignment="1">
      <alignment horizontal="centerContinuous" vertical="center"/>
    </xf>
    <xf numFmtId="0" fontId="3" fillId="5" borderId="13" xfId="1" applyFont="1" applyFill="1" applyBorder="1" applyAlignment="1">
      <alignment horizontal="center" vertical="center"/>
    </xf>
    <xf numFmtId="0" fontId="3" fillId="5" borderId="14" xfId="1" applyFont="1" applyFill="1" applyBorder="1" applyAlignment="1">
      <alignment horizontal="centerContinuous" vertical="center"/>
    </xf>
    <xf numFmtId="0" fontId="3" fillId="5" borderId="13" xfId="1" quotePrefix="1" applyFont="1" applyFill="1" applyBorder="1" applyAlignment="1">
      <alignment horizontal="center" vertical="center"/>
    </xf>
    <xf numFmtId="169" fontId="3" fillId="2" borderId="13" xfId="1" applyNumberFormat="1" applyFont="1" applyFill="1" applyBorder="1" applyAlignment="1">
      <alignment horizontal="right" vertical="center"/>
    </xf>
    <xf numFmtId="0" fontId="3" fillId="0" borderId="11" xfId="1" applyFont="1" applyBorder="1" applyAlignment="1">
      <alignment vertical="center"/>
    </xf>
    <xf numFmtId="164" fontId="3" fillId="6" borderId="13" xfId="1" applyNumberFormat="1" applyFont="1" applyFill="1" applyBorder="1" applyAlignment="1">
      <alignment vertical="center"/>
    </xf>
    <xf numFmtId="164" fontId="3" fillId="0" borderId="13" xfId="1" applyNumberFormat="1" applyFont="1" applyBorder="1" applyAlignment="1">
      <alignment vertical="center"/>
    </xf>
    <xf numFmtId="168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center"/>
    </xf>
    <xf numFmtId="164" fontId="3" fillId="0" borderId="0" xfId="1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horizontal="right" vertical="center"/>
    </xf>
    <xf numFmtId="0" fontId="9" fillId="0" borderId="11" xfId="1" applyFont="1" applyBorder="1" applyAlignment="1">
      <alignment horizontal="centerContinuous" vertical="center"/>
    </xf>
    <xf numFmtId="0" fontId="9" fillId="0" borderId="14" xfId="1" applyFont="1" applyBorder="1" applyAlignment="1">
      <alignment horizontal="centerContinuous" vertical="center"/>
    </xf>
    <xf numFmtId="0" fontId="11" fillId="4" borderId="13" xfId="0" applyFont="1" applyFill="1" applyBorder="1" applyAlignment="1">
      <alignment horizontal="left" vertical="center"/>
    </xf>
    <xf numFmtId="0" fontId="11" fillId="4" borderId="13" xfId="0" quotePrefix="1" applyFont="1" applyFill="1" applyBorder="1" applyAlignment="1">
      <alignment vertical="center"/>
    </xf>
    <xf numFmtId="0" fontId="11" fillId="4" borderId="13" xfId="0" applyFont="1" applyFill="1" applyBorder="1" applyAlignment="1">
      <alignment vertical="center"/>
    </xf>
    <xf numFmtId="0" fontId="3" fillId="0" borderId="12" xfId="1" applyFont="1" applyBorder="1" applyAlignment="1" applyProtection="1">
      <alignment vertical="center"/>
      <protection locked="0"/>
    </xf>
    <xf numFmtId="0" fontId="3" fillId="0" borderId="13" xfId="1" applyFont="1" applyBorder="1" applyAlignment="1" applyProtection="1">
      <alignment vertical="center"/>
      <protection locked="0"/>
    </xf>
    <xf numFmtId="0" fontId="3" fillId="6" borderId="13" xfId="1" applyFont="1" applyFill="1" applyBorder="1" applyAlignment="1" applyProtection="1">
      <alignment vertical="center"/>
      <protection locked="0"/>
    </xf>
    <xf numFmtId="164" fontId="3" fillId="2" borderId="13" xfId="1" applyNumberFormat="1" applyFont="1" applyFill="1" applyBorder="1" applyAlignment="1" applyProtection="1">
      <alignment horizontal="center" vertical="center"/>
      <protection locked="0"/>
    </xf>
    <xf numFmtId="0" fontId="3" fillId="0" borderId="11" xfId="1" applyFont="1" applyFill="1" applyBorder="1" applyAlignment="1" applyProtection="1">
      <alignment horizontal="left" vertical="center"/>
      <protection locked="0"/>
    </xf>
    <xf numFmtId="0" fontId="3" fillId="0" borderId="12" xfId="1" applyFont="1" applyFill="1" applyBorder="1" applyAlignment="1" applyProtection="1">
      <alignment horizontal="left" vertical="center"/>
      <protection locked="0"/>
    </xf>
    <xf numFmtId="0" fontId="12" fillId="0" borderId="2" xfId="1" applyNumberFormat="1" applyFont="1" applyBorder="1"/>
    <xf numFmtId="0" fontId="11" fillId="4" borderId="13" xfId="0" quotePrefix="1" applyFont="1" applyFill="1" applyBorder="1" applyAlignment="1">
      <alignment horizontal="left" vertical="center"/>
    </xf>
    <xf numFmtId="0" fontId="17" fillId="0" borderId="0" xfId="1" applyFont="1" applyProtection="1">
      <protection locked="0"/>
    </xf>
    <xf numFmtId="0" fontId="18" fillId="0" borderId="0" xfId="1" applyFont="1" applyProtection="1">
      <protection locked="0"/>
    </xf>
    <xf numFmtId="0" fontId="18" fillId="0" borderId="0" xfId="1" applyFont="1"/>
    <xf numFmtId="0" fontId="18" fillId="0" borderId="3" xfId="1" applyFont="1" applyBorder="1"/>
    <xf numFmtId="0" fontId="18" fillId="0" borderId="4" xfId="1" applyFont="1" applyBorder="1"/>
    <xf numFmtId="0" fontId="18" fillId="0" borderId="9" xfId="1" applyFont="1" applyBorder="1"/>
    <xf numFmtId="0" fontId="18" fillId="0" borderId="10" xfId="1" applyFont="1" applyBorder="1" applyAlignment="1">
      <alignment vertical="center"/>
    </xf>
    <xf numFmtId="0" fontId="18" fillId="0" borderId="0" xfId="1" quotePrefix="1" applyFont="1"/>
    <xf numFmtId="167" fontId="18" fillId="0" borderId="10" xfId="1" applyNumberFormat="1" applyFont="1" applyBorder="1"/>
    <xf numFmtId="2" fontId="18" fillId="0" borderId="10" xfId="1" applyNumberFormat="1" applyFont="1" applyBorder="1"/>
    <xf numFmtId="0" fontId="18" fillId="0" borderId="0" xfId="1" applyFont="1" applyBorder="1"/>
    <xf numFmtId="0" fontId="18" fillId="0" borderId="10" xfId="1" applyFont="1" applyBorder="1"/>
    <xf numFmtId="0" fontId="18" fillId="0" borderId="0" xfId="1" applyFont="1" applyFill="1" applyBorder="1" applyAlignment="1"/>
    <xf numFmtId="0" fontId="19" fillId="0" borderId="9" xfId="1" applyFont="1" applyBorder="1" applyAlignment="1">
      <alignment horizontal="right" indent="2"/>
    </xf>
    <xf numFmtId="0" fontId="18" fillId="8" borderId="11" xfId="1" applyFont="1" applyFill="1" applyBorder="1" applyProtection="1">
      <protection locked="0"/>
    </xf>
    <xf numFmtId="0" fontId="18" fillId="8" borderId="12" xfId="1" applyFont="1" applyFill="1" applyBorder="1" applyProtection="1">
      <protection locked="0"/>
    </xf>
    <xf numFmtId="0" fontId="18" fillId="8" borderId="13" xfId="1" applyFont="1" applyFill="1" applyBorder="1" applyProtection="1">
      <protection locked="0"/>
    </xf>
    <xf numFmtId="0" fontId="18" fillId="8" borderId="11" xfId="1" applyFont="1" applyFill="1" applyBorder="1" applyAlignment="1" applyProtection="1">
      <alignment horizontal="left"/>
      <protection locked="0"/>
    </xf>
    <xf numFmtId="0" fontId="18" fillId="8" borderId="14" xfId="1" applyFont="1" applyFill="1" applyBorder="1" applyAlignment="1" applyProtection="1">
      <alignment horizontal="left"/>
      <protection locked="0"/>
    </xf>
    <xf numFmtId="0" fontId="18" fillId="0" borderId="2" xfId="1" applyFont="1" applyBorder="1" applyAlignment="1">
      <alignment horizontal="right"/>
    </xf>
    <xf numFmtId="0" fontId="18" fillId="0" borderId="4" xfId="1" applyNumberFormat="1" applyFont="1" applyBorder="1" applyAlignment="1">
      <alignment horizontal="right"/>
    </xf>
    <xf numFmtId="164" fontId="18" fillId="0" borderId="4" xfId="1" applyNumberFormat="1" applyFont="1" applyBorder="1"/>
    <xf numFmtId="167" fontId="18" fillId="0" borderId="10" xfId="1" quotePrefix="1" applyNumberFormat="1" applyFont="1" applyBorder="1" applyAlignment="1">
      <alignment horizontal="right"/>
    </xf>
    <xf numFmtId="167" fontId="18" fillId="8" borderId="10" xfId="1" quotePrefix="1" applyNumberFormat="1" applyFont="1" applyFill="1" applyBorder="1" applyAlignment="1">
      <alignment horizontal="right"/>
    </xf>
    <xf numFmtId="164" fontId="18" fillId="0" borderId="9" xfId="1" applyNumberFormat="1" applyFont="1" applyBorder="1" applyAlignment="1">
      <alignment horizontal="right"/>
    </xf>
    <xf numFmtId="164" fontId="18" fillId="0" borderId="10" xfId="1" applyNumberFormat="1" applyFont="1" applyBorder="1" applyAlignment="1">
      <alignment horizontal="right"/>
    </xf>
    <xf numFmtId="164" fontId="18" fillId="0" borderId="10" xfId="1" applyNumberFormat="1" applyFont="1" applyBorder="1"/>
    <xf numFmtId="167" fontId="18" fillId="0" borderId="10" xfId="1" applyNumberFormat="1" applyFont="1" applyBorder="1" applyAlignment="1">
      <alignment horizontal="right"/>
    </xf>
    <xf numFmtId="0" fontId="18" fillId="0" borderId="0" xfId="1" applyFont="1" applyBorder="1" applyProtection="1">
      <protection locked="0"/>
    </xf>
    <xf numFmtId="0" fontId="18" fillId="0" borderId="6" xfId="1" applyFont="1" applyBorder="1" applyAlignment="1">
      <alignment horizontal="right"/>
    </xf>
    <xf numFmtId="0" fontId="18" fillId="0" borderId="8" xfId="1" applyFont="1" applyBorder="1" applyAlignment="1">
      <alignment horizontal="right"/>
    </xf>
    <xf numFmtId="164" fontId="21" fillId="0" borderId="8" xfId="1" applyNumberFormat="1" applyFont="1" applyBorder="1"/>
    <xf numFmtId="0" fontId="18" fillId="0" borderId="2" xfId="1" applyFont="1" applyBorder="1"/>
    <xf numFmtId="0" fontId="21" fillId="0" borderId="4" xfId="1" applyFont="1" applyBorder="1" applyAlignment="1">
      <alignment horizontal="right"/>
    </xf>
    <xf numFmtId="164" fontId="21" fillId="0" borderId="23" xfId="1" applyNumberFormat="1" applyFont="1" applyBorder="1"/>
    <xf numFmtId="0" fontId="18" fillId="0" borderId="11" xfId="1" applyFont="1" applyBorder="1"/>
    <xf numFmtId="0" fontId="18" fillId="0" borderId="12" xfId="1" applyFont="1" applyBorder="1" applyAlignment="1">
      <alignment horizontal="right" vertical="center"/>
    </xf>
    <xf numFmtId="0" fontId="18" fillId="8" borderId="13" xfId="1" applyFont="1" applyFill="1" applyBorder="1" applyAlignment="1">
      <alignment horizontal="center" vertical="center"/>
    </xf>
    <xf numFmtId="0" fontId="18" fillId="8" borderId="9" xfId="1" applyFont="1" applyFill="1" applyBorder="1" applyProtection="1">
      <protection locked="0"/>
    </xf>
    <xf numFmtId="0" fontId="18" fillId="8" borderId="10" xfId="1" applyFont="1" applyFill="1" applyBorder="1" applyProtection="1">
      <protection locked="0"/>
    </xf>
    <xf numFmtId="0" fontId="18" fillId="0" borderId="11" xfId="1" quotePrefix="1" applyFont="1" applyFill="1" applyBorder="1" applyAlignment="1">
      <alignment horizontal="right"/>
    </xf>
    <xf numFmtId="164" fontId="18" fillId="0" borderId="13" xfId="1" applyNumberFormat="1" applyFont="1" applyBorder="1"/>
    <xf numFmtId="16" fontId="18" fillId="0" borderId="9" xfId="1" quotePrefix="1" applyNumberFormat="1" applyFont="1" applyBorder="1"/>
    <xf numFmtId="0" fontId="18" fillId="0" borderId="13" xfId="1" applyFont="1" applyBorder="1"/>
    <xf numFmtId="20" fontId="18" fillId="8" borderId="13" xfId="1" applyNumberFormat="1" applyFont="1" applyFill="1" applyBorder="1" applyProtection="1">
      <protection locked="0"/>
    </xf>
    <xf numFmtId="2" fontId="18" fillId="0" borderId="13" xfId="1" applyNumberFormat="1" applyFont="1" applyBorder="1"/>
    <xf numFmtId="0" fontId="18" fillId="0" borderId="6" xfId="1" applyFont="1" applyBorder="1"/>
    <xf numFmtId="0" fontId="18" fillId="0" borderId="7" xfId="1" applyFont="1" applyBorder="1"/>
    <xf numFmtId="0" fontId="22" fillId="9" borderId="0" xfId="1" applyFont="1" applyFill="1" applyBorder="1"/>
    <xf numFmtId="0" fontId="22" fillId="8" borderId="0" xfId="1" applyFont="1" applyFill="1" applyBorder="1"/>
    <xf numFmtId="0" fontId="16" fillId="9" borderId="0" xfId="1" applyFont="1" applyFill="1" applyBorder="1" applyAlignment="1">
      <alignment vertical="center"/>
    </xf>
    <xf numFmtId="0" fontId="18" fillId="0" borderId="13" xfId="1" applyFont="1" applyBorder="1" applyAlignment="1">
      <alignment horizontal="center" vertical="center"/>
    </xf>
    <xf numFmtId="0" fontId="18" fillId="4" borderId="13" xfId="1" quotePrefix="1" applyFont="1" applyFill="1" applyBorder="1" applyAlignment="1">
      <alignment horizontal="center" vertical="center"/>
    </xf>
    <xf numFmtId="0" fontId="18" fillId="4" borderId="13" xfId="1" applyFont="1" applyFill="1" applyBorder="1" applyAlignment="1">
      <alignment horizontal="center" vertical="center"/>
    </xf>
    <xf numFmtId="164" fontId="18" fillId="4" borderId="13" xfId="1" applyNumberFormat="1" applyFont="1" applyFill="1" applyBorder="1" applyAlignment="1">
      <alignment horizontal="center" vertical="center"/>
    </xf>
    <xf numFmtId="0" fontId="23" fillId="4" borderId="13" xfId="1" quotePrefix="1" applyFont="1" applyFill="1" applyBorder="1" applyAlignment="1">
      <alignment horizontal="center" vertical="center"/>
    </xf>
    <xf numFmtId="0" fontId="18" fillId="4" borderId="11" xfId="1" applyFont="1" applyFill="1" applyBorder="1" applyAlignment="1">
      <alignment horizontal="center" vertical="center"/>
    </xf>
    <xf numFmtId="0" fontId="18" fillId="4" borderId="11" xfId="1" quotePrefix="1" applyFont="1" applyFill="1" applyBorder="1" applyAlignment="1">
      <alignment horizontal="center" vertical="center"/>
    </xf>
    <xf numFmtId="0" fontId="24" fillId="2" borderId="11" xfId="1" applyFont="1" applyFill="1" applyBorder="1" applyAlignment="1" applyProtection="1">
      <alignment horizontal="left" vertical="center"/>
    </xf>
    <xf numFmtId="0" fontId="24" fillId="2" borderId="12" xfId="1" applyFont="1" applyFill="1" applyBorder="1" applyAlignment="1" applyProtection="1">
      <alignment vertical="center"/>
    </xf>
    <xf numFmtId="166" fontId="24" fillId="0" borderId="13" xfId="1" applyNumberFormat="1" applyFont="1" applyBorder="1" applyAlignment="1" applyProtection="1">
      <alignment horizontal="center" vertical="center"/>
    </xf>
    <xf numFmtId="0" fontId="24" fillId="3" borderId="1" xfId="1" applyFont="1" applyFill="1" applyBorder="1" applyAlignment="1">
      <alignment horizontal="center" vertical="center"/>
    </xf>
    <xf numFmtId="0" fontId="24" fillId="4" borderId="1" xfId="1" applyFont="1" applyFill="1" applyBorder="1" applyAlignment="1">
      <alignment horizontal="center" vertical="center"/>
    </xf>
    <xf numFmtId="166" fontId="24" fillId="8" borderId="3" xfId="1" applyNumberFormat="1" applyFont="1" applyFill="1" applyBorder="1" applyAlignment="1" applyProtection="1">
      <alignment horizontal="center" vertical="center"/>
      <protection locked="0"/>
    </xf>
    <xf numFmtId="0" fontId="24" fillId="8" borderId="2" xfId="1" applyFont="1" applyFill="1" applyBorder="1" applyAlignment="1" applyProtection="1">
      <alignment vertical="center"/>
      <protection locked="0"/>
    </xf>
    <xf numFmtId="0" fontId="18" fillId="8" borderId="3" xfId="1" applyFont="1" applyFill="1" applyBorder="1" applyProtection="1">
      <protection locked="0"/>
    </xf>
    <xf numFmtId="0" fontId="18" fillId="8" borderId="4" xfId="1" applyFont="1" applyFill="1" applyBorder="1" applyProtection="1">
      <protection locked="0"/>
    </xf>
    <xf numFmtId="0" fontId="24" fillId="8" borderId="2" xfId="0" applyFont="1" applyFill="1" applyBorder="1" applyAlignment="1" applyProtection="1">
      <alignment vertical="center"/>
      <protection locked="0"/>
    </xf>
    <xf numFmtId="0" fontId="18" fillId="8" borderId="4" xfId="1" applyFont="1" applyFill="1" applyBorder="1"/>
    <xf numFmtId="0" fontId="15" fillId="8" borderId="13" xfId="0" applyNumberFormat="1" applyFont="1" applyFill="1" applyBorder="1" applyAlignment="1" applyProtection="1">
      <alignment horizontal="right" vertical="center"/>
      <protection locked="0"/>
    </xf>
    <xf numFmtId="0" fontId="24" fillId="2" borderId="11" xfId="1" applyFont="1" applyFill="1" applyBorder="1" applyAlignment="1" applyProtection="1">
      <alignment vertical="center"/>
    </xf>
    <xf numFmtId="0" fontId="24" fillId="3" borderId="15" xfId="1" applyFont="1" applyFill="1" applyBorder="1" applyAlignment="1">
      <alignment horizontal="center" vertical="center"/>
    </xf>
    <xf numFmtId="0" fontId="24" fillId="4" borderId="5" xfId="1" applyFont="1" applyFill="1" applyBorder="1" applyAlignment="1">
      <alignment horizontal="center" vertical="center"/>
    </xf>
    <xf numFmtId="166" fontId="24" fillId="8" borderId="7" xfId="1" applyNumberFormat="1" applyFont="1" applyFill="1" applyBorder="1" applyAlignment="1" applyProtection="1">
      <alignment horizontal="center" vertical="center"/>
      <protection locked="0"/>
    </xf>
    <xf numFmtId="0" fontId="24" fillId="8" borderId="9" xfId="1" applyFont="1" applyFill="1" applyBorder="1" applyAlignment="1" applyProtection="1">
      <alignment vertical="center"/>
      <protection locked="0"/>
    </xf>
    <xf numFmtId="0" fontId="18" fillId="8" borderId="0" xfId="1" applyFont="1" applyFill="1" applyBorder="1" applyProtection="1">
      <protection locked="0"/>
    </xf>
    <xf numFmtId="0" fontId="24" fillId="8" borderId="0" xfId="1" applyFont="1" applyFill="1" applyBorder="1" applyAlignment="1" applyProtection="1">
      <alignment vertical="center"/>
      <protection locked="0"/>
    </xf>
    <xf numFmtId="0" fontId="24" fillId="8" borderId="9" xfId="0" applyFont="1" applyFill="1" applyBorder="1" applyAlignment="1" applyProtection="1">
      <alignment vertical="center"/>
      <protection locked="0"/>
    </xf>
    <xf numFmtId="0" fontId="18" fillId="8" borderId="10" xfId="1" applyFont="1" applyFill="1" applyBorder="1"/>
    <xf numFmtId="0" fontId="15" fillId="0" borderId="13" xfId="0" applyNumberFormat="1" applyFont="1" applyFill="1" applyBorder="1" applyAlignment="1">
      <alignment horizontal="right" vertical="center"/>
    </xf>
    <xf numFmtId="0" fontId="18" fillId="8" borderId="6" xfId="1" applyFont="1" applyFill="1" applyBorder="1" applyProtection="1">
      <protection locked="0"/>
    </xf>
    <xf numFmtId="0" fontId="18" fillId="8" borderId="7" xfId="1" applyFont="1" applyFill="1" applyBorder="1" applyProtection="1">
      <protection locked="0"/>
    </xf>
    <xf numFmtId="0" fontId="18" fillId="8" borderId="8" xfId="1" applyFont="1" applyFill="1" applyBorder="1"/>
    <xf numFmtId="0" fontId="15" fillId="8" borderId="13" xfId="0" applyNumberFormat="1" applyFont="1" applyFill="1" applyBorder="1" applyAlignment="1">
      <alignment horizontal="right" vertical="center"/>
    </xf>
    <xf numFmtId="0" fontId="24" fillId="3" borderId="5" xfId="1" applyFont="1" applyFill="1" applyBorder="1" applyAlignment="1">
      <alignment horizontal="center" vertical="center"/>
    </xf>
    <xf numFmtId="0" fontId="15" fillId="8" borderId="13" xfId="0" applyFont="1" applyFill="1" applyBorder="1" applyAlignment="1" applyProtection="1">
      <alignment horizontal="right" vertical="center"/>
      <protection locked="0"/>
    </xf>
    <xf numFmtId="0" fontId="18" fillId="0" borderId="12" xfId="1" applyFont="1" applyBorder="1" applyAlignment="1">
      <alignment horizontal="center" vertical="center"/>
    </xf>
    <xf numFmtId="0" fontId="15" fillId="0" borderId="13" xfId="0" applyFont="1" applyFill="1" applyBorder="1" applyAlignment="1">
      <alignment horizontal="right" vertical="center"/>
    </xf>
    <xf numFmtId="0" fontId="15" fillId="8" borderId="13" xfId="0" applyFont="1" applyFill="1" applyBorder="1" applyAlignment="1" applyProtection="1">
      <alignment horizontal="right" vertical="center" wrapText="1"/>
      <protection locked="0"/>
    </xf>
    <xf numFmtId="0" fontId="15" fillId="8" borderId="13" xfId="0" applyFont="1" applyFill="1" applyBorder="1" applyAlignment="1">
      <alignment horizontal="right" vertical="center"/>
    </xf>
    <xf numFmtId="0" fontId="24" fillId="8" borderId="0" xfId="1" applyFont="1" applyFill="1" applyBorder="1" applyProtection="1">
      <protection locked="0"/>
    </xf>
    <xf numFmtId="0" fontId="15" fillId="0" borderId="13" xfId="0" applyFont="1" applyFill="1" applyBorder="1" applyAlignment="1" applyProtection="1">
      <alignment horizontal="right" vertical="center"/>
      <protection locked="0"/>
    </xf>
    <xf numFmtId="0" fontId="18" fillId="0" borderId="0" xfId="1" applyFont="1" applyFill="1" applyBorder="1"/>
    <xf numFmtId="164" fontId="18" fillId="0" borderId="0" xfId="1" applyNumberFormat="1" applyFont="1" applyFill="1" applyBorder="1"/>
    <xf numFmtId="165" fontId="18" fillId="0" borderId="0" xfId="1" applyNumberFormat="1" applyFont="1" applyBorder="1"/>
    <xf numFmtId="0" fontId="24" fillId="8" borderId="6" xfId="1" applyFont="1" applyFill="1" applyBorder="1" applyAlignment="1" applyProtection="1">
      <alignment vertical="center"/>
      <protection locked="0"/>
    </xf>
    <xf numFmtId="0" fontId="18" fillId="8" borderId="8" xfId="1" applyFont="1" applyFill="1" applyBorder="1" applyProtection="1">
      <protection locked="0"/>
    </xf>
    <xf numFmtId="166" fontId="24" fillId="8" borderId="1" xfId="1" applyNumberFormat="1" applyFont="1" applyFill="1" applyBorder="1" applyAlignment="1" applyProtection="1">
      <alignment horizontal="center" vertical="center"/>
      <protection locked="0"/>
    </xf>
    <xf numFmtId="166" fontId="24" fillId="8" borderId="5" xfId="1" applyNumberFormat="1" applyFont="1" applyFill="1" applyBorder="1" applyAlignment="1" applyProtection="1">
      <alignment horizontal="center" vertical="center"/>
      <protection locked="0"/>
    </xf>
    <xf numFmtId="171" fontId="2" fillId="2" borderId="11" xfId="1" applyNumberFormat="1" applyFont="1" applyFill="1" applyBorder="1" applyAlignment="1">
      <alignment horizontal="centerContinuous" vertical="center"/>
    </xf>
    <xf numFmtId="0" fontId="13" fillId="9" borderId="0" xfId="1" applyFont="1" applyFill="1" applyBorder="1" applyAlignment="1">
      <alignment horizontal="center" vertical="center" wrapText="1"/>
    </xf>
    <xf numFmtId="0" fontId="13" fillId="9" borderId="0" xfId="1" applyFont="1" applyFill="1" applyBorder="1" applyAlignment="1">
      <alignment horizontal="left" vertical="center" wrapText="1" indent="1"/>
    </xf>
    <xf numFmtId="0" fontId="26" fillId="0" borderId="0" xfId="2" applyFont="1"/>
    <xf numFmtId="0" fontId="26" fillId="0" borderId="0" xfId="2" applyNumberFormat="1" applyFont="1"/>
    <xf numFmtId="0" fontId="26" fillId="0" borderId="0" xfId="2" applyFont="1" applyFill="1" applyBorder="1"/>
    <xf numFmtId="0" fontId="26" fillId="0" borderId="13" xfId="2" applyFont="1" applyFill="1" applyBorder="1"/>
    <xf numFmtId="0" fontId="26" fillId="0" borderId="0" xfId="2" applyFont="1" applyFill="1"/>
    <xf numFmtId="0" fontId="18" fillId="0" borderId="0" xfId="1" applyFont="1" applyFill="1" applyBorder="1" applyAlignment="1">
      <alignment horizontal="right"/>
    </xf>
    <xf numFmtId="0" fontId="18" fillId="0" borderId="0" xfId="1" applyFont="1" applyFill="1" applyBorder="1" applyProtection="1">
      <protection locked="0"/>
    </xf>
    <xf numFmtId="0" fontId="21" fillId="0" borderId="0" xfId="1" applyFont="1" applyFill="1" applyBorder="1" applyAlignment="1">
      <alignment horizontal="right"/>
    </xf>
    <xf numFmtId="0" fontId="18" fillId="0" borderId="0" xfId="1" quotePrefix="1" applyFont="1" applyFill="1" applyBorder="1" applyAlignment="1">
      <alignment horizontal="right"/>
    </xf>
    <xf numFmtId="20" fontId="18" fillId="0" borderId="0" xfId="1" applyNumberFormat="1" applyFont="1" applyFill="1" applyBorder="1" applyProtection="1">
      <protection locked="0"/>
    </xf>
    <xf numFmtId="2" fontId="18" fillId="0" borderId="0" xfId="1" applyNumberFormat="1" applyFont="1" applyFill="1" applyBorder="1"/>
    <xf numFmtId="0" fontId="18" fillId="8" borderId="13" xfId="1" applyFont="1" applyFill="1" applyBorder="1"/>
    <xf numFmtId="0" fontId="20" fillId="8" borderId="13" xfId="1" applyFont="1" applyFill="1" applyBorder="1" applyAlignment="1">
      <alignment horizontal="left" indent="2"/>
    </xf>
    <xf numFmtId="0" fontId="18" fillId="2" borderId="13" xfId="1" applyFont="1" applyFill="1" applyBorder="1" applyAlignment="1">
      <alignment horizontal="center"/>
    </xf>
    <xf numFmtId="0" fontId="18" fillId="8" borderId="13" xfId="1" applyFont="1" applyFill="1" applyBorder="1" applyAlignment="1">
      <alignment horizontal="right"/>
    </xf>
    <xf numFmtId="0" fontId="18" fillId="8" borderId="13" xfId="1" applyFont="1" applyFill="1" applyBorder="1" applyAlignment="1"/>
    <xf numFmtId="0" fontId="19" fillId="0" borderId="0" xfId="1" applyFont="1" applyFill="1" applyBorder="1" applyAlignment="1">
      <alignment horizontal="center"/>
    </xf>
    <xf numFmtId="0" fontId="19" fillId="0" borderId="0" xfId="1" applyFont="1" applyFill="1" applyBorder="1" applyAlignment="1">
      <alignment horizontal="left" indent="2"/>
    </xf>
    <xf numFmtId="0" fontId="18" fillId="0" borderId="8" xfId="1" applyFont="1" applyBorder="1"/>
    <xf numFmtId="0" fontId="14" fillId="0" borderId="13" xfId="1" applyFont="1" applyBorder="1"/>
    <xf numFmtId="0" fontId="27" fillId="7" borderId="13" xfId="2" applyFont="1" applyFill="1" applyBorder="1" applyAlignment="1">
      <alignment horizontal="center"/>
    </xf>
    <xf numFmtId="0" fontId="18" fillId="0" borderId="13" xfId="1" applyFont="1" applyFill="1" applyBorder="1"/>
    <xf numFmtId="0" fontId="18" fillId="0" borderId="0" xfId="1" applyFont="1" applyFill="1"/>
    <xf numFmtId="0" fontId="18" fillId="0" borderId="13" xfId="1" applyNumberFormat="1" applyFont="1" applyFill="1" applyBorder="1"/>
    <xf numFmtId="0" fontId="18" fillId="0" borderId="13" xfId="1" applyNumberFormat="1" applyFont="1" applyBorder="1"/>
    <xf numFmtId="0" fontId="26" fillId="0" borderId="0" xfId="2" applyFont="1" applyFill="1" applyBorder="1" applyAlignment="1">
      <alignment horizontal="center"/>
    </xf>
    <xf numFmtId="0" fontId="26" fillId="0" borderId="0" xfId="2" quotePrefix="1" applyFont="1" applyFill="1" applyBorder="1"/>
    <xf numFmtId="0" fontId="13" fillId="0" borderId="0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horizontal="left" vertical="center" wrapText="1" indent="1"/>
    </xf>
    <xf numFmtId="0" fontId="13" fillId="0" borderId="0" xfId="1" quotePrefix="1" applyFont="1" applyFill="1" applyBorder="1" applyAlignment="1">
      <alignment horizontal="left" vertical="center" wrapText="1"/>
    </xf>
    <xf numFmtId="0" fontId="16" fillId="0" borderId="0" xfId="1" applyFont="1" applyFill="1" applyBorder="1" applyAlignment="1">
      <alignment horizontal="left" vertical="center" wrapText="1"/>
    </xf>
    <xf numFmtId="0" fontId="28" fillId="0" borderId="0" xfId="1" applyFont="1" applyBorder="1" applyAlignment="1">
      <alignment vertical="center"/>
    </xf>
    <xf numFmtId="0" fontId="5" fillId="10" borderId="13" xfId="1" quotePrefix="1" applyFont="1" applyFill="1" applyBorder="1" applyAlignment="1">
      <alignment horizontal="center" vertical="center"/>
    </xf>
    <xf numFmtId="0" fontId="18" fillId="2" borderId="12" xfId="1" applyFont="1" applyFill="1" applyBorder="1" applyAlignment="1">
      <alignment horizontal="center"/>
    </xf>
    <xf numFmtId="167" fontId="3" fillId="2" borderId="13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170" fontId="7" fillId="0" borderId="0" xfId="1" applyNumberFormat="1" applyFont="1" applyFill="1" applyBorder="1" applyAlignment="1">
      <alignment horizontal="left" vertical="center"/>
    </xf>
    <xf numFmtId="170" fontId="7" fillId="0" borderId="0" xfId="1" applyNumberFormat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horizontal="left"/>
    </xf>
    <xf numFmtId="0" fontId="7" fillId="0" borderId="0" xfId="1" applyNumberFormat="1" applyFont="1" applyFill="1" applyBorder="1" applyAlignment="1">
      <alignment horizontal="right" vertical="center"/>
    </xf>
    <xf numFmtId="164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right" vertical="center"/>
    </xf>
    <xf numFmtId="0" fontId="29" fillId="0" borderId="0" xfId="1" applyFont="1" applyFill="1" applyBorder="1" applyAlignment="1">
      <alignment horizontal="right" vertical="center"/>
    </xf>
    <xf numFmtId="167" fontId="10" fillId="0" borderId="0" xfId="1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horizontal="right" vertical="center"/>
    </xf>
    <xf numFmtId="0" fontId="28" fillId="0" borderId="0" xfId="1" quotePrefix="1" applyFont="1" applyFill="1" applyBorder="1" applyAlignment="1">
      <alignment horizontal="left" vertical="center" wrapText="1"/>
    </xf>
    <xf numFmtId="0" fontId="11" fillId="0" borderId="0" xfId="1" applyFont="1" applyFill="1" applyBorder="1" applyAlignment="1">
      <alignment horizontal="left" vertical="center" wrapText="1"/>
    </xf>
    <xf numFmtId="0" fontId="28" fillId="0" borderId="0" xfId="1" applyFont="1" applyFill="1" applyBorder="1" applyAlignment="1">
      <alignment horizontal="center" vertical="center" wrapText="1"/>
    </xf>
    <xf numFmtId="0" fontId="18" fillId="0" borderId="0" xfId="1" quotePrefix="1" applyFont="1" applyBorder="1" applyProtection="1">
      <protection locked="0"/>
    </xf>
    <xf numFmtId="0" fontId="30" fillId="0" borderId="0" xfId="1" applyFont="1" applyFill="1" applyBorder="1" applyProtection="1">
      <protection locked="0"/>
    </xf>
    <xf numFmtId="0" fontId="18" fillId="0" borderId="0" xfId="1" quotePrefix="1" applyFont="1" applyFill="1" applyBorder="1"/>
    <xf numFmtId="0" fontId="18" fillId="0" borderId="0" xfId="1" quotePrefix="1" applyFont="1" applyFill="1" applyBorder="1" applyProtection="1">
      <protection locked="0"/>
    </xf>
    <xf numFmtId="0" fontId="18" fillId="0" borderId="0" xfId="1" applyNumberFormat="1" applyFont="1" applyFill="1" applyBorder="1"/>
    <xf numFmtId="0" fontId="3" fillId="0" borderId="13" xfId="1" applyFont="1" applyFill="1" applyBorder="1" applyAlignment="1" applyProtection="1">
      <alignment horizontal="right" vertical="center" indent="1"/>
      <protection locked="0"/>
    </xf>
    <xf numFmtId="0" fontId="18" fillId="2" borderId="11" xfId="1" applyFont="1" applyFill="1" applyBorder="1" applyAlignment="1">
      <alignment horizontal="center"/>
    </xf>
    <xf numFmtId="0" fontId="18" fillId="2" borderId="14" xfId="1" applyFont="1" applyFill="1" applyBorder="1" applyAlignment="1">
      <alignment horizontal="center"/>
    </xf>
    <xf numFmtId="0" fontId="18" fillId="2" borderId="12" xfId="1" applyFont="1" applyFill="1" applyBorder="1" applyAlignment="1">
      <alignment horizontal="center"/>
    </xf>
    <xf numFmtId="0" fontId="17" fillId="0" borderId="11" xfId="1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12" xfId="1" applyFont="1" applyBorder="1" applyAlignment="1">
      <alignment horizontal="center" vertical="center"/>
    </xf>
    <xf numFmtId="0" fontId="13" fillId="9" borderId="0" xfId="1" applyFont="1" applyFill="1" applyBorder="1" applyAlignment="1">
      <alignment horizontal="center" vertical="center" wrapText="1"/>
    </xf>
    <xf numFmtId="0" fontId="13" fillId="9" borderId="0" xfId="1" applyFont="1" applyFill="1" applyBorder="1" applyAlignment="1">
      <alignment horizontal="left" vertical="center" wrapText="1" indent="1"/>
    </xf>
    <xf numFmtId="0" fontId="28" fillId="0" borderId="0" xfId="1" quotePrefix="1" applyFont="1" applyFill="1" applyBorder="1" applyAlignment="1">
      <alignment horizontal="left" vertical="center" wrapText="1"/>
    </xf>
    <xf numFmtId="0" fontId="21" fillId="2" borderId="11" xfId="1" applyFont="1" applyFill="1" applyBorder="1" applyAlignment="1">
      <alignment horizontal="right"/>
    </xf>
    <xf numFmtId="0" fontId="21" fillId="2" borderId="12" xfId="1" applyFont="1" applyFill="1" applyBorder="1" applyAlignment="1">
      <alignment horizontal="right"/>
    </xf>
    <xf numFmtId="0" fontId="28" fillId="0" borderId="0" xfId="1" applyFont="1" applyFill="1" applyBorder="1" applyAlignment="1">
      <alignment horizontal="center" vertical="center" wrapText="1"/>
    </xf>
    <xf numFmtId="0" fontId="17" fillId="8" borderId="2" xfId="1" applyNumberFormat="1" applyFont="1" applyFill="1" applyBorder="1" applyAlignment="1" applyProtection="1">
      <alignment horizontal="center" vertical="center"/>
      <protection locked="0"/>
    </xf>
    <xf numFmtId="0" fontId="17" fillId="8" borderId="4" xfId="1" applyNumberFormat="1" applyFont="1" applyFill="1" applyBorder="1" applyAlignment="1" applyProtection="1">
      <alignment horizontal="center" vertical="center"/>
      <protection locked="0"/>
    </xf>
    <xf numFmtId="0" fontId="17" fillId="8" borderId="6" xfId="1" applyNumberFormat="1" applyFont="1" applyFill="1" applyBorder="1" applyAlignment="1" applyProtection="1">
      <alignment horizontal="center" vertical="center"/>
      <protection locked="0"/>
    </xf>
    <xf numFmtId="0" fontId="17" fillId="8" borderId="8" xfId="1" applyNumberFormat="1" applyFont="1" applyFill="1" applyBorder="1" applyAlignment="1" applyProtection="1">
      <alignment horizontal="center" vertical="center"/>
      <protection locked="0"/>
    </xf>
    <xf numFmtId="0" fontId="17" fillId="8" borderId="2" xfId="1" applyFont="1" applyFill="1" applyBorder="1" applyAlignment="1" applyProtection="1">
      <alignment horizontal="center" vertical="center"/>
      <protection locked="0"/>
    </xf>
    <xf numFmtId="0" fontId="17" fillId="8" borderId="4" xfId="1" applyFont="1" applyFill="1" applyBorder="1" applyAlignment="1" applyProtection="1">
      <alignment horizontal="center" vertical="center"/>
      <protection locked="0"/>
    </xf>
    <xf numFmtId="0" fontId="17" fillId="8" borderId="6" xfId="1" applyFont="1" applyFill="1" applyBorder="1" applyAlignment="1" applyProtection="1">
      <alignment horizontal="center" vertical="center"/>
      <protection locked="0"/>
    </xf>
    <xf numFmtId="0" fontId="17" fillId="8" borderId="8" xfId="1" applyFont="1" applyFill="1" applyBorder="1" applyAlignment="1" applyProtection="1">
      <alignment horizontal="center" vertical="center"/>
      <protection locked="0"/>
    </xf>
    <xf numFmtId="0" fontId="18" fillId="2" borderId="1" xfId="1" applyFont="1" applyFill="1" applyBorder="1" applyAlignment="1">
      <alignment horizontal="center" vertical="center"/>
    </xf>
    <xf numFmtId="0" fontId="18" fillId="2" borderId="5" xfId="1" applyFont="1" applyFill="1" applyBorder="1" applyAlignment="1">
      <alignment horizontal="center" vertical="center"/>
    </xf>
    <xf numFmtId="0" fontId="18" fillId="8" borderId="1" xfId="1" quotePrefix="1" applyFont="1" applyFill="1" applyBorder="1" applyAlignment="1" applyProtection="1">
      <alignment horizontal="center" vertical="center"/>
      <protection locked="0"/>
    </xf>
    <xf numFmtId="0" fontId="18" fillId="8" borderId="5" xfId="1" quotePrefix="1" applyFont="1" applyFill="1" applyBorder="1" applyAlignment="1" applyProtection="1">
      <alignment horizontal="center" vertical="center"/>
      <protection locked="0"/>
    </xf>
    <xf numFmtId="0" fontId="18" fillId="2" borderId="2" xfId="1" applyFont="1" applyFill="1" applyBorder="1" applyAlignment="1">
      <alignment horizontal="center" vertical="center"/>
    </xf>
    <xf numFmtId="0" fontId="18" fillId="2" borderId="3" xfId="1" applyFont="1" applyFill="1" applyBorder="1" applyAlignment="1">
      <alignment horizontal="center" vertical="center"/>
    </xf>
    <xf numFmtId="0" fontId="18" fillId="2" borderId="4" xfId="1" applyFont="1" applyFill="1" applyBorder="1" applyAlignment="1">
      <alignment horizontal="center" vertical="center"/>
    </xf>
    <xf numFmtId="0" fontId="18" fillId="2" borderId="6" xfId="1" applyFont="1" applyFill="1" applyBorder="1" applyAlignment="1">
      <alignment horizontal="center" vertical="center"/>
    </xf>
    <xf numFmtId="0" fontId="18" fillId="2" borderId="7" xfId="1" applyFont="1" applyFill="1" applyBorder="1" applyAlignment="1">
      <alignment horizontal="center" vertical="center"/>
    </xf>
    <xf numFmtId="0" fontId="18" fillId="2" borderId="8" xfId="1" applyFont="1" applyFill="1" applyBorder="1" applyAlignment="1">
      <alignment horizontal="center" vertical="center"/>
    </xf>
    <xf numFmtId="0" fontId="18" fillId="8" borderId="2" xfId="1" applyFont="1" applyFill="1" applyBorder="1" applyAlignment="1" applyProtection="1">
      <alignment horizontal="center" vertical="center"/>
      <protection locked="0"/>
    </xf>
    <xf numFmtId="0" fontId="18" fillId="8" borderId="3" xfId="1" applyFont="1" applyFill="1" applyBorder="1" applyAlignment="1" applyProtection="1">
      <alignment horizontal="center" vertical="center"/>
      <protection locked="0"/>
    </xf>
    <xf numFmtId="0" fontId="18" fillId="8" borderId="4" xfId="1" applyFont="1" applyFill="1" applyBorder="1" applyAlignment="1" applyProtection="1">
      <alignment horizontal="center" vertical="center"/>
      <protection locked="0"/>
    </xf>
    <xf numFmtId="0" fontId="18" fillId="8" borderId="6" xfId="1" applyFont="1" applyFill="1" applyBorder="1" applyAlignment="1" applyProtection="1">
      <alignment horizontal="center" vertical="center"/>
      <protection locked="0"/>
    </xf>
    <xf numFmtId="0" fontId="18" fillId="8" borderId="7" xfId="1" applyFont="1" applyFill="1" applyBorder="1" applyAlignment="1" applyProtection="1">
      <alignment horizontal="center" vertical="center"/>
      <protection locked="0"/>
    </xf>
    <xf numFmtId="0" fontId="18" fillId="8" borderId="8" xfId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5" xfId="1" applyFont="1" applyFill="1" applyBorder="1" applyAlignment="1">
      <alignment horizontal="center" vertical="center" wrapText="1"/>
    </xf>
    <xf numFmtId="164" fontId="18" fillId="0" borderId="21" xfId="1" applyNumberFormat="1" applyFont="1" applyBorder="1" applyAlignment="1">
      <alignment horizontal="center" vertical="center"/>
    </xf>
    <xf numFmtId="164" fontId="18" fillId="0" borderId="22" xfId="1" applyNumberFormat="1" applyFont="1" applyBorder="1" applyAlignment="1">
      <alignment horizontal="center" vertical="center"/>
    </xf>
    <xf numFmtId="0" fontId="18" fillId="8" borderId="16" xfId="1" applyNumberFormat="1" applyFont="1" applyFill="1" applyBorder="1" applyAlignment="1" applyProtection="1">
      <alignment horizontal="center" vertical="center"/>
      <protection locked="0"/>
    </xf>
    <xf numFmtId="0" fontId="18" fillId="8" borderId="17" xfId="1" applyNumberFormat="1" applyFont="1" applyFill="1" applyBorder="1" applyAlignment="1" applyProtection="1">
      <alignment horizontal="center" vertical="center"/>
      <protection locked="0"/>
    </xf>
    <xf numFmtId="0" fontId="18" fillId="2" borderId="18" xfId="1" applyFont="1" applyFill="1" applyBorder="1" applyAlignment="1">
      <alignment horizontal="center" vertical="center" wrapText="1"/>
    </xf>
    <xf numFmtId="164" fontId="18" fillId="0" borderId="19" xfId="1" applyNumberFormat="1" applyFont="1" applyBorder="1" applyAlignment="1">
      <alignment horizontal="center" vertical="center"/>
    </xf>
    <xf numFmtId="164" fontId="18" fillId="0" borderId="20" xfId="1" applyNumberFormat="1" applyFont="1" applyBorder="1" applyAlignment="1">
      <alignment horizontal="center" vertical="center"/>
    </xf>
    <xf numFmtId="164" fontId="18" fillId="0" borderId="1" xfId="1" applyNumberFormat="1" applyFont="1" applyBorder="1" applyAlignment="1">
      <alignment horizontal="center" vertical="center"/>
    </xf>
    <xf numFmtId="164" fontId="18" fillId="0" borderId="5" xfId="1" applyNumberFormat="1" applyFont="1" applyBorder="1" applyAlignment="1">
      <alignment horizontal="center" vertical="center"/>
    </xf>
    <xf numFmtId="0" fontId="18" fillId="2" borderId="11" xfId="1" applyFont="1" applyFill="1" applyBorder="1" applyAlignment="1">
      <alignment horizontal="center" vertical="center"/>
    </xf>
    <xf numFmtId="0" fontId="18" fillId="2" borderId="12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/>
    </xf>
    <xf numFmtId="164" fontId="3" fillId="0" borderId="11" xfId="1" applyNumberFormat="1" applyFont="1" applyFill="1" applyBorder="1" applyAlignment="1">
      <alignment horizontal="right" vertical="center"/>
    </xf>
    <xf numFmtId="164" fontId="3" fillId="0" borderId="12" xfId="1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0" fontId="5" fillId="10" borderId="11" xfId="1" applyFont="1" applyFill="1" applyBorder="1" applyAlignment="1">
      <alignment horizontal="center" vertical="center"/>
    </xf>
    <xf numFmtId="0" fontId="5" fillId="10" borderId="12" xfId="1" applyFont="1" applyFill="1" applyBorder="1" applyAlignment="1">
      <alignment horizontal="center" vertical="center"/>
    </xf>
    <xf numFmtId="164" fontId="3" fillId="0" borderId="13" xfId="1" applyNumberFormat="1" applyFont="1" applyBorder="1" applyAlignment="1">
      <alignment horizontal="right" vertical="center"/>
    </xf>
  </cellXfs>
  <cellStyles count="3">
    <cellStyle name="Normal" xfId="0" builtinId="0"/>
    <cellStyle name="Normal 2" xfId="1" xr:uid="{00000000-0005-0000-0000-000001000000}"/>
    <cellStyle name="Normal_Données_Validation_exemples" xfId="2" xr:uid="{3B27451D-6204-4BD9-8488-06A946BC2086}"/>
  </cellStyles>
  <dxfs count="7">
    <dxf>
      <fill>
        <patternFill patternType="solid"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rgb="FFFFC000"/>
        </patternFill>
      </fill>
    </dxf>
    <dxf>
      <fill>
        <patternFill patternType="gray125">
          <fgColor theme="0" tint="-0.24994659260841701"/>
          <bgColor theme="7" tint="0.79989013336588644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protection locked="0" hidden="0"/>
    </dxf>
  </dxfs>
  <tableStyles count="0" defaultTableStyle="TableStyleMedium2" defaultPivotStyle="PivotStyleLight16"/>
  <colors>
    <mruColors>
      <color rgb="FFCCFFFF"/>
      <color rgb="FF66FFFF"/>
      <color rgb="FF00FFFF"/>
      <color rgb="FF99CCCC"/>
      <color rgb="FFFF6D6D"/>
      <color rgb="FFFF4F4F"/>
      <color rgb="FFFF623A"/>
      <color rgb="FFF0623A"/>
      <color rgb="FFF4623A"/>
      <color rgb="FFF077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__Anonymous_Sheet_DB__04" displayName="__Anonymous_Sheet_DB__04" ref="AA36:AA66" totalsRowShown="0" headerRowDxfId="6" dataDxfId="5">
  <sortState ref="AA37:AA65">
    <sortCondition ref="AA36"/>
  </sortState>
  <tableColumns count="1">
    <tableColumn id="1" xr3:uid="{00000000-0010-0000-0000-000001000000}" name="Restaurant 2" dataDxf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AE189"/>
  <sheetViews>
    <sheetView showGridLines="0" workbookViewId="0">
      <selection activeCell="O15" sqref="O15"/>
    </sheetView>
  </sheetViews>
  <sheetFormatPr baseColWidth="10" defaultRowHeight="12.75" x14ac:dyDescent="0.2"/>
  <cols>
    <col min="1" max="1" width="3.28515625" style="38" customWidth="1"/>
    <col min="2" max="2" width="16.7109375" style="38" customWidth="1"/>
    <col min="3" max="47" width="10.7109375" style="38" customWidth="1"/>
    <col min="48" max="16384" width="11.42578125" style="38"/>
  </cols>
  <sheetData>
    <row r="1" spans="2:30" ht="15" customHeight="1" x14ac:dyDescent="0.25">
      <c r="B1" s="36" t="s">
        <v>99</v>
      </c>
      <c r="C1" s="36"/>
      <c r="D1" s="36"/>
      <c r="E1" s="36" t="s">
        <v>67</v>
      </c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2:30" ht="15" customHeight="1" x14ac:dyDescent="0.25">
      <c r="B2" s="34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40"/>
      <c r="U2" s="37"/>
      <c r="V2" s="144"/>
      <c r="W2" s="144"/>
      <c r="X2" s="144"/>
      <c r="Y2" s="144"/>
      <c r="Z2" s="144"/>
      <c r="AA2" s="144"/>
      <c r="AB2" s="128"/>
      <c r="AC2" s="128"/>
      <c r="AD2" s="128"/>
    </row>
    <row r="3" spans="2:30" ht="20.100000000000001" customHeight="1" x14ac:dyDescent="0.2">
      <c r="B3" s="41"/>
      <c r="C3" s="222" t="s">
        <v>0</v>
      </c>
      <c r="D3" s="226" t="s">
        <v>1</v>
      </c>
      <c r="E3" s="227"/>
      <c r="F3" s="228"/>
      <c r="G3" s="46"/>
      <c r="H3" s="226" t="s">
        <v>2</v>
      </c>
      <c r="I3" s="227"/>
      <c r="J3" s="228"/>
      <c r="K3" s="226" t="s">
        <v>3</v>
      </c>
      <c r="L3" s="227"/>
      <c r="M3" s="227"/>
      <c r="N3" s="228"/>
      <c r="O3" s="222" t="s">
        <v>4</v>
      </c>
      <c r="P3" s="239" t="s">
        <v>5</v>
      </c>
      <c r="Q3" s="239" t="s">
        <v>6</v>
      </c>
      <c r="R3" s="239" t="s">
        <v>7</v>
      </c>
      <c r="S3" s="239" t="s">
        <v>8</v>
      </c>
      <c r="T3" s="42"/>
      <c r="U3" s="37"/>
      <c r="V3" s="197"/>
      <c r="W3" s="144"/>
      <c r="X3" s="144"/>
      <c r="Y3" s="144"/>
      <c r="Z3" s="144"/>
      <c r="AA3" s="144"/>
      <c r="AB3" s="128"/>
      <c r="AC3" s="198"/>
      <c r="AD3" s="128"/>
    </row>
    <row r="4" spans="2:30" ht="20.100000000000001" customHeight="1" thickBot="1" x14ac:dyDescent="0.25">
      <c r="B4" s="41"/>
      <c r="C4" s="223"/>
      <c r="D4" s="229"/>
      <c r="E4" s="230"/>
      <c r="F4" s="231"/>
      <c r="G4" s="46"/>
      <c r="H4" s="229"/>
      <c r="I4" s="230"/>
      <c r="J4" s="231"/>
      <c r="K4" s="229"/>
      <c r="L4" s="230"/>
      <c r="M4" s="230"/>
      <c r="N4" s="231"/>
      <c r="O4" s="223"/>
      <c r="P4" s="245"/>
      <c r="Q4" s="240"/>
      <c r="R4" s="240"/>
      <c r="S4" s="240"/>
      <c r="T4" s="42"/>
      <c r="U4" s="37"/>
      <c r="V4" s="199"/>
      <c r="W4" s="144"/>
      <c r="X4" s="144"/>
      <c r="Y4" s="144"/>
      <c r="Z4" s="144"/>
      <c r="AA4" s="144"/>
      <c r="AB4" s="128"/>
      <c r="AC4" s="198"/>
      <c r="AD4" s="128"/>
    </row>
    <row r="5" spans="2:30" ht="15" customHeight="1" x14ac:dyDescent="0.2">
      <c r="B5" s="41"/>
      <c r="C5" s="224">
        <v>2019</v>
      </c>
      <c r="D5" s="232" t="s">
        <v>113</v>
      </c>
      <c r="E5" s="233"/>
      <c r="F5" s="234"/>
      <c r="G5" s="46"/>
      <c r="H5" s="232" t="s">
        <v>62</v>
      </c>
      <c r="I5" s="233"/>
      <c r="J5" s="234"/>
      <c r="K5" s="232" t="s">
        <v>171</v>
      </c>
      <c r="L5" s="233"/>
      <c r="M5" s="233"/>
      <c r="N5" s="234"/>
      <c r="O5" s="246">
        <f>1607/24</f>
        <v>66.958333333333329</v>
      </c>
      <c r="P5" s="243">
        <v>100</v>
      </c>
      <c r="Q5" s="241">
        <f>(ROUND(((O5*24)*P5)/100/2.5,1)/24)*2.5</f>
        <v>66.958333333333329</v>
      </c>
      <c r="R5" s="248">
        <f>ROUND(((35*P5)/100)/2.5,1)*2.5/24</f>
        <v>1.4583333333333333</v>
      </c>
      <c r="S5" s="248">
        <f>IF(H5="AGENT DE RESTAURATION",R5/4,R5/5)</f>
        <v>0.36458333333333331</v>
      </c>
      <c r="T5" s="44"/>
      <c r="U5" s="37"/>
      <c r="V5" s="144"/>
      <c r="W5" s="144"/>
      <c r="X5" s="144"/>
      <c r="Y5" s="144"/>
      <c r="Z5" s="144"/>
      <c r="AA5" s="144"/>
      <c r="AB5" s="128"/>
      <c r="AC5" s="128"/>
      <c r="AD5" s="128"/>
    </row>
    <row r="6" spans="2:30" ht="15" customHeight="1" thickBot="1" x14ac:dyDescent="0.25">
      <c r="B6" s="41"/>
      <c r="C6" s="225"/>
      <c r="D6" s="235"/>
      <c r="E6" s="236"/>
      <c r="F6" s="237"/>
      <c r="G6" s="46"/>
      <c r="H6" s="235"/>
      <c r="I6" s="236"/>
      <c r="J6" s="237"/>
      <c r="K6" s="235"/>
      <c r="L6" s="236"/>
      <c r="M6" s="236"/>
      <c r="N6" s="237"/>
      <c r="O6" s="247"/>
      <c r="P6" s="244"/>
      <c r="Q6" s="242"/>
      <c r="R6" s="249"/>
      <c r="S6" s="249"/>
      <c r="T6" s="45"/>
      <c r="U6" s="37"/>
      <c r="V6" s="197"/>
      <c r="W6" s="144"/>
      <c r="X6" s="144"/>
      <c r="Y6" s="144"/>
      <c r="Z6" s="144"/>
      <c r="AA6" s="144"/>
      <c r="AB6" s="128"/>
      <c r="AC6" s="128"/>
      <c r="AD6" s="128"/>
    </row>
    <row r="7" spans="2:30" ht="15" customHeight="1" x14ac:dyDescent="0.2">
      <c r="B7" s="41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7"/>
      <c r="U7" s="37"/>
      <c r="V7" s="199"/>
      <c r="W7" s="144"/>
      <c r="X7" s="144"/>
      <c r="Y7" s="144"/>
      <c r="Z7" s="144"/>
      <c r="AA7" s="144"/>
      <c r="AB7" s="128"/>
      <c r="AC7" s="128"/>
      <c r="AD7" s="128"/>
    </row>
    <row r="8" spans="2:30" ht="15" customHeight="1" x14ac:dyDescent="0.2">
      <c r="B8" s="41"/>
      <c r="C8" s="202" t="str">
        <f>"Droits congés "&amp;Année</f>
        <v>Droits congés 2019</v>
      </c>
      <c r="D8" s="203"/>
      <c r="E8" s="204"/>
      <c r="F8" s="151" t="s">
        <v>107</v>
      </c>
      <c r="G8" s="154"/>
      <c r="H8" s="202" t="str">
        <f>"Solde récupération "&amp;Année-1</f>
        <v>Solde récupération 2018</v>
      </c>
      <c r="I8" s="204"/>
      <c r="J8" s="46"/>
      <c r="K8" s="202" t="s">
        <v>110</v>
      </c>
      <c r="L8" s="203"/>
      <c r="M8" s="204"/>
      <c r="N8" s="48"/>
      <c r="O8" s="250" t="s">
        <v>98</v>
      </c>
      <c r="P8" s="251"/>
      <c r="Q8" s="172">
        <v>1</v>
      </c>
      <c r="R8" s="172">
        <v>2</v>
      </c>
      <c r="S8" s="172">
        <v>3</v>
      </c>
      <c r="T8" s="47"/>
      <c r="U8" s="37"/>
      <c r="V8" s="144"/>
      <c r="W8" s="144"/>
      <c r="X8" s="144"/>
      <c r="Y8" s="144"/>
      <c r="Z8" s="144"/>
      <c r="AA8" s="144"/>
      <c r="AB8" s="128"/>
      <c r="AC8" s="128"/>
      <c r="AD8" s="128"/>
    </row>
    <row r="9" spans="2:30" ht="15" customHeight="1" x14ac:dyDescent="0.2">
      <c r="B9" s="49"/>
      <c r="C9" s="50" t="s">
        <v>9</v>
      </c>
      <c r="D9" s="51"/>
      <c r="E9" s="52">
        <v>27</v>
      </c>
      <c r="F9" s="149">
        <v>27</v>
      </c>
      <c r="G9" s="155"/>
      <c r="H9" s="214"/>
      <c r="I9" s="215"/>
      <c r="J9" s="46"/>
      <c r="K9" s="53" t="s">
        <v>79</v>
      </c>
      <c r="L9" s="54"/>
      <c r="M9" s="52">
        <v>6</v>
      </c>
      <c r="N9" s="46"/>
      <c r="O9" s="55"/>
      <c r="P9" s="56" t="s">
        <v>97</v>
      </c>
      <c r="Q9" s="57">
        <f>ROUNDUP(S5*96,0)/96</f>
        <v>0.36458333333333331</v>
      </c>
      <c r="R9" s="58">
        <f>IF(P5=100,Q9,ROUNDUP(S5*24,0)/24)</f>
        <v>0.36458333333333331</v>
      </c>
      <c r="S9" s="59"/>
      <c r="T9" s="47"/>
      <c r="U9" s="37"/>
      <c r="V9" s="197"/>
      <c r="W9" s="144"/>
      <c r="X9" s="144"/>
      <c r="Y9" s="144"/>
      <c r="Z9" s="144"/>
      <c r="AA9" s="144"/>
      <c r="AB9" s="128"/>
      <c r="AC9" s="128"/>
      <c r="AD9" s="128"/>
    </row>
    <row r="10" spans="2:30" ht="15" customHeight="1" x14ac:dyDescent="0.2">
      <c r="B10" s="49"/>
      <c r="C10" s="50" t="s">
        <v>75</v>
      </c>
      <c r="D10" s="51"/>
      <c r="E10" s="52">
        <v>2</v>
      </c>
      <c r="F10" s="152"/>
      <c r="G10" s="155"/>
      <c r="H10" s="216"/>
      <c r="I10" s="217"/>
      <c r="J10" s="46"/>
      <c r="K10" s="53" t="s">
        <v>72</v>
      </c>
      <c r="L10" s="54"/>
      <c r="M10" s="52">
        <v>3</v>
      </c>
      <c r="N10" s="46"/>
      <c r="O10" s="60"/>
      <c r="P10" s="61" t="str">
        <f>IF(H5="AGENT DE RESTAURATION","Total lun, mar et jeu.","")</f>
        <v>Total lun, mar et jeu.</v>
      </c>
      <c r="Q10" s="62">
        <f>IF(H5="AGENT DE RESTAURATION",3*Q9,"")</f>
        <v>1.09375</v>
      </c>
      <c r="R10" s="63">
        <f>IF(H5="AGENT DE RESTAURATION",3*R9,"")</f>
        <v>1.09375</v>
      </c>
      <c r="S10" s="63">
        <f>IF(H5="AGENT DE RESTAURATION",3*S9,"")</f>
        <v>0</v>
      </c>
      <c r="T10" s="47"/>
      <c r="U10" s="196"/>
      <c r="V10" s="144"/>
      <c r="W10" s="144"/>
      <c r="X10" s="144"/>
      <c r="Y10" s="144"/>
      <c r="Z10" s="144"/>
      <c r="AA10" s="144"/>
      <c r="AB10" s="128"/>
      <c r="AC10" s="128"/>
      <c r="AD10" s="128"/>
    </row>
    <row r="11" spans="2:30" ht="15" customHeight="1" x14ac:dyDescent="0.2">
      <c r="B11" s="49"/>
      <c r="C11" s="50" t="s">
        <v>77</v>
      </c>
      <c r="D11" s="51"/>
      <c r="E11" s="52">
        <v>4.5</v>
      </c>
      <c r="F11" s="153">
        <v>0.5</v>
      </c>
      <c r="G11" s="155"/>
      <c r="H11" s="46"/>
      <c r="I11" s="46"/>
      <c r="J11" s="46"/>
      <c r="K11" s="53" t="s">
        <v>73</v>
      </c>
      <c r="L11" s="54"/>
      <c r="M11" s="52">
        <v>6</v>
      </c>
      <c r="N11" s="46"/>
      <c r="O11" s="65"/>
      <c r="P11" s="66" t="str">
        <f>IF(P10="","","Vendredi")</f>
        <v>Vendredi</v>
      </c>
      <c r="Q11" s="67">
        <f>IF(H5="AGENT DE RESTAURATION",R5-Q10,"")</f>
        <v>0.36458333333333326</v>
      </c>
      <c r="R11" s="63">
        <f>IF(H5="AGENT DE RESTAURATION",R9,"")</f>
        <v>0.36458333333333331</v>
      </c>
      <c r="S11" s="63">
        <f>IF(H5="AGENT DE RESTAURATION",S9,"")</f>
        <v>0</v>
      </c>
      <c r="T11" s="47"/>
      <c r="U11" s="37"/>
      <c r="V11" s="144"/>
      <c r="W11" s="144"/>
      <c r="X11" s="144"/>
      <c r="Y11" s="144"/>
      <c r="Z11" s="144"/>
      <c r="AA11" s="144"/>
      <c r="AB11" s="128"/>
      <c r="AC11" s="128"/>
      <c r="AD11" s="128"/>
    </row>
    <row r="12" spans="2:30" ht="15" customHeight="1" x14ac:dyDescent="0.2">
      <c r="B12" s="49"/>
      <c r="C12" s="50" t="s">
        <v>68</v>
      </c>
      <c r="D12" s="51"/>
      <c r="E12" s="52">
        <v>1</v>
      </c>
      <c r="F12" s="150"/>
      <c r="G12" s="155"/>
      <c r="H12" s="202" t="s">
        <v>71</v>
      </c>
      <c r="I12" s="204"/>
      <c r="J12" s="46"/>
      <c r="K12" s="53" t="s">
        <v>59</v>
      </c>
      <c r="L12" s="54"/>
      <c r="M12" s="52"/>
      <c r="N12" s="46"/>
      <c r="O12" s="68"/>
      <c r="P12" s="69" t="s">
        <v>76</v>
      </c>
      <c r="Q12" s="70">
        <f>IF(H5="AGENT DE RESTAURATION",(Q10+Q11),(Q9*5))</f>
        <v>1.4583333333333333</v>
      </c>
      <c r="R12" s="70">
        <f>IF(H5="AGENT DE RESTAURATION",(R10+R11),(R9*5))</f>
        <v>1.4583333333333333</v>
      </c>
      <c r="S12" s="70">
        <f>IF(I5="AGENT DE RESTAURATION",(S10+S11),(S9*5))</f>
        <v>0</v>
      </c>
      <c r="T12" s="47"/>
      <c r="U12" s="64"/>
      <c r="V12" s="144"/>
      <c r="W12" s="144"/>
      <c r="X12" s="144"/>
      <c r="Y12" s="144"/>
      <c r="Z12" s="144"/>
      <c r="AA12" s="144"/>
      <c r="AB12" s="128"/>
      <c r="AC12" s="128"/>
      <c r="AD12" s="128"/>
    </row>
    <row r="13" spans="2:30" ht="15" customHeight="1" x14ac:dyDescent="0.2">
      <c r="B13" s="49"/>
      <c r="C13" s="50" t="s">
        <v>69</v>
      </c>
      <c r="D13" s="51"/>
      <c r="E13" s="52">
        <v>1</v>
      </c>
      <c r="F13" s="150"/>
      <c r="G13" s="155"/>
      <c r="H13" s="218">
        <v>24</v>
      </c>
      <c r="I13" s="219"/>
      <c r="J13" s="46"/>
      <c r="K13" s="53" t="s">
        <v>108</v>
      </c>
      <c r="L13" s="54"/>
      <c r="M13" s="52"/>
      <c r="N13" s="46"/>
      <c r="O13" s="71"/>
      <c r="P13" s="72" t="s">
        <v>95</v>
      </c>
      <c r="Q13" s="73" t="s">
        <v>96</v>
      </c>
      <c r="R13" s="73"/>
      <c r="S13" s="73"/>
      <c r="T13" s="47"/>
      <c r="U13" s="37"/>
      <c r="V13" s="144"/>
      <c r="W13" s="144"/>
      <c r="X13" s="144"/>
      <c r="Y13" s="144"/>
      <c r="Z13" s="144"/>
      <c r="AA13" s="144"/>
      <c r="AB13" s="128"/>
      <c r="AC13" s="128"/>
      <c r="AD13" s="128"/>
    </row>
    <row r="14" spans="2:30" ht="15" customHeight="1" x14ac:dyDescent="0.2">
      <c r="B14" s="49"/>
      <c r="C14" s="74" t="s">
        <v>57</v>
      </c>
      <c r="D14" s="75"/>
      <c r="E14" s="52">
        <v>0.5</v>
      </c>
      <c r="F14" s="150"/>
      <c r="G14" s="155"/>
      <c r="H14" s="220"/>
      <c r="I14" s="221"/>
      <c r="J14" s="46"/>
      <c r="K14" s="53" t="s">
        <v>60</v>
      </c>
      <c r="L14" s="54"/>
      <c r="M14" s="52"/>
      <c r="N14" s="46"/>
      <c r="O14" s="46"/>
      <c r="P14" s="46"/>
      <c r="Q14" s="46"/>
      <c r="R14" s="46"/>
      <c r="S14" s="46"/>
      <c r="T14" s="47"/>
      <c r="U14" s="37"/>
      <c r="V14" s="144"/>
      <c r="W14" s="144"/>
      <c r="X14" s="144"/>
      <c r="Y14" s="144"/>
      <c r="Z14" s="144"/>
      <c r="AA14" s="144"/>
      <c r="AB14" s="128"/>
      <c r="AC14" s="128"/>
      <c r="AD14" s="128"/>
    </row>
    <row r="15" spans="2:30" ht="15" customHeight="1" x14ac:dyDescent="0.2">
      <c r="B15" s="49"/>
      <c r="C15" s="50" t="s">
        <v>70</v>
      </c>
      <c r="D15" s="51"/>
      <c r="E15" s="52">
        <v>0.5</v>
      </c>
      <c r="F15" s="150"/>
      <c r="G15" s="155"/>
      <c r="H15" s="46"/>
      <c r="I15" s="46"/>
      <c r="J15" s="46"/>
      <c r="K15" s="53" t="s">
        <v>61</v>
      </c>
      <c r="L15" s="54"/>
      <c r="M15" s="52"/>
      <c r="N15" s="46"/>
      <c r="O15" s="46"/>
      <c r="P15" s="252"/>
      <c r="Q15" s="252"/>
      <c r="R15" s="252"/>
      <c r="S15" s="252"/>
      <c r="T15" s="47"/>
      <c r="U15" s="37"/>
      <c r="V15" s="144"/>
      <c r="W15" s="144"/>
      <c r="X15" s="144"/>
      <c r="Y15" s="144"/>
      <c r="Z15" s="144"/>
      <c r="AA15" s="144"/>
      <c r="AB15" s="128"/>
      <c r="AC15" s="128"/>
      <c r="AD15" s="128"/>
    </row>
    <row r="16" spans="2:30" ht="15" customHeight="1" x14ac:dyDescent="0.2">
      <c r="B16" s="49"/>
      <c r="C16" s="50" t="s">
        <v>58</v>
      </c>
      <c r="D16" s="51"/>
      <c r="E16" s="52">
        <v>1</v>
      </c>
      <c r="F16" s="150"/>
      <c r="G16" s="155"/>
      <c r="H16" s="46"/>
      <c r="I16" s="46"/>
      <c r="J16" s="46"/>
      <c r="K16" s="53" t="s">
        <v>112</v>
      </c>
      <c r="L16" s="54"/>
      <c r="M16" s="52"/>
      <c r="N16" s="46"/>
      <c r="O16" s="46"/>
      <c r="P16" s="128"/>
      <c r="Q16" s="128"/>
      <c r="R16" s="143"/>
      <c r="S16" s="200"/>
      <c r="T16" s="47"/>
      <c r="U16" s="37"/>
      <c r="V16" s="144"/>
      <c r="W16" s="144"/>
      <c r="X16" s="144"/>
      <c r="Y16" s="144"/>
      <c r="Z16" s="144"/>
      <c r="AA16" s="144"/>
      <c r="AB16" s="128"/>
      <c r="AC16" s="128"/>
      <c r="AD16" s="128"/>
    </row>
    <row r="17" spans="2:30" ht="15" customHeight="1" x14ac:dyDescent="0.25">
      <c r="B17" s="78"/>
      <c r="C17" s="211" t="s">
        <v>56</v>
      </c>
      <c r="D17" s="212"/>
      <c r="E17" s="79">
        <f>SUM(E9:E16)</f>
        <v>37.5</v>
      </c>
      <c r="F17" s="157">
        <f>E17+F9+F10+F11</f>
        <v>65</v>
      </c>
      <c r="G17" s="154"/>
      <c r="H17" s="46"/>
      <c r="I17" s="46"/>
      <c r="J17" s="46"/>
      <c r="K17" s="46"/>
      <c r="L17" s="46"/>
      <c r="M17" s="46"/>
      <c r="N17" s="46"/>
      <c r="O17" s="46"/>
      <c r="P17" s="128"/>
      <c r="Q17" s="128"/>
      <c r="R17" s="143"/>
      <c r="S17" s="144"/>
      <c r="T17" s="47"/>
      <c r="U17" s="37"/>
      <c r="V17" s="144"/>
      <c r="W17" s="144"/>
      <c r="X17" s="144"/>
      <c r="Y17" s="144"/>
      <c r="Z17" s="144"/>
      <c r="AA17" s="144"/>
      <c r="AB17" s="128"/>
      <c r="AC17" s="128"/>
      <c r="AD17" s="128"/>
    </row>
    <row r="18" spans="2:30" ht="15" customHeight="1" x14ac:dyDescent="0.2">
      <c r="B18" s="41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128"/>
      <c r="Q18" s="128"/>
      <c r="R18" s="143"/>
      <c r="S18" s="144"/>
      <c r="T18" s="47"/>
      <c r="U18" s="37"/>
      <c r="V18" s="144"/>
      <c r="W18" s="144"/>
      <c r="X18" s="144"/>
      <c r="Y18" s="144"/>
      <c r="Z18" s="144"/>
      <c r="AA18" s="144"/>
      <c r="AB18" s="128"/>
      <c r="AC18" s="128"/>
      <c r="AD18" s="128"/>
    </row>
    <row r="19" spans="2:30" ht="15" customHeight="1" x14ac:dyDescent="0.2">
      <c r="B19" s="78"/>
      <c r="C19" s="128"/>
      <c r="D19" s="145"/>
      <c r="E19" s="128"/>
      <c r="F19" s="128"/>
      <c r="G19" s="46"/>
      <c r="H19" s="46"/>
      <c r="I19" s="202" t="s">
        <v>90</v>
      </c>
      <c r="J19" s="203"/>
      <c r="K19" s="204"/>
      <c r="L19" s="128"/>
      <c r="M19" s="128"/>
      <c r="N19" s="128"/>
      <c r="O19" s="128"/>
      <c r="P19" s="128"/>
      <c r="Q19" s="128"/>
      <c r="R19" s="143"/>
      <c r="S19" s="144"/>
      <c r="T19" s="47"/>
      <c r="U19" s="37"/>
      <c r="V19" s="144"/>
      <c r="W19" s="144"/>
      <c r="X19" s="144"/>
      <c r="Y19" s="144"/>
      <c r="Z19" s="144"/>
      <c r="AA19" s="144"/>
      <c r="AB19" s="128"/>
      <c r="AC19" s="128"/>
      <c r="AD19" s="128"/>
    </row>
    <row r="20" spans="2:30" ht="15" customHeight="1" x14ac:dyDescent="0.2">
      <c r="B20" s="78"/>
      <c r="C20" s="128"/>
      <c r="D20" s="145"/>
      <c r="E20" s="128"/>
      <c r="F20" s="128"/>
      <c r="G20" s="46"/>
      <c r="H20" s="46"/>
      <c r="I20" s="76" t="s">
        <v>88</v>
      </c>
      <c r="J20" s="52">
        <v>3.84</v>
      </c>
      <c r="K20" s="77">
        <f>J20/24</f>
        <v>0.16</v>
      </c>
      <c r="L20" s="128"/>
      <c r="M20" s="128"/>
      <c r="N20" s="128"/>
      <c r="O20" s="128"/>
      <c r="P20" s="128"/>
      <c r="Q20" s="128"/>
      <c r="R20" s="143"/>
      <c r="S20" s="144"/>
      <c r="T20" s="47"/>
      <c r="U20" s="37"/>
      <c r="V20" s="144"/>
      <c r="W20" s="144"/>
      <c r="X20" s="144"/>
      <c r="Y20" s="144"/>
      <c r="Z20" s="144"/>
      <c r="AA20" s="144"/>
      <c r="AB20" s="128"/>
      <c r="AC20" s="128"/>
      <c r="AD20" s="128"/>
    </row>
    <row r="21" spans="2:30" ht="15" customHeight="1" x14ac:dyDescent="0.2">
      <c r="B21" s="78"/>
      <c r="C21" s="128"/>
      <c r="D21" s="145"/>
      <c r="E21" s="128"/>
      <c r="F21" s="128"/>
      <c r="G21" s="46"/>
      <c r="H21" s="46"/>
      <c r="I21" s="76" t="s">
        <v>89</v>
      </c>
      <c r="J21" s="80">
        <v>0.50694444444444442</v>
      </c>
      <c r="K21" s="81">
        <f>J21*24</f>
        <v>12.166666666666666</v>
      </c>
      <c r="L21" s="128"/>
      <c r="M21" s="128"/>
      <c r="N21" s="128"/>
      <c r="O21" s="128"/>
      <c r="P21" s="128"/>
      <c r="Q21" s="128"/>
      <c r="R21" s="143"/>
      <c r="S21" s="144"/>
      <c r="T21" s="47"/>
      <c r="U21" s="37"/>
      <c r="V21" s="144"/>
      <c r="W21" s="144"/>
      <c r="X21" s="144"/>
      <c r="Y21" s="144"/>
      <c r="Z21" s="144"/>
      <c r="AA21" s="144"/>
      <c r="AB21" s="128"/>
      <c r="AC21" s="128"/>
      <c r="AD21" s="128"/>
    </row>
    <row r="22" spans="2:30" ht="15" customHeight="1" x14ac:dyDescent="0.2">
      <c r="B22" s="78"/>
      <c r="C22" s="128"/>
      <c r="D22" s="145"/>
      <c r="E22" s="128"/>
      <c r="F22" s="128"/>
      <c r="G22" s="46"/>
      <c r="H22" s="146"/>
      <c r="I22" s="146"/>
      <c r="J22" s="147"/>
      <c r="K22" s="148"/>
      <c r="L22" s="128"/>
      <c r="M22" s="128"/>
      <c r="N22" s="128"/>
      <c r="O22" s="128"/>
      <c r="P22" s="128"/>
      <c r="Q22" s="128"/>
      <c r="R22" s="143"/>
      <c r="S22" s="144"/>
      <c r="T22" s="47"/>
      <c r="U22" s="37"/>
      <c r="V22" s="144"/>
      <c r="W22" s="144"/>
      <c r="X22" s="144"/>
      <c r="Y22" s="144"/>
      <c r="Z22" s="144"/>
      <c r="AA22" s="144"/>
      <c r="AB22" s="128"/>
      <c r="AC22" s="128"/>
      <c r="AD22" s="128"/>
    </row>
    <row r="23" spans="2:30" ht="15" customHeight="1" x14ac:dyDescent="0.2">
      <c r="B23" s="78"/>
      <c r="C23" s="128"/>
      <c r="D23" s="145"/>
      <c r="E23" s="128"/>
      <c r="F23" s="128"/>
      <c r="G23" s="46"/>
      <c r="H23" s="146"/>
      <c r="I23" s="146"/>
      <c r="J23" s="147"/>
      <c r="K23" s="148"/>
      <c r="L23" s="128"/>
      <c r="M23" s="128"/>
      <c r="N23" s="128"/>
      <c r="O23" s="128"/>
      <c r="P23" s="128"/>
      <c r="Q23" s="128"/>
      <c r="R23" s="143"/>
      <c r="S23" s="144"/>
      <c r="T23" s="47"/>
      <c r="U23" s="37"/>
      <c r="V23" s="144"/>
      <c r="W23" s="144"/>
      <c r="X23" s="144"/>
      <c r="Y23" s="144"/>
      <c r="Z23" s="144"/>
      <c r="AA23" s="144"/>
      <c r="AB23" s="128"/>
      <c r="AC23" s="128"/>
      <c r="AD23" s="128"/>
    </row>
    <row r="24" spans="2:30" ht="15" customHeight="1" x14ac:dyDescent="0.2">
      <c r="B24" s="78"/>
      <c r="C24" s="128"/>
      <c r="D24" s="145"/>
      <c r="E24" s="128"/>
      <c r="F24" s="128"/>
      <c r="G24" s="46"/>
      <c r="H24" s="146"/>
      <c r="I24" s="146"/>
      <c r="J24" s="147"/>
      <c r="K24" s="148"/>
      <c r="L24" s="128"/>
      <c r="M24" s="128"/>
      <c r="N24" s="128"/>
      <c r="O24" s="128"/>
      <c r="P24" s="128"/>
      <c r="Q24" s="128"/>
      <c r="R24" s="143"/>
      <c r="S24" s="144"/>
      <c r="T24" s="47"/>
      <c r="U24" s="37"/>
      <c r="V24" s="144"/>
      <c r="W24" s="144"/>
      <c r="X24" s="144"/>
      <c r="Y24" s="144"/>
      <c r="Z24" s="144"/>
      <c r="AA24" s="144"/>
      <c r="AB24" s="128"/>
      <c r="AC24" s="128"/>
      <c r="AD24" s="128"/>
    </row>
    <row r="25" spans="2:30" ht="15" customHeight="1" x14ac:dyDescent="0.2">
      <c r="B25" s="82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156"/>
      <c r="U25" s="37"/>
      <c r="V25" s="144"/>
      <c r="W25" s="144"/>
      <c r="X25" s="144"/>
      <c r="Y25" s="144"/>
      <c r="Z25" s="144"/>
      <c r="AA25" s="144"/>
      <c r="AB25" s="128"/>
      <c r="AC25" s="128"/>
      <c r="AD25" s="128"/>
    </row>
    <row r="26" spans="2:30" ht="15" customHeight="1" x14ac:dyDescent="0.2">
      <c r="B26" s="208" t="s">
        <v>86</v>
      </c>
      <c r="C26" s="208"/>
      <c r="D26" s="86"/>
      <c r="E26" s="209" t="s">
        <v>87</v>
      </c>
      <c r="F26" s="209"/>
      <c r="G26" s="209"/>
      <c r="H26" s="210"/>
      <c r="I26" s="210"/>
      <c r="J26" s="210"/>
      <c r="K26" s="210"/>
      <c r="L26" s="210"/>
      <c r="M26" s="210"/>
      <c r="N26" s="210"/>
      <c r="O26" s="238"/>
      <c r="P26" s="238"/>
      <c r="Q26" s="238"/>
      <c r="R26" s="238"/>
      <c r="S26" s="238"/>
      <c r="T26" s="238"/>
      <c r="U26" s="213"/>
      <c r="V26" s="213"/>
      <c r="W26" s="213"/>
      <c r="X26" s="213"/>
      <c r="Y26" s="213"/>
      <c r="Z26" s="64"/>
      <c r="AA26" s="46"/>
    </row>
    <row r="27" spans="2:30" ht="15" customHeight="1" x14ac:dyDescent="0.25">
      <c r="B27" s="208"/>
      <c r="C27" s="208"/>
      <c r="D27" s="84"/>
      <c r="E27" s="209"/>
      <c r="F27" s="209"/>
      <c r="G27" s="209"/>
      <c r="H27" s="210"/>
      <c r="I27" s="210"/>
      <c r="J27" s="210"/>
      <c r="K27" s="210"/>
      <c r="L27" s="210"/>
      <c r="M27" s="210"/>
      <c r="N27" s="210"/>
      <c r="O27" s="238"/>
      <c r="P27" s="238"/>
      <c r="Q27" s="238"/>
      <c r="R27" s="238"/>
      <c r="S27" s="238"/>
      <c r="T27" s="238"/>
      <c r="U27" s="213"/>
      <c r="V27" s="213"/>
      <c r="W27" s="213"/>
      <c r="X27" s="213"/>
      <c r="Y27" s="213"/>
      <c r="Z27" s="64"/>
      <c r="AA27" s="46"/>
    </row>
    <row r="28" spans="2:30" ht="15" customHeight="1" x14ac:dyDescent="0.25">
      <c r="B28" s="208"/>
      <c r="C28" s="208"/>
      <c r="D28" s="85"/>
      <c r="E28" s="209"/>
      <c r="F28" s="209"/>
      <c r="G28" s="209"/>
      <c r="H28" s="210"/>
      <c r="I28" s="210"/>
      <c r="J28" s="210"/>
      <c r="K28" s="210"/>
      <c r="L28" s="210"/>
      <c r="M28" s="210"/>
      <c r="N28" s="210"/>
      <c r="O28" s="238"/>
      <c r="P28" s="238"/>
      <c r="Q28" s="238"/>
      <c r="R28" s="238"/>
      <c r="S28" s="238"/>
      <c r="T28" s="238"/>
      <c r="U28" s="213"/>
      <c r="V28" s="213"/>
      <c r="W28" s="213"/>
      <c r="X28" s="213"/>
      <c r="Y28" s="213"/>
      <c r="Z28" s="64"/>
      <c r="AA28" s="46"/>
    </row>
    <row r="29" spans="2:30" ht="15" customHeight="1" x14ac:dyDescent="0.25">
      <c r="B29" s="208"/>
      <c r="C29" s="208"/>
      <c r="D29" s="85"/>
      <c r="E29" s="209"/>
      <c r="F29" s="209"/>
      <c r="G29" s="209"/>
      <c r="H29" s="210"/>
      <c r="I29" s="210"/>
      <c r="J29" s="210"/>
      <c r="K29" s="210"/>
      <c r="L29" s="210"/>
      <c r="M29" s="210"/>
      <c r="N29" s="210"/>
      <c r="O29" s="238"/>
      <c r="P29" s="238"/>
      <c r="Q29" s="238"/>
      <c r="R29" s="238"/>
      <c r="S29" s="238"/>
      <c r="T29" s="238"/>
      <c r="U29" s="213"/>
      <c r="V29" s="213"/>
      <c r="W29" s="213"/>
      <c r="X29" s="213"/>
      <c r="Y29" s="213"/>
      <c r="Z29" s="64"/>
      <c r="AA29" s="46"/>
    </row>
    <row r="30" spans="2:30" ht="15" customHeight="1" x14ac:dyDescent="0.25">
      <c r="B30" s="208"/>
      <c r="C30" s="208"/>
      <c r="D30" s="84"/>
      <c r="E30" s="209"/>
      <c r="F30" s="209"/>
      <c r="G30" s="209"/>
      <c r="H30" s="210"/>
      <c r="I30" s="210"/>
      <c r="J30" s="210"/>
      <c r="K30" s="210"/>
      <c r="L30" s="210"/>
      <c r="M30" s="210"/>
      <c r="N30" s="210"/>
      <c r="O30" s="238"/>
      <c r="P30" s="238"/>
      <c r="Q30" s="238"/>
      <c r="R30" s="238"/>
      <c r="S30" s="238"/>
      <c r="T30" s="238"/>
      <c r="U30" s="213"/>
      <c r="V30" s="213"/>
      <c r="W30" s="213"/>
      <c r="X30" s="213"/>
      <c r="Y30" s="213"/>
      <c r="Z30" s="64"/>
      <c r="AA30" s="46"/>
    </row>
    <row r="31" spans="2:30" ht="15" customHeight="1" x14ac:dyDescent="0.2">
      <c r="B31" s="208"/>
      <c r="C31" s="208"/>
      <c r="D31" s="86"/>
      <c r="E31" s="209"/>
      <c r="F31" s="209"/>
      <c r="G31" s="209"/>
      <c r="H31" s="210"/>
      <c r="I31" s="210"/>
      <c r="J31" s="210"/>
      <c r="K31" s="210"/>
      <c r="L31" s="210"/>
      <c r="M31" s="210"/>
      <c r="N31" s="210"/>
      <c r="O31" s="238"/>
      <c r="P31" s="238"/>
      <c r="Q31" s="238"/>
      <c r="R31" s="238"/>
      <c r="S31" s="238"/>
      <c r="T31" s="238"/>
      <c r="U31" s="213"/>
      <c r="V31" s="213"/>
      <c r="W31" s="213"/>
      <c r="X31" s="213"/>
      <c r="Y31" s="213"/>
      <c r="Z31" s="37"/>
    </row>
    <row r="32" spans="2:30" ht="15" customHeight="1" x14ac:dyDescent="0.2">
      <c r="B32" s="136"/>
      <c r="C32" s="136"/>
      <c r="D32" s="86"/>
      <c r="E32" s="137"/>
      <c r="F32" s="137"/>
      <c r="G32" s="137"/>
      <c r="H32" s="193"/>
      <c r="I32" s="193"/>
      <c r="J32" s="193"/>
      <c r="K32" s="193"/>
      <c r="L32" s="193"/>
      <c r="M32" s="193"/>
      <c r="N32" s="193"/>
      <c r="O32" s="194"/>
      <c r="P32" s="194"/>
      <c r="Q32" s="194"/>
      <c r="R32" s="194"/>
      <c r="S32" s="194"/>
      <c r="T32" s="194"/>
      <c r="U32" s="195"/>
      <c r="V32" s="195"/>
      <c r="W32" s="195"/>
      <c r="X32" s="195"/>
      <c r="Y32" s="195"/>
      <c r="Z32" s="37"/>
    </row>
    <row r="33" spans="2:31" ht="15" customHeight="1" x14ac:dyDescent="0.2">
      <c r="B33" s="165"/>
      <c r="C33" s="165"/>
      <c r="D33" s="166"/>
      <c r="E33" s="167"/>
      <c r="F33" s="167"/>
      <c r="G33" s="167"/>
      <c r="H33" s="168"/>
      <c r="I33" s="168"/>
      <c r="J33" s="168"/>
      <c r="K33" s="168"/>
      <c r="L33" s="168"/>
      <c r="M33" s="168"/>
      <c r="N33" s="168"/>
      <c r="O33" s="169"/>
      <c r="P33" s="169"/>
      <c r="Q33" s="169"/>
      <c r="R33" s="169"/>
      <c r="S33" s="169"/>
      <c r="T33" s="169"/>
      <c r="U33" s="165"/>
      <c r="V33" s="165"/>
      <c r="W33" s="165"/>
      <c r="X33" s="165"/>
      <c r="Y33" s="165"/>
      <c r="Z33" s="37"/>
    </row>
    <row r="34" spans="2:31" ht="24.95" customHeight="1" x14ac:dyDescent="0.2">
      <c r="B34" s="205" t="s">
        <v>53</v>
      </c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7"/>
      <c r="Q34" s="170"/>
      <c r="R34" s="205" t="s">
        <v>80</v>
      </c>
      <c r="S34" s="206"/>
      <c r="T34" s="207"/>
      <c r="U34" s="205" t="s">
        <v>81</v>
      </c>
      <c r="V34" s="206"/>
      <c r="W34" s="207"/>
      <c r="X34" s="205" t="s">
        <v>82</v>
      </c>
      <c r="Y34" s="206"/>
      <c r="Z34" s="207"/>
      <c r="AA34" s="205" t="s">
        <v>83</v>
      </c>
      <c r="AB34" s="207"/>
      <c r="AC34" s="205" t="s">
        <v>84</v>
      </c>
      <c r="AD34" s="206"/>
      <c r="AE34" s="207"/>
    </row>
    <row r="35" spans="2:31" ht="15" customHeight="1" x14ac:dyDescent="0.2">
      <c r="B35" s="87" t="s">
        <v>53</v>
      </c>
      <c r="C35" s="88" t="s">
        <v>22</v>
      </c>
      <c r="D35" s="88" t="s">
        <v>100</v>
      </c>
      <c r="E35" s="88" t="s">
        <v>106</v>
      </c>
      <c r="F35" s="88" t="s">
        <v>105</v>
      </c>
      <c r="G35" s="88" t="s">
        <v>101</v>
      </c>
      <c r="H35" s="88" t="s">
        <v>104</v>
      </c>
      <c r="I35" s="88" t="s">
        <v>12</v>
      </c>
      <c r="J35" s="90" t="s">
        <v>14</v>
      </c>
      <c r="K35" s="89" t="s">
        <v>9</v>
      </c>
      <c r="L35" s="91" t="s">
        <v>102</v>
      </c>
      <c r="M35" s="88" t="s">
        <v>103</v>
      </c>
      <c r="N35" s="92" t="s">
        <v>74</v>
      </c>
      <c r="O35" s="93" t="s">
        <v>15</v>
      </c>
      <c r="P35" s="88" t="s">
        <v>16</v>
      </c>
      <c r="Q35" s="46"/>
      <c r="R35" s="94" t="s">
        <v>27</v>
      </c>
      <c r="S35" s="95"/>
      <c r="T35" s="96">
        <f>DATE(Année,1,1)</f>
        <v>42004</v>
      </c>
      <c r="U35" s="97">
        <v>2013</v>
      </c>
      <c r="V35" s="98" t="s">
        <v>28</v>
      </c>
      <c r="W35" s="99"/>
      <c r="X35" s="100" t="s">
        <v>113</v>
      </c>
      <c r="Y35" s="101"/>
      <c r="Z35" s="102"/>
      <c r="AA35" s="101" t="s">
        <v>171</v>
      </c>
      <c r="AB35" s="101"/>
      <c r="AC35" s="103" t="s">
        <v>62</v>
      </c>
      <c r="AD35" s="101"/>
      <c r="AE35" s="104"/>
    </row>
    <row r="36" spans="2:31" ht="15" customHeight="1" x14ac:dyDescent="0.2">
      <c r="B36" s="26" t="s">
        <v>9</v>
      </c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R36" s="106" t="s">
        <v>30</v>
      </c>
      <c r="S36" s="95"/>
      <c r="T36" s="96">
        <f>IF(MOD(19*MOD(Année,19)+24,30)+MOD(2*MOD(Année,4)+4*MOD(Année,7)+6*
MOD(19*MOD(Année,19)+24,30)+5,7)-9&lt;=0,DATE(Année,3,22+MOD(19*MOD(Année,
19)+24,30)+MOD(2*MOD(Année,4)+4*MOD(Année,7)+6*MOD(19*MOD(Année,19)+24,
30)+5,7)),DATE(Année,4,MOD(19*MOD(Année,19)+24,30)+MOD(2*MOD(Année,4)+4*
MOD(Année,7)+6*MOD(19*MOD(Année,19)+24,30)+5,7)-9))</f>
        <v>42114</v>
      </c>
      <c r="U36" s="107"/>
      <c r="V36" s="108"/>
      <c r="W36" s="109"/>
      <c r="X36" s="110" t="s">
        <v>115</v>
      </c>
      <c r="Y36" s="111"/>
      <c r="Z36" s="75"/>
      <c r="AA36" s="112" t="s">
        <v>172</v>
      </c>
      <c r="AB36" s="111"/>
      <c r="AC36" s="113" t="s">
        <v>63</v>
      </c>
      <c r="AD36" s="111"/>
      <c r="AE36" s="114"/>
    </row>
    <row r="37" spans="2:31" ht="15" customHeight="1" x14ac:dyDescent="0.2">
      <c r="B37" s="27" t="s">
        <v>100</v>
      </c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R37" s="94" t="s">
        <v>32</v>
      </c>
      <c r="S37" s="95"/>
      <c r="T37" s="96">
        <f>T36+1</f>
        <v>42115</v>
      </c>
      <c r="U37" s="107"/>
      <c r="V37" s="98" t="s">
        <v>33</v>
      </c>
      <c r="W37" s="99"/>
      <c r="X37" s="110" t="s">
        <v>114</v>
      </c>
      <c r="Y37" s="111"/>
      <c r="Z37" s="75"/>
      <c r="AA37" s="112" t="s">
        <v>173</v>
      </c>
      <c r="AB37" s="111"/>
      <c r="AC37" s="113"/>
      <c r="AD37" s="111"/>
      <c r="AE37" s="114"/>
    </row>
    <row r="38" spans="2:31" ht="15" customHeight="1" x14ac:dyDescent="0.2">
      <c r="B38" s="27" t="s">
        <v>75</v>
      </c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R38" s="106" t="s">
        <v>35</v>
      </c>
      <c r="S38" s="95"/>
      <c r="T38" s="96">
        <f>DATE(Année,5,1)</f>
        <v>42124</v>
      </c>
      <c r="U38" s="107"/>
      <c r="V38" s="108"/>
      <c r="W38" s="109"/>
      <c r="X38" s="110" t="s">
        <v>116</v>
      </c>
      <c r="Y38" s="111"/>
      <c r="Z38" s="75"/>
      <c r="AA38" s="112" t="s">
        <v>174</v>
      </c>
      <c r="AB38" s="111"/>
      <c r="AC38" s="113" t="s">
        <v>64</v>
      </c>
      <c r="AD38" s="111"/>
      <c r="AE38" s="114"/>
    </row>
    <row r="39" spans="2:31" ht="15" customHeight="1" x14ac:dyDescent="0.2">
      <c r="B39" s="26" t="s">
        <v>105</v>
      </c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R39" s="106" t="s">
        <v>36</v>
      </c>
      <c r="S39" s="95"/>
      <c r="T39" s="96">
        <f>DATE(Année,5,8)</f>
        <v>42131</v>
      </c>
      <c r="U39" s="107"/>
      <c r="V39" s="98" t="s">
        <v>37</v>
      </c>
      <c r="W39" s="99"/>
      <c r="X39" s="110" t="s">
        <v>117</v>
      </c>
      <c r="Y39" s="111"/>
      <c r="Z39" s="75"/>
      <c r="AA39" s="112" t="s">
        <v>175</v>
      </c>
      <c r="AB39" s="111"/>
      <c r="AC39" s="113" t="s">
        <v>65</v>
      </c>
      <c r="AD39" s="111"/>
      <c r="AE39" s="114"/>
    </row>
    <row r="40" spans="2:31" ht="15" customHeight="1" x14ac:dyDescent="0.2">
      <c r="B40" s="27" t="s">
        <v>77</v>
      </c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R40" s="106" t="s">
        <v>38</v>
      </c>
      <c r="S40" s="95"/>
      <c r="T40" s="96">
        <f>T36+39</f>
        <v>42153</v>
      </c>
      <c r="U40" s="107"/>
      <c r="V40" s="108"/>
      <c r="W40" s="109"/>
      <c r="X40" s="110" t="s">
        <v>118</v>
      </c>
      <c r="Y40" s="111"/>
      <c r="Z40" s="75"/>
      <c r="AA40" s="112" t="s">
        <v>176</v>
      </c>
      <c r="AB40" s="111"/>
      <c r="AC40" s="113" t="s">
        <v>66</v>
      </c>
      <c r="AD40" s="111"/>
      <c r="AE40" s="114"/>
    </row>
    <row r="41" spans="2:31" ht="15" customHeight="1" x14ac:dyDescent="0.2">
      <c r="B41" s="26" t="s">
        <v>101</v>
      </c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R41" s="106" t="s">
        <v>40</v>
      </c>
      <c r="S41" s="95"/>
      <c r="T41" s="96">
        <f>T36+49</f>
        <v>42163</v>
      </c>
      <c r="U41" s="107"/>
      <c r="V41" s="98" t="s">
        <v>41</v>
      </c>
      <c r="W41" s="99"/>
      <c r="X41" s="110" t="s">
        <v>119</v>
      </c>
      <c r="Y41" s="111"/>
      <c r="Z41" s="75"/>
      <c r="AA41" s="112" t="s">
        <v>177</v>
      </c>
      <c r="AB41" s="111"/>
      <c r="AC41" s="74"/>
      <c r="AD41" s="111"/>
      <c r="AE41" s="114"/>
    </row>
    <row r="42" spans="2:31" ht="15" customHeight="1" x14ac:dyDescent="0.2">
      <c r="B42" s="27" t="s">
        <v>10</v>
      </c>
      <c r="C42" s="115">
        <f>IF(Q13="X",Q9*24,IF(R13="X",R9*24,IF(S13="X",S9*24)))</f>
        <v>8.75</v>
      </c>
      <c r="D42" s="105"/>
      <c r="E42" s="105"/>
      <c r="F42" s="105"/>
      <c r="G42" s="105"/>
      <c r="H42" s="105"/>
      <c r="I42" s="105">
        <v>7</v>
      </c>
      <c r="J42" s="105">
        <v>8</v>
      </c>
      <c r="K42" s="105"/>
      <c r="L42" s="105"/>
      <c r="M42" s="105"/>
      <c r="N42" s="115">
        <f>IF(Q11="","",IF(R11="","",IF(S11="","",IF(Q13="X",Q11*24,IF(R13="X",R11*24,IF(S13="X",S11*24))))))</f>
        <v>8.7499999999999982</v>
      </c>
      <c r="O42" s="105"/>
      <c r="P42" s="105"/>
      <c r="R42" s="106" t="s">
        <v>43</v>
      </c>
      <c r="S42" s="95"/>
      <c r="T42" s="96">
        <f>T36+50</f>
        <v>42164</v>
      </c>
      <c r="U42" s="107"/>
      <c r="V42" s="108"/>
      <c r="W42" s="109"/>
      <c r="X42" s="110" t="s">
        <v>120</v>
      </c>
      <c r="Y42" s="111"/>
      <c r="Z42" s="75"/>
      <c r="AA42" s="112" t="s">
        <v>178</v>
      </c>
      <c r="AB42" s="111"/>
      <c r="AC42" s="74"/>
      <c r="AD42" s="111"/>
      <c r="AE42" s="114"/>
    </row>
    <row r="43" spans="2:31" ht="15" customHeight="1" x14ac:dyDescent="0.2">
      <c r="B43" s="26" t="s">
        <v>104</v>
      </c>
      <c r="C43" s="119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19"/>
      <c r="O43" s="105"/>
      <c r="P43" s="105"/>
      <c r="R43" s="106" t="s">
        <v>45</v>
      </c>
      <c r="S43" s="95"/>
      <c r="T43" s="96">
        <f>DATE(Année,7,14)</f>
        <v>42198</v>
      </c>
      <c r="U43" s="107"/>
      <c r="V43" s="98" t="s">
        <v>46</v>
      </c>
      <c r="W43" s="99">
        <v>40166</v>
      </c>
      <c r="X43" s="110" t="s">
        <v>121</v>
      </c>
      <c r="Y43" s="111"/>
      <c r="Z43" s="75"/>
      <c r="AA43" s="112" t="s">
        <v>179</v>
      </c>
      <c r="AB43" s="111"/>
      <c r="AC43" s="116"/>
      <c r="AD43" s="117"/>
      <c r="AE43" s="118"/>
    </row>
    <row r="44" spans="2:31" ht="15" customHeight="1" x14ac:dyDescent="0.2">
      <c r="B44" s="27" t="s">
        <v>17</v>
      </c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R44" s="106" t="s">
        <v>48</v>
      </c>
      <c r="S44" s="95"/>
      <c r="T44" s="96">
        <f>DATE(Année,8,15)</f>
        <v>42230</v>
      </c>
      <c r="U44" s="120"/>
      <c r="V44" s="108"/>
      <c r="W44" s="109">
        <v>40183</v>
      </c>
      <c r="X44" s="110" t="s">
        <v>122</v>
      </c>
      <c r="Y44" s="111"/>
      <c r="Z44" s="75"/>
      <c r="AA44" s="112" t="s">
        <v>180</v>
      </c>
      <c r="AB44" s="75"/>
    </row>
    <row r="45" spans="2:31" ht="15" customHeight="1" x14ac:dyDescent="0.2">
      <c r="B45" s="27" t="s">
        <v>11</v>
      </c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R45" s="106" t="s">
        <v>41</v>
      </c>
      <c r="S45" s="95"/>
      <c r="T45" s="96">
        <f>DATE(Année,11,1)</f>
        <v>42308</v>
      </c>
      <c r="U45" s="97">
        <v>2014</v>
      </c>
      <c r="V45" s="98" t="s">
        <v>28</v>
      </c>
      <c r="W45" s="99">
        <v>40230</v>
      </c>
      <c r="X45" s="110" t="s">
        <v>123</v>
      </c>
      <c r="Y45" s="111"/>
      <c r="Z45" s="75"/>
      <c r="AA45" s="112" t="s">
        <v>181</v>
      </c>
      <c r="AB45" s="75"/>
    </row>
    <row r="46" spans="2:31" ht="15" customHeight="1" x14ac:dyDescent="0.2">
      <c r="B46" s="27" t="s">
        <v>13</v>
      </c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R46" s="106" t="s">
        <v>49</v>
      </c>
      <c r="S46" s="95"/>
      <c r="T46" s="96">
        <f>DATE(Année,11,11)</f>
        <v>42318</v>
      </c>
      <c r="U46" s="107"/>
      <c r="V46" s="108"/>
      <c r="W46" s="109">
        <v>40246</v>
      </c>
      <c r="X46" s="110" t="s">
        <v>124</v>
      </c>
      <c r="Y46" s="111"/>
      <c r="Z46" s="75"/>
      <c r="AA46" s="112" t="s">
        <v>182</v>
      </c>
      <c r="AB46" s="75"/>
    </row>
    <row r="47" spans="2:31" ht="15" customHeight="1" x14ac:dyDescent="0.2">
      <c r="B47" s="27" t="s">
        <v>91</v>
      </c>
      <c r="C47" s="121"/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05"/>
      <c r="O47" s="105"/>
      <c r="P47" s="105"/>
      <c r="R47" s="106" t="s">
        <v>46</v>
      </c>
      <c r="S47" s="95"/>
      <c r="T47" s="96">
        <f>DATE(Année,12,25)</f>
        <v>42362</v>
      </c>
      <c r="U47" s="107"/>
      <c r="V47" s="98" t="s">
        <v>33</v>
      </c>
      <c r="W47" s="99">
        <v>40286</v>
      </c>
      <c r="X47" s="110" t="s">
        <v>125</v>
      </c>
      <c r="Y47" s="111"/>
      <c r="Z47" s="75"/>
      <c r="AA47" s="112" t="s">
        <v>183</v>
      </c>
      <c r="AB47" s="75"/>
    </row>
    <row r="48" spans="2:31" ht="15" customHeight="1" x14ac:dyDescent="0.2">
      <c r="B48" s="27" t="s">
        <v>15</v>
      </c>
      <c r="C48" s="121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05"/>
      <c r="O48" s="105"/>
      <c r="P48" s="105"/>
      <c r="U48" s="107"/>
      <c r="V48" s="108"/>
      <c r="W48" s="109">
        <v>40302</v>
      </c>
      <c r="X48" s="110" t="s">
        <v>126</v>
      </c>
      <c r="Y48" s="111"/>
      <c r="Z48" s="75"/>
      <c r="AA48" s="112" t="s">
        <v>184</v>
      </c>
      <c r="AB48" s="75"/>
    </row>
    <row r="49" spans="2:28" ht="15" customHeight="1" x14ac:dyDescent="0.2">
      <c r="B49" s="27" t="s">
        <v>16</v>
      </c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05"/>
      <c r="O49" s="105"/>
      <c r="P49" s="105"/>
      <c r="U49" s="107"/>
      <c r="V49" s="98" t="s">
        <v>37</v>
      </c>
      <c r="W49" s="99">
        <v>40363</v>
      </c>
      <c r="X49" s="110" t="s">
        <v>127</v>
      </c>
      <c r="Y49" s="111"/>
      <c r="Z49" s="75"/>
      <c r="AA49" s="112" t="s">
        <v>185</v>
      </c>
      <c r="AB49" s="75"/>
    </row>
    <row r="50" spans="2:28" ht="15" customHeight="1" x14ac:dyDescent="0.2">
      <c r="B50" s="25" t="s">
        <v>18</v>
      </c>
      <c r="C50" s="123">
        <f>IF(Q13="X",Q9*24,IF(R13="X",R9*24,IF(S13="X",S9*24)))</f>
        <v>8.75</v>
      </c>
      <c r="D50" s="121"/>
      <c r="E50" s="124"/>
      <c r="F50" s="124"/>
      <c r="G50" s="124"/>
      <c r="H50" s="124"/>
      <c r="I50" s="124">
        <v>7</v>
      </c>
      <c r="J50" s="121">
        <v>8</v>
      </c>
      <c r="K50" s="121"/>
      <c r="L50" s="121"/>
      <c r="M50" s="121"/>
      <c r="N50" s="115">
        <f>IF(Q11="","",IF(R11="","",IF(S11="","",IF(Q13="X",Q11*24,IF(R13="X",R11*24,IF(S13="X",S11*24))))))</f>
        <v>8.7499999999999982</v>
      </c>
      <c r="O50" s="105"/>
      <c r="P50" s="105"/>
      <c r="S50" s="87" t="s">
        <v>95</v>
      </c>
      <c r="T50" s="122" t="s">
        <v>85</v>
      </c>
      <c r="U50" s="107"/>
      <c r="V50" s="108"/>
      <c r="W50" s="109">
        <v>40422</v>
      </c>
      <c r="X50" s="110" t="s">
        <v>128</v>
      </c>
      <c r="Y50" s="111"/>
      <c r="Z50" s="75"/>
      <c r="AA50" s="112" t="s">
        <v>186</v>
      </c>
      <c r="AB50" s="75"/>
    </row>
    <row r="51" spans="2:28" ht="15" customHeight="1" x14ac:dyDescent="0.2">
      <c r="B51" s="25" t="s">
        <v>19</v>
      </c>
      <c r="C51" s="123">
        <f>IF(Q13="X",Q9*24,IF(R13="X",R9*24,IF(S13="X",S9*24)))</f>
        <v>8.75</v>
      </c>
      <c r="D51" s="121"/>
      <c r="E51" s="121"/>
      <c r="F51" s="121"/>
      <c r="G51" s="121"/>
      <c r="H51" s="121"/>
      <c r="I51" s="121">
        <v>7</v>
      </c>
      <c r="J51" s="121">
        <v>8</v>
      </c>
      <c r="K51" s="121"/>
      <c r="L51" s="121"/>
      <c r="M51" s="121"/>
      <c r="N51" s="115">
        <f>IF(Q11="","",IF(R11="","",IF(S11="","",IF(Q13="X",Q11*24,IF(R13="X",R11*24,IF(S13="X",S11*24))))))</f>
        <v>8.7499999999999982</v>
      </c>
      <c r="O51" s="105"/>
      <c r="P51" s="105"/>
      <c r="S51" s="87" t="s">
        <v>96</v>
      </c>
      <c r="T51" s="52">
        <v>2014</v>
      </c>
      <c r="U51" s="107"/>
      <c r="V51" s="98" t="s">
        <v>41</v>
      </c>
      <c r="W51" s="99">
        <v>40468</v>
      </c>
      <c r="X51" s="110" t="s">
        <v>129</v>
      </c>
      <c r="Y51" s="111"/>
      <c r="Z51" s="75"/>
      <c r="AA51" s="112" t="s">
        <v>187</v>
      </c>
      <c r="AB51" s="75"/>
    </row>
    <row r="52" spans="2:28" ht="15" customHeight="1" x14ac:dyDescent="0.2">
      <c r="B52" s="25" t="s">
        <v>20</v>
      </c>
      <c r="C52" s="123">
        <f>IF(Q13="X",Q9*24,IF(R13="X",R9*24,IF(S13="X",S9*24)))</f>
        <v>8.75</v>
      </c>
      <c r="D52" s="121"/>
      <c r="E52" s="121"/>
      <c r="F52" s="121"/>
      <c r="G52" s="121"/>
      <c r="H52" s="121"/>
      <c r="I52" s="121">
        <v>7</v>
      </c>
      <c r="J52" s="121">
        <v>8</v>
      </c>
      <c r="K52" s="121"/>
      <c r="L52" s="121"/>
      <c r="M52" s="121"/>
      <c r="N52" s="115">
        <f>IF(Q11="","",IF(R11="","",IF(S11="","",IF(Q13="X",Q11*24,IF(R13="X",R11*24,IF(S13="X",S11*24))))))</f>
        <v>8.7499999999999982</v>
      </c>
      <c r="O52" s="105"/>
      <c r="P52" s="105"/>
      <c r="T52" s="52">
        <v>2015</v>
      </c>
      <c r="U52" s="107"/>
      <c r="V52" s="108"/>
      <c r="W52" s="109">
        <v>40484</v>
      </c>
      <c r="X52" s="110" t="s">
        <v>130</v>
      </c>
      <c r="Y52" s="111"/>
      <c r="Z52" s="75"/>
      <c r="AA52" s="112" t="s">
        <v>188</v>
      </c>
      <c r="AB52" s="75"/>
    </row>
    <row r="53" spans="2:28" ht="15" customHeight="1" x14ac:dyDescent="0.2">
      <c r="B53" s="25" t="s">
        <v>21</v>
      </c>
      <c r="C53" s="123">
        <f>IF(Q13="X",Q9*24,IF(R13="X",R9*24,IF(S13="X",S9*24)))</f>
        <v>8.75</v>
      </c>
      <c r="D53" s="121"/>
      <c r="E53" s="121"/>
      <c r="F53" s="121"/>
      <c r="G53" s="121"/>
      <c r="H53" s="121"/>
      <c r="I53" s="121">
        <v>7</v>
      </c>
      <c r="J53" s="121">
        <v>8</v>
      </c>
      <c r="K53" s="121"/>
      <c r="L53" s="121"/>
      <c r="M53" s="121"/>
      <c r="N53" s="115">
        <f>IF(Q11="","",IF(R11="","",IF(S11="","",IF(Q13="X",Q11*24,IF(R13="X",R11*24,IF(S13="X",S11*24))))))</f>
        <v>8.7499999999999982</v>
      </c>
      <c r="O53" s="105"/>
      <c r="P53" s="105"/>
      <c r="T53" s="52">
        <v>2016</v>
      </c>
      <c r="U53" s="107"/>
      <c r="V53" s="98" t="s">
        <v>46</v>
      </c>
      <c r="W53" s="99">
        <v>40531</v>
      </c>
      <c r="X53" s="110" t="s">
        <v>131</v>
      </c>
      <c r="Y53" s="111"/>
      <c r="Z53" s="75"/>
      <c r="AA53" s="112" t="s">
        <v>189</v>
      </c>
      <c r="AB53" s="75"/>
    </row>
    <row r="54" spans="2:28" ht="15" customHeight="1" x14ac:dyDescent="0.2">
      <c r="B54" s="25" t="s">
        <v>23</v>
      </c>
      <c r="C54" s="125">
        <v>8.75</v>
      </c>
      <c r="D54" s="121"/>
      <c r="E54" s="121"/>
      <c r="F54" s="121"/>
      <c r="G54" s="121"/>
      <c r="H54" s="121"/>
      <c r="I54" s="121">
        <v>7</v>
      </c>
      <c r="J54" s="121">
        <v>8</v>
      </c>
      <c r="K54" s="121"/>
      <c r="L54" s="121"/>
      <c r="M54" s="121"/>
      <c r="N54" s="115">
        <f>IF(Q11="","",IF(R11="","",IF(S11="","",IF(Q13="X",Q11*24,IF(R13="X",R11*24,IF(S13="X",S11*24))))))</f>
        <v>8.7499999999999982</v>
      </c>
      <c r="O54" s="105"/>
      <c r="P54" s="105"/>
      <c r="T54" s="52">
        <v>2017</v>
      </c>
      <c r="U54" s="120"/>
      <c r="V54" s="108"/>
      <c r="W54" s="109">
        <v>40547</v>
      </c>
      <c r="X54" s="110" t="s">
        <v>132</v>
      </c>
      <c r="Y54" s="111"/>
      <c r="Z54" s="75"/>
      <c r="AA54" s="112" t="s">
        <v>190</v>
      </c>
      <c r="AB54" s="75"/>
    </row>
    <row r="55" spans="2:28" ht="15" customHeight="1" x14ac:dyDescent="0.2">
      <c r="B55" s="35" t="s">
        <v>102</v>
      </c>
      <c r="C55" s="125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19"/>
      <c r="O55" s="105"/>
      <c r="P55" s="105"/>
      <c r="T55" s="52">
        <v>2018</v>
      </c>
      <c r="U55" s="97">
        <v>2015</v>
      </c>
      <c r="V55" s="98" t="s">
        <v>28</v>
      </c>
      <c r="W55" s="99">
        <v>40594</v>
      </c>
      <c r="X55" s="110" t="s">
        <v>133</v>
      </c>
      <c r="Y55" s="111"/>
      <c r="Z55" s="75"/>
      <c r="AA55" s="112" t="s">
        <v>191</v>
      </c>
      <c r="AB55" s="75"/>
    </row>
    <row r="56" spans="2:28" ht="15" customHeight="1" x14ac:dyDescent="0.2">
      <c r="B56" s="25" t="s">
        <v>24</v>
      </c>
      <c r="C56" s="123">
        <f>IF(Q13="X",Q9*24,IF(R13="X",R9*24,IF(S13="X",S9*24)))</f>
        <v>8.75</v>
      </c>
      <c r="D56" s="121"/>
      <c r="E56" s="121"/>
      <c r="F56" s="121"/>
      <c r="G56" s="121"/>
      <c r="H56" s="121"/>
      <c r="I56" s="121">
        <v>7</v>
      </c>
      <c r="J56" s="121">
        <v>8</v>
      </c>
      <c r="K56" s="121"/>
      <c r="L56" s="121"/>
      <c r="M56" s="121"/>
      <c r="N56" s="115">
        <f>IF(Q11="","",IF(R11="","",IF(S11="","",IF(Q13="X",Q11*24,IF(R13="X",R11*24,IF(S13="X",S11*24))))))</f>
        <v>8.7499999999999982</v>
      </c>
      <c r="O56" s="105"/>
      <c r="P56" s="105"/>
      <c r="T56" s="52">
        <v>2019</v>
      </c>
      <c r="U56" s="107"/>
      <c r="V56" s="108"/>
      <c r="W56" s="109">
        <v>40610</v>
      </c>
      <c r="X56" s="110" t="s">
        <v>134</v>
      </c>
      <c r="Y56" s="111"/>
      <c r="Z56" s="75"/>
      <c r="AA56" s="112" t="s">
        <v>192</v>
      </c>
      <c r="AB56" s="75"/>
    </row>
    <row r="57" spans="2:28" ht="15" customHeight="1" x14ac:dyDescent="0.2">
      <c r="B57" s="25" t="s">
        <v>25</v>
      </c>
      <c r="C57" s="123">
        <f>IF(Q13="X",Q9*24,IF(R13="X",R9*24,IF(S13="X",S9*24)))</f>
        <v>8.75</v>
      </c>
      <c r="D57" s="121"/>
      <c r="E57" s="121"/>
      <c r="F57" s="121"/>
      <c r="G57" s="121"/>
      <c r="H57" s="121"/>
      <c r="I57" s="121">
        <v>7</v>
      </c>
      <c r="J57" s="121">
        <v>8</v>
      </c>
      <c r="K57" s="121"/>
      <c r="L57" s="121"/>
      <c r="M57" s="121"/>
      <c r="N57" s="115">
        <f>IF(Q11="","",IF(R11="","",IF(S11="","",IF(Q13="X",Q11*24,IF(R13="X",R11*24,IF(S13="X",S11*24))))))</f>
        <v>8.7499999999999982</v>
      </c>
      <c r="O57" s="105"/>
      <c r="P57" s="105"/>
      <c r="T57" s="52">
        <v>2020</v>
      </c>
      <c r="U57" s="107"/>
      <c r="V57" s="98" t="s">
        <v>33</v>
      </c>
      <c r="W57" s="99">
        <v>40657</v>
      </c>
      <c r="X57" s="110" t="s">
        <v>135</v>
      </c>
      <c r="Y57" s="111"/>
      <c r="Z57" s="75"/>
      <c r="AA57" s="112" t="s">
        <v>193</v>
      </c>
      <c r="AB57" s="75"/>
    </row>
    <row r="58" spans="2:28" ht="15" customHeight="1" x14ac:dyDescent="0.2">
      <c r="B58" s="25" t="s">
        <v>26</v>
      </c>
      <c r="C58" s="123">
        <f>IF(Q13="X",Q9*24,IF(R13="X",R9*24,IF(S13="X",S9*24)))</f>
        <v>8.75</v>
      </c>
      <c r="D58" s="121"/>
      <c r="E58" s="121"/>
      <c r="F58" s="121"/>
      <c r="G58" s="121"/>
      <c r="H58" s="121"/>
      <c r="I58" s="121">
        <v>7</v>
      </c>
      <c r="J58" s="121">
        <v>8</v>
      </c>
      <c r="K58" s="121"/>
      <c r="L58" s="121"/>
      <c r="M58" s="121"/>
      <c r="N58" s="115">
        <f>IF(Q11="","",IF(R11="","",IF(S11="","",IF(Q13="X",Q11*24,IF(R13="X",R11*24,IF(S13="X",S11*24))))))</f>
        <v>8.7499999999999982</v>
      </c>
      <c r="O58" s="105"/>
      <c r="P58" s="105"/>
      <c r="T58" s="52">
        <v>2021</v>
      </c>
      <c r="U58" s="107"/>
      <c r="V58" s="108"/>
      <c r="W58" s="109">
        <v>40673</v>
      </c>
      <c r="X58" s="110" t="s">
        <v>136</v>
      </c>
      <c r="Y58" s="111"/>
      <c r="Z58" s="75"/>
      <c r="AA58" s="112" t="s">
        <v>194</v>
      </c>
      <c r="AB58" s="75"/>
    </row>
    <row r="59" spans="2:28" ht="15" customHeight="1" x14ac:dyDescent="0.2">
      <c r="B59" s="25" t="s">
        <v>29</v>
      </c>
      <c r="C59" s="123">
        <f>IF(Q13="X",Q9*24,IF(R13="X",R9*24,IF(S13="X",S9*24)))</f>
        <v>8.75</v>
      </c>
      <c r="D59" s="121"/>
      <c r="E59" s="121"/>
      <c r="F59" s="121"/>
      <c r="G59" s="121"/>
      <c r="H59" s="121"/>
      <c r="I59" s="121">
        <v>7</v>
      </c>
      <c r="J59" s="121">
        <v>8</v>
      </c>
      <c r="K59" s="121"/>
      <c r="L59" s="121"/>
      <c r="M59" s="121"/>
      <c r="N59" s="115">
        <f>IF(Q11="","",IF(R11="","",IF(S11="","",IF(Q13="X",Q11*24,IF(R13="X",R11*24,IF(S13="X",S11*24))))))</f>
        <v>8.7499999999999982</v>
      </c>
      <c r="O59" s="105"/>
      <c r="P59" s="105"/>
      <c r="T59" s="52">
        <v>2022</v>
      </c>
      <c r="U59" s="107"/>
      <c r="V59" s="98" t="s">
        <v>37</v>
      </c>
      <c r="W59" s="99">
        <v>40727</v>
      </c>
      <c r="X59" s="110" t="s">
        <v>137</v>
      </c>
      <c r="Y59" s="111"/>
      <c r="Z59" s="75"/>
      <c r="AA59" s="112" t="s">
        <v>195</v>
      </c>
      <c r="AB59" s="75"/>
    </row>
    <row r="60" spans="2:28" ht="15" customHeight="1" x14ac:dyDescent="0.2">
      <c r="B60" s="25" t="s">
        <v>31</v>
      </c>
      <c r="C60" s="123">
        <f>IF(Q13="X",Q9*24,IF(R13="X",R9*24,IF(S13="X",S9*24)))</f>
        <v>8.75</v>
      </c>
      <c r="D60" s="121"/>
      <c r="E60" s="121"/>
      <c r="F60" s="121"/>
      <c r="G60" s="121"/>
      <c r="H60" s="121"/>
      <c r="I60" s="121">
        <v>7</v>
      </c>
      <c r="J60" s="121">
        <v>8</v>
      </c>
      <c r="K60" s="121"/>
      <c r="L60" s="121"/>
      <c r="M60" s="121"/>
      <c r="N60" s="115">
        <f>IF(Q11="","",IF(R11="","",IF(S11="","",IF(Q13="X",Q11*24,IF(R13="X",R11*24,IF(S13="X",S11*24))))))</f>
        <v>8.7499999999999982</v>
      </c>
      <c r="O60" s="105"/>
      <c r="P60" s="105"/>
      <c r="T60" s="52">
        <v>2023</v>
      </c>
      <c r="U60" s="107"/>
      <c r="V60" s="108"/>
      <c r="W60" s="109">
        <v>40786</v>
      </c>
      <c r="X60" s="110" t="s">
        <v>138</v>
      </c>
      <c r="Y60" s="111"/>
      <c r="Z60" s="75"/>
      <c r="AA60" s="112" t="s">
        <v>196</v>
      </c>
      <c r="AB60" s="75"/>
    </row>
    <row r="61" spans="2:28" ht="15" customHeight="1" x14ac:dyDescent="0.2">
      <c r="B61" s="25" t="s">
        <v>93</v>
      </c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05"/>
      <c r="O61" s="105"/>
      <c r="P61" s="105"/>
      <c r="T61" s="52">
        <v>2024</v>
      </c>
      <c r="U61" s="107"/>
      <c r="V61" s="98" t="s">
        <v>41</v>
      </c>
      <c r="W61" s="99">
        <v>40832</v>
      </c>
      <c r="X61" s="110" t="s">
        <v>139</v>
      </c>
      <c r="Y61" s="111"/>
      <c r="Z61" s="75"/>
      <c r="AA61" s="112" t="s">
        <v>197</v>
      </c>
      <c r="AB61" s="75"/>
    </row>
    <row r="62" spans="2:28" ht="15" customHeight="1" x14ac:dyDescent="0.2">
      <c r="B62" s="25" t="s">
        <v>94</v>
      </c>
      <c r="C62" s="123">
        <f>IF(Q13="X",Q9*24,IF(R13="X",R9*24,IF(S13="X",S9*24)))</f>
        <v>8.75</v>
      </c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05"/>
      <c r="O62" s="105"/>
      <c r="P62" s="105"/>
      <c r="T62" s="52">
        <v>2025</v>
      </c>
      <c r="U62" s="107"/>
      <c r="V62" s="108"/>
      <c r="W62" s="109">
        <v>40848</v>
      </c>
      <c r="X62" s="110" t="s">
        <v>140</v>
      </c>
      <c r="Y62" s="111"/>
      <c r="Z62" s="75"/>
      <c r="AA62" s="112" t="s">
        <v>198</v>
      </c>
      <c r="AB62" s="75"/>
    </row>
    <row r="63" spans="2:28" ht="15" customHeight="1" x14ac:dyDescent="0.2">
      <c r="B63" s="35" t="s">
        <v>103</v>
      </c>
      <c r="C63" s="125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05"/>
      <c r="O63" s="105"/>
      <c r="P63" s="105"/>
      <c r="T63" s="52">
        <v>2026</v>
      </c>
      <c r="U63" s="107"/>
      <c r="V63" s="98" t="s">
        <v>46</v>
      </c>
      <c r="W63" s="99">
        <v>40895</v>
      </c>
      <c r="X63" s="110" t="s">
        <v>141</v>
      </c>
      <c r="Y63" s="111"/>
      <c r="Z63" s="75"/>
      <c r="AA63" s="112" t="s">
        <v>199</v>
      </c>
      <c r="AB63" s="75"/>
    </row>
    <row r="64" spans="2:28" ht="15" customHeight="1" x14ac:dyDescent="0.2">
      <c r="B64" s="25" t="s">
        <v>34</v>
      </c>
      <c r="C64" s="121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05"/>
      <c r="O64" s="105"/>
      <c r="P64" s="105"/>
      <c r="U64" s="120"/>
      <c r="V64" s="108"/>
      <c r="W64" s="109">
        <v>40911</v>
      </c>
      <c r="X64" s="110" t="s">
        <v>142</v>
      </c>
      <c r="Y64" s="111"/>
      <c r="Z64" s="75"/>
      <c r="AA64" s="112" t="s">
        <v>200</v>
      </c>
      <c r="AB64" s="75"/>
    </row>
    <row r="65" spans="2:28" ht="15" customHeight="1" x14ac:dyDescent="0.2">
      <c r="B65" s="25" t="s">
        <v>92</v>
      </c>
      <c r="C65" s="121">
        <v>8</v>
      </c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05"/>
      <c r="O65" s="105"/>
      <c r="P65" s="105"/>
      <c r="U65" s="97">
        <v>2016</v>
      </c>
      <c r="V65" s="98" t="s">
        <v>28</v>
      </c>
      <c r="W65" s="99">
        <v>40944</v>
      </c>
      <c r="X65" s="110" t="s">
        <v>143</v>
      </c>
      <c r="Y65" s="111"/>
      <c r="Z65" s="75"/>
      <c r="AA65" s="112"/>
      <c r="AB65" s="75"/>
    </row>
    <row r="66" spans="2:28" ht="15" customHeight="1" x14ac:dyDescent="0.2">
      <c r="B66" s="25" t="s">
        <v>39</v>
      </c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05"/>
      <c r="O66" s="105"/>
      <c r="P66" s="105"/>
      <c r="U66" s="107"/>
      <c r="V66" s="108"/>
      <c r="W66" s="109">
        <v>40960</v>
      </c>
      <c r="X66" s="110" t="s">
        <v>144</v>
      </c>
      <c r="Y66" s="111"/>
      <c r="Z66" s="75"/>
      <c r="AA66" s="126"/>
      <c r="AB66" s="75"/>
    </row>
    <row r="67" spans="2:28" ht="15" customHeight="1" x14ac:dyDescent="0.2">
      <c r="B67" s="25" t="s">
        <v>42</v>
      </c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05"/>
      <c r="O67" s="105"/>
      <c r="P67" s="105"/>
      <c r="R67" s="38" t="s">
        <v>22</v>
      </c>
      <c r="U67" s="107"/>
      <c r="V67" s="98" t="s">
        <v>33</v>
      </c>
      <c r="W67" s="99">
        <v>41000</v>
      </c>
      <c r="X67" s="110" t="s">
        <v>145</v>
      </c>
      <c r="Y67" s="111"/>
      <c r="Z67" s="75"/>
      <c r="AA67" s="117"/>
      <c r="AB67" s="118"/>
    </row>
    <row r="68" spans="2:28" ht="15" customHeight="1" x14ac:dyDescent="0.2">
      <c r="B68" s="25" t="s">
        <v>44</v>
      </c>
      <c r="C68" s="121"/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05"/>
      <c r="O68" s="105"/>
      <c r="P68" s="105"/>
      <c r="U68" s="107"/>
      <c r="V68" s="108"/>
      <c r="W68" s="109">
        <v>41016</v>
      </c>
      <c r="X68" s="110" t="s">
        <v>146</v>
      </c>
      <c r="Y68" s="111"/>
      <c r="Z68" s="75"/>
    </row>
    <row r="69" spans="2:28" ht="15" customHeight="1" x14ac:dyDescent="0.2">
      <c r="B69" s="25" t="s">
        <v>111</v>
      </c>
      <c r="C69" s="127">
        <f>IF(Q13="X",Q9*24,IF(R13="X",R9*24,IF(S13="X",S9*24)))</f>
        <v>8.75</v>
      </c>
      <c r="D69" s="121"/>
      <c r="E69" s="121"/>
      <c r="F69" s="121"/>
      <c r="G69" s="121"/>
      <c r="H69" s="121"/>
      <c r="I69" s="121">
        <v>7</v>
      </c>
      <c r="J69" s="121">
        <v>8</v>
      </c>
      <c r="K69" s="121"/>
      <c r="L69" s="121"/>
      <c r="M69" s="121"/>
      <c r="N69" s="105"/>
      <c r="O69" s="105"/>
      <c r="P69" s="105"/>
      <c r="U69" s="107"/>
      <c r="V69" s="98" t="s">
        <v>37</v>
      </c>
      <c r="W69" s="99">
        <v>41095</v>
      </c>
      <c r="X69" s="110" t="s">
        <v>147</v>
      </c>
      <c r="Y69" s="111"/>
      <c r="Z69" s="75"/>
    </row>
    <row r="70" spans="2:28" ht="15" customHeight="1" x14ac:dyDescent="0.2">
      <c r="B70" s="25" t="s">
        <v>47</v>
      </c>
      <c r="C70" s="121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05"/>
      <c r="O70" s="105"/>
      <c r="P70" s="105"/>
      <c r="U70" s="107"/>
      <c r="V70" s="108"/>
      <c r="W70" s="109">
        <v>41152</v>
      </c>
      <c r="X70" s="110" t="s">
        <v>148</v>
      </c>
      <c r="Y70" s="111"/>
      <c r="Z70" s="75"/>
    </row>
    <row r="71" spans="2:28" ht="15" customHeight="1" x14ac:dyDescent="0.2">
      <c r="E71" s="128"/>
      <c r="J71" s="128"/>
      <c r="K71" s="129"/>
      <c r="L71" s="130"/>
      <c r="U71" s="107"/>
      <c r="V71" s="98" t="s">
        <v>41</v>
      </c>
      <c r="W71" s="99">
        <v>41200</v>
      </c>
      <c r="X71" s="110" t="s">
        <v>149</v>
      </c>
      <c r="Y71" s="111"/>
      <c r="Z71" s="75"/>
    </row>
    <row r="72" spans="2:28" ht="15" customHeight="1" x14ac:dyDescent="0.2">
      <c r="C72" s="158" t="s">
        <v>9</v>
      </c>
      <c r="D72" s="158" t="s">
        <v>75</v>
      </c>
      <c r="E72" s="158" t="s">
        <v>77</v>
      </c>
      <c r="F72" s="158" t="s">
        <v>10</v>
      </c>
      <c r="G72" s="158" t="s">
        <v>59</v>
      </c>
      <c r="H72" s="158" t="s">
        <v>108</v>
      </c>
      <c r="I72" s="158" t="s">
        <v>60</v>
      </c>
      <c r="J72" s="158" t="s">
        <v>61</v>
      </c>
      <c r="K72" s="158" t="s">
        <v>34</v>
      </c>
      <c r="L72" s="158" t="s">
        <v>109</v>
      </c>
      <c r="M72" s="158" t="s">
        <v>111</v>
      </c>
      <c r="U72" s="107"/>
      <c r="V72" s="108"/>
      <c r="W72" s="109">
        <v>41215</v>
      </c>
      <c r="X72" s="110" t="s">
        <v>150</v>
      </c>
      <c r="Y72" s="111"/>
      <c r="Z72" s="75"/>
    </row>
    <row r="73" spans="2:28" ht="15" customHeight="1" x14ac:dyDescent="0.2">
      <c r="B73" s="43"/>
      <c r="C73" s="141">
        <f>IF(($E$9+$F$9)&gt;=1,1,"")</f>
        <v>1</v>
      </c>
      <c r="D73" s="141">
        <f>IF($E$10+$F$10&gt;=1,1,"")</f>
        <v>1</v>
      </c>
      <c r="E73" s="141">
        <f>IF($E$11+$F$11&gt;=1,1,"")</f>
        <v>1</v>
      </c>
      <c r="F73" s="141">
        <f>IF($H$13&gt;=1,1,"")</f>
        <v>1</v>
      </c>
      <c r="G73" s="159" t="str">
        <f>IF($M$12&gt;=1,1,"")</f>
        <v/>
      </c>
      <c r="H73" s="161" t="str">
        <f>IF($M$13&gt;=1,1,"")</f>
        <v/>
      </c>
      <c r="I73" s="162" t="str">
        <f>IF($M$14&gt;=1,1,"")</f>
        <v/>
      </c>
      <c r="J73" s="79" t="str">
        <f>IF($M$15&gt;=1,1,"")</f>
        <v/>
      </c>
      <c r="K73" s="79">
        <f>IF($M$9&gt;=1,1,"")</f>
        <v>1</v>
      </c>
      <c r="L73" s="79">
        <f>IF($M$10&gt;=1,1,"")</f>
        <v>1</v>
      </c>
      <c r="M73" s="79" t="str">
        <f>IF($M$16&gt;=1,1,"")</f>
        <v/>
      </c>
      <c r="U73" s="107"/>
      <c r="V73" s="98" t="s">
        <v>46</v>
      </c>
      <c r="W73" s="99">
        <v>41259</v>
      </c>
      <c r="X73" s="110" t="s">
        <v>151</v>
      </c>
      <c r="Y73" s="111"/>
      <c r="Z73" s="75"/>
    </row>
    <row r="74" spans="2:28" ht="15" customHeight="1" x14ac:dyDescent="0.2">
      <c r="B74" s="43"/>
      <c r="C74" s="141">
        <f>IF(($E$9+$F$9)&gt;=2,2,"")</f>
        <v>2</v>
      </c>
      <c r="D74" s="141">
        <f>IF($E$10+$F$10&gt;=2,2,"")</f>
        <v>2</v>
      </c>
      <c r="E74" s="141">
        <f>IF($E$11+$F$11&gt;=2,2,"")</f>
        <v>2</v>
      </c>
      <c r="F74" s="141">
        <f>IF($H$13&gt;=2,2,"")</f>
        <v>2</v>
      </c>
      <c r="G74" s="159" t="str">
        <f>IF($M$12&gt;=2,2,"")</f>
        <v/>
      </c>
      <c r="H74" s="161" t="str">
        <f>IF($M$13&gt;=2,2,"")</f>
        <v/>
      </c>
      <c r="I74" s="162" t="str">
        <f>IF($M$14&gt;=2,2,"")</f>
        <v/>
      </c>
      <c r="J74" s="79" t="str">
        <f>IF($M$15&gt;=2,2,"")</f>
        <v/>
      </c>
      <c r="K74" s="79">
        <f>IF($M$9&gt;=2,2,"")</f>
        <v>2</v>
      </c>
      <c r="L74" s="79">
        <f>IF($M$10&gt;=2,2,"")</f>
        <v>2</v>
      </c>
      <c r="M74" s="79" t="str">
        <f>IF($M$16&gt;=2,2,"")</f>
        <v/>
      </c>
      <c r="U74" s="120"/>
      <c r="V74" s="108"/>
      <c r="W74" s="109">
        <v>41276</v>
      </c>
      <c r="X74" s="110" t="s">
        <v>152</v>
      </c>
      <c r="Y74" s="111"/>
      <c r="Z74" s="75"/>
    </row>
    <row r="75" spans="2:28" ht="15" customHeight="1" x14ac:dyDescent="0.2">
      <c r="C75" s="141">
        <f>IF(($E$9+$F$9)&gt;=3,3,"")</f>
        <v>3</v>
      </c>
      <c r="D75" s="141" t="str">
        <f>IF($E$10+$F$10&gt;=3,3,"")</f>
        <v/>
      </c>
      <c r="E75" s="141">
        <f>IF($E$11+$F$11&gt;=3,3,"")</f>
        <v>3</v>
      </c>
      <c r="F75" s="141">
        <f>IF($H$13&gt;=3,3,"")</f>
        <v>3</v>
      </c>
      <c r="G75" s="159" t="str">
        <f>IF($M$12&gt;=3,3,"")</f>
        <v/>
      </c>
      <c r="H75" s="161" t="str">
        <f>IF($M$13&gt;=3,3,"")</f>
        <v/>
      </c>
      <c r="I75" s="162" t="str">
        <f>IF($M$14&gt;=3,3,"")</f>
        <v/>
      </c>
      <c r="J75" s="79" t="str">
        <f>IF($M$15&gt;=3,3,"")</f>
        <v/>
      </c>
      <c r="K75" s="79">
        <f>IF($M$9&gt;=3,3,"")</f>
        <v>3</v>
      </c>
      <c r="L75" s="79">
        <f>IF($M$10&gt;=3,3,"")</f>
        <v>3</v>
      </c>
      <c r="M75" s="79" t="str">
        <f>IF($M$16&gt;=3,3,"")</f>
        <v/>
      </c>
      <c r="U75" s="97">
        <v>2017</v>
      </c>
      <c r="V75" s="98" t="s">
        <v>28</v>
      </c>
      <c r="W75" s="99">
        <v>41315</v>
      </c>
      <c r="X75" s="110" t="s">
        <v>153</v>
      </c>
      <c r="Y75" s="111"/>
      <c r="Z75" s="75"/>
    </row>
    <row r="76" spans="2:28" ht="15" customHeight="1" x14ac:dyDescent="0.2">
      <c r="B76" s="163"/>
      <c r="C76" s="141">
        <f>IF(($E$9+$F$9)&gt;=4,4,"")</f>
        <v>4</v>
      </c>
      <c r="D76" s="141" t="str">
        <f>IF($E$10+$F$10&gt;=4,4,"")</f>
        <v/>
      </c>
      <c r="E76" s="141">
        <f>IF($E$11+$F$11&gt;=4,4,"")</f>
        <v>4</v>
      </c>
      <c r="F76" s="141">
        <f>IF($H$13&gt;=4,4,"")</f>
        <v>4</v>
      </c>
      <c r="G76" s="159" t="str">
        <f>IF($M$12&gt;=4,4,"")</f>
        <v/>
      </c>
      <c r="H76" s="161" t="str">
        <f>IF($M$13&gt;=4,4,"")</f>
        <v/>
      </c>
      <c r="I76" s="162" t="str">
        <f>IF($M$14&gt;=4,4,"")</f>
        <v/>
      </c>
      <c r="J76" s="79" t="str">
        <f>IF($M$15&gt;=4,4,"")</f>
        <v/>
      </c>
      <c r="K76" s="79">
        <f>IF($M$9&gt;=4,4,"")</f>
        <v>4</v>
      </c>
      <c r="L76" s="79" t="str">
        <f>IF($M$10&gt;=4,4,"")</f>
        <v/>
      </c>
      <c r="M76" s="79" t="str">
        <f>IF($M$16&gt;=4,4,"")</f>
        <v/>
      </c>
      <c r="U76" s="107"/>
      <c r="V76" s="108"/>
      <c r="W76" s="109">
        <v>41331</v>
      </c>
      <c r="X76" s="110" t="s">
        <v>154</v>
      </c>
      <c r="Y76" s="111"/>
      <c r="Z76" s="75"/>
    </row>
    <row r="77" spans="2:28" ht="15" customHeight="1" x14ac:dyDescent="0.2">
      <c r="B77" s="140"/>
      <c r="C77" s="141">
        <f>IF(($E$9+$F$9)&gt;=5,5,"")</f>
        <v>5</v>
      </c>
      <c r="D77" s="160"/>
      <c r="E77" s="141">
        <f>IF($E$11+$F$11&gt;=5,5,"")</f>
        <v>5</v>
      </c>
      <c r="F77" s="141">
        <f>IF($H$13&gt;=5,5,"")</f>
        <v>5</v>
      </c>
      <c r="G77" s="159" t="str">
        <f>IF($M$12&gt;=5,5,"")</f>
        <v/>
      </c>
      <c r="H77" s="161" t="str">
        <f>IF($M$13&gt;=5,5,"")</f>
        <v/>
      </c>
      <c r="I77" s="162" t="str">
        <f>IF($M$14&gt;=5,5,"")</f>
        <v/>
      </c>
      <c r="J77" s="79" t="str">
        <f>IF($M$15&gt;=5,5,"")</f>
        <v/>
      </c>
      <c r="K77" s="79">
        <f>IF($M$9&gt;=5,5,"")</f>
        <v>5</v>
      </c>
      <c r="L77" s="79" t="str">
        <f>IF($M$10&gt;=5,5,"")</f>
        <v/>
      </c>
      <c r="M77" s="79" t="str">
        <f>IF($M$16&gt;=5,5,"")</f>
        <v/>
      </c>
      <c r="U77" s="107"/>
      <c r="V77" s="98" t="s">
        <v>33</v>
      </c>
      <c r="W77" s="99">
        <v>41371</v>
      </c>
      <c r="X77" s="110" t="s">
        <v>155</v>
      </c>
      <c r="Y77" s="111"/>
      <c r="Z77" s="75"/>
    </row>
    <row r="78" spans="2:28" ht="15" customHeight="1" x14ac:dyDescent="0.2">
      <c r="B78" s="140"/>
      <c r="C78" s="141">
        <f>IF(($E$9+$F$9)&gt;=6,6,"")</f>
        <v>6</v>
      </c>
      <c r="D78" s="160"/>
      <c r="E78" s="141" t="str">
        <f>IF($E$11+$F$11&gt;=6,6,"")</f>
        <v/>
      </c>
      <c r="F78" s="141">
        <f>IF($H$13&gt;=6,6,"")</f>
        <v>6</v>
      </c>
      <c r="G78" s="159" t="str">
        <f>IF($M$12&gt;=6,6,"")</f>
        <v/>
      </c>
      <c r="I78" s="162" t="str">
        <f>IF($M$14&gt;=6,6,"")</f>
        <v/>
      </c>
      <c r="K78" s="79">
        <f>IF($M$9&gt;=6,6,"")</f>
        <v>6</v>
      </c>
      <c r="L78" s="79" t="str">
        <f>IF($M$10&gt;=6,6,"")</f>
        <v/>
      </c>
      <c r="M78" s="79" t="str">
        <f>IF($M$16&gt;=6,6,"")</f>
        <v/>
      </c>
      <c r="U78" s="107"/>
      <c r="V78" s="108"/>
      <c r="W78" s="109">
        <v>41387</v>
      </c>
      <c r="X78" s="110" t="s">
        <v>156</v>
      </c>
      <c r="Y78" s="111"/>
      <c r="Z78" s="75"/>
    </row>
    <row r="79" spans="2:28" ht="15" customHeight="1" x14ac:dyDescent="0.2">
      <c r="B79" s="140"/>
      <c r="C79" s="141">
        <f>IF(($E$9+$F$9)&gt;=7,7,"")</f>
        <v>7</v>
      </c>
      <c r="D79" s="160"/>
      <c r="E79" s="141" t="str">
        <f>IF($E$11+$F$11&gt;=7,7,"")</f>
        <v/>
      </c>
      <c r="F79" s="141">
        <f>IF($H$13&gt;=7,7,"")</f>
        <v>7</v>
      </c>
      <c r="G79" s="159" t="str">
        <f>IF($M$12&gt;=7,7,"")</f>
        <v/>
      </c>
      <c r="I79" s="162" t="str">
        <f>IF($M$14&gt;=7,7,"")</f>
        <v/>
      </c>
      <c r="K79" s="79" t="str">
        <f>IF($M$9&gt;=7,7,"")</f>
        <v/>
      </c>
      <c r="L79" s="79" t="str">
        <f>IF($M$10&gt;=7,7,"")</f>
        <v/>
      </c>
      <c r="M79" s="79" t="str">
        <f>IF($M$16&gt;=7,7,"")</f>
        <v/>
      </c>
      <c r="U79" s="107"/>
      <c r="V79" s="98" t="s">
        <v>37</v>
      </c>
      <c r="W79" s="99">
        <v>41462</v>
      </c>
      <c r="X79" s="110" t="s">
        <v>157</v>
      </c>
      <c r="Y79" s="111"/>
      <c r="Z79" s="75"/>
    </row>
    <row r="80" spans="2:28" ht="15" customHeight="1" x14ac:dyDescent="0.2">
      <c r="B80" s="140"/>
      <c r="C80" s="141">
        <f>IF(($E$9+$F$9)&gt;=8,8,"")</f>
        <v>8</v>
      </c>
      <c r="D80" s="160"/>
      <c r="E80" s="141" t="str">
        <f>IF($E$11+$F$11&gt;=8,8,"")</f>
        <v/>
      </c>
      <c r="F80" s="141">
        <f>IF($H$13&gt;=8,8,"")</f>
        <v>8</v>
      </c>
      <c r="G80" s="159" t="str">
        <f>IF($M$12&gt;=8,8,"")</f>
        <v/>
      </c>
      <c r="I80" s="162" t="str">
        <f>IF($M$14&gt;=8,8,"")</f>
        <v/>
      </c>
      <c r="K80" s="79" t="str">
        <f>IF($M$9&gt;=8,8,"")</f>
        <v/>
      </c>
      <c r="L80" s="79" t="str">
        <f>IF($M$10&gt;=8,8,"")</f>
        <v/>
      </c>
      <c r="M80" s="79" t="str">
        <f>IF($M$16&gt;=8,8,"")</f>
        <v/>
      </c>
      <c r="U80" s="107"/>
      <c r="V80" s="108"/>
      <c r="W80" s="109">
        <v>41520</v>
      </c>
      <c r="X80" s="110" t="s">
        <v>158</v>
      </c>
      <c r="Y80" s="111"/>
      <c r="Z80" s="75"/>
    </row>
    <row r="81" spans="2:26" ht="15" customHeight="1" x14ac:dyDescent="0.2">
      <c r="B81" s="140"/>
      <c r="C81" s="141">
        <f>IF(($E$9+$F$9)&gt;=9,9,"")</f>
        <v>9</v>
      </c>
      <c r="D81" s="160"/>
      <c r="E81" s="141" t="str">
        <f>IF($E$11+$F$11&gt;=9,9,"")</f>
        <v/>
      </c>
      <c r="F81" s="141">
        <f>IF($H$13&gt;=9,9,"")</f>
        <v>9</v>
      </c>
      <c r="G81" s="159" t="str">
        <f>IF($M$12&gt;=9,9,"")</f>
        <v/>
      </c>
      <c r="I81" s="162" t="str">
        <f>IF($M$14&gt;=9,9,"")</f>
        <v/>
      </c>
      <c r="K81" s="79" t="str">
        <f>IF($M$9&gt;=9,9,"")</f>
        <v/>
      </c>
      <c r="L81" s="79" t="str">
        <f>IF($M$10&gt;=9,9,"")</f>
        <v/>
      </c>
      <c r="M81" s="79" t="str">
        <f>IF($M$16&gt;=9,9,"")</f>
        <v/>
      </c>
      <c r="U81" s="107"/>
      <c r="V81" s="98" t="s">
        <v>41</v>
      </c>
      <c r="W81" s="99">
        <v>41567</v>
      </c>
      <c r="X81" s="110" t="s">
        <v>159</v>
      </c>
      <c r="Y81" s="111"/>
      <c r="Z81" s="75"/>
    </row>
    <row r="82" spans="2:26" ht="15" customHeight="1" x14ac:dyDescent="0.2">
      <c r="B82" s="140"/>
      <c r="C82" s="141">
        <f>IF(($E$9+$F$9)&gt;=10,10,"")</f>
        <v>10</v>
      </c>
      <c r="D82" s="160"/>
      <c r="E82" s="140"/>
      <c r="F82" s="141">
        <f>IF($H$13&gt;=10,10,"")</f>
        <v>10</v>
      </c>
      <c r="G82" s="159" t="str">
        <f>IF($M$12&gt;=10,10,"")</f>
        <v/>
      </c>
      <c r="I82" s="162" t="str">
        <f>IF($M$14&gt;=10,10,"")</f>
        <v/>
      </c>
      <c r="K82" s="79" t="str">
        <f>IF($M$9&gt;=10,10,"")</f>
        <v/>
      </c>
      <c r="L82" s="79" t="str">
        <f>IF($M$10&gt;=10,10,"")</f>
        <v/>
      </c>
      <c r="M82" s="79" t="str">
        <f>IF($M$16&gt;=10,10,"")</f>
        <v/>
      </c>
      <c r="U82" s="107"/>
      <c r="V82" s="108"/>
      <c r="W82" s="109">
        <v>41583</v>
      </c>
      <c r="X82" s="110" t="s">
        <v>160</v>
      </c>
      <c r="Y82" s="111"/>
      <c r="Z82" s="75"/>
    </row>
    <row r="83" spans="2:26" ht="15" customHeight="1" x14ac:dyDescent="0.2">
      <c r="B83" s="140"/>
      <c r="C83" s="141">
        <f>IF(($E$9+$F$9)&gt;=11,11,"")</f>
        <v>11</v>
      </c>
      <c r="D83" s="142"/>
      <c r="E83" s="142"/>
      <c r="F83" s="141">
        <f>IF($H$13&gt;=11,11,"")</f>
        <v>11</v>
      </c>
      <c r="M83" s="79" t="str">
        <f>IF($M$16&gt;=11,11,"")</f>
        <v/>
      </c>
      <c r="U83" s="107"/>
      <c r="V83" s="98" t="s">
        <v>46</v>
      </c>
      <c r="W83" s="99">
        <v>41630</v>
      </c>
      <c r="X83" s="110" t="s">
        <v>161</v>
      </c>
      <c r="Y83" s="111"/>
      <c r="Z83" s="75"/>
    </row>
    <row r="84" spans="2:26" ht="15" customHeight="1" x14ac:dyDescent="0.2">
      <c r="B84" s="164"/>
      <c r="C84" s="141">
        <f>IF(($E$9+$F$9)&gt;=12,12,"")</f>
        <v>12</v>
      </c>
      <c r="D84" s="142"/>
      <c r="E84" s="142"/>
      <c r="F84" s="141">
        <f>IF($H$13&gt;=12,12,"")</f>
        <v>12</v>
      </c>
      <c r="M84" s="79" t="str">
        <f>IF($M$16&gt;=12,12,"")</f>
        <v/>
      </c>
      <c r="U84" s="120"/>
      <c r="V84" s="108"/>
      <c r="W84" s="109">
        <v>41646</v>
      </c>
      <c r="X84" s="110" t="s">
        <v>162</v>
      </c>
      <c r="Y84" s="111"/>
      <c r="Z84" s="75"/>
    </row>
    <row r="85" spans="2:26" ht="15" customHeight="1" x14ac:dyDescent="0.2">
      <c r="B85" s="164"/>
      <c r="C85" s="141">
        <f>IF(($E$9+$F$9)&gt;=13,13,"")</f>
        <v>13</v>
      </c>
      <c r="D85" s="142"/>
      <c r="E85" s="142"/>
      <c r="F85" s="141">
        <f>IF($H$13&gt;=13,13,"")</f>
        <v>13</v>
      </c>
      <c r="M85" s="79" t="str">
        <f>IF($M$16&gt;=13,13,"")</f>
        <v/>
      </c>
      <c r="U85" s="97">
        <v>2018</v>
      </c>
      <c r="V85" s="98" t="s">
        <v>28</v>
      </c>
      <c r="W85" s="99">
        <v>41693</v>
      </c>
      <c r="X85" s="110" t="s">
        <v>163</v>
      </c>
      <c r="Y85" s="111"/>
      <c r="Z85" s="75"/>
    </row>
    <row r="86" spans="2:26" ht="15" customHeight="1" x14ac:dyDescent="0.2">
      <c r="B86" s="164"/>
      <c r="C86" s="141">
        <f>IF(($E$9+$F$9)&gt;=14,14,"")</f>
        <v>14</v>
      </c>
      <c r="D86" s="142"/>
      <c r="E86" s="142"/>
      <c r="F86" s="141">
        <f>IF($H$13&gt;=14,14,"")</f>
        <v>14</v>
      </c>
      <c r="J86" s="142"/>
      <c r="K86" s="142"/>
      <c r="M86" s="79" t="str">
        <f>IF($M$16&gt;=14,14,"")</f>
        <v/>
      </c>
      <c r="U86" s="107"/>
      <c r="V86" s="108"/>
      <c r="W86" s="109">
        <v>41709</v>
      </c>
      <c r="X86" s="110" t="s">
        <v>164</v>
      </c>
      <c r="Y86" s="111"/>
      <c r="Z86" s="75"/>
    </row>
    <row r="87" spans="2:26" ht="15" customHeight="1" x14ac:dyDescent="0.2">
      <c r="B87" s="140"/>
      <c r="C87" s="141">
        <f>IF(($E$9+$F$9)&gt;=15,15,"")</f>
        <v>15</v>
      </c>
      <c r="D87" s="142"/>
      <c r="E87" s="142"/>
      <c r="F87" s="141">
        <f>IF($H$13&gt;=15,15,"")</f>
        <v>15</v>
      </c>
      <c r="M87" s="79" t="str">
        <f>IF($M$16&gt;=15,15,"")</f>
        <v/>
      </c>
      <c r="U87" s="107"/>
      <c r="V87" s="98" t="s">
        <v>33</v>
      </c>
      <c r="W87" s="99">
        <v>41749</v>
      </c>
      <c r="X87" s="110" t="s">
        <v>165</v>
      </c>
      <c r="Y87" s="111"/>
      <c r="Z87" s="75"/>
    </row>
    <row r="88" spans="2:26" ht="15" customHeight="1" x14ac:dyDescent="0.2">
      <c r="B88" s="140"/>
      <c r="C88" s="141">
        <f>IF(($E$9+$F$9)&gt;=16,16,"")</f>
        <v>16</v>
      </c>
      <c r="D88" s="142"/>
      <c r="E88" s="142"/>
      <c r="F88" s="141">
        <f>IF($H$13&gt;=16,16,"")</f>
        <v>16</v>
      </c>
      <c r="M88" s="79" t="str">
        <f>IF($M$16&gt;=16,16,"")</f>
        <v/>
      </c>
      <c r="U88" s="107"/>
      <c r="V88" s="108"/>
      <c r="W88" s="109">
        <v>41765</v>
      </c>
      <c r="X88" s="110" t="s">
        <v>166</v>
      </c>
      <c r="Y88" s="111"/>
      <c r="Z88" s="75"/>
    </row>
    <row r="89" spans="2:26" ht="15" customHeight="1" x14ac:dyDescent="0.2">
      <c r="B89" s="140"/>
      <c r="C89" s="141">
        <f>IF(($E$9+$F$9)&gt;=17,17,"")</f>
        <v>17</v>
      </c>
      <c r="D89" s="142"/>
      <c r="E89" s="142"/>
      <c r="F89" s="141">
        <f>IF($H$13&gt;=17,17,"")</f>
        <v>17</v>
      </c>
      <c r="M89" s="79" t="str">
        <f>IF($M$16&gt;=17,17,"")</f>
        <v/>
      </c>
      <c r="U89" s="107"/>
      <c r="V89" s="98" t="s">
        <v>37</v>
      </c>
      <c r="W89" s="99">
        <v>41826</v>
      </c>
      <c r="X89" s="110" t="s">
        <v>167</v>
      </c>
      <c r="Y89" s="111"/>
      <c r="Z89" s="75"/>
    </row>
    <row r="90" spans="2:26" ht="15" customHeight="1" x14ac:dyDescent="0.2">
      <c r="B90" s="140"/>
      <c r="C90" s="141">
        <f>IF(($E$9+$F$9)&gt;=18,18,"")</f>
        <v>18</v>
      </c>
      <c r="D90" s="142"/>
      <c r="E90" s="142"/>
      <c r="F90" s="141">
        <f>IF($H$13&gt;=18,18,"")</f>
        <v>18</v>
      </c>
      <c r="M90" s="79" t="str">
        <f>IF($M$16&gt;=18,18,"")</f>
        <v/>
      </c>
      <c r="U90" s="107"/>
      <c r="V90" s="108"/>
      <c r="W90" s="109">
        <v>41884</v>
      </c>
      <c r="X90" s="110" t="s">
        <v>168</v>
      </c>
      <c r="Y90" s="111"/>
      <c r="Z90" s="75"/>
    </row>
    <row r="91" spans="2:26" ht="15" customHeight="1" x14ac:dyDescent="0.2">
      <c r="B91" s="140"/>
      <c r="C91" s="141">
        <f>IF(($E$9+$F$9)&gt;=19,19,"")</f>
        <v>19</v>
      </c>
      <c r="D91" s="142"/>
      <c r="E91" s="142"/>
      <c r="F91" s="141">
        <f>IF($H$13&gt;=19,19,"")</f>
        <v>19</v>
      </c>
      <c r="M91" s="79" t="str">
        <f>IF($M$16&gt;=19,19,"")</f>
        <v/>
      </c>
      <c r="U91" s="107"/>
      <c r="V91" s="98" t="s">
        <v>41</v>
      </c>
      <c r="W91" s="99">
        <v>41931</v>
      </c>
      <c r="X91" s="110" t="s">
        <v>169</v>
      </c>
      <c r="Y91" s="111"/>
      <c r="Z91" s="75"/>
    </row>
    <row r="92" spans="2:26" ht="15" customHeight="1" x14ac:dyDescent="0.2">
      <c r="B92" s="140"/>
      <c r="C92" s="141">
        <f>IF(($E$9+$F$9)&gt;=20,20,"")</f>
        <v>20</v>
      </c>
      <c r="D92" s="142"/>
      <c r="E92" s="142"/>
      <c r="F92" s="141">
        <f>IF($H$13&gt;=20,20,"")</f>
        <v>20</v>
      </c>
      <c r="M92" s="79" t="str">
        <f>IF($M$16&gt;=20,20,"")</f>
        <v/>
      </c>
      <c r="U92" s="107"/>
      <c r="V92" s="108"/>
      <c r="W92" s="109">
        <v>41947</v>
      </c>
      <c r="X92" s="110" t="s">
        <v>170</v>
      </c>
      <c r="Y92" s="111"/>
      <c r="Z92" s="75"/>
    </row>
    <row r="93" spans="2:26" ht="15" customHeight="1" x14ac:dyDescent="0.2">
      <c r="B93" s="140"/>
      <c r="C93" s="141">
        <f>IF(($E$9+$F$9)&gt;=21,21,"")</f>
        <v>21</v>
      </c>
      <c r="D93" s="142"/>
      <c r="E93" s="142"/>
      <c r="F93" s="141">
        <f>IF($H$13&gt;=21,21,"")</f>
        <v>21</v>
      </c>
      <c r="M93" s="79" t="str">
        <f>IF($M$16&gt;=21,21,"")</f>
        <v/>
      </c>
      <c r="U93" s="107"/>
      <c r="V93" s="98" t="s">
        <v>46</v>
      </c>
      <c r="W93" s="99">
        <v>41994</v>
      </c>
      <c r="X93" s="110"/>
      <c r="Y93" s="111"/>
      <c r="Z93" s="114"/>
    </row>
    <row r="94" spans="2:26" ht="15" customHeight="1" x14ac:dyDescent="0.2">
      <c r="B94" s="140"/>
      <c r="C94" s="141">
        <f>IF(($E$9+$F$9)&gt;=22,22,"")</f>
        <v>22</v>
      </c>
      <c r="D94" s="142"/>
      <c r="E94" s="142"/>
      <c r="F94" s="141">
        <f>IF($H$13&gt;=22,22,"")</f>
        <v>22</v>
      </c>
      <c r="M94" s="79" t="str">
        <f>IF($M$16&gt;=22,22,"")</f>
        <v/>
      </c>
      <c r="U94" s="120"/>
      <c r="V94" s="108"/>
      <c r="W94" s="109">
        <v>42010</v>
      </c>
      <c r="X94" s="110"/>
      <c r="Y94" s="111"/>
      <c r="Z94" s="75"/>
    </row>
    <row r="95" spans="2:26" ht="15" customHeight="1" x14ac:dyDescent="0.2">
      <c r="B95" s="140"/>
      <c r="C95" s="141">
        <f>IF(($E$9+$F$9)&gt;=23,23,"")</f>
        <v>23</v>
      </c>
      <c r="D95" s="142"/>
      <c r="E95" s="142"/>
      <c r="F95" s="141">
        <f>IF($H$13&gt;=23,23,"")</f>
        <v>23</v>
      </c>
      <c r="M95" s="79" t="str">
        <f>IF($M$16&gt;=23,23,"")</f>
        <v/>
      </c>
      <c r="U95" s="97">
        <v>2019</v>
      </c>
      <c r="V95" s="98" t="s">
        <v>28</v>
      </c>
      <c r="W95" s="99">
        <v>42043</v>
      </c>
      <c r="X95" s="110"/>
      <c r="Y95" s="111"/>
      <c r="Z95" s="75"/>
    </row>
    <row r="96" spans="2:26" ht="15" customHeight="1" x14ac:dyDescent="0.2">
      <c r="B96" s="140"/>
      <c r="C96" s="141">
        <f>IF(($E$9+$F$9)&gt;=24,24,"")</f>
        <v>24</v>
      </c>
      <c r="D96" s="142"/>
      <c r="E96" s="142"/>
      <c r="F96" s="141">
        <f>IF($H$13&gt;=24,24,"")</f>
        <v>24</v>
      </c>
      <c r="M96" s="79" t="str">
        <f>IF($M$16&gt;=24,24,"")</f>
        <v/>
      </c>
      <c r="U96" s="107"/>
      <c r="V96" s="108"/>
      <c r="W96" s="109">
        <v>42059</v>
      </c>
      <c r="X96" s="110"/>
      <c r="Y96" s="111"/>
      <c r="Z96" s="75"/>
    </row>
    <row r="97" spans="2:26" ht="15" customHeight="1" x14ac:dyDescent="0.2">
      <c r="B97" s="140"/>
      <c r="C97" s="141">
        <f>IF(($E$9+$F$9)&gt;=25,25,"")</f>
        <v>25</v>
      </c>
      <c r="D97" s="142"/>
      <c r="E97" s="142"/>
      <c r="F97" s="141" t="str">
        <f>IF($H$13&gt;=25,25,"")</f>
        <v/>
      </c>
      <c r="M97" s="79" t="str">
        <f>IF($M$16&gt;=25,25,"")</f>
        <v/>
      </c>
      <c r="U97" s="107"/>
      <c r="V97" s="98" t="s">
        <v>33</v>
      </c>
      <c r="W97" s="99">
        <v>42099</v>
      </c>
      <c r="X97" s="110"/>
      <c r="Y97" s="111"/>
      <c r="Z97" s="75"/>
    </row>
    <row r="98" spans="2:26" ht="15" customHeight="1" x14ac:dyDescent="0.2">
      <c r="B98" s="140"/>
      <c r="C98" s="141">
        <f>IF(($E$9+$F$9)&gt;=26,26,"")</f>
        <v>26</v>
      </c>
      <c r="D98" s="142"/>
      <c r="E98" s="142"/>
      <c r="F98" s="141" t="str">
        <f>IF($H$13&gt;=26,26,"")</f>
        <v/>
      </c>
      <c r="M98" s="79" t="str">
        <f>IF($M$16&gt;=26,26,"")</f>
        <v/>
      </c>
      <c r="U98" s="107"/>
      <c r="V98" s="108"/>
      <c r="W98" s="109">
        <v>42116</v>
      </c>
      <c r="X98" s="131"/>
      <c r="Y98" s="117"/>
      <c r="Z98" s="132"/>
    </row>
    <row r="99" spans="2:26" ht="15" customHeight="1" x14ac:dyDescent="0.2">
      <c r="B99" s="140"/>
      <c r="C99" s="141">
        <f>IF(($E$9+$F$9)&gt;=27,27,"")</f>
        <v>27</v>
      </c>
      <c r="D99" s="142"/>
      <c r="E99" s="142"/>
      <c r="F99" s="141" t="str">
        <f>IF($H$13&gt;=27,27,"")</f>
        <v/>
      </c>
      <c r="M99" s="79" t="str">
        <f>IF($M$16&gt;=27,27,"")</f>
        <v/>
      </c>
      <c r="U99" s="107"/>
      <c r="V99" s="98" t="s">
        <v>37</v>
      </c>
      <c r="W99" s="133">
        <v>42190</v>
      </c>
    </row>
    <row r="100" spans="2:26" ht="15" customHeight="1" x14ac:dyDescent="0.2">
      <c r="B100" s="140"/>
      <c r="C100" s="141">
        <f>IF(($E$9+$F$9)&gt;=28,28,"")</f>
        <v>28</v>
      </c>
      <c r="D100" s="142"/>
      <c r="E100" s="142"/>
      <c r="F100" s="141" t="str">
        <f>IF($H$13&gt;=28,28,"")</f>
        <v/>
      </c>
      <c r="M100" s="79" t="str">
        <f>IF($M$16&gt;=28,28,"")</f>
        <v/>
      </c>
      <c r="U100" s="107"/>
      <c r="V100" s="108"/>
      <c r="W100" s="134">
        <v>42248</v>
      </c>
    </row>
    <row r="101" spans="2:26" ht="15" customHeight="1" x14ac:dyDescent="0.2">
      <c r="B101" s="140"/>
      <c r="C101" s="141">
        <f>IF(($E$9+$F$9)&gt;=29,29,"")</f>
        <v>29</v>
      </c>
      <c r="D101" s="142"/>
      <c r="E101" s="142"/>
      <c r="F101" s="141" t="str">
        <f>IF($H$13&gt;=29,29,"")</f>
        <v/>
      </c>
      <c r="M101" s="79" t="str">
        <f>IF($M$16&gt;=29,29,"")</f>
        <v/>
      </c>
      <c r="U101" s="107"/>
      <c r="V101" s="98" t="s">
        <v>41</v>
      </c>
      <c r="W101" s="133">
        <v>42295</v>
      </c>
    </row>
    <row r="102" spans="2:26" ht="15" customHeight="1" x14ac:dyDescent="0.2">
      <c r="B102" s="140"/>
      <c r="C102" s="141">
        <f>IF(($E$9+$F$9)&gt;=30,30,"")</f>
        <v>30</v>
      </c>
      <c r="D102" s="138"/>
      <c r="E102" s="138"/>
      <c r="F102" s="141" t="str">
        <f>IF($H$13&gt;=30,30,"")</f>
        <v/>
      </c>
      <c r="M102" s="79" t="str">
        <f>IF($M$16&gt;=30,30,"")</f>
        <v/>
      </c>
      <c r="U102" s="107"/>
      <c r="V102" s="108"/>
      <c r="W102" s="134">
        <v>42311</v>
      </c>
    </row>
    <row r="103" spans="2:26" ht="15" customHeight="1" x14ac:dyDescent="0.2">
      <c r="B103" s="140"/>
      <c r="C103" s="141">
        <f>IF(($E$9+$F$9)&gt;=31,31,"")</f>
        <v>31</v>
      </c>
      <c r="D103" s="138"/>
      <c r="E103" s="138"/>
      <c r="F103" s="141" t="str">
        <f>IF($H$13&gt;=31,31,"")</f>
        <v/>
      </c>
      <c r="M103" s="79" t="str">
        <f>IF($M$16&gt;=31,31,"")</f>
        <v/>
      </c>
      <c r="U103" s="107"/>
      <c r="V103" s="98" t="s">
        <v>46</v>
      </c>
      <c r="W103" s="133">
        <v>42358</v>
      </c>
    </row>
    <row r="104" spans="2:26" ht="15" customHeight="1" x14ac:dyDescent="0.2">
      <c r="B104" s="138"/>
      <c r="C104" s="141">
        <f>IF(($E$9+$F$9)&gt;=32,32,"")</f>
        <v>32</v>
      </c>
      <c r="D104" s="138"/>
      <c r="E104" s="138"/>
      <c r="F104" s="141" t="str">
        <f>IF($H$13&gt;=32,32,"")</f>
        <v/>
      </c>
      <c r="M104" s="79" t="str">
        <f>IF($M$16&gt;=32,32,"")</f>
        <v/>
      </c>
      <c r="U104" s="120"/>
      <c r="V104" s="108"/>
      <c r="W104" s="134">
        <v>42374</v>
      </c>
    </row>
    <row r="105" spans="2:26" ht="15" customHeight="1" x14ac:dyDescent="0.2">
      <c r="B105" s="138"/>
      <c r="C105" s="141">
        <f>IF(($E$9+$F$9)&gt;=33,33,"")</f>
        <v>33</v>
      </c>
      <c r="D105" s="138"/>
      <c r="E105" s="138"/>
      <c r="F105" s="141" t="str">
        <f>IF($H$13&gt;=33,33,"")</f>
        <v/>
      </c>
      <c r="M105" s="79" t="str">
        <f>IF($M$16&gt;=33,33,"")</f>
        <v/>
      </c>
      <c r="U105" s="97">
        <v>2020</v>
      </c>
      <c r="V105" s="98" t="s">
        <v>28</v>
      </c>
      <c r="W105" s="133">
        <v>42414</v>
      </c>
    </row>
    <row r="106" spans="2:26" ht="15" customHeight="1" x14ac:dyDescent="0.2">
      <c r="B106" s="138"/>
      <c r="C106" s="141">
        <f>IF(($E$9+$F$9)&gt;=34,34,"")</f>
        <v>34</v>
      </c>
      <c r="D106" s="138"/>
      <c r="E106" s="138"/>
      <c r="F106" s="141" t="str">
        <f>IF($H$13&gt;=34,34,"")</f>
        <v/>
      </c>
      <c r="M106" s="79" t="str">
        <f>IF($M$16&gt;=34,34,"")</f>
        <v/>
      </c>
      <c r="U106" s="107"/>
      <c r="V106" s="108"/>
      <c r="W106" s="134">
        <v>42430</v>
      </c>
    </row>
    <row r="107" spans="2:26" ht="15" customHeight="1" x14ac:dyDescent="0.2">
      <c r="B107" s="138"/>
      <c r="C107" s="141">
        <f>IF(($E$9+$F$9)&gt;=35,35,"")</f>
        <v>35</v>
      </c>
      <c r="D107" s="138"/>
      <c r="E107" s="138"/>
      <c r="F107" s="141" t="str">
        <f>IF($H$13&gt;=35,35,"")</f>
        <v/>
      </c>
      <c r="M107" s="79" t="str">
        <f>IF($M$16&gt;=35,35,"")</f>
        <v/>
      </c>
      <c r="U107" s="107"/>
      <c r="V107" s="98" t="s">
        <v>33</v>
      </c>
      <c r="W107" s="133">
        <v>42470</v>
      </c>
    </row>
    <row r="108" spans="2:26" ht="15" customHeight="1" x14ac:dyDescent="0.2">
      <c r="B108" s="138"/>
      <c r="C108" s="141">
        <f>IF(($E$9+$F$9)&gt;=36,36,"")</f>
        <v>36</v>
      </c>
      <c r="D108" s="138"/>
      <c r="E108" s="138"/>
      <c r="F108" s="141" t="str">
        <f>IF($H$13&gt;=36,36,"")</f>
        <v/>
      </c>
      <c r="U108" s="107"/>
      <c r="V108" s="108"/>
      <c r="W108" s="134">
        <v>42486</v>
      </c>
    </row>
    <row r="109" spans="2:26" ht="15" customHeight="1" x14ac:dyDescent="0.2">
      <c r="B109" s="138"/>
      <c r="C109" s="141">
        <f>IF(($E$9+$F$9)&gt;=37,37,"")</f>
        <v>37</v>
      </c>
      <c r="D109" s="138"/>
      <c r="E109" s="138"/>
      <c r="F109" s="141" t="str">
        <f>IF($H$13&gt;=37,37,"")</f>
        <v/>
      </c>
      <c r="U109" s="107"/>
      <c r="V109" s="98" t="s">
        <v>37</v>
      </c>
      <c r="W109" s="133">
        <v>42554</v>
      </c>
    </row>
    <row r="110" spans="2:26" ht="15" customHeight="1" x14ac:dyDescent="0.2">
      <c r="B110" s="138"/>
      <c r="C110" s="141">
        <f>IF(($E$9+$F$9)&gt;=38,38,"")</f>
        <v>38</v>
      </c>
      <c r="D110" s="138"/>
      <c r="E110" s="138"/>
      <c r="F110" s="141" t="str">
        <f>IF($H$13&gt;=38,38,"")</f>
        <v/>
      </c>
      <c r="U110" s="107"/>
      <c r="V110" s="108"/>
      <c r="W110" s="134"/>
    </row>
    <row r="111" spans="2:26" ht="15" customHeight="1" x14ac:dyDescent="0.2">
      <c r="B111" s="138"/>
      <c r="C111" s="141">
        <f>IF(($E$9+$F$9)&gt;=39,39,"")</f>
        <v>39</v>
      </c>
      <c r="D111" s="138"/>
      <c r="E111" s="138"/>
      <c r="F111" s="141" t="str">
        <f>IF($H$13&gt;=39,39,"")</f>
        <v/>
      </c>
      <c r="U111" s="107"/>
      <c r="V111" s="98" t="s">
        <v>41</v>
      </c>
      <c r="W111" s="133"/>
    </row>
    <row r="112" spans="2:26" ht="15" customHeight="1" x14ac:dyDescent="0.2">
      <c r="B112" s="138"/>
      <c r="C112" s="141">
        <f>IF(($E$9+$F$9)&gt;=40,40,"")</f>
        <v>40</v>
      </c>
      <c r="D112" s="138"/>
      <c r="E112" s="138"/>
      <c r="F112" s="141" t="str">
        <f>IF($H$13&gt;=40,40,"")</f>
        <v/>
      </c>
      <c r="U112" s="107"/>
      <c r="V112" s="108"/>
      <c r="W112" s="134"/>
    </row>
    <row r="113" spans="2:23" ht="15" customHeight="1" x14ac:dyDescent="0.2">
      <c r="B113" s="138"/>
      <c r="C113" s="141">
        <f>IF(($E$9+$F$9)&gt;=41,41,"")</f>
        <v>41</v>
      </c>
      <c r="D113" s="138"/>
      <c r="E113" s="138"/>
      <c r="F113" s="141" t="str">
        <f>IF($H$13&gt;=41,41,"")</f>
        <v/>
      </c>
      <c r="U113" s="107"/>
      <c r="V113" s="98" t="s">
        <v>46</v>
      </c>
      <c r="W113" s="133"/>
    </row>
    <row r="114" spans="2:23" ht="15" customHeight="1" x14ac:dyDescent="0.2">
      <c r="B114" s="138"/>
      <c r="C114" s="141">
        <f>IF(($E$9+$F$9)&gt;=42,42,"")</f>
        <v>42</v>
      </c>
      <c r="D114" s="138"/>
      <c r="E114" s="138"/>
      <c r="F114" s="141" t="str">
        <f>IF($H$13&gt;=42,42,"")</f>
        <v/>
      </c>
      <c r="U114" s="120"/>
      <c r="V114" s="108"/>
      <c r="W114" s="134"/>
    </row>
    <row r="115" spans="2:23" ht="15" customHeight="1" x14ac:dyDescent="0.2">
      <c r="B115" s="138"/>
      <c r="C115" s="141">
        <f>IF(($E$9+$F$9)&gt;=43,43,"")</f>
        <v>43</v>
      </c>
      <c r="D115" s="138"/>
      <c r="E115" s="138"/>
      <c r="F115" s="141" t="str">
        <f>IF($H$13&gt;=43,43,"")</f>
        <v/>
      </c>
    </row>
    <row r="116" spans="2:23" ht="15" customHeight="1" x14ac:dyDescent="0.2">
      <c r="B116" s="138"/>
      <c r="C116" s="141">
        <f>IF(($E$9+$F$9)&gt;=44,44,"")</f>
        <v>44</v>
      </c>
      <c r="D116" s="138"/>
      <c r="E116" s="138"/>
      <c r="F116" s="141" t="str">
        <f>IF($H$13&gt;=44,44,"")</f>
        <v/>
      </c>
    </row>
    <row r="117" spans="2:23" ht="15" customHeight="1" x14ac:dyDescent="0.2">
      <c r="B117" s="138"/>
      <c r="C117" s="141">
        <f>IF(($E$9+$F$9)&gt;=45,45,"")</f>
        <v>45</v>
      </c>
      <c r="D117" s="138"/>
      <c r="E117" s="138"/>
      <c r="F117" s="141" t="str">
        <f>IF($H$13&gt;=45,45,"")</f>
        <v/>
      </c>
    </row>
    <row r="118" spans="2:23" ht="15" customHeight="1" x14ac:dyDescent="0.2">
      <c r="B118" s="138"/>
      <c r="C118" s="141">
        <f>IF(($E$9+$F$9)&gt;=46,46,"")</f>
        <v>46</v>
      </c>
      <c r="D118" s="138"/>
      <c r="E118" s="138"/>
      <c r="F118" s="141" t="str">
        <f>IF($H$13&gt;=46,46,"")</f>
        <v/>
      </c>
    </row>
    <row r="119" spans="2:23" ht="15" customHeight="1" x14ac:dyDescent="0.2">
      <c r="B119" s="138"/>
      <c r="C119" s="141">
        <f>IF(($E$9+$F$9)&gt;=47,47,"")</f>
        <v>47</v>
      </c>
      <c r="D119" s="138"/>
      <c r="E119" s="138"/>
      <c r="F119" s="141" t="str">
        <f>IF($H$13&gt;=47,47,"")</f>
        <v/>
      </c>
    </row>
    <row r="120" spans="2:23" ht="15" customHeight="1" x14ac:dyDescent="0.2">
      <c r="B120" s="138"/>
      <c r="C120" s="141">
        <f>IF(($E$9+$F$9)&gt;=48,48,"")</f>
        <v>48</v>
      </c>
      <c r="D120" s="138"/>
      <c r="E120" s="138"/>
      <c r="F120" s="141" t="str">
        <f>IF($H$13&gt;=48,48,"")</f>
        <v/>
      </c>
    </row>
    <row r="121" spans="2:23" ht="15" customHeight="1" x14ac:dyDescent="0.2">
      <c r="B121" s="138"/>
      <c r="C121" s="141">
        <f>IF(($E$9+$F$9)&gt;=49,49,"")</f>
        <v>49</v>
      </c>
      <c r="D121" s="138"/>
      <c r="E121" s="138"/>
      <c r="F121" s="141" t="str">
        <f>IF($H$13&gt;=49,49,"")</f>
        <v/>
      </c>
    </row>
    <row r="122" spans="2:23" ht="15" customHeight="1" x14ac:dyDescent="0.2">
      <c r="B122" s="138"/>
      <c r="C122" s="141">
        <f>IF(($E$9+$F$9)&gt;=50,50,"")</f>
        <v>50</v>
      </c>
      <c r="D122" s="138"/>
      <c r="E122" s="138"/>
      <c r="F122" s="141" t="str">
        <f>IF($H$13&gt;=50,50,"")</f>
        <v/>
      </c>
    </row>
    <row r="123" spans="2:23" ht="15" customHeight="1" x14ac:dyDescent="0.2">
      <c r="B123" s="138"/>
      <c r="C123" s="141">
        <f>IF(($E$9+$F$9)&gt;=51,51,"")</f>
        <v>51</v>
      </c>
      <c r="D123" s="138"/>
      <c r="E123" s="138"/>
      <c r="F123" s="141" t="str">
        <f>IF($H$13&gt;=51,51,"")</f>
        <v/>
      </c>
    </row>
    <row r="124" spans="2:23" ht="15" customHeight="1" x14ac:dyDescent="0.2">
      <c r="B124" s="138"/>
      <c r="C124" s="141">
        <f>IF(($E$9+$F$9)&gt;=52,52,"")</f>
        <v>52</v>
      </c>
      <c r="D124" s="138"/>
      <c r="E124" s="138"/>
      <c r="F124" s="141" t="str">
        <f>IF($H$13&gt;=52,52,"")</f>
        <v/>
      </c>
    </row>
    <row r="125" spans="2:23" ht="15" customHeight="1" x14ac:dyDescent="0.2">
      <c r="B125" s="138"/>
      <c r="C125" s="141">
        <f>IF(($E$9+$F$9)&gt;=53,53,"")</f>
        <v>53</v>
      </c>
      <c r="D125" s="138"/>
      <c r="E125" s="138"/>
      <c r="F125" s="141" t="str">
        <f>IF($H$13&gt;=53,53,"")</f>
        <v/>
      </c>
    </row>
    <row r="126" spans="2:23" ht="15" customHeight="1" x14ac:dyDescent="0.2">
      <c r="B126" s="138"/>
      <c r="C126" s="141">
        <f>IF(($E$9+$F$9)&gt;=54,54,"")</f>
        <v>54</v>
      </c>
      <c r="D126" s="138"/>
      <c r="E126" s="138"/>
      <c r="F126" s="141" t="str">
        <f>IF($H$13&gt;=54,54,"")</f>
        <v/>
      </c>
    </row>
    <row r="127" spans="2:23" ht="15" customHeight="1" x14ac:dyDescent="0.2">
      <c r="B127" s="138"/>
      <c r="C127" s="140"/>
      <c r="D127" s="138"/>
      <c r="E127" s="138"/>
      <c r="F127" s="141" t="str">
        <f>IF($H$13&gt;=55,55,"")</f>
        <v/>
      </c>
    </row>
    <row r="128" spans="2:23" ht="15" customHeight="1" x14ac:dyDescent="0.2">
      <c r="B128" s="138"/>
      <c r="C128" s="140" t="str">
        <f>IF(($E$9+$F$9)&gt;=56,56,"")</f>
        <v/>
      </c>
      <c r="D128" s="138"/>
      <c r="E128" s="138"/>
      <c r="F128" s="141" t="str">
        <f>IF($H$13&gt;=56,56,"")</f>
        <v/>
      </c>
    </row>
    <row r="129" spans="2:6" ht="15" customHeight="1" x14ac:dyDescent="0.2">
      <c r="B129" s="138"/>
      <c r="C129" s="138"/>
      <c r="D129" s="138"/>
      <c r="E129" s="138"/>
      <c r="F129" s="141" t="str">
        <f>IF($H$13&gt;=57,57,"")</f>
        <v/>
      </c>
    </row>
    <row r="130" spans="2:6" ht="15" customHeight="1" x14ac:dyDescent="0.2">
      <c r="B130" s="139"/>
      <c r="C130" s="138"/>
      <c r="D130" s="138"/>
      <c r="E130" s="138"/>
      <c r="F130" s="141" t="str">
        <f>IF($H$13&gt;=58,58,"")</f>
        <v/>
      </c>
    </row>
    <row r="131" spans="2:6" ht="15" customHeight="1" x14ac:dyDescent="0.2">
      <c r="B131" s="139"/>
      <c r="C131" s="138"/>
      <c r="D131" s="138"/>
      <c r="E131" s="138"/>
      <c r="F131" s="141" t="str">
        <f>IF($H$13&gt;=59,59,"")</f>
        <v/>
      </c>
    </row>
    <row r="132" spans="2:6" ht="15" customHeight="1" x14ac:dyDescent="0.2">
      <c r="B132" s="139"/>
      <c r="C132" s="138"/>
      <c r="D132" s="138"/>
      <c r="E132" s="138"/>
      <c r="F132" s="141" t="str">
        <f>IF($H$13&gt;=60,60,"")</f>
        <v/>
      </c>
    </row>
    <row r="133" spans="2:6" ht="15" customHeight="1" x14ac:dyDescent="0.2">
      <c r="B133" s="138"/>
      <c r="C133" s="138"/>
    </row>
    <row r="134" spans="2:6" ht="15" customHeight="1" x14ac:dyDescent="0.2">
      <c r="B134" s="138"/>
      <c r="C134" s="138"/>
    </row>
    <row r="135" spans="2:6" ht="15" customHeight="1" x14ac:dyDescent="0.2">
      <c r="B135" s="138"/>
      <c r="C135" s="138"/>
    </row>
    <row r="136" spans="2:6" ht="15" customHeight="1" x14ac:dyDescent="0.2">
      <c r="B136" s="138"/>
      <c r="C136" s="138"/>
    </row>
    <row r="137" spans="2:6" ht="15" customHeight="1" x14ac:dyDescent="0.2"/>
    <row r="138" spans="2:6" ht="15" customHeight="1" x14ac:dyDescent="0.2"/>
    <row r="139" spans="2:6" ht="15" customHeight="1" x14ac:dyDescent="0.2"/>
    <row r="140" spans="2:6" ht="15" customHeight="1" x14ac:dyDescent="0.2"/>
    <row r="141" spans="2:6" ht="15" customHeight="1" x14ac:dyDescent="0.2"/>
    <row r="142" spans="2:6" ht="15" customHeight="1" x14ac:dyDescent="0.2"/>
    <row r="143" spans="2:6" ht="15" customHeight="1" x14ac:dyDescent="0.2"/>
    <row r="144" spans="2:6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</sheetData>
  <sortState ref="W85:W88">
    <sortCondition ref="W85"/>
  </sortState>
  <mergeCells count="39">
    <mergeCell ref="K8:M8"/>
    <mergeCell ref="O8:P8"/>
    <mergeCell ref="P15:S15"/>
    <mergeCell ref="I19:K19"/>
    <mergeCell ref="S3:S4"/>
    <mergeCell ref="S5:S6"/>
    <mergeCell ref="H3:J4"/>
    <mergeCell ref="K5:N6"/>
    <mergeCell ref="K3:N4"/>
    <mergeCell ref="O26:T31"/>
    <mergeCell ref="R3:R4"/>
    <mergeCell ref="Q5:Q6"/>
    <mergeCell ref="P5:P6"/>
    <mergeCell ref="Q3:Q4"/>
    <mergeCell ref="P3:P4"/>
    <mergeCell ref="O3:O4"/>
    <mergeCell ref="O5:O6"/>
    <mergeCell ref="R5:R6"/>
    <mergeCell ref="C3:C4"/>
    <mergeCell ref="C5:C6"/>
    <mergeCell ref="D3:F4"/>
    <mergeCell ref="D5:F6"/>
    <mergeCell ref="H5:J6"/>
    <mergeCell ref="C8:E8"/>
    <mergeCell ref="B34:P34"/>
    <mergeCell ref="R34:T34"/>
    <mergeCell ref="U34:W34"/>
    <mergeCell ref="AC34:AE34"/>
    <mergeCell ref="AA34:AB34"/>
    <mergeCell ref="X34:Z34"/>
    <mergeCell ref="B26:C31"/>
    <mergeCell ref="E26:G31"/>
    <mergeCell ref="H26:N31"/>
    <mergeCell ref="C17:D17"/>
    <mergeCell ref="U26:Y31"/>
    <mergeCell ref="H12:I12"/>
    <mergeCell ref="H8:I8"/>
    <mergeCell ref="H9:I10"/>
    <mergeCell ref="H13:I14"/>
  </mergeCells>
  <dataValidations count="5">
    <dataValidation type="list" allowBlank="1" showInputMessage="1" showErrorMessage="1" sqref="C5" xr:uid="{00000000-0002-0000-0000-000000000000}">
      <formula1>Liste_années</formula1>
    </dataValidation>
    <dataValidation type="list" allowBlank="1" showInputMessage="1" showErrorMessage="1" sqref="K5" xr:uid="{00000000-0002-0000-0000-000001000000}">
      <formula1>Liste_restaurants</formula1>
    </dataValidation>
    <dataValidation type="list" allowBlank="1" showInputMessage="1" showErrorMessage="1" sqref="D5" xr:uid="{00000000-0002-0000-0000-000002000000}">
      <formula1>Liste_agents</formula1>
    </dataValidation>
    <dataValidation type="list" allowBlank="1" showInputMessage="1" showErrorMessage="1" sqref="H5" xr:uid="{00000000-0002-0000-0000-000003000000}">
      <formula1>Liste_fonctions</formula1>
    </dataValidation>
    <dataValidation type="list" allowBlank="1" showInputMessage="1" showErrorMessage="1" sqref="Q13:S13" xr:uid="{00000000-0002-0000-0000-000004000000}">
      <formula1>Choix</formula1>
    </dataValidation>
  </dataValidations>
  <pageMargins left="0.70866141732283472" right="0.70866141732283472" top="0.74803149606299213" bottom="0.74803149606299213" header="0.31496062992125984" footer="0.31496062992125984"/>
  <pageSetup paperSize="9" scale="31" orientation="landscape" r:id="rId1"/>
  <ignoredErrors>
    <ignoredError sqref="C69" unlockedFormula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B1:P91"/>
  <sheetViews>
    <sheetView showGridLines="0" tabSelected="1" topLeftCell="A4" zoomScale="90" zoomScaleNormal="90" workbookViewId="0">
      <selection activeCell="N27" sqref="N27"/>
    </sheetView>
  </sheetViews>
  <sheetFormatPr baseColWidth="10" defaultRowHeight="12" x14ac:dyDescent="0.25"/>
  <cols>
    <col min="1" max="1" width="3.28515625" style="2" customWidth="1"/>
    <col min="2" max="2" width="7.7109375" style="2" customWidth="1"/>
    <col min="3" max="3" width="1.7109375" style="2" customWidth="1"/>
    <col min="4" max="4" width="35.7109375" style="2" customWidth="1"/>
    <col min="5" max="5" width="17.85546875" style="2" customWidth="1"/>
    <col min="6" max="10" width="6.7109375" style="2" customWidth="1"/>
    <col min="11" max="11" width="12.7109375" style="3" customWidth="1"/>
    <col min="12" max="12" width="4.7109375" style="3" customWidth="1"/>
    <col min="13" max="13" width="9.7109375" style="3" customWidth="1"/>
    <col min="14" max="15" width="7.7109375" style="2" customWidth="1"/>
    <col min="16" max="16" width="3.28515625" style="2" customWidth="1"/>
    <col min="17" max="16384" width="11.42578125" style="2"/>
  </cols>
  <sheetData>
    <row r="1" spans="2:15" ht="15" customHeight="1" x14ac:dyDescent="0.25">
      <c r="B1" s="1" t="str">
        <f>Division</f>
        <v>Division Education Jeunesse</v>
      </c>
    </row>
    <row r="2" spans="2:15" ht="15" customHeight="1" x14ac:dyDescent="0.25">
      <c r="B2" s="4" t="str">
        <f>Service</f>
        <v>Service Restauration scolaire</v>
      </c>
    </row>
    <row r="4" spans="2:15" ht="30" customHeight="1" x14ac:dyDescent="0.25">
      <c r="B4" s="23" t="str">
        <f>IF('Config.'!D5="","",'Config.'!D5)</f>
        <v>Agent 1</v>
      </c>
      <c r="C4" s="24"/>
      <c r="D4" s="24"/>
      <c r="E4" s="24" t="str">
        <f>IF('Config.'!H5="","",'Config.'!H5)</f>
        <v>AGENT DE RESTAURATION</v>
      </c>
      <c r="F4" s="24"/>
      <c r="G4" s="24"/>
      <c r="H4" s="24" t="str">
        <f>IF(Localisation="","",Localisation)</f>
        <v>Restaurant 1</v>
      </c>
      <c r="I4" s="24"/>
      <c r="J4" s="24"/>
      <c r="K4" s="24"/>
      <c r="L4" s="24"/>
      <c r="M4" s="135">
        <f>B7</f>
        <v>42004</v>
      </c>
      <c r="N4" s="5"/>
      <c r="O4" s="6"/>
    </row>
    <row r="5" spans="2:15" ht="15" customHeight="1" x14ac:dyDescent="0.25"/>
    <row r="6" spans="2:15" ht="35.1" customHeight="1" x14ac:dyDescent="0.25">
      <c r="B6" s="7"/>
      <c r="C6" s="8" t="s">
        <v>50</v>
      </c>
      <c r="D6" s="9"/>
      <c r="E6" s="10" t="s">
        <v>3</v>
      </c>
      <c r="F6" s="10" t="s">
        <v>51</v>
      </c>
      <c r="G6" s="8" t="s">
        <v>52</v>
      </c>
      <c r="H6" s="11"/>
      <c r="I6" s="11"/>
      <c r="J6" s="9"/>
      <c r="K6" s="8" t="s">
        <v>53</v>
      </c>
      <c r="L6" s="11"/>
      <c r="M6" s="9"/>
      <c r="N6" s="10" t="s">
        <v>54</v>
      </c>
      <c r="O6" s="12" t="s">
        <v>55</v>
      </c>
    </row>
    <row r="7" spans="2:15" ht="15" customHeight="1" x14ac:dyDescent="0.25">
      <c r="B7" s="13">
        <f>DATE(Année,1,1)</f>
        <v>42004</v>
      </c>
      <c r="C7" s="14" t="str">
        <f t="array" ref="C7:C37">IF(B7:B37="","",CONCATENATE(IF(ISERROR(MATCH(B7:B37,Fériés,0)),"",INDEX(Liste_Fériés,MATCH(B7:B37,Fériés,0),1))))</f>
        <v>Jour de l’an</v>
      </c>
      <c r="D7" s="28"/>
      <c r="E7" s="29"/>
      <c r="F7" s="30"/>
      <c r="G7" s="31"/>
      <c r="H7" s="31"/>
      <c r="I7" s="31"/>
      <c r="J7" s="31"/>
      <c r="K7" s="32"/>
      <c r="L7" s="201"/>
      <c r="M7" s="33"/>
      <c r="N7" s="173">
        <f>IF(K7="",(MOD(H7-G7,1)+MOD(J7-I7,1)),IF(OR(AND(K7="CA",F7&gt;0),AND(K7="CHP",F7&gt;0),AND(K7="RTT",F7&gt;0)),F7/24,INDEX(Situation,MATCH($K$7,Situation_01,0),MATCH($M$7,Situation_02,0))/24+(MOD(H7-G7,1)+MOD(J7-I7,1))))</f>
        <v>0</v>
      </c>
      <c r="O7" s="15">
        <f t="shared" ref="O7:O37" si="0">N7-(F7/24)</f>
        <v>0</v>
      </c>
    </row>
    <row r="8" spans="2:15" ht="15" customHeight="1" x14ac:dyDescent="0.25">
      <c r="B8" s="13">
        <f>B7+1</f>
        <v>42005</v>
      </c>
      <c r="C8" s="14" t="str">
        <v/>
      </c>
      <c r="D8" s="28"/>
      <c r="E8" s="29"/>
      <c r="F8" s="30">
        <v>7</v>
      </c>
      <c r="G8" s="31"/>
      <c r="H8" s="31"/>
      <c r="I8" s="31"/>
      <c r="J8" s="31"/>
      <c r="K8" s="32" t="s">
        <v>9</v>
      </c>
      <c r="L8" s="201">
        <v>1</v>
      </c>
      <c r="M8" s="33"/>
      <c r="N8" s="173">
        <f>IF(K8="",(MOD(H8-G8,1)+MOD(J8-I8,1)),IF(OR(AND(K8="CA",F8&gt;0),AND(K8="CHP",F8&gt;0),AND(K8="RTT",F8&gt;0)),F8/24,INDEX(Situation,MATCH($K$8,Situation_01,0),MATCH($M$8,Situation_02,0))/24+(MOD(H8-G8,1)+MOD(J8-I8,1))))</f>
        <v>0.29166666666666669</v>
      </c>
      <c r="O8" s="15">
        <f t="shared" si="0"/>
        <v>0</v>
      </c>
    </row>
    <row r="9" spans="2:15" ht="15" customHeight="1" x14ac:dyDescent="0.25">
      <c r="B9" s="13">
        <f>B8+1</f>
        <v>42006</v>
      </c>
      <c r="C9" s="14" t="str">
        <v/>
      </c>
      <c r="D9" s="28"/>
      <c r="E9" s="29"/>
      <c r="F9" s="30">
        <v>7</v>
      </c>
      <c r="G9" s="31"/>
      <c r="H9" s="31"/>
      <c r="I9" s="31"/>
      <c r="J9" s="31"/>
      <c r="K9" s="32" t="s">
        <v>9</v>
      </c>
      <c r="L9" s="201">
        <v>2</v>
      </c>
      <c r="M9" s="33" t="s">
        <v>22</v>
      </c>
      <c r="N9" s="173">
        <f>IF(K9="",(MOD(H9-G9,1)+MOD(J9-I9,1)),IF(OR(AND(K9="CA",F9&gt;0),AND(K9="CHP",F9&gt;0),AND(K9="RTT",F9&gt;0)),F9/24,INDEX(Situation,MATCH($K$9,Situation_01,0),MATCH($M$9,Situation_02,0))/24+(MOD(H9-G9,1)+MOD(J9-I9,1))))</f>
        <v>0.29166666666666669</v>
      </c>
      <c r="O9" s="15">
        <f t="shared" si="0"/>
        <v>0</v>
      </c>
    </row>
    <row r="10" spans="2:15" ht="15" customHeight="1" x14ac:dyDescent="0.25">
      <c r="B10" s="13">
        <f t="shared" ref="B10:B34" si="1">B9+1</f>
        <v>42007</v>
      </c>
      <c r="C10" s="14" t="str">
        <v/>
      </c>
      <c r="D10" s="28"/>
      <c r="E10" s="29"/>
      <c r="F10" s="30">
        <v>7</v>
      </c>
      <c r="G10" s="31"/>
      <c r="H10" s="31"/>
      <c r="I10" s="31"/>
      <c r="J10" s="31"/>
      <c r="K10" s="32" t="s">
        <v>9</v>
      </c>
      <c r="L10" s="201">
        <v>3</v>
      </c>
      <c r="M10" s="33" t="s">
        <v>22</v>
      </c>
      <c r="N10" s="173">
        <f>IF(K10="",(MOD(H10-G10,1)+MOD(J10-I10,1)),IF(OR(AND(K10="CA",F10&gt;0),AND(K10="CHP",F10&gt;0),AND(K10="RTT",F10&gt;0)),F10/24,INDEX(Situation,MATCH($K$10,Situation_01,0),MATCH($M$10,Situation_02,0))/24+(MOD(H10-G10,1)+MOD(J10-I10,1))))</f>
        <v>0.29166666666666669</v>
      </c>
      <c r="O10" s="15">
        <f t="shared" si="0"/>
        <v>0</v>
      </c>
    </row>
    <row r="11" spans="2:15" ht="15" customHeight="1" x14ac:dyDescent="0.25">
      <c r="B11" s="13">
        <f t="shared" si="1"/>
        <v>42008</v>
      </c>
      <c r="C11" s="14" t="str">
        <v/>
      </c>
      <c r="D11" s="28"/>
      <c r="E11" s="29"/>
      <c r="F11" s="30"/>
      <c r="G11" s="31"/>
      <c r="H11" s="31"/>
      <c r="I11" s="31"/>
      <c r="J11" s="31"/>
      <c r="K11" s="32"/>
      <c r="L11" s="201"/>
      <c r="M11" s="33"/>
      <c r="N11" s="173">
        <f>IF(K11="",(MOD(H11-G11,1)+MOD(J11-I11,1)),IF(OR(AND(K11="CA",F11&gt;0),AND(K11="CHP",F11&gt;0),AND(K11="RTT",F11&gt;0)),F11/24,INDEX(Situation,MATCH($K$11,Situation_01,0),MATCH($M$11,Situation_02,0))/24+(MOD(H11-G11,1)+MOD(J11-I11,1))))</f>
        <v>0</v>
      </c>
      <c r="O11" s="15">
        <f t="shared" si="0"/>
        <v>0</v>
      </c>
    </row>
    <row r="12" spans="2:15" ht="15" customHeight="1" x14ac:dyDescent="0.25">
      <c r="B12" s="13">
        <f t="shared" si="1"/>
        <v>42009</v>
      </c>
      <c r="C12" s="14" t="str">
        <v/>
      </c>
      <c r="D12" s="28"/>
      <c r="E12" s="29"/>
      <c r="F12" s="30"/>
      <c r="G12" s="31"/>
      <c r="H12" s="31"/>
      <c r="I12" s="31"/>
      <c r="J12" s="31"/>
      <c r="K12" s="32"/>
      <c r="L12" s="201"/>
      <c r="M12" s="33"/>
      <c r="N12" s="173">
        <f>IF(K12="",(MOD(H12-G12,1)+MOD(J12-I12,1)),IF(OR(AND(K12="CA",F12&gt;0),AND(K12="CHP",F12&gt;0),AND(K12="RTT",F12&gt;0)),F12/24,INDEX(Situation,MATCH($K$12,Situation_01,0),MATCH($M$12,Situation_02,0))/24+(MOD(H12-G12,1)+MOD(J12-I12,1))))</f>
        <v>0</v>
      </c>
      <c r="O12" s="15">
        <f t="shared" si="0"/>
        <v>0</v>
      </c>
    </row>
    <row r="13" spans="2:15" ht="15" customHeight="1" x14ac:dyDescent="0.25">
      <c r="B13" s="13">
        <f t="shared" si="1"/>
        <v>42010</v>
      </c>
      <c r="C13" s="14" t="str">
        <v/>
      </c>
      <c r="D13" s="28"/>
      <c r="E13" s="29"/>
      <c r="F13" s="30"/>
      <c r="G13" s="31"/>
      <c r="H13" s="31"/>
      <c r="I13" s="31"/>
      <c r="J13" s="31"/>
      <c r="K13" s="32" t="s">
        <v>9</v>
      </c>
      <c r="L13" s="201">
        <v>4</v>
      </c>
      <c r="M13" s="33" t="s">
        <v>22</v>
      </c>
      <c r="N13" s="173">
        <f>IF(K13="",(MOD(H13-G13,1)+MOD(J13-I13,1)),IF(OR(AND(K13="CA",F13&gt;0),AND(K13="CHP",F13&gt;0),AND(K13="RTT",F13&gt;0)),F13/24,INDEX(Situation,MATCH($K$13,Situation_01,0),MATCH($M$13,Situation_02,0))/24+(MOD(H13-G13,1)+MOD(J13-I13,1))))</f>
        <v>0</v>
      </c>
      <c r="O13" s="15">
        <f t="shared" si="0"/>
        <v>0</v>
      </c>
    </row>
    <row r="14" spans="2:15" ht="15" customHeight="1" x14ac:dyDescent="0.25">
      <c r="B14" s="13">
        <f t="shared" si="1"/>
        <v>42011</v>
      </c>
      <c r="C14" s="14" t="str">
        <v/>
      </c>
      <c r="D14" s="28"/>
      <c r="E14" s="29"/>
      <c r="F14" s="30"/>
      <c r="G14" s="31"/>
      <c r="H14" s="31"/>
      <c r="I14" s="31"/>
      <c r="J14" s="31"/>
      <c r="K14" s="32"/>
      <c r="L14" s="201"/>
      <c r="M14" s="33"/>
      <c r="N14" s="173">
        <f>IF(K14="",(MOD(H14-G14,1)+MOD(J14-I14,1)),IF(OR(AND(K14="CA",F14&gt;0),AND(K14="CHP",F14&gt;0),AND(K14="RTT",F14&gt;0)),F14/24,INDEX(Situation,MATCH($K$14,Situation_01,0),MATCH($M$14,Situation_02,0))/24+(MOD(H14-G14,1)+MOD(J14-I14,1))))</f>
        <v>0</v>
      </c>
      <c r="O14" s="15">
        <f t="shared" si="0"/>
        <v>0</v>
      </c>
    </row>
    <row r="15" spans="2:15" ht="15" customHeight="1" x14ac:dyDescent="0.25">
      <c r="B15" s="13">
        <f t="shared" si="1"/>
        <v>42012</v>
      </c>
      <c r="C15" s="14" t="str">
        <v/>
      </c>
      <c r="D15" s="28"/>
      <c r="E15" s="29"/>
      <c r="F15" s="30"/>
      <c r="G15" s="31"/>
      <c r="H15" s="31"/>
      <c r="I15" s="31"/>
      <c r="J15" s="31"/>
      <c r="K15" s="32" t="s">
        <v>9</v>
      </c>
      <c r="L15" s="201">
        <v>5</v>
      </c>
      <c r="M15" s="33" t="s">
        <v>22</v>
      </c>
      <c r="N15" s="173">
        <f>IF(K15="",(MOD(H15-G15,1)+MOD(J15-I15,1)),IF(OR(AND(K15="CA",F15&gt;0),AND(K15="CHP",F15&gt;0),AND(K15="RTT",F15&gt;0)),F15/24,INDEX(Situation,MATCH($K$15,Situation_01,0),MATCH($M$15,Situation_02,0))/24+(MOD(H15-G15,1)+MOD(J15-I15,1))))</f>
        <v>0</v>
      </c>
      <c r="O15" s="15">
        <f t="shared" si="0"/>
        <v>0</v>
      </c>
    </row>
    <row r="16" spans="2:15" ht="15" customHeight="1" x14ac:dyDescent="0.25">
      <c r="B16" s="13">
        <f t="shared" si="1"/>
        <v>42013</v>
      </c>
      <c r="C16" s="14" t="str">
        <v/>
      </c>
      <c r="D16" s="28"/>
      <c r="E16" s="29"/>
      <c r="F16" s="30"/>
      <c r="G16" s="31"/>
      <c r="H16" s="31"/>
      <c r="I16" s="31"/>
      <c r="J16" s="31"/>
      <c r="K16" s="32" t="s">
        <v>75</v>
      </c>
      <c r="L16" s="201">
        <v>1</v>
      </c>
      <c r="M16" s="33" t="s">
        <v>22</v>
      </c>
      <c r="N16" s="173">
        <f>IF(K16="",(MOD(H16-G16,1)+MOD(J16-I16,1)),IF(OR(AND(K16="CA",F16&gt;0),AND(K16="CHP",F16&gt;0),AND(K16="RTT",F16&gt;0)),F16/24,INDEX(Situation,MATCH($K$16,Situation_01,0),MATCH($M$16,Situation_02,0))/24+(MOD(H16-G16,1)+MOD(J16-I16,1))))</f>
        <v>0</v>
      </c>
      <c r="O16" s="15">
        <f t="shared" si="0"/>
        <v>0</v>
      </c>
    </row>
    <row r="17" spans="2:15" ht="15" customHeight="1" x14ac:dyDescent="0.25">
      <c r="B17" s="13">
        <f t="shared" si="1"/>
        <v>42014</v>
      </c>
      <c r="C17" s="14" t="str">
        <v/>
      </c>
      <c r="D17" s="28"/>
      <c r="E17" s="29"/>
      <c r="F17" s="30"/>
      <c r="G17" s="31"/>
      <c r="H17" s="31"/>
      <c r="I17" s="31"/>
      <c r="J17" s="31"/>
      <c r="K17" s="32" t="s">
        <v>77</v>
      </c>
      <c r="L17" s="201">
        <v>1</v>
      </c>
      <c r="M17" s="33" t="s">
        <v>22</v>
      </c>
      <c r="N17" s="173">
        <f>IF(K17="",(MOD(H17-G17,1)+MOD(J17-I17,1)),IF(OR(AND(K17="CA",F17&gt;0),AND(K17="CHP",F17&gt;0),AND(K17="RTT",F17&gt;0)),F17/24,INDEX(Situation,MATCH($K$17,Situation_01,0),MATCH($M$17,Situation_02,0))/24+(MOD(H17-G17,1)+MOD(J17-I17,1))))</f>
        <v>0</v>
      </c>
      <c r="O17" s="15">
        <f t="shared" si="0"/>
        <v>0</v>
      </c>
    </row>
    <row r="18" spans="2:15" ht="15" customHeight="1" x14ac:dyDescent="0.25">
      <c r="B18" s="13">
        <f t="shared" si="1"/>
        <v>42015</v>
      </c>
      <c r="C18" s="14" t="str">
        <v/>
      </c>
      <c r="D18" s="28"/>
      <c r="E18" s="29"/>
      <c r="F18" s="30"/>
      <c r="G18" s="31"/>
      <c r="H18" s="31"/>
      <c r="I18" s="31"/>
      <c r="J18" s="31"/>
      <c r="K18" s="32"/>
      <c r="L18" s="201"/>
      <c r="M18" s="33"/>
      <c r="N18" s="173">
        <f>IF(K18="",(MOD(H18-G18,1)+MOD(J18-I18,1)),IF(OR(AND(K18="CA",F18&gt;0),AND(K18="CHP",F18&gt;0),AND(K18="RTT",F18&gt;0)),F18/24,INDEX(Situation,MATCH($K$18,Situation_01,0),MATCH($M$18,Situation_02,0))/24+(MOD(H18-G18,1)+MOD(J18-I18,1))))</f>
        <v>0</v>
      </c>
      <c r="O18" s="15">
        <f t="shared" si="0"/>
        <v>0</v>
      </c>
    </row>
    <row r="19" spans="2:15" ht="15" customHeight="1" x14ac:dyDescent="0.25">
      <c r="B19" s="13">
        <f t="shared" si="1"/>
        <v>42016</v>
      </c>
      <c r="C19" s="14" t="str">
        <v/>
      </c>
      <c r="D19" s="28"/>
      <c r="E19" s="29"/>
      <c r="F19" s="30"/>
      <c r="G19" s="31"/>
      <c r="H19" s="31"/>
      <c r="I19" s="31"/>
      <c r="J19" s="31"/>
      <c r="K19" s="32"/>
      <c r="L19" s="201"/>
      <c r="M19" s="33"/>
      <c r="N19" s="173">
        <f>IF(K19="",(MOD(H19-G19,1)+MOD(J19-I19,1)),IF(OR(AND(K19="CA",F19&gt;0),AND(K19="CHP",F19&gt;0),AND(K19="RTT",F19&gt;0)),F19/24,INDEX(Situation,MATCH($K$19,Situation_01,0),MATCH($M$19,Situation_02,0))/24+(MOD(H19-G19,1)+MOD(J19-I19,1))))</f>
        <v>0</v>
      </c>
      <c r="O19" s="15">
        <f t="shared" si="0"/>
        <v>0</v>
      </c>
    </row>
    <row r="20" spans="2:15" ht="15" customHeight="1" x14ac:dyDescent="0.25">
      <c r="B20" s="13">
        <f t="shared" si="1"/>
        <v>42017</v>
      </c>
      <c r="C20" s="14" t="str">
        <v/>
      </c>
      <c r="D20" s="28"/>
      <c r="E20" s="29"/>
      <c r="F20" s="30">
        <v>8.75</v>
      </c>
      <c r="G20" s="31"/>
      <c r="H20" s="31"/>
      <c r="I20" s="31"/>
      <c r="J20" s="31"/>
      <c r="K20" s="32" t="s">
        <v>23</v>
      </c>
      <c r="L20" s="201"/>
      <c r="M20" s="33" t="s">
        <v>22</v>
      </c>
      <c r="N20" s="173">
        <f>IF(K20="",(MOD(H20-G20,1)+MOD(J20-I20,1)),IF(OR(AND(K20="CA",F20&gt;0),AND(K20="CHP",F20&gt;0),AND(K20="RTT",F20&gt;0)),F20/24,INDEX(Situation,MATCH($K$20,Situation_01,0),MATCH($M$20,Situation_02,0))/24+(MOD(H20-G20,1)+MOD(J20-I20,1))))</f>
        <v>0.36458333333333331</v>
      </c>
      <c r="O20" s="15">
        <f t="shared" si="0"/>
        <v>0</v>
      </c>
    </row>
    <row r="21" spans="2:15" ht="15" customHeight="1" x14ac:dyDescent="0.25">
      <c r="B21" s="13">
        <f t="shared" si="1"/>
        <v>42018</v>
      </c>
      <c r="C21" s="14" t="str">
        <v/>
      </c>
      <c r="D21" s="28"/>
      <c r="E21" s="29"/>
      <c r="F21" s="30">
        <v>7</v>
      </c>
      <c r="G21" s="31"/>
      <c r="H21" s="31"/>
      <c r="I21" s="31"/>
      <c r="J21" s="31"/>
      <c r="K21" s="32" t="s">
        <v>23</v>
      </c>
      <c r="L21" s="201"/>
      <c r="M21" s="33" t="s">
        <v>12</v>
      </c>
      <c r="N21" s="173">
        <f>IF(K21="",(MOD(H21-G21,1)+MOD(J21-I21,1)),IF(OR(AND(K21="CA",F21&gt;0),AND(K21="CHP",F21&gt;0),AND(K21="RTT",F21&gt;0)),F21/24,INDEX(Situation,MATCH($K$21,Situation_01,0),MATCH($M$21,Situation_02,0))/24+(MOD(H21-G21,1)+MOD(J21-I21,1))))</f>
        <v>0.29166666666666669</v>
      </c>
      <c r="O21" s="15">
        <f t="shared" si="0"/>
        <v>0</v>
      </c>
    </row>
    <row r="22" spans="2:15" ht="15" customHeight="1" x14ac:dyDescent="0.25">
      <c r="B22" s="13">
        <f t="shared" si="1"/>
        <v>42019</v>
      </c>
      <c r="C22" s="14" t="str">
        <v/>
      </c>
      <c r="D22" s="28"/>
      <c r="E22" s="29"/>
      <c r="F22" s="30"/>
      <c r="G22" s="31"/>
      <c r="H22" s="31"/>
      <c r="I22" s="31"/>
      <c r="J22" s="31"/>
      <c r="K22" s="32"/>
      <c r="L22" s="201"/>
      <c r="M22" s="33"/>
      <c r="N22" s="173">
        <f>IF(K22="",(MOD(H22-G22,1)+MOD(J22-I22,1)),IF(OR(AND(K22="CA",F22&gt;0),AND(K22="CHP",F22&gt;0),AND(K22="RTT",F22&gt;0)),F22/24,INDEX(Situation,MATCH($K$22,Situation_01,0),MATCH($M$22,Situation_02,0))/24+(MOD(H22-G22,1)+MOD(J22-I22,1))))</f>
        <v>0</v>
      </c>
      <c r="O22" s="15">
        <f t="shared" si="0"/>
        <v>0</v>
      </c>
    </row>
    <row r="23" spans="2:15" ht="15" customHeight="1" x14ac:dyDescent="0.25">
      <c r="B23" s="13">
        <f t="shared" si="1"/>
        <v>42020</v>
      </c>
      <c r="C23" s="14" t="str">
        <v/>
      </c>
      <c r="D23" s="28"/>
      <c r="E23" s="29"/>
      <c r="F23" s="30"/>
      <c r="G23" s="31"/>
      <c r="H23" s="31"/>
      <c r="I23" s="31"/>
      <c r="J23" s="31"/>
      <c r="K23" s="32" t="s">
        <v>9</v>
      </c>
      <c r="L23" s="201">
        <v>6</v>
      </c>
      <c r="M23" s="33" t="s">
        <v>22</v>
      </c>
      <c r="N23" s="173">
        <f>IF(K23="",(MOD(H23-G23,1)+MOD(J23-I23,1)),IF(OR(AND(K23="CA",F23&gt;0),AND(K23="CHP",F23&gt;0),AND(K23="RTT",F23&gt;0)),F23/24,INDEX(Situation,MATCH($K$23,Situation_01,0),MATCH($M$23,Situation_02,0))/24+(MOD(H23-G23,1)+MOD(J23-I23,1))))</f>
        <v>0</v>
      </c>
      <c r="O23" s="15">
        <f t="shared" si="0"/>
        <v>0</v>
      </c>
    </row>
    <row r="24" spans="2:15" ht="15" customHeight="1" x14ac:dyDescent="0.25">
      <c r="B24" s="13">
        <f t="shared" si="1"/>
        <v>42021</v>
      </c>
      <c r="C24" s="14" t="str">
        <v/>
      </c>
      <c r="D24" s="28"/>
      <c r="E24" s="29"/>
      <c r="F24" s="30">
        <v>8.75</v>
      </c>
      <c r="G24" s="31">
        <v>0.33333333333333331</v>
      </c>
      <c r="H24" s="31">
        <v>0.69791666666666663</v>
      </c>
      <c r="I24" s="31"/>
      <c r="J24" s="31"/>
      <c r="K24" s="32"/>
      <c r="L24" s="201"/>
      <c r="M24" s="33" t="s">
        <v>22</v>
      </c>
      <c r="N24" s="173">
        <f>IF(K24="",(MOD(H24-G24,1)+MOD(J24-I24,1)),IF(OR(AND(K24="CA",F24&gt;0),AND(K24="CHP",F24&gt;0),AND(K24="RTT",F24&gt;0)),F24/24,INDEX(Situation,MATCH($K$24,Situation_01,0),MATCH($M$24,Situation_02,0))/24+(MOD(H24-G24,1)+MOD(J24-I24,1))))</f>
        <v>0.36458333333333331</v>
      </c>
      <c r="O24" s="15">
        <f t="shared" si="0"/>
        <v>0</v>
      </c>
    </row>
    <row r="25" spans="2:15" ht="15" customHeight="1" x14ac:dyDescent="0.25">
      <c r="B25" s="13">
        <f t="shared" si="1"/>
        <v>42022</v>
      </c>
      <c r="C25" s="14" t="str">
        <v/>
      </c>
      <c r="D25" s="28"/>
      <c r="E25" s="29"/>
      <c r="F25" s="30"/>
      <c r="G25" s="31"/>
      <c r="H25" s="31"/>
      <c r="I25" s="31"/>
      <c r="J25" s="31"/>
      <c r="K25" s="32"/>
      <c r="L25" s="201"/>
      <c r="M25" s="33"/>
      <c r="N25" s="173">
        <f>IF(K25="",(MOD(H25-G25,1)+MOD(J25-I25,1)),IF(OR(AND(K25="CA",F25&gt;0),AND(K25="CHP",F25&gt;0),AND(K25="RTT",F25&gt;0)),F25/24,INDEX(Situation,MATCH($K$25,Situation_01,0),MATCH($M$25,Situation_02,0))/24+(MOD(H25-G25,1)+MOD(J25-I25,1))))</f>
        <v>0</v>
      </c>
      <c r="O25" s="15">
        <f t="shared" si="0"/>
        <v>0</v>
      </c>
    </row>
    <row r="26" spans="2:15" ht="15" customHeight="1" x14ac:dyDescent="0.25">
      <c r="B26" s="13">
        <f t="shared" si="1"/>
        <v>42023</v>
      </c>
      <c r="C26" s="14" t="str">
        <v/>
      </c>
      <c r="D26" s="28"/>
      <c r="E26" s="29"/>
      <c r="F26" s="30"/>
      <c r="G26" s="31"/>
      <c r="H26" s="31"/>
      <c r="I26" s="31"/>
      <c r="J26" s="31"/>
      <c r="K26" s="32"/>
      <c r="L26" s="201"/>
      <c r="M26" s="33"/>
      <c r="N26" s="173">
        <f>IF(K26="",(MOD(H26-G26,1)+MOD(J26-I26,1)),IF(OR(AND(K26="CA",F26&gt;0),AND(K26="CHP",F26&gt;0),AND(K26="RTT",F26&gt;0)),F26/24,INDEX(Situation,MATCH($K$26,Situation_01,0),MATCH($M$26,Situation_02,0))/24+(MOD(H26-G26,1)+MOD(J26-I26,1))))</f>
        <v>0</v>
      </c>
      <c r="O26" s="15">
        <f t="shared" si="0"/>
        <v>0</v>
      </c>
    </row>
    <row r="27" spans="2:15" ht="15" customHeight="1" x14ac:dyDescent="0.25">
      <c r="B27" s="13">
        <f t="shared" si="1"/>
        <v>42024</v>
      </c>
      <c r="C27" s="14" t="str">
        <v/>
      </c>
      <c r="D27" s="28"/>
      <c r="E27" s="29"/>
      <c r="F27" s="30">
        <v>8.75</v>
      </c>
      <c r="G27" s="31"/>
      <c r="H27" s="31"/>
      <c r="I27" s="31"/>
      <c r="J27" s="31"/>
      <c r="K27" s="32" t="s">
        <v>25</v>
      </c>
      <c r="L27" s="201"/>
      <c r="M27" s="33" t="s">
        <v>22</v>
      </c>
      <c r="N27" s="173">
        <f>IF(K27="",(MOD(H27-G27,1)+MOD(J27-I27,1)),IF(OR(AND(K27="CA",F27&gt;0),AND(K27="CHP",F27&gt;0),AND(K27="RTT",F27&gt;0)),F27/24,INDEX(Situation,MATCH($K$27,Situation_01,0),MATCH($M$27,Situation_02,0))/24+(MOD(H27-G27,1)+MOD(J27-I27,1))))</f>
        <v>0.36458333333333331</v>
      </c>
      <c r="O27" s="15">
        <f t="shared" si="0"/>
        <v>0</v>
      </c>
    </row>
    <row r="28" spans="2:15" ht="15" customHeight="1" x14ac:dyDescent="0.25">
      <c r="B28" s="13">
        <f t="shared" si="1"/>
        <v>42025</v>
      </c>
      <c r="C28" s="14" t="str">
        <v/>
      </c>
      <c r="D28" s="28"/>
      <c r="E28" s="29"/>
      <c r="F28" s="30">
        <v>8.75</v>
      </c>
      <c r="G28" s="31">
        <v>0.33333333333333331</v>
      </c>
      <c r="H28" s="31">
        <v>0.69791666666666663</v>
      </c>
      <c r="I28" s="31"/>
      <c r="J28" s="31"/>
      <c r="K28" s="32"/>
      <c r="L28" s="201"/>
      <c r="M28" s="33" t="s">
        <v>22</v>
      </c>
      <c r="N28" s="173">
        <f>IF(K28="",(MOD(H28-G28,1)+MOD(J28-I28,1)),IF(OR(AND(K28="CA",F28&gt;0),AND(K28="CHP",F28&gt;0),AND(K28="RTT",F28&gt;0)),F28/24,INDEX(Situation,MATCH($K$28,Situation_01,0),MATCH($M$28,Situation_02,0))/24+(MOD(H28-G28,1)+MOD(J28-I28,1))))</f>
        <v>0.36458333333333331</v>
      </c>
      <c r="O28" s="15">
        <f t="shared" si="0"/>
        <v>0</v>
      </c>
    </row>
    <row r="29" spans="2:15" ht="15" customHeight="1" x14ac:dyDescent="0.25">
      <c r="B29" s="13">
        <f t="shared" si="1"/>
        <v>42026</v>
      </c>
      <c r="C29" s="14" t="str">
        <v/>
      </c>
      <c r="D29" s="28"/>
      <c r="E29" s="29"/>
      <c r="F29" s="30"/>
      <c r="G29" s="31"/>
      <c r="H29" s="31"/>
      <c r="I29" s="31"/>
      <c r="J29" s="31"/>
      <c r="K29" s="32"/>
      <c r="L29" s="201"/>
      <c r="M29" s="33" t="s">
        <v>22</v>
      </c>
      <c r="N29" s="173">
        <f>IF(K29="",(MOD(H29-G29,1)+MOD(J29-I29,1)),IF(OR(AND(K29="CA",F29&gt;0),AND(K29="CHP",F29&gt;0),AND(K29="RTT",F29&gt;0)),F29/24,INDEX(Situation,MATCH($K$29,Situation_01,0),MATCH($M$29,Situation_02,0))/24+(MOD(H29-G29,1)+MOD(J29-I29,1))))</f>
        <v>0</v>
      </c>
      <c r="O29" s="15">
        <f t="shared" si="0"/>
        <v>0</v>
      </c>
    </row>
    <row r="30" spans="2:15" ht="15" customHeight="1" x14ac:dyDescent="0.25">
      <c r="B30" s="13">
        <f t="shared" si="1"/>
        <v>42027</v>
      </c>
      <c r="C30" s="14" t="str">
        <v/>
      </c>
      <c r="D30" s="28"/>
      <c r="E30" s="29"/>
      <c r="F30" s="30">
        <v>8.75</v>
      </c>
      <c r="G30" s="31">
        <v>0.33333333333333331</v>
      </c>
      <c r="H30" s="31">
        <v>0.69791666666666663</v>
      </c>
      <c r="I30" s="31"/>
      <c r="J30" s="31"/>
      <c r="K30" s="32"/>
      <c r="L30" s="201"/>
      <c r="M30" s="33"/>
      <c r="N30" s="173">
        <f>IF(K30="",(MOD(H30-G30,1)+MOD(J30-I30,1)),IF(OR(AND(K30="CA",F30&gt;0),AND(K30="CHP",F30&gt;0),AND(K30="RTT",F30&gt;0)),F30/24,INDEX(Situation,MATCH($K$30,Situation_01,0),MATCH($M$30,Situation_02,0))/24+(MOD(H30-G30,1)+MOD(J30-I30,1))))</f>
        <v>0.36458333333333331</v>
      </c>
      <c r="O30" s="15">
        <f t="shared" si="0"/>
        <v>0</v>
      </c>
    </row>
    <row r="31" spans="2:15" ht="15" customHeight="1" x14ac:dyDescent="0.25">
      <c r="B31" s="13">
        <f t="shared" si="1"/>
        <v>42028</v>
      </c>
      <c r="C31" s="14" t="str">
        <v/>
      </c>
      <c r="D31" s="28"/>
      <c r="E31" s="29"/>
      <c r="F31" s="30">
        <v>8.75</v>
      </c>
      <c r="G31" s="31">
        <v>0.33333333333333331</v>
      </c>
      <c r="H31" s="31">
        <v>0.69791666666666663</v>
      </c>
      <c r="I31" s="31"/>
      <c r="J31" s="31"/>
      <c r="K31" s="32"/>
      <c r="L31" s="201"/>
      <c r="M31" s="33" t="s">
        <v>22</v>
      </c>
      <c r="N31" s="173">
        <f>IF(K31="",(MOD(H31-G31,1)+MOD(J31-I31,1)),IF(OR(AND(K31="CA",F31&gt;0),AND(K31="CHP",F31&gt;0),AND(K31="RTT",F31&gt;0)),F31/24,INDEX(Situation,MATCH($K$31,Situation_01,0),MATCH($M$31,Situation_02,0))/24+(MOD(H31-G31,1)+MOD(J31-I31,1))))</f>
        <v>0.36458333333333331</v>
      </c>
      <c r="O31" s="15">
        <f t="shared" si="0"/>
        <v>0</v>
      </c>
    </row>
    <row r="32" spans="2:15" ht="15" customHeight="1" x14ac:dyDescent="0.25">
      <c r="B32" s="13">
        <f t="shared" si="1"/>
        <v>42029</v>
      </c>
      <c r="C32" s="14" t="str">
        <v/>
      </c>
      <c r="D32" s="28"/>
      <c r="E32" s="29"/>
      <c r="F32" s="30"/>
      <c r="G32" s="31"/>
      <c r="H32" s="31"/>
      <c r="I32" s="31"/>
      <c r="J32" s="31"/>
      <c r="K32" s="32"/>
      <c r="L32" s="201"/>
      <c r="M32" s="33"/>
      <c r="N32" s="173">
        <f>IF(K32="",(MOD(H32-G32,1)+MOD(J32-I32,1)),IF(OR(AND(K32="CA",F32&gt;0),AND(K32="CHP",F32&gt;0),AND(K32="RTT",F32&gt;0)),F32/24,INDEX(Situation,MATCH($K$32,Situation_01,0),MATCH($M$32,Situation_02,0))/24+(MOD(H32-G32,1)+MOD(J32-I32,1))))</f>
        <v>0</v>
      </c>
      <c r="O32" s="15">
        <f t="shared" si="0"/>
        <v>0</v>
      </c>
    </row>
    <row r="33" spans="2:16" ht="15" customHeight="1" x14ac:dyDescent="0.25">
      <c r="B33" s="13">
        <f t="shared" si="1"/>
        <v>42030</v>
      </c>
      <c r="C33" s="14" t="str">
        <v/>
      </c>
      <c r="D33" s="28"/>
      <c r="E33" s="29"/>
      <c r="F33" s="30"/>
      <c r="G33" s="31"/>
      <c r="H33" s="31"/>
      <c r="I33" s="31"/>
      <c r="J33" s="31"/>
      <c r="K33" s="32"/>
      <c r="L33" s="201"/>
      <c r="M33" s="33"/>
      <c r="N33" s="173">
        <f>IF(K33="",(MOD(H33-G33,1)+MOD(J33-I33,1)),IF(OR(AND(K33="CA",F33&gt;0),AND(K33="CHP",F33&gt;0),AND(K33="RTT",F33&gt;0)),F33/24,INDEX(Situation,MATCH($K$33,Situation_01,0),MATCH($M$33,Situation_02,0))/24+(MOD(H33-G33,1)+MOD(J33-I33,1))))</f>
        <v>0</v>
      </c>
      <c r="O33" s="15">
        <f t="shared" si="0"/>
        <v>0</v>
      </c>
    </row>
    <row r="34" spans="2:16" ht="15" customHeight="1" x14ac:dyDescent="0.25">
      <c r="B34" s="13">
        <f t="shared" si="1"/>
        <v>42031</v>
      </c>
      <c r="C34" s="14" t="str">
        <v/>
      </c>
      <c r="D34" s="28"/>
      <c r="E34" s="29"/>
      <c r="F34" s="30">
        <v>8.75</v>
      </c>
      <c r="G34" s="31">
        <v>0.33333333333333331</v>
      </c>
      <c r="H34" s="31">
        <v>0.69791666666666663</v>
      </c>
      <c r="I34" s="31"/>
      <c r="J34" s="31"/>
      <c r="K34" s="32"/>
      <c r="L34" s="201"/>
      <c r="M34" s="33"/>
      <c r="N34" s="173">
        <f>IF(K34="",(MOD(H34-G34,1)+MOD(J34-I34,1)),IF(OR(AND(K34="CA",F34&gt;0),AND(K34="CHP",F34&gt;0),AND(K34="RTT",F34&gt;0)),F34/24,INDEX(Situation,MATCH($K$34,Situation_01,0),MATCH($M$34,Situation_02,0))/24+(MOD(H34-G34,1)+MOD(J34-I34,1))))</f>
        <v>0.36458333333333331</v>
      </c>
      <c r="O34" s="15">
        <f t="shared" si="0"/>
        <v>0</v>
      </c>
    </row>
    <row r="35" spans="2:16" ht="15" customHeight="1" x14ac:dyDescent="0.25">
      <c r="B35" s="13">
        <f>IF(B34="","",IF(MONTH(B34+1)&gt;MONTH(B34),"",B34+1))</f>
        <v>42032</v>
      </c>
      <c r="C35" s="14" t="str">
        <v/>
      </c>
      <c r="D35" s="28"/>
      <c r="E35" s="29"/>
      <c r="F35" s="30">
        <v>8.75</v>
      </c>
      <c r="G35" s="31">
        <v>0.33333333333333331</v>
      </c>
      <c r="H35" s="31">
        <v>0.69791666666666663</v>
      </c>
      <c r="I35" s="31"/>
      <c r="J35" s="31"/>
      <c r="K35" s="32"/>
      <c r="L35" s="201"/>
      <c r="M35" s="33" t="s">
        <v>22</v>
      </c>
      <c r="N35" s="173">
        <f>IF(K35="",(MOD(H35-G35,1)+MOD(J35-I35,1)),IF(OR(AND(K35="CA",F35&gt;0),AND(K35="CHP",F35&gt;0),AND(K35="RTT",F35&gt;0)),F35/24,INDEX(Situation,MATCH($K$35,Situation_01,0),MATCH($M$35,Situation_02,0))/24+(MOD(H35-G35,1)+MOD(J35-I35,1))))</f>
        <v>0.36458333333333331</v>
      </c>
      <c r="O35" s="15">
        <f t="shared" si="0"/>
        <v>0</v>
      </c>
    </row>
    <row r="36" spans="2:16" ht="15" customHeight="1" x14ac:dyDescent="0.25">
      <c r="B36" s="13">
        <f>IF(B35="","",IF(MONTH(B35+1)&gt;MONTH(B35),"",B35+1))</f>
        <v>42033</v>
      </c>
      <c r="C36" s="14" t="str">
        <v/>
      </c>
      <c r="D36" s="28"/>
      <c r="E36" s="29"/>
      <c r="F36" s="30"/>
      <c r="G36" s="31"/>
      <c r="H36" s="31"/>
      <c r="I36" s="31"/>
      <c r="J36" s="31"/>
      <c r="K36" s="32"/>
      <c r="L36" s="201"/>
      <c r="M36" s="33"/>
      <c r="N36" s="173">
        <f>IF(K36="",(MOD(H36-G36,1)+MOD(J36-I36,1)),IF(OR(AND(K36="CA",F36&gt;0),AND(K36="CHP",F36&gt;0),AND(K36="RTT",F36&gt;0)),F36/24,INDEX(Situation,MATCH($K$36,Situation_01,0),MATCH($M$36,Situation_02,0))/24+(MOD(H36-G36,1)+MOD(J36-I36,1))))</f>
        <v>0</v>
      </c>
      <c r="O36" s="15">
        <f t="shared" si="0"/>
        <v>0</v>
      </c>
    </row>
    <row r="37" spans="2:16" ht="15" customHeight="1" x14ac:dyDescent="0.25">
      <c r="B37" s="13">
        <f>IF(B36="","",IF(MONTH(B36+1)&gt;MONTH(B36),"",B36+1))</f>
        <v>42034</v>
      </c>
      <c r="C37" s="14" t="str">
        <v/>
      </c>
      <c r="D37" s="28"/>
      <c r="E37" s="29"/>
      <c r="F37" s="30">
        <v>8.75</v>
      </c>
      <c r="G37" s="31">
        <v>0.33333333333333331</v>
      </c>
      <c r="H37" s="31">
        <v>0.65625</v>
      </c>
      <c r="I37" s="31"/>
      <c r="J37" s="31"/>
      <c r="K37" s="32"/>
      <c r="L37" s="201"/>
      <c r="M37" s="33"/>
      <c r="N37" s="173">
        <f>IF(K37="",(MOD(H37-G37,1)+MOD(J37-I37,1)),IF(OR(AND(K37="CA",F37&gt;0),AND(K37="CHP",F37&gt;0),AND(K37="RTT",F37&gt;0)),F37/24,INDEX(Situation,MATCH($K$37,Situation_01,0),MATCH($M$37,Situation_02,0))/24+(MOD(H37-G37,1)+MOD(J37-I37,1))))</f>
        <v>0.32291666666666669</v>
      </c>
      <c r="O37" s="15">
        <f t="shared" si="0"/>
        <v>-4.166666666666663E-2</v>
      </c>
    </row>
    <row r="38" spans="2:16" ht="15" customHeight="1" x14ac:dyDescent="0.25">
      <c r="B38" s="17"/>
      <c r="C38" s="18"/>
      <c r="D38" s="18"/>
      <c r="E38" s="18"/>
      <c r="F38" s="18"/>
      <c r="G38" s="19"/>
      <c r="H38" s="19"/>
      <c r="I38" s="19"/>
      <c r="J38" s="19"/>
      <c r="K38" s="20"/>
      <c r="L38" s="20"/>
      <c r="M38" s="20"/>
      <c r="N38" s="21"/>
      <c r="O38" s="21"/>
      <c r="P38" s="18"/>
    </row>
    <row r="39" spans="2:16" ht="15" customHeight="1" x14ac:dyDescent="0.25">
      <c r="B39" s="256"/>
      <c r="C39" s="256"/>
      <c r="D39" s="256"/>
      <c r="E39" s="256"/>
      <c r="F39" s="256"/>
      <c r="G39" s="256"/>
      <c r="H39" s="256"/>
      <c r="I39" s="22"/>
      <c r="J39" s="18"/>
      <c r="K39" s="259" t="s">
        <v>51</v>
      </c>
      <c r="L39" s="260"/>
      <c r="M39" s="258" t="s">
        <v>54</v>
      </c>
      <c r="N39" s="258"/>
      <c r="O39" s="171" t="s">
        <v>78</v>
      </c>
    </row>
    <row r="40" spans="2:16" ht="15" customHeight="1" x14ac:dyDescent="0.2">
      <c r="B40" s="255"/>
      <c r="C40" s="255"/>
      <c r="D40" s="255"/>
      <c r="E40" s="176"/>
      <c r="F40" s="176"/>
      <c r="G40" s="176"/>
      <c r="H40" s="176"/>
      <c r="I40" s="18"/>
      <c r="J40" s="184"/>
      <c r="K40" s="253">
        <f>SUM(F7:F37)/24</f>
        <v>4.447916666666667</v>
      </c>
      <c r="L40" s="254"/>
      <c r="M40" s="261">
        <f>SUM(N7:N37)</f>
        <v>4.4062500000000009</v>
      </c>
      <c r="N40" s="261"/>
      <c r="O40" s="16">
        <f>SUM(O7:O37)-1+1</f>
        <v>-4.1666666666666519E-2</v>
      </c>
    </row>
    <row r="41" spans="2:16" ht="15" customHeight="1" x14ac:dyDescent="0.25">
      <c r="B41" s="177"/>
      <c r="C41" s="177"/>
      <c r="D41" s="177"/>
      <c r="E41" s="174"/>
      <c r="F41" s="174"/>
      <c r="G41" s="174"/>
      <c r="H41" s="174"/>
      <c r="I41" s="18"/>
      <c r="J41" s="18"/>
      <c r="K41" s="185"/>
      <c r="L41" s="185"/>
      <c r="M41" s="185"/>
      <c r="N41" s="22"/>
      <c r="O41" s="184"/>
    </row>
    <row r="42" spans="2:16" ht="15" customHeight="1" x14ac:dyDescent="0.25">
      <c r="B42" s="177"/>
      <c r="C42" s="177"/>
      <c r="D42" s="177"/>
      <c r="E42" s="174"/>
      <c r="F42" s="174"/>
      <c r="G42" s="174"/>
      <c r="H42" s="174"/>
      <c r="I42" s="18"/>
      <c r="J42" s="18"/>
      <c r="K42" s="185"/>
      <c r="L42" s="185"/>
      <c r="M42" s="185"/>
      <c r="N42" s="22"/>
      <c r="O42" s="189"/>
    </row>
    <row r="43" spans="2:16" ht="15" customHeight="1" x14ac:dyDescent="0.25">
      <c r="B43" s="177"/>
      <c r="C43" s="177"/>
      <c r="D43" s="177"/>
      <c r="E43" s="174"/>
      <c r="F43" s="174"/>
      <c r="G43" s="174"/>
      <c r="H43" s="174"/>
      <c r="I43" s="18"/>
      <c r="J43" s="187"/>
      <c r="K43" s="188"/>
      <c r="L43" s="188"/>
      <c r="M43" s="188"/>
      <c r="N43" s="190"/>
      <c r="O43" s="191"/>
    </row>
    <row r="44" spans="2:16" ht="15" customHeight="1" x14ac:dyDescent="0.25">
      <c r="B44" s="177"/>
      <c r="C44" s="177"/>
      <c r="D44" s="177"/>
      <c r="E44" s="174"/>
      <c r="F44" s="174"/>
      <c r="G44" s="174"/>
      <c r="H44" s="174"/>
      <c r="I44" s="18"/>
      <c r="J44" s="18"/>
      <c r="K44" s="185"/>
      <c r="L44" s="185"/>
      <c r="M44" s="185"/>
      <c r="N44" s="18"/>
      <c r="O44" s="18"/>
    </row>
    <row r="45" spans="2:16" ht="15" customHeight="1" x14ac:dyDescent="0.25">
      <c r="B45" s="177"/>
      <c r="C45" s="177"/>
      <c r="D45" s="177"/>
      <c r="E45" s="174"/>
      <c r="F45" s="174"/>
      <c r="G45" s="174"/>
      <c r="H45" s="174"/>
      <c r="I45" s="18"/>
      <c r="J45" s="257"/>
      <c r="K45" s="257"/>
      <c r="L45" s="257"/>
      <c r="M45" s="257"/>
      <c r="N45" s="257"/>
      <c r="O45" s="257"/>
    </row>
    <row r="46" spans="2:16" ht="15" customHeight="1" x14ac:dyDescent="0.25">
      <c r="B46" s="177"/>
      <c r="C46" s="177"/>
      <c r="D46" s="177"/>
      <c r="E46" s="174"/>
      <c r="F46" s="174"/>
      <c r="G46" s="174"/>
      <c r="H46" s="174"/>
      <c r="I46" s="18"/>
      <c r="J46" s="18"/>
      <c r="K46" s="185"/>
      <c r="L46" s="185"/>
      <c r="M46" s="185"/>
      <c r="N46" s="22"/>
      <c r="O46" s="21"/>
    </row>
    <row r="47" spans="2:16" ht="15" customHeight="1" x14ac:dyDescent="0.25">
      <c r="B47" s="177"/>
      <c r="C47" s="177"/>
      <c r="D47" s="177"/>
      <c r="E47" s="174"/>
      <c r="F47" s="174"/>
      <c r="G47" s="174"/>
      <c r="H47" s="174"/>
      <c r="I47" s="18"/>
      <c r="J47" s="18"/>
      <c r="K47" s="185"/>
      <c r="L47" s="185"/>
      <c r="M47" s="185"/>
      <c r="N47" s="192"/>
      <c r="O47" s="21"/>
    </row>
    <row r="48" spans="2:16" ht="15" customHeight="1" x14ac:dyDescent="0.25">
      <c r="B48" s="177"/>
      <c r="C48" s="177"/>
      <c r="D48" s="177"/>
      <c r="E48" s="174"/>
      <c r="F48" s="174"/>
      <c r="G48" s="174"/>
      <c r="H48" s="174"/>
      <c r="I48" s="18"/>
      <c r="J48" s="257"/>
      <c r="K48" s="257"/>
      <c r="L48" s="257"/>
      <c r="M48" s="257"/>
      <c r="N48" s="257"/>
      <c r="O48" s="257"/>
    </row>
    <row r="49" spans="2:15" ht="15" customHeight="1" x14ac:dyDescent="0.25">
      <c r="B49" s="178"/>
      <c r="C49" s="178"/>
      <c r="D49" s="178"/>
      <c r="E49" s="179"/>
      <c r="F49" s="179"/>
      <c r="G49" s="179"/>
      <c r="H49" s="179"/>
      <c r="I49" s="18"/>
      <c r="J49" s="18"/>
      <c r="K49" s="185"/>
      <c r="L49" s="185"/>
      <c r="M49" s="185"/>
      <c r="N49" s="22"/>
      <c r="O49" s="21"/>
    </row>
    <row r="50" spans="2:15" ht="15" customHeight="1" x14ac:dyDescent="0.25">
      <c r="B50" s="180"/>
      <c r="C50" s="180"/>
      <c r="D50" s="176"/>
      <c r="E50" s="181"/>
      <c r="F50" s="181"/>
      <c r="G50" s="181"/>
      <c r="H50" s="181"/>
      <c r="I50" s="18"/>
      <c r="J50" s="18"/>
      <c r="K50" s="185"/>
      <c r="L50" s="185"/>
      <c r="M50" s="185"/>
      <c r="N50" s="192"/>
      <c r="O50" s="21"/>
    </row>
    <row r="51" spans="2:15" ht="15" customHeight="1" x14ac:dyDescent="0.25">
      <c r="B51" s="180"/>
      <c r="C51" s="180"/>
      <c r="D51" s="180"/>
      <c r="E51" s="180"/>
      <c r="F51" s="180"/>
      <c r="G51" s="180"/>
      <c r="H51" s="180"/>
      <c r="I51" s="18"/>
      <c r="J51" s="18"/>
      <c r="K51" s="185"/>
      <c r="L51" s="185"/>
      <c r="M51" s="185"/>
      <c r="N51" s="18"/>
      <c r="O51" s="18"/>
    </row>
    <row r="52" spans="2:15" ht="15" customHeight="1" x14ac:dyDescent="0.2">
      <c r="B52" s="182"/>
      <c r="C52" s="18"/>
      <c r="D52" s="18"/>
      <c r="E52" s="176"/>
      <c r="F52" s="176"/>
      <c r="G52" s="176"/>
      <c r="H52" s="176"/>
      <c r="I52" s="18"/>
      <c r="J52" s="257"/>
      <c r="K52" s="257"/>
      <c r="L52" s="257"/>
      <c r="M52" s="257"/>
      <c r="N52" s="257"/>
      <c r="O52" s="257"/>
    </row>
    <row r="53" spans="2:15" ht="15" customHeight="1" x14ac:dyDescent="0.25">
      <c r="B53" s="180"/>
      <c r="C53" s="180"/>
      <c r="D53" s="176"/>
      <c r="E53" s="183"/>
      <c r="F53" s="183"/>
      <c r="G53" s="174"/>
      <c r="H53" s="175"/>
      <c r="I53" s="18"/>
      <c r="J53" s="18"/>
      <c r="K53" s="185"/>
      <c r="L53" s="185"/>
      <c r="M53" s="185"/>
      <c r="N53" s="22"/>
      <c r="O53" s="186"/>
    </row>
    <row r="54" spans="2:15" ht="15" customHeight="1" x14ac:dyDescent="0.25">
      <c r="B54" s="18"/>
      <c r="C54" s="18"/>
      <c r="D54" s="18"/>
      <c r="E54" s="18"/>
      <c r="F54" s="18"/>
      <c r="G54" s="18"/>
      <c r="H54" s="18"/>
      <c r="I54" s="18"/>
      <c r="J54" s="18"/>
      <c r="K54" s="185"/>
      <c r="L54" s="185"/>
      <c r="M54" s="185"/>
      <c r="N54" s="22"/>
      <c r="O54" s="186"/>
    </row>
    <row r="55" spans="2:15" ht="15" customHeight="1" x14ac:dyDescent="0.25">
      <c r="B55" s="18"/>
      <c r="C55" s="18"/>
      <c r="D55" s="18"/>
      <c r="E55" s="18"/>
      <c r="F55" s="18"/>
      <c r="G55" s="18"/>
      <c r="H55" s="18"/>
      <c r="I55" s="186"/>
      <c r="J55" s="18"/>
      <c r="K55" s="185"/>
      <c r="L55" s="185"/>
      <c r="M55" s="185"/>
      <c r="N55" s="18"/>
      <c r="O55" s="18"/>
    </row>
    <row r="56" spans="2:15" ht="15" customHeight="1" x14ac:dyDescent="0.25">
      <c r="I56" s="18"/>
      <c r="J56" s="18"/>
      <c r="K56" s="185"/>
      <c r="L56" s="185"/>
      <c r="M56" s="185"/>
      <c r="N56" s="18"/>
      <c r="O56" s="18"/>
    </row>
    <row r="57" spans="2:15" ht="15" customHeight="1" x14ac:dyDescent="0.25"/>
    <row r="58" spans="2:15" ht="15" customHeight="1" x14ac:dyDescent="0.25"/>
    <row r="59" spans="2:15" ht="15" customHeight="1" x14ac:dyDescent="0.25"/>
    <row r="60" spans="2:15" ht="15" customHeight="1" x14ac:dyDescent="0.25"/>
    <row r="61" spans="2:15" ht="15" customHeight="1" x14ac:dyDescent="0.25"/>
    <row r="62" spans="2:15" ht="15" customHeight="1" x14ac:dyDescent="0.25"/>
    <row r="63" spans="2:15" ht="15" customHeight="1" x14ac:dyDescent="0.25"/>
    <row r="64" spans="2:15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</sheetData>
  <mergeCells count="9">
    <mergeCell ref="K40:L40"/>
    <mergeCell ref="B40:D40"/>
    <mergeCell ref="B39:H39"/>
    <mergeCell ref="J52:O52"/>
    <mergeCell ref="J48:O48"/>
    <mergeCell ref="J45:O45"/>
    <mergeCell ref="M39:N39"/>
    <mergeCell ref="K39:L39"/>
    <mergeCell ref="M40:N40"/>
  </mergeCells>
  <conditionalFormatting sqref="C7:E37 K7:M37">
    <cfRule type="expression" dxfId="3" priority="27">
      <formula>ISODD(MATCH($B7,Vacances,1))</formula>
    </cfRule>
  </conditionalFormatting>
  <conditionalFormatting sqref="O43 O40">
    <cfRule type="expression" dxfId="2" priority="7">
      <formula>$O$43&lt;0</formula>
    </cfRule>
  </conditionalFormatting>
  <conditionalFormatting sqref="B7:O37">
    <cfRule type="expression" dxfId="1" priority="20">
      <formula>NOT(ISERROR(VLOOKUP($B7,Fériés,1,0)))</formula>
    </cfRule>
    <cfRule type="expression" dxfId="0" priority="26">
      <formula>WEEKDAY($B7,2)&gt;5</formula>
    </cfRule>
  </conditionalFormatting>
  <dataValidations count="4">
    <dataValidation type="list" allowBlank="1" showInputMessage="1" showErrorMessage="1" sqref="E7:E37" xr:uid="{00000000-0002-0000-0200-000000000000}">
      <formula1>Liste_restaurants</formula1>
    </dataValidation>
    <dataValidation type="list" allowBlank="1" showInputMessage="1" showErrorMessage="1" sqref="K7:K37" xr:uid="{00000000-0002-0000-0200-000001000000}">
      <formula1>Situation_01</formula1>
    </dataValidation>
    <dataValidation type="list" allowBlank="1" showInputMessage="1" showErrorMessage="1" sqref="M7:M37" xr:uid="{00000000-0002-0000-0200-000002000000}">
      <formula1>Situation_02</formula1>
    </dataValidation>
    <dataValidation type="list" allowBlank="1" showInputMessage="1" showErrorMessage="1" sqref="L7:L37" xr:uid="{5E05E5DC-891D-4253-90E7-C8A772D8B981}">
      <formula1>INDIRECT(K7)</formula1>
    </dataValidation>
  </dataValidations>
  <printOptions horizontalCentered="1" verticalCentered="1"/>
  <pageMargins left="0.11811023622047245" right="0.11811023622047245" top="0.35433070866141736" bottom="0.35433070866141736" header="0.31496062992125984" footer="0.31496062992125984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2A6132-2AF7-43D1-B445-8EA155065E7E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27</vt:i4>
      </vt:variant>
    </vt:vector>
  </HeadingPairs>
  <TitlesOfParts>
    <vt:vector size="29" baseType="lpstr">
      <vt:lpstr>Config.</vt:lpstr>
      <vt:lpstr>jan.</vt:lpstr>
      <vt:lpstr>Agent</vt:lpstr>
      <vt:lpstr>Année</vt:lpstr>
      <vt:lpstr>CA</vt:lpstr>
      <vt:lpstr>CET</vt:lpstr>
      <vt:lpstr>Choix</vt:lpstr>
      <vt:lpstr>CHP</vt:lpstr>
      <vt:lpstr>Décès</vt:lpstr>
      <vt:lpstr>Division</vt:lpstr>
      <vt:lpstr>DON_CA</vt:lpstr>
      <vt:lpstr>Fériés</vt:lpstr>
      <vt:lpstr>J.Nettoyage</vt:lpstr>
      <vt:lpstr>Liste_agents</vt:lpstr>
      <vt:lpstr>Liste_années</vt:lpstr>
      <vt:lpstr>Liste_Fériés</vt:lpstr>
      <vt:lpstr>Localisation</vt:lpstr>
      <vt:lpstr>Mariage</vt:lpstr>
      <vt:lpstr>Médaille</vt:lpstr>
      <vt:lpstr>Mercredi</vt:lpstr>
      <vt:lpstr>Naissance</vt:lpstr>
      <vt:lpstr>RTT</vt:lpstr>
      <vt:lpstr>S_3</vt:lpstr>
      <vt:lpstr>Service</vt:lpstr>
      <vt:lpstr>Situation</vt:lpstr>
      <vt:lpstr>Situation_01</vt:lpstr>
      <vt:lpstr>Situation_02</vt:lpstr>
      <vt:lpstr>Vacances</vt:lpstr>
      <vt:lpstr>jan.!Zone_d_impression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Christophe Bizet</cp:lastModifiedBy>
  <cp:lastPrinted>2018-11-14T23:13:08Z</cp:lastPrinted>
  <dcterms:created xsi:type="dcterms:W3CDTF">2018-03-11T18:27:21Z</dcterms:created>
  <dcterms:modified xsi:type="dcterms:W3CDTF">2018-11-16T15:53:05Z</dcterms:modified>
</cp:coreProperties>
</file>