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17130" windowHeight="8940"/>
  </bookViews>
  <sheets>
    <sheet name="Client" sheetId="1" r:id="rId1"/>
    <sheet name="Satisfaction" sheetId="2" r:id="rId2"/>
    <sheet name="Stats" sheetId="3" r:id="rId3"/>
  </sheets>
  <calcPr calcId="125725"/>
</workbook>
</file>

<file path=xl/calcChain.xml><?xml version="1.0" encoding="utf-8"?>
<calcChain xmlns="http://schemas.openxmlformats.org/spreadsheetml/2006/main">
  <c r="I7" i="3"/>
  <c r="I4"/>
  <c r="I5"/>
  <c r="J5" s="1"/>
  <c r="I6"/>
  <c r="J6" s="1"/>
  <c r="I8"/>
  <c r="J8" s="1"/>
  <c r="C8"/>
  <c r="C5"/>
  <c r="N4"/>
  <c r="G7" s="1"/>
  <c r="N3"/>
  <c r="F4" s="1"/>
  <c r="I10" l="1"/>
  <c r="J4" s="1"/>
  <c r="J7"/>
  <c r="G8"/>
  <c r="G5"/>
  <c r="G4"/>
  <c r="G6"/>
  <c r="F7"/>
  <c r="F5"/>
  <c r="F8"/>
  <c r="F6"/>
  <c r="C7" l="1"/>
  <c r="C6"/>
  <c r="C4"/>
  <c r="C13" i="2" l="1"/>
  <c r="O20"/>
  <c r="O19"/>
  <c r="O18"/>
  <c r="O13"/>
  <c r="O12"/>
  <c r="O11"/>
  <c r="O6"/>
  <c r="O5"/>
  <c r="O4"/>
  <c r="K20"/>
  <c r="K19"/>
  <c r="K18"/>
  <c r="K11"/>
  <c r="K13"/>
  <c r="K12"/>
  <c r="K6"/>
  <c r="K5"/>
  <c r="K4"/>
  <c r="G20"/>
  <c r="G19"/>
  <c r="G18"/>
  <c r="G13"/>
  <c r="G12"/>
  <c r="G11"/>
  <c r="G4"/>
  <c r="C12"/>
  <c r="C11"/>
  <c r="C5"/>
  <c r="C4"/>
  <c r="C6"/>
  <c r="G6"/>
  <c r="G5"/>
  <c r="C20"/>
  <c r="C19"/>
  <c r="C18"/>
  <c r="O14" l="1"/>
  <c r="P13" s="1"/>
  <c r="O7"/>
  <c r="P6" s="1"/>
  <c r="K7"/>
  <c r="L6" s="1"/>
  <c r="G21"/>
  <c r="H20" s="1"/>
  <c r="G14"/>
  <c r="H13" s="1"/>
  <c r="C7"/>
  <c r="D6" s="1"/>
  <c r="O21"/>
  <c r="P20" s="1"/>
  <c r="K21"/>
  <c r="L20" s="1"/>
  <c r="K14"/>
  <c r="C14"/>
  <c r="D12" s="1"/>
  <c r="G7"/>
  <c r="H6" s="1"/>
  <c r="C21"/>
  <c r="D20" s="1"/>
  <c r="P5" l="1"/>
  <c r="P4"/>
  <c r="O8" s="1"/>
  <c r="P19"/>
  <c r="P18"/>
  <c r="O22" s="1"/>
  <c r="P12"/>
  <c r="P11"/>
  <c r="O15" s="1"/>
  <c r="L19"/>
  <c r="H19"/>
  <c r="L4"/>
  <c r="K8" s="1"/>
  <c r="H18"/>
  <c r="G22" s="1"/>
  <c r="L5"/>
  <c r="L18"/>
  <c r="K22" s="1"/>
  <c r="H11"/>
  <c r="G15" s="1"/>
  <c r="H12"/>
  <c r="D4"/>
  <c r="C8" s="1"/>
  <c r="D5"/>
  <c r="L13"/>
  <c r="L11"/>
  <c r="L12"/>
  <c r="D13"/>
  <c r="D11"/>
  <c r="H5"/>
  <c r="H4"/>
  <c r="G8" s="1"/>
  <c r="D19"/>
  <c r="D18"/>
  <c r="C22" s="1"/>
  <c r="O24" l="1"/>
  <c r="G24"/>
  <c r="C15"/>
  <c r="C24" s="1"/>
  <c r="K15"/>
  <c r="K24" s="1"/>
</calcChain>
</file>

<file path=xl/sharedStrings.xml><?xml version="1.0" encoding="utf-8"?>
<sst xmlns="http://schemas.openxmlformats.org/spreadsheetml/2006/main" count="131" uniqueCount="59">
  <si>
    <t>Date</t>
  </si>
  <si>
    <t>Formation</t>
  </si>
  <si>
    <t>Entreprise</t>
  </si>
  <si>
    <t>Stagiaire</t>
  </si>
  <si>
    <t>Note</t>
  </si>
  <si>
    <t>Base</t>
  </si>
  <si>
    <t>Passif</t>
  </si>
  <si>
    <t>Promoteur</t>
  </si>
  <si>
    <t>Détracteur</t>
  </si>
  <si>
    <t>Total</t>
  </si>
  <si>
    <t>SATISFACTION CLIENT 2015</t>
  </si>
  <si>
    <t>Personnalisé</t>
  </si>
  <si>
    <t>Satisfaction</t>
  </si>
  <si>
    <t>Lieu</t>
  </si>
  <si>
    <t>Agence</t>
  </si>
  <si>
    <t>Extérieur</t>
  </si>
  <si>
    <t>Initié</t>
  </si>
  <si>
    <t>Janvier</t>
  </si>
  <si>
    <t>Juillet</t>
  </si>
  <si>
    <t>Avril</t>
  </si>
  <si>
    <t>Octobre</t>
  </si>
  <si>
    <t>Novembre</t>
  </si>
  <si>
    <t>Août</t>
  </si>
  <si>
    <t>Mai</t>
  </si>
  <si>
    <t>Février</t>
  </si>
  <si>
    <t>Mars</t>
  </si>
  <si>
    <t>Juin</t>
  </si>
  <si>
    <t>Septembre</t>
  </si>
  <si>
    <t>Décembre</t>
  </si>
  <si>
    <t>Type</t>
  </si>
  <si>
    <t>Clients</t>
  </si>
  <si>
    <t>Perfectionnement</t>
  </si>
  <si>
    <t>Trimestre 1</t>
  </si>
  <si>
    <t>Trimestre 2</t>
  </si>
  <si>
    <t>Trimestre 3</t>
  </si>
  <si>
    <t>Trimest 4</t>
  </si>
  <si>
    <t>Nouveauté</t>
  </si>
  <si>
    <t>Taux</t>
  </si>
  <si>
    <t>Nbr Formation</t>
  </si>
  <si>
    <t>Nbr Jours</t>
  </si>
  <si>
    <t>Nbr Passifs</t>
  </si>
  <si>
    <t>Taux Total</t>
  </si>
  <si>
    <t>Total Jours</t>
  </si>
  <si>
    <t>Taux (formation)</t>
  </si>
  <si>
    <t>Taux (Jour)</t>
  </si>
  <si>
    <t>A</t>
  </si>
  <si>
    <t>Commentaire</t>
  </si>
  <si>
    <t>Total Passifs</t>
  </si>
  <si>
    <t>G</t>
  </si>
  <si>
    <t>H</t>
  </si>
  <si>
    <t>Z</t>
  </si>
  <si>
    <t>V</t>
  </si>
  <si>
    <t xml:space="preserve"> Elise</t>
  </si>
  <si>
    <t xml:space="preserve">Chen </t>
  </si>
  <si>
    <t>Alain</t>
  </si>
  <si>
    <t xml:space="preserve"> Matthieu</t>
  </si>
  <si>
    <t>Simon</t>
  </si>
  <si>
    <t xml:space="preserve"> Sébastien</t>
  </si>
  <si>
    <t xml:space="preserve">Guillaume 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</si>
</sst>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 tint="4.9989318521683403E-2"/>
      <name val="Aharoni"/>
      <charset val="177"/>
    </font>
    <font>
      <sz val="14"/>
      <color theme="0" tint="-0.249977111117893"/>
      <name val="Bauhaus 93"/>
      <family val="5"/>
    </font>
    <font>
      <sz val="11"/>
      <color theme="0" tint="-0.249977111117893"/>
      <name val="Calibri"/>
      <family val="2"/>
      <scheme val="minor"/>
    </font>
    <font>
      <sz val="11"/>
      <color theme="1" tint="4.9989318521683403E-2"/>
      <name val="Berlin Sans FB Demi"/>
      <family val="2"/>
    </font>
    <font>
      <sz val="10"/>
      <color theme="1"/>
      <name val="Berlin Sans FB Demi"/>
      <family val="2"/>
    </font>
    <font>
      <sz val="11"/>
      <name val="Berlin Sans FB Demi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Bauhaus 93"/>
      <family val="5"/>
    </font>
    <font>
      <b/>
      <sz val="11"/>
      <color theme="1"/>
      <name val="Calibri"/>
      <family val="2"/>
      <scheme val="minor"/>
    </font>
    <font>
      <b/>
      <sz val="10"/>
      <color theme="1" tint="4.9989318521683403E-2"/>
      <name val="Aharoni"/>
      <charset val="177"/>
    </font>
    <font>
      <b/>
      <sz val="10"/>
      <color theme="1"/>
      <name val="Calibri"/>
      <family val="2"/>
      <scheme val="minor"/>
    </font>
    <font>
      <sz val="10"/>
      <name val="Arial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99"/>
        <bgColor theme="6"/>
      </patternFill>
    </fill>
    <fill>
      <patternFill patternType="solid">
        <fgColor rgb="FFFF9999"/>
        <bgColor indexed="64"/>
      </patternFill>
    </fill>
    <fill>
      <patternFill patternType="solid">
        <fgColor theme="6" tint="0.59999389629810485"/>
        <bgColor theme="6"/>
      </patternFill>
    </fill>
    <fill>
      <patternFill patternType="solid">
        <fgColor theme="9" tint="0.59999389629810485"/>
        <bgColor theme="6"/>
      </patternFill>
    </fill>
    <fill>
      <patternFill patternType="solid">
        <fgColor theme="5" tint="0.59999389629810485"/>
        <bgColor theme="6"/>
      </patternFill>
    </fill>
    <fill>
      <patternFill patternType="solid">
        <fgColor theme="0" tint="-0.14999847407452621"/>
        <bgColor theme="6"/>
      </patternFill>
    </fill>
    <fill>
      <patternFill patternType="solid">
        <fgColor theme="7" tint="0.59999389629810485"/>
        <bgColor theme="6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164" fontId="9" fillId="0" borderId="2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9" fontId="10" fillId="0" borderId="9" xfId="1" applyFont="1" applyBorder="1" applyAlignment="1">
      <alignment horizontal="center"/>
    </xf>
    <xf numFmtId="9" fontId="10" fillId="0" borderId="8" xfId="1" applyFont="1" applyBorder="1" applyAlignment="1">
      <alignment horizontal="center"/>
    </xf>
    <xf numFmtId="9" fontId="10" fillId="0" borderId="0" xfId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12" fillId="0" borderId="0" xfId="0" applyFont="1" applyBorder="1" applyAlignment="1">
      <alignment horizontal="center"/>
    </xf>
    <xf numFmtId="9" fontId="10" fillId="0" borderId="7" xfId="1" applyFont="1" applyBorder="1" applyAlignment="1">
      <alignment horizontal="center"/>
    </xf>
    <xf numFmtId="9" fontId="10" fillId="0" borderId="7" xfId="0" applyNumberFormat="1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4" fillId="0" borderId="4" xfId="0" applyFont="1" applyFill="1" applyBorder="1" applyAlignment="1"/>
    <xf numFmtId="0" fontId="4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10" xfId="0" applyFill="1" applyBorder="1" applyAlignment="1">
      <alignment horizontal="center"/>
    </xf>
    <xf numFmtId="0" fontId="0" fillId="0" borderId="11" xfId="0" applyFill="1" applyBorder="1"/>
    <xf numFmtId="0" fontId="0" fillId="0" borderId="5" xfId="0" applyFill="1" applyBorder="1"/>
    <xf numFmtId="0" fontId="0" fillId="5" borderId="7" xfId="0" applyFill="1" applyBorder="1" applyAlignment="1">
      <alignment horizontal="center"/>
    </xf>
    <xf numFmtId="9" fontId="2" fillId="5" borderId="7" xfId="1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9" fontId="2" fillId="6" borderId="7" xfId="1" applyFon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9" fontId="2" fillId="7" borderId="7" xfId="1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3" fillId="11" borderId="7" xfId="0" applyFont="1" applyFill="1" applyBorder="1" applyAlignment="1">
      <alignment horizontal="center"/>
    </xf>
    <xf numFmtId="0" fontId="3" fillId="12" borderId="7" xfId="0" applyFont="1" applyFill="1" applyBorder="1" applyAlignment="1">
      <alignment horizontal="center"/>
    </xf>
    <xf numFmtId="0" fontId="3" fillId="13" borderId="7" xfId="0" applyFont="1" applyFill="1" applyBorder="1" applyAlignment="1">
      <alignment horizontal="center"/>
    </xf>
    <xf numFmtId="0" fontId="3" fillId="14" borderId="7" xfId="0" applyFont="1" applyFill="1" applyBorder="1" applyAlignment="1">
      <alignment horizontal="center"/>
    </xf>
    <xf numFmtId="0" fontId="15" fillId="15" borderId="7" xfId="0" applyFont="1" applyFill="1" applyBorder="1" applyAlignment="1">
      <alignment horizontal="center"/>
    </xf>
    <xf numFmtId="9" fontId="14" fillId="8" borderId="7" xfId="1" applyFont="1" applyFill="1" applyBorder="1" applyAlignment="1">
      <alignment horizontal="center"/>
    </xf>
    <xf numFmtId="9" fontId="16" fillId="8" borderId="7" xfId="1" applyFont="1" applyFill="1" applyBorder="1" applyAlignment="1">
      <alignment horizontal="center"/>
    </xf>
    <xf numFmtId="0" fontId="15" fillId="9" borderId="7" xfId="0" applyFont="1" applyFill="1" applyBorder="1" applyAlignment="1">
      <alignment horizontal="center"/>
    </xf>
    <xf numFmtId="9" fontId="16" fillId="10" borderId="7" xfId="1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0" fontId="0" fillId="0" borderId="12" xfId="0" applyFill="1" applyBorder="1"/>
    <xf numFmtId="9" fontId="0" fillId="0" borderId="0" xfId="1" applyFont="1" applyAlignment="1">
      <alignment horizontal="center"/>
    </xf>
    <xf numFmtId="0" fontId="0" fillId="0" borderId="5" xfId="0" applyBorder="1" applyAlignment="1">
      <alignment horizontal="center"/>
    </xf>
    <xf numFmtId="164" fontId="17" fillId="0" borderId="13" xfId="0" applyNumberFormat="1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49" fontId="13" fillId="4" borderId="7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33"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3" formatCode="0%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strike val="0"/>
        <outline val="0"/>
        <shadow val="0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vertAlign val="baseline"/>
        <sz val="10"/>
        <color auto="1"/>
        <name val="Arial"/>
        <scheme val="none"/>
      </font>
      <numFmt numFmtId="164" formatCode="[$-40C]d\-mmm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right style="medium">
          <color indexed="64"/>
        </right>
        <top/>
      </border>
    </dxf>
    <dxf>
      <border>
        <bottom style="medium">
          <color indexed="64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Berlin Sans FB Dem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9" defaultPivotStyle="PivotStyleLight16"/>
  <colors>
    <mruColors>
      <color rgb="FFFF9999"/>
      <color rgb="FF8ABAE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clustered"/>
        <c:ser>
          <c:idx val="0"/>
          <c:order val="0"/>
          <c:tx>
            <c:v>Janvier</c:v>
          </c:tx>
          <c:dLbls>
            <c:dLbl>
              <c:idx val="0"/>
              <c:layout/>
              <c:dLblPos val="ctr"/>
              <c:showVal val="1"/>
              <c:showSerName val="1"/>
              <c:separator>
</c:separator>
            </c:dLbl>
            <c:showVal val="1"/>
          </c:dLbls>
          <c:cat>
            <c:strLit>
              <c:ptCount val="1"/>
              <c:pt idx="0">
                <c:v>Mois</c:v>
              </c:pt>
            </c:strLit>
          </c:cat>
          <c:val>
            <c:numRef>
              <c:f>Satisfaction!$C$8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v>Février</c:v>
          </c:tx>
          <c:dLbls>
            <c:dLblPos val="ctr"/>
            <c:showVal val="1"/>
            <c:showSerName val="1"/>
            <c:separator>
</c:separator>
          </c:dLbls>
          <c:cat>
            <c:strLit>
              <c:ptCount val="1"/>
              <c:pt idx="0">
                <c:v>Mois</c:v>
              </c:pt>
            </c:strLit>
          </c:cat>
          <c:val>
            <c:numRef>
              <c:f>Satisfaction!$C$15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</c:ser>
        <c:dLbls>
          <c:showVal val="1"/>
        </c:dLbls>
        <c:overlap val="-25"/>
        <c:axId val="96219136"/>
        <c:axId val="96220672"/>
      </c:barChart>
      <c:catAx>
        <c:axId val="96219136"/>
        <c:scaling>
          <c:orientation val="minMax"/>
        </c:scaling>
        <c:delete val="1"/>
        <c:axPos val="b"/>
        <c:majorTickMark val="none"/>
        <c:tickLblPos val="none"/>
        <c:crossAx val="96220672"/>
        <c:crosses val="autoZero"/>
        <c:auto val="1"/>
        <c:lblAlgn val="ctr"/>
        <c:lblOffset val="100"/>
      </c:catAx>
      <c:valAx>
        <c:axId val="96220672"/>
        <c:scaling>
          <c:orientation val="minMax"/>
          <c:max val="1"/>
        </c:scaling>
        <c:delete val="1"/>
        <c:axPos val="l"/>
        <c:numFmt formatCode="0%" sourceLinked="1"/>
        <c:tickLblPos val="none"/>
        <c:crossAx val="96219136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305665</xdr:colOff>
      <xdr:row>25</xdr:row>
      <xdr:rowOff>122093</xdr:rowOff>
    </xdr:from>
    <xdr:to>
      <xdr:col>16</xdr:col>
      <xdr:colOff>26843</xdr:colOff>
      <xdr:row>36</xdr:row>
      <xdr:rowOff>150668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4" name="Tableau4" displayName="Tableau4" ref="B3:H10" totalsRowShown="0" headerRowDxfId="32" dataDxfId="30" headerRowBorderDxfId="31" tableBorderDxfId="29" totalsRowBorderDxfId="28">
  <autoFilter ref="B3:H10">
    <filterColumn colId="0"/>
    <filterColumn colId="2"/>
  </autoFilter>
  <sortState ref="B4:H10">
    <sortCondition ref="B3:B10"/>
  </sortState>
  <tableColumns count="7">
    <tableColumn id="1" name="Date" dataDxfId="27"/>
    <tableColumn id="2" name="Formation" dataDxfId="26"/>
    <tableColumn id="8" name="Lieu" dataDxfId="25"/>
    <tableColumn id="3" name="Entreprise" dataDxfId="24"/>
    <tableColumn id="4" name="Stagiaire" dataDxfId="23"/>
    <tableColumn id="5" name="Commentaire" dataDxfId="22" dataCellStyle="Normal"/>
    <tableColumn id="6" name="Note" dataDxfId="21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3:G8" headerRowDxfId="20" dataDxfId="19" totalsRowDxfId="17" tableBorderDxfId="18">
  <autoFilter ref="B3:G8">
    <filterColumn colId="5"/>
  </autoFilter>
  <tableColumns count="6">
    <tableColumn id="1" name="Type" totalsRowLabel="Total" dataDxfId="16" totalsRowDxfId="15"/>
    <tableColumn id="2" name="Clients" dataDxfId="14" totalsRowDxfId="13"/>
    <tableColumn id="3" name="Nbr Formation" dataDxfId="12" totalsRowDxfId="11"/>
    <tableColumn id="4" name="Nbr Jours" dataDxfId="10" totalsRowDxfId="9"/>
    <tableColumn id="5" name="Taux (formation)" totalsRowFunction="count" dataDxfId="8" totalsRowDxfId="7" dataCellStyle="Pourcentage">
      <calculatedColumnFormula>(Tableau1[[#This Row],[Nbr Formation]]*1)/N3</calculatedColumnFormula>
    </tableColumn>
    <tableColumn id="6" name="Taux (Jour)" dataDxfId="6" totalsRowDxfId="5">
      <calculatedColumnFormula>Tableau1[[#This Row],[Nbr Jours]]/N1</calculatedColumnFormula>
    </tableColumn>
  </tableColumns>
  <tableStyleInfo name="TableStyleMedium11" showFirstColumn="1" showLastColumn="0" showRowStripes="1" showColumnStripes="0"/>
</table>
</file>

<file path=xl/tables/table3.xml><?xml version="1.0" encoding="utf-8"?>
<table xmlns="http://schemas.openxmlformats.org/spreadsheetml/2006/main" id="5" name="Tableau5" displayName="Tableau5" ref="I3:K8" totalsRowShown="0" headerRowDxfId="4" dataDxfId="3">
  <autoFilter ref="I3:K8"/>
  <tableColumns count="3">
    <tableColumn id="1" name="Nbr Passifs" dataDxfId="2">
      <calculatedColumnFormula>SUMPRODUCT((Client!B4:B83=Base)*1,(Client!H4:H83&lt;3.3)*1-(Client!H4:H83&lt;=2.7)*1)</calculatedColumnFormula>
    </tableColumn>
    <tableColumn id="2" name="Taux" dataDxfId="1">
      <calculatedColumnFormula>J10*Tableau5[[#This Row],[Nbr Passifs]]/I10</calculatedColumnFormula>
    </tableColumn>
    <tableColumn id="3" name="Taux Total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0"/>
  <sheetViews>
    <sheetView tabSelected="1" zoomScale="90" zoomScaleNormal="90" workbookViewId="0">
      <selection activeCell="F12" sqref="F12"/>
    </sheetView>
  </sheetViews>
  <sheetFormatPr baseColWidth="10" defaultRowHeight="15"/>
  <cols>
    <col min="1" max="1" width="4.7109375" style="1" customWidth="1"/>
    <col min="2" max="2" width="15.5703125" style="1" customWidth="1"/>
    <col min="3" max="3" width="20.5703125" style="1" customWidth="1"/>
    <col min="4" max="4" width="15.28515625" style="1" customWidth="1"/>
    <col min="5" max="5" width="26.7109375" style="1" customWidth="1"/>
    <col min="6" max="6" width="28.28515625" style="1" customWidth="1"/>
    <col min="7" max="7" width="24.140625" style="1" customWidth="1"/>
    <col min="8" max="8" width="12.140625" style="1" customWidth="1"/>
    <col min="9" max="9" width="5.7109375" style="1" customWidth="1"/>
    <col min="10" max="10" width="12.42578125" style="1" customWidth="1"/>
    <col min="11" max="11" width="13.5703125" style="1" customWidth="1"/>
    <col min="12" max="12" width="12.42578125" style="1" customWidth="1"/>
    <col min="13" max="13" width="5.7109375" style="1" customWidth="1"/>
    <col min="14" max="14" width="8.85546875" style="1" customWidth="1"/>
    <col min="15" max="16384" width="11.42578125" style="1"/>
  </cols>
  <sheetData>
    <row r="1" spans="1:9" ht="21">
      <c r="A1" s="53" t="s">
        <v>10</v>
      </c>
      <c r="B1" s="53"/>
      <c r="C1" s="53"/>
      <c r="D1" s="53"/>
      <c r="E1" s="53"/>
      <c r="F1" s="53"/>
      <c r="G1" s="53"/>
      <c r="H1" s="53"/>
      <c r="I1" s="53"/>
    </row>
    <row r="2" spans="1:9" ht="8.1" customHeight="1" thickBot="1">
      <c r="B2" s="2"/>
      <c r="C2" s="3"/>
      <c r="D2" s="3"/>
      <c r="E2" s="3"/>
      <c r="F2" s="3"/>
      <c r="G2" s="3"/>
      <c r="H2" s="3"/>
      <c r="I2" s="3"/>
    </row>
    <row r="3" spans="1:9" ht="15.75" thickBot="1">
      <c r="B3" s="6" t="s">
        <v>0</v>
      </c>
      <c r="C3" s="6" t="s">
        <v>1</v>
      </c>
      <c r="D3" s="6" t="s">
        <v>13</v>
      </c>
      <c r="E3" s="6" t="s">
        <v>2</v>
      </c>
      <c r="F3" s="6" t="s">
        <v>3</v>
      </c>
      <c r="G3" s="6" t="s">
        <v>46</v>
      </c>
      <c r="H3" s="6" t="s">
        <v>4</v>
      </c>
      <c r="I3" s="4"/>
    </row>
    <row r="4" spans="1:9" ht="15.75" thickBot="1">
      <c r="A4" s="51"/>
      <c r="B4" s="7">
        <v>42013</v>
      </c>
      <c r="C4" s="8" t="s">
        <v>5</v>
      </c>
      <c r="D4" s="9" t="s">
        <v>14</v>
      </c>
      <c r="E4" s="8" t="s">
        <v>45</v>
      </c>
      <c r="F4" s="8" t="s">
        <v>52</v>
      </c>
      <c r="G4" s="8"/>
      <c r="H4" s="8">
        <v>3.8</v>
      </c>
      <c r="I4" s="5"/>
    </row>
    <row r="5" spans="1:9" ht="15.75" thickBot="1">
      <c r="A5" s="51"/>
      <c r="B5" s="7">
        <v>42020</v>
      </c>
      <c r="C5" s="9" t="s">
        <v>5</v>
      </c>
      <c r="D5" s="9" t="s">
        <v>15</v>
      </c>
      <c r="E5" s="9" t="s">
        <v>48</v>
      </c>
      <c r="F5" s="9" t="s">
        <v>53</v>
      </c>
      <c r="G5" s="8"/>
      <c r="H5" s="8">
        <v>3.9</v>
      </c>
    </row>
    <row r="6" spans="1:9" ht="15.75" thickBot="1">
      <c r="A6" s="51"/>
      <c r="B6" s="7">
        <v>42034</v>
      </c>
      <c r="C6" s="9" t="s">
        <v>11</v>
      </c>
      <c r="D6" s="9" t="s">
        <v>14</v>
      </c>
      <c r="E6" s="9" t="s">
        <v>49</v>
      </c>
      <c r="F6" s="9" t="s">
        <v>54</v>
      </c>
      <c r="G6" s="8"/>
      <c r="H6" s="8">
        <v>3.9</v>
      </c>
    </row>
    <row r="7" spans="1:9" ht="15.75" thickBot="1">
      <c r="A7" s="51"/>
      <c r="B7" s="7">
        <v>42041</v>
      </c>
      <c r="C7" s="48" t="s">
        <v>16</v>
      </c>
      <c r="D7" s="9" t="s">
        <v>14</v>
      </c>
      <c r="E7" s="48" t="s">
        <v>50</v>
      </c>
      <c r="F7" s="48" t="s">
        <v>55</v>
      </c>
      <c r="G7" s="8"/>
      <c r="H7" s="8">
        <v>4</v>
      </c>
    </row>
    <row r="8" spans="1:9" ht="15.75" thickBot="1">
      <c r="B8" s="52">
        <v>42046</v>
      </c>
      <c r="C8" s="48" t="s">
        <v>16</v>
      </c>
      <c r="D8" s="9" t="s">
        <v>15</v>
      </c>
      <c r="E8" s="48" t="s">
        <v>51</v>
      </c>
      <c r="F8" s="48" t="s">
        <v>56</v>
      </c>
      <c r="G8" s="48"/>
      <c r="H8" s="8">
        <v>3.8</v>
      </c>
    </row>
    <row r="9" spans="1:9" ht="15.75" thickBot="1">
      <c r="B9" s="52">
        <v>42046</v>
      </c>
      <c r="C9" s="48" t="s">
        <v>16</v>
      </c>
      <c r="D9" s="9" t="s">
        <v>15</v>
      </c>
      <c r="E9" s="48" t="s">
        <v>51</v>
      </c>
      <c r="F9" s="48" t="s">
        <v>57</v>
      </c>
      <c r="G9" s="48"/>
      <c r="H9" s="8">
        <v>3.5</v>
      </c>
    </row>
    <row r="10" spans="1:9" ht="15.75" thickBot="1">
      <c r="B10" s="52">
        <v>42046</v>
      </c>
      <c r="C10" s="48" t="s">
        <v>16</v>
      </c>
      <c r="D10" s="9" t="s">
        <v>15</v>
      </c>
      <c r="E10" s="48" t="s">
        <v>51</v>
      </c>
      <c r="F10" s="48" t="s">
        <v>58</v>
      </c>
      <c r="G10" s="48"/>
      <c r="H10" s="8">
        <v>3.4</v>
      </c>
    </row>
  </sheetData>
  <mergeCells count="1">
    <mergeCell ref="A1:I1"/>
  </mergeCells>
  <conditionalFormatting sqref="H3:I4 J5:J1048576">
    <cfRule type="iconSet" priority="49">
      <iconSet iconSet="3Symbols">
        <cfvo type="percent" val="0"/>
        <cfvo type="num" val="2.7" gte="0"/>
        <cfvo type="num" val="3.3"/>
      </iconSet>
    </cfRule>
  </conditionalFormatting>
  <conditionalFormatting sqref="H4:H5">
    <cfRule type="iconSet" priority="4">
      <iconSet iconSet="3Symbols">
        <cfvo type="percent" val="0"/>
        <cfvo type="num" val="2.7" gte="0"/>
        <cfvo type="num" val="3.3"/>
      </iconSet>
    </cfRule>
  </conditionalFormatting>
  <conditionalFormatting sqref="H6">
    <cfRule type="iconSet" priority="73">
      <iconSet iconSet="3Symbols">
        <cfvo type="percent" val="0"/>
        <cfvo type="num" val="2.7" gte="0"/>
        <cfvo type="num" val="3.3"/>
      </iconSet>
    </cfRule>
  </conditionalFormatting>
  <conditionalFormatting sqref="H7:H10">
    <cfRule type="iconSet" priority="1">
      <iconSet iconSet="3Symbols">
        <cfvo type="percent" val="0"/>
        <cfvo type="num" val="2.7" gte="0"/>
        <cfvo type="num" val="3.3"/>
      </iconSet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39"/>
  <sheetViews>
    <sheetView zoomScale="90" zoomScaleNormal="90" workbookViewId="0">
      <selection activeCell="V16" sqref="V16"/>
    </sheetView>
  </sheetViews>
  <sheetFormatPr baseColWidth="10" defaultRowHeight="15"/>
  <cols>
    <col min="1" max="1" width="4.7109375" customWidth="1"/>
    <col min="2" max="2" width="13.7109375" customWidth="1"/>
    <col min="5" max="5" width="5.7109375" customWidth="1"/>
    <col min="9" max="9" width="5.7109375" customWidth="1"/>
    <col min="13" max="13" width="5.7109375" customWidth="1"/>
    <col min="17" max="17" width="4.7109375" customWidth="1"/>
  </cols>
  <sheetData>
    <row r="1" spans="1:18" ht="21">
      <c r="A1" s="55" t="s">
        <v>10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46"/>
    </row>
    <row r="2" spans="1:18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3" spans="1:18" ht="17.25">
      <c r="A3" s="26"/>
      <c r="B3" s="54" t="s">
        <v>17</v>
      </c>
      <c r="C3" s="54"/>
      <c r="D3" s="54"/>
      <c r="E3" s="26"/>
      <c r="F3" s="54" t="s">
        <v>19</v>
      </c>
      <c r="G3" s="54"/>
      <c r="H3" s="54"/>
      <c r="I3" s="26"/>
      <c r="J3" s="54" t="s">
        <v>18</v>
      </c>
      <c r="K3" s="54"/>
      <c r="L3" s="54"/>
      <c r="M3" s="26"/>
      <c r="N3" s="54" t="s">
        <v>20</v>
      </c>
      <c r="O3" s="54"/>
      <c r="P3" s="54"/>
      <c r="Q3" s="26"/>
    </row>
    <row r="4" spans="1:18">
      <c r="A4" s="26"/>
      <c r="B4" s="37" t="s">
        <v>7</v>
      </c>
      <c r="C4" s="30">
        <f>SUMPRODUCT((MONTH(Client!B4:B83)=1)*1,(Client!H4:H83&gt;=3.3)*1)</f>
        <v>3</v>
      </c>
      <c r="D4" s="31">
        <f>C4/C7</f>
        <v>1</v>
      </c>
      <c r="E4" s="26"/>
      <c r="F4" s="37" t="s">
        <v>7</v>
      </c>
      <c r="G4" s="30">
        <f>SUMPRODUCT((MONTH(Client!B4:B83)=4)*1,(Client!H4:H83&gt;=3.3)*1)</f>
        <v>0</v>
      </c>
      <c r="H4" s="31" t="e">
        <f>G4/G7</f>
        <v>#DIV/0!</v>
      </c>
      <c r="I4" s="26"/>
      <c r="J4" s="37" t="s">
        <v>7</v>
      </c>
      <c r="K4" s="30">
        <f>SUMPRODUCT((MONTH(Client!B4:B83)=7)*1,(Client!H4:H83&gt;=3.3)*1)</f>
        <v>0</v>
      </c>
      <c r="L4" s="31" t="e">
        <f>K4/K7</f>
        <v>#DIV/0!</v>
      </c>
      <c r="M4" s="26"/>
      <c r="N4" s="37" t="s">
        <v>7</v>
      </c>
      <c r="O4" s="30">
        <f>SUMPRODUCT((MONTH(Client!B4:B83)=10)*1,(Client!H4:H83&gt;=3.3)*1)</f>
        <v>0</v>
      </c>
      <c r="P4" s="31" t="e">
        <f>O4/O7</f>
        <v>#DIV/0!</v>
      </c>
      <c r="Q4" s="26"/>
    </row>
    <row r="5" spans="1:18">
      <c r="A5" s="26"/>
      <c r="B5" s="38" t="s">
        <v>6</v>
      </c>
      <c r="C5" s="32">
        <f>SUMPRODUCT((MONTH(Client!B4:B83)=1)*1,(Client!H4:H83&lt;3.3)*1-(Client!H4:H83&lt;=2.7)*1)</f>
        <v>0</v>
      </c>
      <c r="D5" s="33">
        <f>C5/C7</f>
        <v>0</v>
      </c>
      <c r="E5" s="26"/>
      <c r="F5" s="38" t="s">
        <v>6</v>
      </c>
      <c r="G5" s="32">
        <f>SUMPRODUCT((MONTH(Client!B4:B83)=4)*1,(Client!H4:H83&lt;3.3)*1-(Client!H4:H83&lt;=2.7)*1)</f>
        <v>0</v>
      </c>
      <c r="H5" s="33" t="e">
        <f>G5/G7</f>
        <v>#DIV/0!</v>
      </c>
      <c r="I5" s="26"/>
      <c r="J5" s="38" t="s">
        <v>6</v>
      </c>
      <c r="K5" s="32">
        <f>SUMPRODUCT((MONTH(Client!B4:B83)=7)*1,(Client!H4:H83&lt;3.3)*1-(Client!H4:H83&lt;=2.7)*1)</f>
        <v>0</v>
      </c>
      <c r="L5" s="33" t="e">
        <f>K5/K7</f>
        <v>#DIV/0!</v>
      </c>
      <c r="M5" s="26"/>
      <c r="N5" s="38" t="s">
        <v>6</v>
      </c>
      <c r="O5" s="32">
        <f>SUMPRODUCT((MONTH(Client!B4:B83)=10)*1,(Client!H4:H83&lt;3.3)*1-(Client!H4:H83&lt;=2.7)*1)</f>
        <v>0</v>
      </c>
      <c r="P5" s="33" t="e">
        <f>O5/O7</f>
        <v>#DIV/0!</v>
      </c>
      <c r="Q5" s="26"/>
    </row>
    <row r="6" spans="1:18">
      <c r="A6" s="26"/>
      <c r="B6" s="39" t="s">
        <v>8</v>
      </c>
      <c r="C6" s="34">
        <f>SUMPRODUCT((MONTH(Client!B4:B83)=3)*1,(Client!H4:H83&lt;=2.7)*1)</f>
        <v>0</v>
      </c>
      <c r="D6" s="35">
        <f>C6/C7</f>
        <v>0</v>
      </c>
      <c r="E6" s="26"/>
      <c r="F6" s="39" t="s">
        <v>8</v>
      </c>
      <c r="G6" s="34">
        <f>SUMPRODUCT((MONTH(Client!B4:B83)=4)*1,(Client!H4:H83&lt;=2.7)*1)</f>
        <v>0</v>
      </c>
      <c r="H6" s="35" t="e">
        <f>G6/G7</f>
        <v>#DIV/0!</v>
      </c>
      <c r="I6" s="26"/>
      <c r="J6" s="39" t="s">
        <v>8</v>
      </c>
      <c r="K6" s="34">
        <f>SUMPRODUCT((MONTH(Client!B4:B83)=7)*1,(Client!H4:H83&lt;=2.7)*1)</f>
        <v>0</v>
      </c>
      <c r="L6" s="35" t="e">
        <f>K6/K7</f>
        <v>#DIV/0!</v>
      </c>
      <c r="M6" s="26"/>
      <c r="N6" s="39" t="s">
        <v>8</v>
      </c>
      <c r="O6" s="34">
        <f>SUMPRODUCT((MONTH(Client!B4:B83)=10)*1,(Client!H4:H83&lt;=2.7)*1)</f>
        <v>0</v>
      </c>
      <c r="P6" s="35" t="e">
        <f>O6/O7</f>
        <v>#DIV/0!</v>
      </c>
      <c r="Q6" s="26"/>
    </row>
    <row r="7" spans="1:18">
      <c r="A7" s="26"/>
      <c r="B7" s="40" t="s">
        <v>9</v>
      </c>
      <c r="C7" s="36">
        <f>SUM(C4:C6)</f>
        <v>3</v>
      </c>
      <c r="D7" s="27"/>
      <c r="E7" s="26"/>
      <c r="F7" s="40" t="s">
        <v>9</v>
      </c>
      <c r="G7" s="36">
        <f>SUM(G4:G6)</f>
        <v>0</v>
      </c>
      <c r="H7" s="27"/>
      <c r="I7" s="26"/>
      <c r="J7" s="40" t="s">
        <v>9</v>
      </c>
      <c r="K7" s="36">
        <f>SUM(K4:K6)</f>
        <v>0</v>
      </c>
      <c r="L7" s="27"/>
      <c r="M7" s="29"/>
      <c r="N7" s="40" t="s">
        <v>9</v>
      </c>
      <c r="O7" s="36">
        <f>SUM(O4:O6)</f>
        <v>0</v>
      </c>
      <c r="P7" s="27"/>
      <c r="Q7" s="26"/>
    </row>
    <row r="8" spans="1:18">
      <c r="A8" s="26"/>
      <c r="B8" s="41" t="s">
        <v>12</v>
      </c>
      <c r="C8" s="42">
        <f>D4-D6</f>
        <v>1</v>
      </c>
      <c r="D8" s="28"/>
      <c r="E8" s="26"/>
      <c r="F8" s="41" t="s">
        <v>12</v>
      </c>
      <c r="G8" s="43" t="e">
        <f>H4-H6</f>
        <v>#DIV/0!</v>
      </c>
      <c r="H8" s="28"/>
      <c r="I8" s="26"/>
      <c r="J8" s="41" t="s">
        <v>12</v>
      </c>
      <c r="K8" s="43" t="e">
        <f>L4-L6</f>
        <v>#DIV/0!</v>
      </c>
      <c r="L8" s="28"/>
      <c r="M8" s="29"/>
      <c r="N8" s="41" t="s">
        <v>12</v>
      </c>
      <c r="O8" s="43" t="e">
        <f>P4-P6</f>
        <v>#DIV/0!</v>
      </c>
      <c r="P8" s="28"/>
      <c r="Q8" s="26"/>
    </row>
    <row r="9" spans="1:18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</row>
    <row r="10" spans="1:18" ht="17.25">
      <c r="A10" s="26"/>
      <c r="B10" s="54" t="s">
        <v>24</v>
      </c>
      <c r="C10" s="54"/>
      <c r="D10" s="54"/>
      <c r="E10" s="26"/>
      <c r="F10" s="54" t="s">
        <v>23</v>
      </c>
      <c r="G10" s="54"/>
      <c r="H10" s="54"/>
      <c r="I10" s="26"/>
      <c r="J10" s="54" t="s">
        <v>22</v>
      </c>
      <c r="K10" s="54"/>
      <c r="L10" s="54"/>
      <c r="M10" s="26"/>
      <c r="N10" s="54" t="s">
        <v>21</v>
      </c>
      <c r="O10" s="54"/>
      <c r="P10" s="54"/>
      <c r="Q10" s="26"/>
    </row>
    <row r="11" spans="1:18">
      <c r="A11" s="26"/>
      <c r="B11" s="37" t="s">
        <v>7</v>
      </c>
      <c r="C11" s="30">
        <f>SUMPRODUCT((MONTH(Client!B4:B83)=2)*1,(Client!H4:H83&gt;=3.3)*1)</f>
        <v>4</v>
      </c>
      <c r="D11" s="31">
        <f>C11/C14</f>
        <v>1</v>
      </c>
      <c r="E11" s="26"/>
      <c r="F11" s="37" t="s">
        <v>7</v>
      </c>
      <c r="G11" s="30">
        <f>SUMPRODUCT((MONTH(Client!B4:B83)=5)*1,(Client!H4:H83&gt;=3.3)*1)</f>
        <v>0</v>
      </c>
      <c r="H11" s="31" t="e">
        <f>G11/G14</f>
        <v>#DIV/0!</v>
      </c>
      <c r="I11" s="26"/>
      <c r="J11" s="37" t="s">
        <v>7</v>
      </c>
      <c r="K11" s="30">
        <f>SUMPRODUCT((MONTH(Client!B4:B83)=8)*1,(Client!H4:H83&gt;=3.3)*1)</f>
        <v>0</v>
      </c>
      <c r="L11" s="31" t="e">
        <f>K11/K14</f>
        <v>#DIV/0!</v>
      </c>
      <c r="M11" s="26"/>
      <c r="N11" s="37" t="s">
        <v>7</v>
      </c>
      <c r="O11" s="30">
        <f>SUMPRODUCT((MONTH(Client!B4:B83)=11)*1,(Client!H4:H83&gt;=3.3)*1)</f>
        <v>0</v>
      </c>
      <c r="P11" s="31" t="e">
        <f>O11/O14</f>
        <v>#DIV/0!</v>
      </c>
      <c r="Q11" s="26"/>
    </row>
    <row r="12" spans="1:18">
      <c r="A12" s="26"/>
      <c r="B12" s="38" t="s">
        <v>6</v>
      </c>
      <c r="C12" s="32">
        <f>SUMPRODUCT((MONTH(Client!B4:B83)=2)*1,(Client!H4:H83&lt;3.3)*1-(Client!H4:H83&lt;=2.7)*1)</f>
        <v>0</v>
      </c>
      <c r="D12" s="33">
        <f>C12/C14</f>
        <v>0</v>
      </c>
      <c r="E12" s="26"/>
      <c r="F12" s="38" t="s">
        <v>6</v>
      </c>
      <c r="G12" s="32">
        <f>SUMPRODUCT((MONTH(Client!B4:B83)=5)*1,(Client!H4:H83&lt;3.3)*1-(Client!H4:H83&lt;=2.7)*1)</f>
        <v>0</v>
      </c>
      <c r="H12" s="33" t="e">
        <f>G12/G14</f>
        <v>#DIV/0!</v>
      </c>
      <c r="I12" s="26"/>
      <c r="J12" s="38" t="s">
        <v>6</v>
      </c>
      <c r="K12" s="32">
        <f>SUMPRODUCT((MONTH(Client!B4:B83)=8)*1,(Client!H4:H83&lt;3.3)*1-(Client!H4:H83&lt;=2.7)*1)</f>
        <v>0</v>
      </c>
      <c r="L12" s="33" t="e">
        <f>K12/K14</f>
        <v>#DIV/0!</v>
      </c>
      <c r="M12" s="26"/>
      <c r="N12" s="38" t="s">
        <v>6</v>
      </c>
      <c r="O12" s="32">
        <f>SUMPRODUCT((MONTH(Client!B4:B83)=11)*1,(Client!H4:H83&lt;3.3)*1-(Client!H4:H83&lt;=2.7)*1)</f>
        <v>0</v>
      </c>
      <c r="P12" s="33" t="e">
        <f>O12/O14</f>
        <v>#DIV/0!</v>
      </c>
      <c r="Q12" s="26"/>
    </row>
    <row r="13" spans="1:18">
      <c r="A13" s="26"/>
      <c r="B13" s="39" t="s">
        <v>8</v>
      </c>
      <c r="C13" s="34">
        <f>SUMPRODUCT((MONTH(Client!B4:B83)=2)*1,(Client!H4:H83&lt;=2.7)*1)</f>
        <v>0</v>
      </c>
      <c r="D13" s="35">
        <f>C13/C14</f>
        <v>0</v>
      </c>
      <c r="E13" s="26"/>
      <c r="F13" s="39" t="s">
        <v>8</v>
      </c>
      <c r="G13" s="34">
        <f>SUMPRODUCT((MONTH(Client!B4:B83)=4)*1,(Client!H4:H83&lt;=2.7)*1)</f>
        <v>0</v>
      </c>
      <c r="H13" s="35" t="e">
        <f>G13/G14</f>
        <v>#DIV/0!</v>
      </c>
      <c r="I13" s="26"/>
      <c r="J13" s="39" t="s">
        <v>8</v>
      </c>
      <c r="K13" s="34">
        <f>SUMPRODUCT((MONTH(Client!B4:B83)=8)*1,(Client!H4:H83&lt;=2.7)*1)</f>
        <v>0</v>
      </c>
      <c r="L13" s="35" t="e">
        <f>K13/K14</f>
        <v>#DIV/0!</v>
      </c>
      <c r="M13" s="26"/>
      <c r="N13" s="39" t="s">
        <v>8</v>
      </c>
      <c r="O13" s="34">
        <f>SUMPRODUCT((MONTH(Client!B4:B83)=11)*1,(Client!H4:H83&lt;=2.7)*1)</f>
        <v>0</v>
      </c>
      <c r="P13" s="35" t="e">
        <f>O13/O14</f>
        <v>#DIV/0!</v>
      </c>
      <c r="Q13" s="26"/>
    </row>
    <row r="14" spans="1:18">
      <c r="A14" s="26"/>
      <c r="B14" s="40" t="s">
        <v>9</v>
      </c>
      <c r="C14" s="36">
        <f>SUM(C11:C13)</f>
        <v>4</v>
      </c>
      <c r="D14" s="27"/>
      <c r="E14" s="26"/>
      <c r="F14" s="40" t="s">
        <v>9</v>
      </c>
      <c r="G14" s="36">
        <f>SUM(G11:G13)</f>
        <v>0</v>
      </c>
      <c r="H14" s="27"/>
      <c r="I14" s="29"/>
      <c r="J14" s="40" t="s">
        <v>9</v>
      </c>
      <c r="K14" s="36">
        <f>SUM(K11:K13)</f>
        <v>0</v>
      </c>
      <c r="L14" s="27"/>
      <c r="M14" s="26"/>
      <c r="N14" s="40" t="s">
        <v>9</v>
      </c>
      <c r="O14" s="36">
        <f>SUM(O11:O13)</f>
        <v>0</v>
      </c>
      <c r="P14" s="27"/>
      <c r="Q14" s="26"/>
    </row>
    <row r="15" spans="1:18">
      <c r="A15" s="26"/>
      <c r="B15" s="41" t="s">
        <v>12</v>
      </c>
      <c r="C15" s="43">
        <f>D11-D13</f>
        <v>1</v>
      </c>
      <c r="D15" s="28"/>
      <c r="E15" s="29"/>
      <c r="F15" s="41" t="s">
        <v>12</v>
      </c>
      <c r="G15" s="43" t="e">
        <f>H11-H13</f>
        <v>#DIV/0!</v>
      </c>
      <c r="H15" s="28"/>
      <c r="I15" s="26"/>
      <c r="J15" s="41" t="s">
        <v>12</v>
      </c>
      <c r="K15" s="43" t="e">
        <f>L11-L13</f>
        <v>#DIV/0!</v>
      </c>
      <c r="L15" s="28"/>
      <c r="M15" s="26"/>
      <c r="N15" s="41" t="s">
        <v>12</v>
      </c>
      <c r="O15" s="43" t="e">
        <f>P11-P13</f>
        <v>#DIV/0!</v>
      </c>
      <c r="P15" s="28"/>
      <c r="Q15" s="26"/>
    </row>
    <row r="16" spans="1:18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49"/>
      <c r="Q16" s="26"/>
    </row>
    <row r="17" spans="1:17" ht="17.25">
      <c r="A17" s="26"/>
      <c r="B17" s="54" t="s">
        <v>25</v>
      </c>
      <c r="C17" s="54"/>
      <c r="D17" s="54"/>
      <c r="E17" s="26"/>
      <c r="F17" s="54" t="s">
        <v>26</v>
      </c>
      <c r="G17" s="54"/>
      <c r="H17" s="54"/>
      <c r="I17" s="26"/>
      <c r="J17" s="54" t="s">
        <v>27</v>
      </c>
      <c r="K17" s="54"/>
      <c r="L17" s="54"/>
      <c r="M17" s="26"/>
      <c r="N17" s="54" t="s">
        <v>28</v>
      </c>
      <c r="O17" s="54"/>
      <c r="P17" s="54"/>
      <c r="Q17" s="26"/>
    </row>
    <row r="18" spans="1:17">
      <c r="A18" s="26"/>
      <c r="B18" s="37" t="s">
        <v>7</v>
      </c>
      <c r="C18" s="30">
        <f>SUMPRODUCT((MONTH(Client!B4:B83)=3)*1,(Client!H4:H83&gt;=3.3)*1)</f>
        <v>0</v>
      </c>
      <c r="D18" s="31" t="e">
        <f>C18/C21</f>
        <v>#DIV/0!</v>
      </c>
      <c r="E18" s="26"/>
      <c r="F18" s="37" t="s">
        <v>7</v>
      </c>
      <c r="G18" s="30">
        <f>SUMPRODUCT((MONTH(Client!B4:B83)=6)*1,(Client!H4:H83&gt;=3.3)*1)</f>
        <v>0</v>
      </c>
      <c r="H18" s="31" t="e">
        <f>G18/G21</f>
        <v>#DIV/0!</v>
      </c>
      <c r="I18" s="26"/>
      <c r="J18" s="37" t="s">
        <v>7</v>
      </c>
      <c r="K18" s="30">
        <f>SUMPRODUCT((MONTH(Client!B4:B83)=9)*1,(Client!H4:H83&gt;=3.3)*1)</f>
        <v>0</v>
      </c>
      <c r="L18" s="31" t="e">
        <f>K18/K21</f>
        <v>#DIV/0!</v>
      </c>
      <c r="M18" s="26"/>
      <c r="N18" s="37" t="s">
        <v>7</v>
      </c>
      <c r="O18" s="30">
        <f>SUMPRODUCT((MONTH(Client!B4:B83)=12)*1,(Client!B4:B83&gt;=3.3)*1)</f>
        <v>0</v>
      </c>
      <c r="P18" s="31" t="e">
        <f>O18/O21</f>
        <v>#DIV/0!</v>
      </c>
      <c r="Q18" s="26"/>
    </row>
    <row r="19" spans="1:17">
      <c r="A19" s="26"/>
      <c r="B19" s="38" t="s">
        <v>6</v>
      </c>
      <c r="C19" s="32">
        <f>SUMPRODUCT((MONTH(Client!B4:B83)=3)*1,(Client!H4:H83&lt;3.3)*1-(Client!H4:H83&lt;=2.7)*1)</f>
        <v>0</v>
      </c>
      <c r="D19" s="33" t="e">
        <f>C19/C21</f>
        <v>#DIV/0!</v>
      </c>
      <c r="E19" s="26"/>
      <c r="F19" s="38" t="s">
        <v>6</v>
      </c>
      <c r="G19" s="32">
        <f>SUMPRODUCT((MONTH(Client!B4:B83)=6)*1,(Client!H4:H83&lt;3.3)*1-(Client!H4:H83&lt;=2.7)*1)</f>
        <v>0</v>
      </c>
      <c r="H19" s="33" t="e">
        <f>G19/G21</f>
        <v>#DIV/0!</v>
      </c>
      <c r="I19" s="26"/>
      <c r="J19" s="38" t="s">
        <v>6</v>
      </c>
      <c r="K19" s="32">
        <f>SUMPRODUCT((MONTH(Client!B4:B83)=9)*1,(Client!H4:H83&lt;3.3)*1-(Client!H4:H83&lt;=2.7)*1)</f>
        <v>0</v>
      </c>
      <c r="L19" s="33" t="e">
        <f>K19/K21</f>
        <v>#DIV/0!</v>
      </c>
      <c r="M19" s="26"/>
      <c r="N19" s="38" t="s">
        <v>6</v>
      </c>
      <c r="O19" s="32">
        <f>SUMPRODUCT((MONTH(Client!B4:B83)=12)*1,(Client!H4:H83&lt;3.3)*1-(Client!H4:H83&lt;=2.7)*1)</f>
        <v>0</v>
      </c>
      <c r="P19" s="33" t="e">
        <f>O19/O21</f>
        <v>#DIV/0!</v>
      </c>
      <c r="Q19" s="26"/>
    </row>
    <row r="20" spans="1:17">
      <c r="A20" s="26"/>
      <c r="B20" s="39" t="s">
        <v>8</v>
      </c>
      <c r="C20" s="34">
        <f>SUMPRODUCT((MONTH(Client!B4:B83)=3)*1,(Client!H4:H83&lt;=2.7)*1)</f>
        <v>0</v>
      </c>
      <c r="D20" s="35" t="e">
        <f>C20/C21</f>
        <v>#DIV/0!</v>
      </c>
      <c r="E20" s="26"/>
      <c r="F20" s="39" t="s">
        <v>8</v>
      </c>
      <c r="G20" s="34">
        <f>SUMPRODUCT((MONTH(Client!B4:B83)=4)*1,(Client!H4:H83&lt;=2.7)*1)</f>
        <v>0</v>
      </c>
      <c r="H20" s="35" t="e">
        <f>G20/G21</f>
        <v>#DIV/0!</v>
      </c>
      <c r="I20" s="26"/>
      <c r="J20" s="39" t="s">
        <v>8</v>
      </c>
      <c r="K20" s="34">
        <f>SUMPRODUCT((MONTH(Client!B4:B83)=9)*1,(Client!H4:H83&lt;=2.7)*1)</f>
        <v>0</v>
      </c>
      <c r="L20" s="35" t="e">
        <f>K20/K21</f>
        <v>#DIV/0!</v>
      </c>
      <c r="M20" s="26"/>
      <c r="N20" s="39" t="s">
        <v>8</v>
      </c>
      <c r="O20" s="34">
        <f>SUMPRODUCT((MONTH(Client!B4:B83)=12)*1,(Client!H4:H83&lt;=2.7)*1)</f>
        <v>0</v>
      </c>
      <c r="P20" s="35" t="e">
        <f>O20/O21</f>
        <v>#DIV/0!</v>
      </c>
      <c r="Q20" s="26"/>
    </row>
    <row r="21" spans="1:17">
      <c r="A21" s="26"/>
      <c r="B21" s="40" t="s">
        <v>9</v>
      </c>
      <c r="C21" s="36">
        <f>SUM(C18:C20)</f>
        <v>0</v>
      </c>
      <c r="D21" s="27"/>
      <c r="E21" s="29"/>
      <c r="F21" s="40" t="s">
        <v>9</v>
      </c>
      <c r="G21" s="36">
        <f>SUM(G18:G20)</f>
        <v>0</v>
      </c>
      <c r="H21" s="27"/>
      <c r="I21" s="29"/>
      <c r="J21" s="40" t="s">
        <v>9</v>
      </c>
      <c r="K21" s="36">
        <f>SUM(K18:K20)</f>
        <v>0</v>
      </c>
      <c r="L21" s="27"/>
      <c r="M21" s="26"/>
      <c r="N21" s="40" t="s">
        <v>9</v>
      </c>
      <c r="O21" s="36">
        <f>SUM(O18:O20)</f>
        <v>0</v>
      </c>
      <c r="P21" s="27"/>
      <c r="Q21" s="26"/>
    </row>
    <row r="22" spans="1:17">
      <c r="A22" s="26"/>
      <c r="B22" s="41" t="s">
        <v>12</v>
      </c>
      <c r="C22" s="43" t="e">
        <f>D18-D20</f>
        <v>#DIV/0!</v>
      </c>
      <c r="D22" s="28"/>
      <c r="E22" s="29"/>
      <c r="F22" s="41" t="s">
        <v>12</v>
      </c>
      <c r="G22" s="43" t="e">
        <f>H18-H20</f>
        <v>#DIV/0!</v>
      </c>
      <c r="H22" s="28"/>
      <c r="I22" s="29"/>
      <c r="J22" s="41" t="s">
        <v>12</v>
      </c>
      <c r="K22" s="43" t="e">
        <f>L18-L20</f>
        <v>#DIV/0!</v>
      </c>
      <c r="L22" s="28"/>
      <c r="M22" s="26"/>
      <c r="N22" s="41" t="s">
        <v>12</v>
      </c>
      <c r="O22" s="43" t="e">
        <f>P18-P20</f>
        <v>#DIV/0!</v>
      </c>
      <c r="P22" s="28"/>
      <c r="Q22" s="26"/>
    </row>
    <row r="23" spans="1:17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</row>
    <row r="24" spans="1:17">
      <c r="A24" s="26"/>
      <c r="B24" s="44" t="s">
        <v>32</v>
      </c>
      <c r="C24" s="45" t="e">
        <f>(C8+C15+C22)/3</f>
        <v>#DIV/0!</v>
      </c>
      <c r="D24" s="26"/>
      <c r="E24" s="26"/>
      <c r="F24" s="44" t="s">
        <v>33</v>
      </c>
      <c r="G24" s="45" t="e">
        <f>(G8+G15+G22)/3</f>
        <v>#DIV/0!</v>
      </c>
      <c r="H24" s="26"/>
      <c r="I24" s="26"/>
      <c r="J24" s="44" t="s">
        <v>34</v>
      </c>
      <c r="K24" s="45" t="e">
        <f>(K8+K15+K22)/3</f>
        <v>#DIV/0!</v>
      </c>
      <c r="L24" s="26"/>
      <c r="M24" s="26"/>
      <c r="N24" s="44" t="s">
        <v>35</v>
      </c>
      <c r="O24" s="45" t="e">
        <f>(O8+O15+O22)/3</f>
        <v>#DIV/0!</v>
      </c>
      <c r="P24" s="26"/>
      <c r="Q24" s="26"/>
    </row>
    <row r="25" spans="1:17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</row>
    <row r="26" spans="1:17">
      <c r="A26" s="47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>
      <c r="A27" s="47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>
      <c r="A28" s="47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>
      <c r="A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>
      <c r="A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>
      <c r="A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</sheetData>
  <mergeCells count="13">
    <mergeCell ref="N3:P3"/>
    <mergeCell ref="N10:P10"/>
    <mergeCell ref="N17:P17"/>
    <mergeCell ref="A1:Q1"/>
    <mergeCell ref="B17:D17"/>
    <mergeCell ref="F3:H3"/>
    <mergeCell ref="J3:L3"/>
    <mergeCell ref="B10:D10"/>
    <mergeCell ref="B3:D3"/>
    <mergeCell ref="F10:H10"/>
    <mergeCell ref="F17:H17"/>
    <mergeCell ref="J10:L10"/>
    <mergeCell ref="J17:L17"/>
  </mergeCells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D11" evalError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10"/>
  <sheetViews>
    <sheetView zoomScale="90" zoomScaleNormal="90" workbookViewId="0">
      <selection activeCell="G10" sqref="G10"/>
    </sheetView>
  </sheetViews>
  <sheetFormatPr baseColWidth="10" defaultRowHeight="15"/>
  <cols>
    <col min="1" max="1" width="4.7109375" style="1" customWidth="1"/>
    <col min="2" max="2" width="19.140625" style="1" customWidth="1"/>
    <col min="3" max="3" width="12.28515625" style="1" customWidth="1"/>
    <col min="4" max="4" width="18" style="1" customWidth="1"/>
    <col min="5" max="5" width="14.42578125" style="1" customWidth="1"/>
    <col min="6" max="6" width="19.7109375" style="1" customWidth="1"/>
    <col min="7" max="7" width="14.7109375" style="1" bestFit="1" customWidth="1"/>
    <col min="8" max="8" width="18.28515625" style="1" customWidth="1"/>
    <col min="9" max="9" width="13.140625" style="1" customWidth="1"/>
    <col min="10" max="10" width="14.5703125" style="1" customWidth="1"/>
    <col min="11" max="11" width="13.7109375" style="1" customWidth="1"/>
    <col min="12" max="16384" width="11.42578125" style="1"/>
  </cols>
  <sheetData>
    <row r="1" spans="1:19" ht="21">
      <c r="A1" s="55" t="s">
        <v>10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23"/>
      <c r="P1" s="23"/>
      <c r="Q1" s="23"/>
      <c r="R1" s="24"/>
      <c r="S1" s="25"/>
    </row>
    <row r="3" spans="1:19">
      <c r="B3" s="10" t="s">
        <v>29</v>
      </c>
      <c r="C3" s="11" t="s">
        <v>30</v>
      </c>
      <c r="D3" s="11" t="s">
        <v>38</v>
      </c>
      <c r="E3" s="11" t="s">
        <v>39</v>
      </c>
      <c r="F3" s="13" t="s">
        <v>43</v>
      </c>
      <c r="G3" s="18" t="s">
        <v>44</v>
      </c>
      <c r="I3" s="1" t="s">
        <v>40</v>
      </c>
      <c r="J3" s="1" t="s">
        <v>37</v>
      </c>
      <c r="K3" s="1" t="s">
        <v>41</v>
      </c>
      <c r="M3" s="1" t="s">
        <v>9</v>
      </c>
      <c r="N3" s="1">
        <f>SUM(Tableau1[Nbr Formation])</f>
        <v>6</v>
      </c>
    </row>
    <row r="4" spans="1:19">
      <c r="B4" s="21" t="s">
        <v>5</v>
      </c>
      <c r="C4" s="12">
        <f>COUNTIF(Client!C4:C296,"base")</f>
        <v>2</v>
      </c>
      <c r="D4" s="12">
        <v>2</v>
      </c>
      <c r="E4" s="12">
        <v>8</v>
      </c>
      <c r="F4" s="14">
        <f>(Tableau1[[#This Row],[Nbr Formation]]*1)/N3</f>
        <v>0.33333333333333331</v>
      </c>
      <c r="G4" s="19">
        <f>Tableau1[[#This Row],[Nbr Jours]]/N4</f>
        <v>0.36363636363636365</v>
      </c>
      <c r="I4" s="17">
        <f>SUMPRODUCT(((Client!C4:C83)="Base")*1,(Client!H4:H83&lt;3.3)*1-(Client!H4:H83&lt;=2.7)*1)</f>
        <v>0</v>
      </c>
      <c r="J4" s="17" t="e">
        <f>J10*Tableau5[[#This Row],[Nbr Passifs]]/I10</f>
        <v>#DIV/0!</v>
      </c>
      <c r="M4" s="1" t="s">
        <v>42</v>
      </c>
      <c r="N4" s="1">
        <f>SUM(Tableau1[Nbr Jours])</f>
        <v>22</v>
      </c>
    </row>
    <row r="5" spans="1:19">
      <c r="B5" s="22" t="s">
        <v>16</v>
      </c>
      <c r="C5" s="12">
        <f>COUNTIF(Client!C4:C296,"Initié")</f>
        <v>4</v>
      </c>
      <c r="D5" s="12">
        <v>2</v>
      </c>
      <c r="E5" s="12">
        <v>10</v>
      </c>
      <c r="F5" s="15">
        <f>(Tableau1[[#This Row],[Nbr Formation]]*1)/N3</f>
        <v>0.33333333333333331</v>
      </c>
      <c r="G5" s="20">
        <f>Tableau1[[#This Row],[Nbr Jours]]/N4</f>
        <v>0.45454545454545453</v>
      </c>
      <c r="I5" s="17">
        <f>SUMPRODUCT((Client!B5:B84="Initié")*1,(Client!H5:H84&lt;3.3)*1-(Client!H5:H84&lt;=2.7)*1)</f>
        <v>0</v>
      </c>
      <c r="J5" s="17" t="e">
        <f>J11*Tableau5[[#This Row],[Nbr Passifs]]/I11</f>
        <v>#DIV/0!</v>
      </c>
      <c r="M5" s="1" t="s">
        <v>47</v>
      </c>
    </row>
    <row r="6" spans="1:19">
      <c r="B6" s="12" t="s">
        <v>31</v>
      </c>
      <c r="C6" s="12">
        <f>COUNTIF(Client!C4:C296,"Perfectionnement")</f>
        <v>0</v>
      </c>
      <c r="D6" s="12">
        <v>0</v>
      </c>
      <c r="E6" s="12">
        <v>0</v>
      </c>
      <c r="F6" s="15">
        <f>(Tableau1[[#This Row],[Nbr Formation]]*1)/N3</f>
        <v>0</v>
      </c>
      <c r="G6" s="20">
        <f>Tableau1[[#This Row],[Nbr Jours]]/N3</f>
        <v>0</v>
      </c>
      <c r="I6" s="17">
        <f>SUMPRODUCT((Client!B6:B85="Perfectionnement")*1,(Client!H6:H85&lt;3.3)*1-(Client!H6:H85&lt;=2.7)*1)</f>
        <v>0</v>
      </c>
      <c r="J6" s="17" t="e">
        <f>J12*Tableau5[[#This Row],[Nbr Passifs]]/I12</f>
        <v>#DIV/0!</v>
      </c>
    </row>
    <row r="7" spans="1:19">
      <c r="B7" s="12" t="s">
        <v>36</v>
      </c>
      <c r="C7" s="12">
        <f>COUNTIF(Client!C4:C296,"Nouveauté")</f>
        <v>0</v>
      </c>
      <c r="D7" s="12">
        <v>0</v>
      </c>
      <c r="E7" s="12">
        <v>0</v>
      </c>
      <c r="F7" s="15">
        <f>(Tableau1[[#This Row],[Nbr Formation]]*1)/N3</f>
        <v>0</v>
      </c>
      <c r="G7" s="20">
        <f>Tableau1[[#This Row],[Nbr Jours]]/N4</f>
        <v>0</v>
      </c>
      <c r="I7" s="17">
        <f>SUMPRODUCT((Client!B7:B86="Nouveauté")*1,(Client!H7:H86&lt;3.3)*1-(Client!H7:H86&lt;=2.7)*1)</f>
        <v>0</v>
      </c>
      <c r="J7" s="17" t="e">
        <f>J13*Tableau5[[#This Row],[Nbr Passifs]]/I13</f>
        <v>#DIV/0!</v>
      </c>
    </row>
    <row r="8" spans="1:19">
      <c r="B8" s="10" t="s">
        <v>11</v>
      </c>
      <c r="C8" s="11">
        <f>COUNTIF(Client!C4:C296,"Personnalisé")</f>
        <v>1</v>
      </c>
      <c r="D8" s="11">
        <v>2</v>
      </c>
      <c r="E8" s="11">
        <v>4</v>
      </c>
      <c r="F8" s="16">
        <f>(Tableau1[[#This Row],[Nbr Formation]]*1)/N3</f>
        <v>0.33333333333333331</v>
      </c>
      <c r="G8" s="20">
        <f>Tableau1[[#This Row],[Nbr Jours]]/N4</f>
        <v>0.18181818181818182</v>
      </c>
      <c r="I8" s="17">
        <f>SUMPRODUCT((Client!B7:B87="Personnalisé")*1,(Client!H7:H87&lt;3.3)*1-(Client!H7:H87&lt;=2.7)*1)</f>
        <v>0</v>
      </c>
      <c r="J8" s="17" t="e">
        <f>J14*Tableau5[[#This Row],[Nbr Passifs]]/I14</f>
        <v>#DIV/0!</v>
      </c>
    </row>
    <row r="10" spans="1:19">
      <c r="I10" s="1">
        <f>SUM(Tableau5[Nbr Passifs])</f>
        <v>0</v>
      </c>
      <c r="J10" s="50">
        <v>1</v>
      </c>
    </row>
  </sheetData>
  <mergeCells count="1">
    <mergeCell ref="A1:N1"/>
  </mergeCells>
  <pageMargins left="0.7" right="0.7" top="0.75" bottom="0.75" header="0.3" footer="0.3"/>
  <pageSetup paperSize="9" orientation="portrait" r:id="rId1"/>
  <ignoredErrors>
    <ignoredError sqref="G4:G5 G8 F5:F8" calculatedColumn="1"/>
  </ignoredErrors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</vt:lpstr>
      <vt:lpstr>Satisfaction</vt:lpstr>
      <vt:lpstr>Stats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</dc:creator>
  <cp:lastModifiedBy>dkoch</cp:lastModifiedBy>
  <cp:lastPrinted>2015-02-04T13:59:56Z</cp:lastPrinted>
  <dcterms:created xsi:type="dcterms:W3CDTF">2015-01-20T20:45:39Z</dcterms:created>
  <dcterms:modified xsi:type="dcterms:W3CDTF">2015-02-12T16:49:05Z</dcterms:modified>
</cp:coreProperties>
</file>