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 codeName="{7A2D7E96-6E34-419A-AE5F-296B3A7E7977}"/>
  <workbookPr filterPrivacy="1" codeName="ThisWorkbook" autoCompressPictures="0"/>
  <bookViews>
    <workbookView xWindow="0" yWindow="0" windowWidth="25600" windowHeight="14320" activeTab="3"/>
  </bookViews>
  <sheets>
    <sheet name="Prévisionnel" sheetId="1" r:id="rId1"/>
    <sheet name="Suivi" sheetId="2" r:id="rId2"/>
    <sheet name="Tri sélectif" sheetId="3" r:id="rId3"/>
    <sheet name="Planning réel" sheetId="4" r:id="rId4"/>
    <sheet name="Données" sheetId="9" r:id="rId5"/>
  </sheets>
  <definedNames>
    <definedName name="_xlnm._FilterDatabase" localSheetId="1" hidden="1">Suivi!$B$1:$N$24</definedName>
    <definedName name="_xlnm._FilterDatabase" localSheetId="2" hidden="1">'Tri sélectif'!$A$1:$N$19</definedName>
    <definedName name="_xlnm.Criteria" localSheetId="1">Suivi!$E$6:$F$7</definedName>
    <definedName name="_xlnm.Criteria" localSheetId="2">'Tri sélectif'!$D$2:$F$3</definedName>
    <definedName name="_xlnm.Extract" localSheetId="1">Suivi!$E$32:$I$32</definedName>
    <definedName name="_xlnm.Extract" localSheetId="2">'Tri sélectif'!$B$9:$F$25</definedName>
    <definedName name="LST_Annee">Données!$L$3:$L$14</definedName>
    <definedName name="LST_Annee_suivi">TAB_Reel[Année]</definedName>
    <definedName name="LST_Cout">Données!$G$3:$H$4</definedName>
    <definedName name="LST_Libelle">Données!$B$3:$B$7</definedName>
    <definedName name="LST_Libelle_Tache">Données!$A$3:$B$7</definedName>
    <definedName name="LST_Mois">Données!$D$3:$E$14</definedName>
    <definedName name="LST_Mois_Mois">Données!$E$3:$E$14</definedName>
    <definedName name="LST_Quota">Données!$J$3</definedName>
    <definedName name="LST_Ressource">Données!$G$3:$G$4</definedName>
    <definedName name="LST_Tache">Données!$A$3:$A$7</definedName>
    <definedName name="TAB_Avancement_reel">TAB_Reel[% avancement]</definedName>
    <definedName name="TAB_Cumul_reel">TAB_Reel[Cumul temps sur la tâche]</definedName>
    <definedName name="TAB_Date_reelle">TAB_Reel[Date]</definedName>
    <definedName name="TAB_Fiche_Reelle">Suivi!$B$2:$L$127</definedName>
    <definedName name="TAB_Previsionel">Prévisionnel!$A$4:$F$8</definedName>
    <definedName name="TAB_Tache_reelle">TAB_Reel[Tâche]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0" i="4" l="1"/>
  <c r="U8" i="4"/>
  <c r="T9" i="4"/>
  <c r="U11" i="4"/>
  <c r="U17" i="4"/>
  <c r="U16" i="4"/>
  <c r="E3" i="4"/>
  <c r="F3" i="4"/>
  <c r="G3" i="4"/>
  <c r="H3" i="4"/>
  <c r="I3" i="4"/>
  <c r="J3" i="4"/>
  <c r="K3" i="4"/>
  <c r="L3" i="4"/>
  <c r="M3" i="4"/>
  <c r="N3" i="4"/>
  <c r="O3" i="4"/>
  <c r="D3" i="4"/>
  <c r="D4" i="4"/>
  <c r="D1" i="4"/>
  <c r="F2" i="2"/>
  <c r="E1" i="4"/>
  <c r="F1" i="4"/>
  <c r="G1" i="4"/>
  <c r="H1" i="4"/>
  <c r="I1" i="4"/>
  <c r="J1" i="4"/>
  <c r="K1" i="4"/>
  <c r="L1" i="4"/>
  <c r="M1" i="4"/>
  <c r="N1" i="4"/>
  <c r="O1" i="4"/>
  <c r="P1" i="4"/>
  <c r="Q1" i="4"/>
  <c r="E4" i="4"/>
  <c r="F4" i="4"/>
  <c r="G4" i="4"/>
  <c r="H4" i="4"/>
  <c r="I4" i="4"/>
  <c r="J4" i="4"/>
  <c r="K4" i="4"/>
  <c r="L4" i="4"/>
  <c r="M4" i="4"/>
  <c r="N4" i="4"/>
  <c r="O4" i="4"/>
  <c r="D6" i="4"/>
  <c r="E6" i="4"/>
  <c r="F6" i="4"/>
  <c r="G6" i="4"/>
  <c r="H6" i="4"/>
  <c r="I6" i="4"/>
  <c r="J6" i="4"/>
  <c r="K6" i="4"/>
  <c r="L6" i="4"/>
  <c r="M6" i="4"/>
  <c r="N6" i="4"/>
  <c r="O6" i="4"/>
  <c r="D8" i="4"/>
  <c r="E8" i="4"/>
  <c r="F8" i="4"/>
  <c r="G8" i="4"/>
  <c r="H8" i="4"/>
  <c r="I8" i="4"/>
  <c r="J8" i="4"/>
  <c r="K8" i="4"/>
  <c r="L8" i="4"/>
  <c r="M8" i="4"/>
  <c r="N8" i="4"/>
  <c r="O8" i="4"/>
  <c r="D10" i="4"/>
  <c r="E10" i="4"/>
  <c r="F10" i="4"/>
  <c r="G10" i="4"/>
  <c r="H10" i="4"/>
  <c r="I10" i="4"/>
  <c r="J10" i="4"/>
  <c r="K10" i="4"/>
  <c r="L10" i="4"/>
  <c r="M10" i="4"/>
  <c r="N10" i="4"/>
  <c r="O10" i="4"/>
  <c r="E2" i="4"/>
  <c r="F2" i="4"/>
  <c r="G2" i="4"/>
  <c r="H2" i="4"/>
  <c r="I2" i="4"/>
  <c r="J2" i="4"/>
  <c r="K2" i="4"/>
  <c r="L2" i="4"/>
  <c r="M2" i="4"/>
  <c r="N2" i="4"/>
  <c r="O2" i="4"/>
  <c r="D2" i="4"/>
  <c r="G2" i="2"/>
  <c r="K2" i="2"/>
  <c r="L2" i="2"/>
  <c r="G3" i="2"/>
  <c r="K3" i="2"/>
  <c r="L3" i="2"/>
  <c r="G4" i="2"/>
  <c r="K4" i="2"/>
  <c r="L4" i="2"/>
  <c r="G5" i="2"/>
  <c r="K5" i="2"/>
  <c r="L5" i="2"/>
  <c r="G6" i="2"/>
  <c r="K6" i="2"/>
  <c r="L6" i="2"/>
  <c r="G7" i="2"/>
  <c r="K7" i="2"/>
  <c r="L7" i="2"/>
  <c r="G8" i="2"/>
  <c r="K8" i="2"/>
  <c r="L8" i="2"/>
  <c r="G9" i="2"/>
  <c r="K9" i="2"/>
  <c r="L9" i="2"/>
  <c r="G10" i="2"/>
  <c r="K10" i="2"/>
  <c r="L10" i="2"/>
  <c r="G11" i="2"/>
  <c r="K11" i="2"/>
  <c r="L11" i="2"/>
  <c r="G12" i="2"/>
  <c r="K12" i="2"/>
  <c r="L12" i="2"/>
  <c r="G13" i="2"/>
  <c r="K13" i="2"/>
  <c r="L13" i="2"/>
  <c r="G14" i="2"/>
  <c r="K14" i="2"/>
  <c r="L14" i="2"/>
  <c r="G15" i="2"/>
  <c r="K15" i="2"/>
  <c r="L15" i="2"/>
  <c r="G16" i="2"/>
  <c r="K16" i="2"/>
  <c r="L16" i="2"/>
  <c r="G17" i="2"/>
  <c r="K17" i="2"/>
  <c r="L17" i="2"/>
  <c r="G18" i="2"/>
  <c r="K18" i="2"/>
  <c r="L18" i="2"/>
  <c r="G19" i="2"/>
  <c r="K19" i="2"/>
  <c r="L19" i="2"/>
  <c r="G20" i="2"/>
  <c r="K20" i="2"/>
  <c r="L20" i="2"/>
  <c r="G21" i="2"/>
  <c r="K21" i="2"/>
  <c r="L21" i="2"/>
  <c r="G22" i="2"/>
  <c r="K22" i="2"/>
  <c r="L22" i="2"/>
  <c r="G23" i="2"/>
  <c r="K23" i="2"/>
  <c r="L23" i="2"/>
  <c r="G24" i="2"/>
  <c r="K24" i="2"/>
  <c r="L24" i="2"/>
  <c r="M7" i="2"/>
  <c r="M2" i="2"/>
  <c r="M3" i="2"/>
  <c r="M4" i="2"/>
  <c r="M5" i="2"/>
  <c r="M6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E7" i="3"/>
  <c r="E6" i="3"/>
  <c r="M4" i="1" a="1"/>
  <c r="M4" i="1"/>
  <c r="H4" i="1" a="1"/>
  <c r="H4" i="1"/>
  <c r="M5" i="1" a="1"/>
  <c r="M5" i="1"/>
  <c r="H5" i="1" a="1"/>
  <c r="H5" i="1"/>
  <c r="M6" i="1" a="1"/>
  <c r="M6" i="1"/>
  <c r="H6" i="1" a="1"/>
  <c r="H6" i="1"/>
  <c r="M7" i="1" a="1"/>
  <c r="M7" i="1"/>
  <c r="H7" i="1" a="1"/>
  <c r="H7" i="1"/>
  <c r="M8" i="1" a="1"/>
  <c r="M8" i="1"/>
  <c r="H8" i="1" a="1"/>
  <c r="H8" i="1"/>
  <c r="J4" i="1"/>
  <c r="P4" i="1" a="1"/>
  <c r="P4" i="1"/>
  <c r="Q4" i="1"/>
  <c r="J5" i="1"/>
  <c r="P5" i="1" a="1"/>
  <c r="P5" i="1"/>
  <c r="Q5" i="1"/>
  <c r="J6" i="1"/>
  <c r="P6" i="1" a="1"/>
  <c r="P6" i="1"/>
  <c r="Q6" i="1"/>
  <c r="J7" i="1"/>
  <c r="P7" i="1" a="1"/>
  <c r="P7" i="1"/>
  <c r="Q7" i="1"/>
  <c r="J8" i="1"/>
  <c r="P8" i="1" a="1"/>
  <c r="P8" i="1"/>
  <c r="Q8" i="1"/>
  <c r="G4" i="1" a="1"/>
  <c r="G4" i="1"/>
  <c r="D3" i="2"/>
  <c r="J2" i="2"/>
  <c r="F6" i="2"/>
  <c r="J6" i="2"/>
  <c r="F7" i="2"/>
  <c r="J7" i="2"/>
  <c r="F8" i="2"/>
  <c r="J8" i="2"/>
  <c r="F9" i="2"/>
  <c r="J9" i="2"/>
  <c r="F10" i="2"/>
  <c r="J10" i="2"/>
  <c r="F11" i="2"/>
  <c r="J11" i="2"/>
  <c r="F12" i="2"/>
  <c r="J12" i="2"/>
  <c r="F13" i="2"/>
  <c r="J13" i="2"/>
  <c r="F14" i="2"/>
  <c r="J14" i="2"/>
  <c r="F15" i="2"/>
  <c r="J15" i="2"/>
  <c r="F16" i="2"/>
  <c r="J16" i="2"/>
  <c r="F17" i="2"/>
  <c r="J17" i="2"/>
  <c r="F18" i="2"/>
  <c r="J18" i="2"/>
  <c r="F19" i="2"/>
  <c r="J19" i="2"/>
  <c r="F20" i="2"/>
  <c r="J20" i="2"/>
  <c r="F21" i="2"/>
  <c r="J21" i="2"/>
  <c r="F22" i="2"/>
  <c r="J22" i="2"/>
  <c r="F23" i="2"/>
  <c r="J23" i="2"/>
  <c r="F24" i="2"/>
  <c r="J24" i="2"/>
  <c r="C3" i="2"/>
  <c r="F3" i="2"/>
  <c r="J3" i="2"/>
  <c r="N3" i="2"/>
  <c r="C4" i="2"/>
  <c r="D4" i="2"/>
  <c r="F4" i="2"/>
  <c r="J4" i="2"/>
  <c r="N4" i="2"/>
  <c r="C5" i="2"/>
  <c r="D5" i="2"/>
  <c r="F5" i="2"/>
  <c r="J5" i="2"/>
  <c r="N5" i="2"/>
  <c r="C24" i="2"/>
  <c r="D24" i="2"/>
  <c r="N24" i="2"/>
  <c r="N2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7" i="1"/>
  <c r="L5" i="1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D6" i="2"/>
  <c r="D7" i="2"/>
  <c r="D8" i="2"/>
  <c r="D9" i="2"/>
  <c r="D10" i="2"/>
  <c r="D11" i="2"/>
  <c r="D2" i="2"/>
  <c r="C11" i="2"/>
  <c r="C2" i="2"/>
  <c r="C6" i="2"/>
  <c r="C7" i="2"/>
  <c r="C8" i="2"/>
  <c r="C9" i="2"/>
  <c r="C10" i="2"/>
  <c r="G8" i="1" a="1"/>
  <c r="G8" i="1"/>
  <c r="G6" i="1" a="1"/>
  <c r="G6" i="1"/>
  <c r="G5" i="1" a="1"/>
  <c r="G5" i="1"/>
  <c r="G7" i="1" a="1"/>
  <c r="G7" i="1"/>
  <c r="O5" i="1"/>
  <c r="O6" i="1"/>
  <c r="O7" i="1"/>
  <c r="O8" i="1"/>
  <c r="O4" i="1"/>
  <c r="K7" i="1"/>
  <c r="K5" i="1"/>
  <c r="N6" i="1" a="1"/>
  <c r="N6" i="1"/>
  <c r="I6" i="1"/>
  <c r="N7" i="1" a="1"/>
  <c r="N7" i="1"/>
  <c r="I7" i="1"/>
  <c r="N8" i="1" a="1"/>
  <c r="N8" i="1"/>
  <c r="I8" i="1"/>
  <c r="N4" i="1" a="1"/>
  <c r="N4" i="1"/>
  <c r="I4" i="1"/>
  <c r="N5" i="1" a="1"/>
  <c r="N5" i="1"/>
  <c r="I5" i="1"/>
  <c r="L8" i="1"/>
  <c r="K8" i="1"/>
  <c r="L4" i="1"/>
  <c r="K4" i="1"/>
  <c r="L6" i="1"/>
  <c r="K6" i="1"/>
</calcChain>
</file>

<file path=xl/sharedStrings.xml><?xml version="1.0" encoding="utf-8"?>
<sst xmlns="http://schemas.openxmlformats.org/spreadsheetml/2006/main" count="187" uniqueCount="68">
  <si>
    <t>Code</t>
  </si>
  <si>
    <t>Tache</t>
  </si>
  <si>
    <t>Et</t>
  </si>
  <si>
    <t>Ressource</t>
  </si>
  <si>
    <t>Yohan</t>
  </si>
  <si>
    <t>Timothée</t>
  </si>
  <si>
    <t>Expédition</t>
  </si>
  <si>
    <t>Poinçonnage</t>
  </si>
  <si>
    <t>Pliage</t>
  </si>
  <si>
    <t>Palétisation</t>
  </si>
  <si>
    <t>Durée prévisionnelle</t>
  </si>
  <si>
    <t>Coût horaire</t>
  </si>
  <si>
    <t>Coût prévisionnel</t>
  </si>
  <si>
    <t>Coût réel</t>
  </si>
  <si>
    <t>Avancement estimé (en %)</t>
  </si>
  <si>
    <t>Dépassement réel / prévu</t>
  </si>
  <si>
    <t>Cumul temps sur la tâche</t>
  </si>
  <si>
    <t>Libellé Tâche</t>
  </si>
  <si>
    <t>Durée réelle</t>
  </si>
  <si>
    <t>Date</t>
  </si>
  <si>
    <t>Mois</t>
  </si>
  <si>
    <t>Année</t>
  </si>
  <si>
    <t>Temps conso</t>
  </si>
  <si>
    <t>% avancement</t>
  </si>
  <si>
    <t>Dépassement quota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</si>
  <si>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</si>
  <si>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</si>
  <si>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</si>
  <si>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</si>
  <si>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</si>
  <si>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</si>
  <si>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</si>
  <si>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</si>
  <si>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</si>
  <si>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</si>
  <si>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</si>
  <si>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</si>
  <si>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Étude des plans</t>
  </si>
  <si>
    <t>Po</t>
  </si>
  <si>
    <t>Pa</t>
  </si>
  <si>
    <t>Ex</t>
  </si>
  <si>
    <t>Pl</t>
  </si>
  <si>
    <t>Libellé de Tâche</t>
  </si>
  <si>
    <t>Date fin réelle</t>
  </si>
  <si>
    <t>Date début réelle</t>
  </si>
  <si>
    <t>Date début prévisionnelle</t>
  </si>
  <si>
    <t>Date fin prévisionnelle</t>
  </si>
  <si>
    <t>Dépassement tps réel/prévu</t>
  </si>
  <si>
    <t>x</t>
  </si>
  <si>
    <t>Ratio tps réel/prévu</t>
  </si>
  <si>
    <t>Heure/jour</t>
  </si>
  <si>
    <t>Temps restant</t>
  </si>
  <si>
    <t>Libellé tâche</t>
  </si>
  <si>
    <t>Années</t>
  </si>
  <si>
    <t>Coût heure tâche</t>
  </si>
  <si>
    <t>Tâche</t>
  </si>
  <si>
    <t>SOMME</t>
  </si>
  <si>
    <t>Colonne1</t>
  </si>
  <si>
    <t>N°</t>
  </si>
  <si>
    <t>Heures</t>
  </si>
  <si>
    <t>Coût</t>
  </si>
  <si>
    <t>Prévisionnel</t>
  </si>
  <si>
    <t>Réel</t>
  </si>
  <si>
    <t>mois suivi</t>
  </si>
  <si>
    <t>mois planning</t>
  </si>
  <si>
    <t>résultat</t>
  </si>
  <si>
    <t xml:space="preserve">ici le résultat est faussé puisque je teste avec "Et" et non </t>
  </si>
  <si>
    <t>avec la formule qui devrait (à savoir celle située dans U10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</si>
</sst>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mmm\-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5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14" fontId="0" fillId="0" borderId="0" xfId="0" applyNumberFormat="1"/>
    <xf numFmtId="0" fontId="0" fillId="4" borderId="0" xfId="0" applyFill="1" applyAlignment="1">
      <alignment horizontal="left" vertical="top" wrapText="1"/>
    </xf>
    <xf numFmtId="0" fontId="0" fillId="5" borderId="0" xfId="0" applyFill="1" applyAlignment="1">
      <alignment horizontal="left" vertical="top" wrapText="1"/>
    </xf>
    <xf numFmtId="0" fontId="0" fillId="7" borderId="0" xfId="0" applyFill="1" applyAlignment="1">
      <alignment horizontal="left" vertical="top" wrapText="1"/>
    </xf>
    <xf numFmtId="0" fontId="1" fillId="6" borderId="0" xfId="0" applyFont="1" applyFill="1"/>
    <xf numFmtId="0" fontId="1" fillId="0" borderId="0" xfId="0" applyFont="1" applyFill="1"/>
    <xf numFmtId="0" fontId="0" fillId="3" borderId="0" xfId="0" applyFill="1"/>
    <xf numFmtId="164" fontId="0" fillId="3" borderId="0" xfId="0" applyNumberFormat="1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3" borderId="0" xfId="0" applyNumberFormat="1" applyFill="1"/>
    <xf numFmtId="14" fontId="0" fillId="0" borderId="0" xfId="0" applyNumberFormat="1" applyProtection="1"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164" fontId="0" fillId="0" borderId="0" xfId="0" applyNumberFormat="1" applyFill="1"/>
    <xf numFmtId="0" fontId="0" fillId="3" borderId="0" xfId="0" applyNumberFormat="1" applyFill="1"/>
    <xf numFmtId="9" fontId="0" fillId="3" borderId="0" xfId="0" applyNumberFormat="1" applyFill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0" fillId="2" borderId="0" xfId="0" applyFill="1" applyAlignment="1">
      <alignment horizontal="left" vertical="top" wrapText="1"/>
    </xf>
    <xf numFmtId="0" fontId="0" fillId="8" borderId="6" xfId="0" applyFill="1" applyBorder="1"/>
    <xf numFmtId="0" fontId="0" fillId="9" borderId="7" xfId="0" applyFill="1" applyBorder="1"/>
    <xf numFmtId="0" fontId="2" fillId="0" borderId="0" xfId="0" applyFont="1" applyAlignment="1">
      <alignment horizontal="center" wrapText="1"/>
    </xf>
    <xf numFmtId="0" fontId="5" fillId="0" borderId="0" xfId="0" applyFont="1" applyFill="1" applyBorder="1"/>
    <xf numFmtId="164" fontId="5" fillId="3" borderId="0" xfId="0" applyNumberFormat="1" applyFont="1" applyFill="1"/>
    <xf numFmtId="0" fontId="0" fillId="8" borderId="8" xfId="0" applyFill="1" applyBorder="1"/>
    <xf numFmtId="0" fontId="0" fillId="8" borderId="9" xfId="0" applyFill="1" applyBorder="1"/>
    <xf numFmtId="164" fontId="0" fillId="8" borderId="9" xfId="0" applyNumberFormat="1" applyFill="1" applyBorder="1"/>
    <xf numFmtId="0" fontId="5" fillId="8" borderId="8" xfId="0" applyFont="1" applyFill="1" applyBorder="1"/>
    <xf numFmtId="165" fontId="0" fillId="0" borderId="0" xfId="0" applyNumberFormat="1"/>
    <xf numFmtId="0" fontId="6" fillId="2" borderId="0" xfId="0" applyFont="1" applyFill="1" applyAlignment="1">
      <alignment horizontal="left" vertical="top" wrapText="1"/>
    </xf>
    <xf numFmtId="0" fontId="0" fillId="8" borderId="1" xfId="0" applyFill="1" applyBorder="1"/>
    <xf numFmtId="0" fontId="0" fillId="8" borderId="5" xfId="0" applyFill="1" applyBorder="1"/>
    <xf numFmtId="0" fontId="0" fillId="9" borderId="3" xfId="0" applyFill="1" applyBorder="1"/>
    <xf numFmtId="0" fontId="0" fillId="9" borderId="2" xfId="0" applyFill="1" applyBorder="1"/>
    <xf numFmtId="164" fontId="0" fillId="9" borderId="4" xfId="0" applyNumberFormat="1" applyFill="1" applyBorder="1"/>
    <xf numFmtId="164" fontId="0" fillId="9" borderId="2" xfId="0" applyNumberFormat="1" applyFill="1" applyBorder="1"/>
    <xf numFmtId="17" fontId="0" fillId="0" borderId="0" xfId="0" applyNumberFormat="1"/>
    <xf numFmtId="9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164" fontId="0" fillId="0" borderId="0" xfId="0" applyNumberFormat="1" applyFill="1" applyBorder="1"/>
    <xf numFmtId="14" fontId="0" fillId="0" borderId="0" xfId="0" applyNumberFormat="1" applyFill="1" applyBorder="1"/>
    <xf numFmtId="0" fontId="0" fillId="8" borderId="9" xfId="0" applyNumberFormat="1" applyFill="1" applyBorder="1"/>
    <xf numFmtId="165" fontId="0" fillId="0" borderId="2" xfId="0" applyNumberFormat="1" applyFont="1" applyBorder="1" applyAlignment="1">
      <alignment textRotation="45"/>
    </xf>
    <xf numFmtId="0" fontId="5" fillId="0" borderId="0" xfId="0" applyFont="1"/>
    <xf numFmtId="0" fontId="0" fillId="0" borderId="0" xfId="0" applyAlignment="1">
      <alignment horizontal="left" vertical="center"/>
    </xf>
    <xf numFmtId="0" fontId="0" fillId="0" borderId="0" xfId="0" applyNumberFormat="1"/>
    <xf numFmtId="0" fontId="0" fillId="0" borderId="0" xfId="0" applyAlignment="1">
      <alignment horizontal="center" vertical="center"/>
    </xf>
  </cellXfs>
  <cellStyles count="4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Normal" xfId="0" builtinId="0"/>
  </cellStyles>
  <dxfs count="40">
    <dxf>
      <font>
        <color theme="0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8" tint="-0.249977111117893"/>
        </patternFill>
      </fill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8" tint="-0.249977111117893"/>
        </patternFill>
      </fill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6" formatCode="dd/mm/yyyy"/>
      <fill>
        <patternFill patternType="none">
          <fgColor indexed="64"/>
          <bgColor indexed="65"/>
        </patternFill>
      </fill>
    </dxf>
    <dxf>
      <border diagonalUp="0" diagonalDown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4" formatCode="#,##0.00\ &quot;€&quot;"/>
      <fill>
        <patternFill patternType="none">
          <fgColor indexed="64"/>
          <bgColor auto="1"/>
        </patternFill>
      </fill>
    </dxf>
    <dxf>
      <numFmt numFmtId="13" formatCode="0%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#,##0.00\ &quot;€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numFmt numFmtId="166" formatCode="dd/mm/yyyy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numFmt numFmtId="1" formatCode="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</dxf>
    <dxf>
      <numFmt numFmtId="0" formatCode="General"/>
      <fill>
        <patternFill patternType="solid">
          <fgColor indexed="64"/>
          <bgColor theme="5" tint="0.79998168889431442"/>
        </patternFill>
      </fill>
    </dxf>
    <dxf>
      <numFmt numFmtId="166" formatCode="dd/mm/yyyy"/>
      <fill>
        <patternFill patternType="solid">
          <fgColor indexed="64"/>
          <bgColor theme="5" tint="0.79998168889431442"/>
        </patternFill>
      </fill>
    </dxf>
    <dxf>
      <numFmt numFmtId="166" formatCode="dd/mm/yyyy"/>
      <fill>
        <patternFill patternType="solid">
          <fgColor indexed="64"/>
          <bgColor theme="5" tint="0.79998168889431442"/>
        </patternFill>
      </fill>
    </dxf>
    <dxf>
      <numFmt numFmtId="166" formatCode="dd/mm/yyyy"/>
      <protection locked="0" hidden="0"/>
    </dxf>
    <dxf>
      <numFmt numFmtId="166" formatCode="dd/mm/yyyy"/>
      <protection locked="0" hidden="0"/>
    </dxf>
    <dxf>
      <fill>
        <patternFill patternType="solid">
          <fgColor indexed="64"/>
          <bgColor theme="6" tint="0.59999389629810485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63500</xdr:colOff>
          <xdr:row>1</xdr:row>
          <xdr:rowOff>50800</xdr:rowOff>
        </xdr:from>
        <xdr:to>
          <xdr:col>8</xdr:col>
          <xdr:colOff>685800</xdr:colOff>
          <xdr:row>4</xdr:row>
          <xdr:rowOff>177800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_Previsionnel" displayName="Tab_Previsionnel" ref="A3:Q8" totalsRowShown="0" headerRowDxfId="39">
  <autoFilter ref="A3:Q8"/>
  <tableColumns count="17">
    <tableColumn id="1" name="Code"/>
    <tableColumn id="2" name="Libellé Tâche"/>
    <tableColumn id="3" name="Ressource"/>
    <tableColumn id="4" name="Date début prévisionnelle" dataDxfId="38"/>
    <tableColumn id="5" name="Date fin prévisionnelle" dataDxfId="37"/>
    <tableColumn id="6" name="Durée prévisionnelle"/>
    <tableColumn id="7" name="Date début réelle" dataDxfId="36">
      <calculatedColumnFormula array="1">MIN(IF($A4=TAB_Tache_reelle,TAB_Date_reelle,""))</calculatedColumnFormula>
    </tableColumn>
    <tableColumn id="8" name="Date fin réelle" dataDxfId="35">
      <calculatedColumnFormula array="1">IF(M4=1,MAX(IF($A4=TAB_Tache_reelle,TAB_Date_reelle,"")),"")</calculatedColumnFormula>
    </tableColumn>
    <tableColumn id="9" name="Temps restant" dataDxfId="34">
      <calculatedColumnFormula>IF(F4-N4&lt;0,0,F4-N4)</calculatedColumnFormula>
    </tableColumn>
    <tableColumn id="10" name="Durée réelle" dataDxfId="33">
      <calculatedColumnFormula>IF(M4=100,MAX(IF($A4=TAB_Tache_reelle,TAB_Cumul_reel,"")),"")</calculatedColumnFormula>
    </tableColumn>
    <tableColumn id="11" name="Colonne1" dataDxfId="32">
      <calculatedColumnFormula>IF(F4&lt;J4,0,1)</calculatedColumnFormula>
    </tableColumn>
    <tableColumn id="12" name="Ratio tps réel/prévu" dataDxfId="31">
      <calculatedColumnFormula>IF(J4="","",J4/F4)</calculatedColumnFormula>
    </tableColumn>
    <tableColumn id="13" name="Avancement estimé (en %)" dataDxfId="30">
      <calculatedColumnFormula array="1">MAX(IF($A4=TAB_Tache_reelle,TAB_Avancement_reel,""))</calculatedColumnFormula>
    </tableColumn>
    <tableColumn id="14" name="Cumul temps sur la tâche" dataDxfId="29">
      <calculatedColumnFormula array="1">MAX(IF($A4=TAB_Tache_reelle,TAB_Cumul_reel,""))</calculatedColumnFormula>
    </tableColumn>
    <tableColumn id="15" name="Coût prévisionnel" dataDxfId="28">
      <calculatedColumnFormula>IF(ISBLANK($C4),"",IF(ISBLANK(F4),"",VLOOKUP($C4,LST_Cout,2,0)*F4))</calculatedColumnFormula>
    </tableColumn>
    <tableColumn id="16" name="Coût réel" dataDxfId="27">
      <calculatedColumnFormula array="1">IF(C4="","",IF(J4="","",VLOOKUP($C4,LST_Cout,2,0)*J4))</calculatedColumnFormula>
    </tableColumn>
    <tableColumn id="17" name="Dépassement réel / prévu" dataDxfId="26">
      <calculatedColumnFormula>IF(P4="","",IF(P4&gt;O4,P4-O4,"0"))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_Reel" displayName="TAB_Reel" ref="A1:N24" totalsRowShown="0" headerRowDxfId="25">
  <tableColumns count="14">
    <tableColumn id="6" name="Tâche" dataDxfId="24"/>
    <tableColumn id="1" name="Date" dataDxfId="23"/>
    <tableColumn id="2" name="Mois" dataDxfId="22">
      <calculatedColumnFormula>VLOOKUP(MONTH(B2),LST_Mois,2,0)</calculatedColumnFormula>
    </tableColumn>
    <tableColumn id="3" name="Année" dataDxfId="21">
      <calculatedColumnFormula>YEAR(B2)</calculatedColumnFormula>
    </tableColumn>
    <tableColumn id="4" name="Ressource"/>
    <tableColumn id="5" name="Coût horaire" dataDxfId="20">
      <calculatedColumnFormula>IF(ISBLANK(E2),"",VLOOKUP($E2,LST_Cout,2,0))</calculatedColumnFormula>
    </tableColumn>
    <tableColumn id="7" name="Libellé Tâche" dataDxfId="19">
      <calculatedColumnFormula>IF(ISBLANK(A2),"",VLOOKUP($A2,LST_Libelle_Tache,2,0))</calculatedColumnFormula>
    </tableColumn>
    <tableColumn id="8" name="Temps conso" dataDxfId="18"/>
    <tableColumn id="9" name="% avancement" dataDxfId="17"/>
    <tableColumn id="10" name="Coût heure tâche" dataDxfId="16">
      <calculatedColumnFormula>IF(F2="","",F2*H2)</calculatedColumnFormula>
    </tableColumn>
    <tableColumn id="11" name="Cumul temps sur la tâche" dataDxfId="15">
      <calculatedColumnFormula>SUMIF($G$2:$G2,G2,$H$2:$H2)</calculatedColumnFormula>
    </tableColumn>
    <tableColumn id="14" name="Temps restant" dataDxfId="14">
      <calculatedColumnFormula>IF(H2="","",(VLOOKUP(A2,TAB_Previsionel,6,0)-Suivi!K2))</calculatedColumnFormula>
    </tableColumn>
    <tableColumn id="12" name="Dépassement tps réel/prévu" dataDxfId="13">
      <calculatedColumnFormula>IF(H2="","",IF(VLOOKUP(TAB_Reel[[#This Row],[Tâche]],TAB_Previsionel,6,0)&gt;=Suivi!K2,0,1))</calculatedColumnFormula>
    </tableColumn>
    <tableColumn id="13" name="Dépassement quota" dataDxfId="12">
      <calculatedColumnFormula>IF(TAB_Reel[[#This Row],[Temps conso]]&gt;Données!$J$3,1,0)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" name="Tableau11" displayName="Tableau11" ref="B9:F25" totalsRowShown="0" headerRowDxfId="11" dataDxfId="10" tableBorderDxfId="9">
  <autoFilter ref="B9:F25"/>
  <tableColumns count="5">
    <tableColumn id="1" name="Date" dataDxfId="8"/>
    <tableColumn id="2" name="Ressource" dataDxfId="7"/>
    <tableColumn id="3" name="Libellé tâche" dataDxfId="6"/>
    <tableColumn id="4" name="Coût heure tâche" dataDxfId="5"/>
    <tableColumn id="5" name="Cumul temps sur la tâche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Q19"/>
  <sheetViews>
    <sheetView workbookViewId="0">
      <selection activeCell="A4" sqref="A4:Q8"/>
    </sheetView>
  </sheetViews>
  <sheetFormatPr baseColWidth="10" defaultColWidth="9.1640625" defaultRowHeight="14" x14ac:dyDescent="0"/>
  <cols>
    <col min="1" max="1" width="7.6640625" customWidth="1"/>
    <col min="2" max="2" width="14.83203125" bestFit="1" customWidth="1"/>
    <col min="3" max="3" width="12.1640625" customWidth="1"/>
    <col min="4" max="6" width="16.1640625" bestFit="1" customWidth="1"/>
    <col min="7" max="7" width="13.1640625" bestFit="1" customWidth="1"/>
    <col min="8" max="8" width="10.6640625" bestFit="1" customWidth="1"/>
    <col min="9" max="9" width="9.5" bestFit="1" customWidth="1"/>
    <col min="10" max="10" width="8.6640625" bestFit="1" customWidth="1"/>
    <col min="11" max="11" width="6.5" style="1" customWidth="1"/>
    <col min="12" max="12" width="12.83203125" style="1" bestFit="1" customWidth="1"/>
    <col min="13" max="13" width="15.5" bestFit="1" customWidth="1"/>
    <col min="14" max="14" width="15" bestFit="1" customWidth="1"/>
    <col min="15" max="15" width="18.83203125" customWidth="1"/>
    <col min="16" max="16" width="11.33203125" customWidth="1"/>
    <col min="17" max="17" width="15.5" bestFit="1" customWidth="1"/>
  </cols>
  <sheetData>
    <row r="1" spans="1:17">
      <c r="A1" s="7"/>
      <c r="B1" s="7"/>
      <c r="C1" s="7"/>
      <c r="D1" s="7"/>
      <c r="E1" s="7"/>
      <c r="F1" s="7"/>
      <c r="G1" s="8"/>
      <c r="H1" s="8"/>
      <c r="I1" s="8"/>
    </row>
    <row r="2" spans="1:17">
      <c r="J2" t="s">
        <v>48</v>
      </c>
      <c r="L2" s="1" t="s">
        <v>48</v>
      </c>
    </row>
    <row r="3" spans="1:17" s="2" customFormat="1" ht="28">
      <c r="A3" s="6" t="s">
        <v>0</v>
      </c>
      <c r="B3" s="4" t="s">
        <v>17</v>
      </c>
      <c r="C3" s="4" t="s">
        <v>3</v>
      </c>
      <c r="D3" s="24" t="s">
        <v>45</v>
      </c>
      <c r="E3" s="24" t="s">
        <v>46</v>
      </c>
      <c r="F3" s="24" t="s">
        <v>10</v>
      </c>
      <c r="G3" s="24" t="s">
        <v>44</v>
      </c>
      <c r="H3" s="24" t="s">
        <v>43</v>
      </c>
      <c r="I3" s="24" t="s">
        <v>51</v>
      </c>
      <c r="J3" s="24" t="s">
        <v>18</v>
      </c>
      <c r="K3" s="35" t="s">
        <v>57</v>
      </c>
      <c r="L3" s="24" t="s">
        <v>49</v>
      </c>
      <c r="M3" s="24" t="s">
        <v>14</v>
      </c>
      <c r="N3" s="24" t="s">
        <v>16</v>
      </c>
      <c r="O3" s="5" t="s">
        <v>12</v>
      </c>
      <c r="P3" s="5" t="s">
        <v>13</v>
      </c>
      <c r="Q3" s="5" t="s">
        <v>15</v>
      </c>
    </row>
    <row r="4" spans="1:17">
      <c r="A4" t="s">
        <v>2</v>
      </c>
      <c r="B4" t="s">
        <v>37</v>
      </c>
      <c r="C4" t="s">
        <v>5</v>
      </c>
      <c r="D4" s="15">
        <v>42014</v>
      </c>
      <c r="E4" s="15">
        <v>42112</v>
      </c>
      <c r="F4">
        <v>200</v>
      </c>
      <c r="G4" s="14">
        <f t="array" ref="G4">MIN(IF($A4=TAB_Tache_reelle,TAB_Date_reelle,""))</f>
        <v>42016</v>
      </c>
      <c r="H4" s="14">
        <f t="array" ref="H4">IF(M4=1,MAX(IF($A4=TAB_Tache_reelle,TAB_Date_reelle,"")),"")</f>
        <v>42060</v>
      </c>
      <c r="I4" s="20">
        <f>IF(F4-N4&lt;0,0,F4-N4)</f>
        <v>194</v>
      </c>
      <c r="J4" s="9" t="str">
        <f>IF(M4=100,MAX(IF($A4=TAB_Tache_reelle,TAB_Cumul_reel,"")),"")</f>
        <v/>
      </c>
      <c r="K4" s="11">
        <f>IF(F4&lt;J4,0,1)</f>
        <v>0</v>
      </c>
      <c r="L4" s="20" t="str">
        <f>IF(J4="","",J4/F4)</f>
        <v/>
      </c>
      <c r="M4" s="21">
        <f t="array" ref="M4">MAX(IF($A4=TAB_Tache_reelle,TAB_Avancement_reel,""))</f>
        <v>1</v>
      </c>
      <c r="N4" s="12">
        <f t="array" ref="N4">MAX(IF($A4=TAB_Tache_reelle,TAB_Cumul_reel,""))</f>
        <v>6</v>
      </c>
      <c r="O4" s="10">
        <f>IF(ISBLANK($C4),"",IF(ISBLANK(F4),"",VLOOKUP($C4,LST_Cout,2,0)*F4))</f>
        <v>3000</v>
      </c>
      <c r="P4" s="29" t="str">
        <f t="array" ref="P4">IF(C4="","",IF(J4="","",VLOOKUP($C4,LST_Cout,2,0)*J4))</f>
        <v/>
      </c>
      <c r="Q4" s="10" t="str">
        <f t="shared" ref="Q4:Q8" si="0">IF(P4="","",IF(P4&gt;O4,P4-O4,"0"))</f>
        <v/>
      </c>
    </row>
    <row r="5" spans="1:17">
      <c r="A5" t="s">
        <v>38</v>
      </c>
      <c r="B5" t="s">
        <v>7</v>
      </c>
      <c r="C5" t="s">
        <v>4</v>
      </c>
      <c r="D5" s="15">
        <v>42048</v>
      </c>
      <c r="E5" s="15">
        <v>42137</v>
      </c>
      <c r="F5">
        <v>100</v>
      </c>
      <c r="G5" s="14">
        <f t="array" ref="G5">MIN(IF($A5=TAB_Tache_reelle,TAB_Date_reelle,""))</f>
        <v>42016</v>
      </c>
      <c r="H5" s="14" t="str">
        <f t="array" ref="H5">IF(M5=1,MAX(IF($A5=TAB_Tache_reelle,TAB_Date_reelle,"")),"")</f>
        <v/>
      </c>
      <c r="I5" s="20">
        <f>IF(F5-N5&lt;0,0,F5-N5)</f>
        <v>92</v>
      </c>
      <c r="J5" s="9" t="str">
        <f>IF(M5=100,MAX(IF($A5=TAB_Tache_reelle,TAB_Cumul_reel,"")),"")</f>
        <v/>
      </c>
      <c r="K5" s="11">
        <f>IF(F5&lt;J5,0,1)</f>
        <v>0</v>
      </c>
      <c r="L5" s="20" t="str">
        <f>IF(J5="","",J5/F5)</f>
        <v/>
      </c>
      <c r="M5" s="21">
        <f t="array" ref="M5">MAX(IF($A5=TAB_Tache_reelle,TAB_Avancement_reel,""))</f>
        <v>0.25</v>
      </c>
      <c r="N5" s="12">
        <f t="array" ref="N5">MAX(IF($A5=TAB_Tache_reelle,TAB_Cumul_reel,""))</f>
        <v>8</v>
      </c>
      <c r="O5" s="10">
        <f>IF(ISBLANK($C5),"",IF(ISBLANK(F5),"",VLOOKUP($C5,LST_Cout,2,0)*F5))</f>
        <v>2000</v>
      </c>
      <c r="P5" s="10" t="str">
        <f t="array" ref="P5">IF(C5="","",IF(J5="","",VLOOKUP($C5,LST_Cout,2,0)*J5))</f>
        <v/>
      </c>
      <c r="Q5" s="10" t="str">
        <f t="shared" si="0"/>
        <v/>
      </c>
    </row>
    <row r="6" spans="1:17">
      <c r="A6" t="s">
        <v>41</v>
      </c>
      <c r="B6" t="s">
        <v>8</v>
      </c>
      <c r="C6" t="s">
        <v>4</v>
      </c>
      <c r="D6" s="15">
        <v>42095</v>
      </c>
      <c r="E6" s="15">
        <v>42237</v>
      </c>
      <c r="F6">
        <v>300</v>
      </c>
      <c r="G6" s="14">
        <f t="array" ref="G6">MIN(IF($A6=TAB_Tache_reelle,TAB_Date_reelle,""))</f>
        <v>42016</v>
      </c>
      <c r="H6" s="14">
        <f t="array" ref="H6">IF(M6=1,MAX(IF($A6=TAB_Tache_reelle,TAB_Date_reelle,"")),"")</f>
        <v>42462</v>
      </c>
      <c r="I6" s="20">
        <f>IF(F6-N6&lt;0,0,F6-N6)</f>
        <v>276</v>
      </c>
      <c r="J6" s="9" t="str">
        <f>IF(M6=100,MAX(IF($A6=TAB_Tache_reelle,TAB_Cumul_reel,"")),"")</f>
        <v/>
      </c>
      <c r="K6" s="11">
        <f>IF(F6&lt;J6,0,1)</f>
        <v>0</v>
      </c>
      <c r="L6" s="20" t="str">
        <f>IF(J6="","",J6/F6)</f>
        <v/>
      </c>
      <c r="M6" s="21">
        <f t="array" ref="M6">MAX(IF($A6=TAB_Tache_reelle,TAB_Avancement_reel,""))</f>
        <v>1</v>
      </c>
      <c r="N6" s="12">
        <f t="array" ref="N6">MAX(IF($A6=TAB_Tache_reelle,TAB_Cumul_reel,""))</f>
        <v>24</v>
      </c>
      <c r="O6" s="10">
        <f>IF(ISBLANK($C6),"",IF(ISBLANK(F6),"",VLOOKUP($C6,LST_Cout,2,0)*F6))</f>
        <v>6000</v>
      </c>
      <c r="P6" s="10" t="str">
        <f t="array" ref="P6">IF(C6="","",IF(J6="","",VLOOKUP($C6,LST_Cout,2,0)*J6))</f>
        <v/>
      </c>
      <c r="Q6" s="10" t="str">
        <f t="shared" si="0"/>
        <v/>
      </c>
    </row>
    <row r="7" spans="1:17">
      <c r="A7" t="s">
        <v>39</v>
      </c>
      <c r="B7" t="s">
        <v>9</v>
      </c>
      <c r="C7" t="s">
        <v>5</v>
      </c>
      <c r="D7" s="15">
        <v>42129</v>
      </c>
      <c r="E7" s="15">
        <v>42262</v>
      </c>
      <c r="F7">
        <v>63</v>
      </c>
      <c r="G7" s="14">
        <f t="array" ref="G7">MIN(IF($A7=TAB_Tache_reelle,TAB_Date_reelle,""))</f>
        <v>42026</v>
      </c>
      <c r="H7" s="14" t="str">
        <f t="array" ref="H7">IF(M7=1,MAX(IF($A7=TAB_Tache_reelle,TAB_Date_reelle,"")),"")</f>
        <v/>
      </c>
      <c r="I7" s="20">
        <f>IF(F7-N7&lt;0,0,F7-N7)</f>
        <v>59</v>
      </c>
      <c r="J7" s="9" t="str">
        <f>IF(M7=100,MAX(IF($A7=TAB_Tache_reelle,TAB_Cumul_reel,"")),"")</f>
        <v/>
      </c>
      <c r="K7" s="11">
        <f>IF(F7&lt;J7,0,1)</f>
        <v>0</v>
      </c>
      <c r="L7" s="20" t="str">
        <f>IF(J7="","",J7/F7)</f>
        <v/>
      </c>
      <c r="M7" s="21">
        <f t="array" ref="M7">MAX(IF($A7=TAB_Tache_reelle,TAB_Avancement_reel,""))</f>
        <v>0</v>
      </c>
      <c r="N7" s="12">
        <f t="array" ref="N7">MAX(IF($A7=TAB_Tache_reelle,TAB_Cumul_reel,""))</f>
        <v>4</v>
      </c>
      <c r="O7" s="10">
        <f>IF(ISBLANK($C7),"",IF(ISBLANK(F7),"",VLOOKUP($C7,LST_Cout,2,0)*F7))</f>
        <v>945</v>
      </c>
      <c r="P7" s="10" t="str">
        <f t="array" ref="P7">IF(C7="","",IF(J7="","",VLOOKUP($C7,LST_Cout,2,0)*J7))</f>
        <v/>
      </c>
      <c r="Q7" s="10" t="str">
        <f t="shared" si="0"/>
        <v/>
      </c>
    </row>
    <row r="8" spans="1:17">
      <c r="A8" t="s">
        <v>40</v>
      </c>
      <c r="B8" t="s">
        <v>6</v>
      </c>
      <c r="C8" t="s">
        <v>5</v>
      </c>
      <c r="D8" s="15">
        <v>42191</v>
      </c>
      <c r="E8" s="15">
        <v>42364</v>
      </c>
      <c r="F8">
        <v>4</v>
      </c>
      <c r="G8" s="14">
        <f t="array" ref="G8">MIN(IF($A8=TAB_Tache_reelle,TAB_Date_reelle,""))</f>
        <v>42242</v>
      </c>
      <c r="H8" s="14">
        <f t="array" ref="H8">IF(M8=1,MAX(IF($A8=TAB_Tache_reelle,TAB_Date_reelle,"")),"")</f>
        <v>42244</v>
      </c>
      <c r="I8" s="20">
        <f>IF(F8-N8&lt;0,0,F8-N8)</f>
        <v>2</v>
      </c>
      <c r="J8" s="9" t="str">
        <f>IF(M8=100,MAX(IF($A8=TAB_Tache_reelle,TAB_Cumul_reel,"")),"")</f>
        <v/>
      </c>
      <c r="K8" s="11">
        <f>IF(F8&lt;J8,0,1)</f>
        <v>0</v>
      </c>
      <c r="L8" s="20" t="str">
        <f>IF(J8="","",J8/F8)</f>
        <v/>
      </c>
      <c r="M8" s="21">
        <f t="array" ref="M8">MAX(IF($A8=TAB_Tache_reelle,TAB_Avancement_reel,""))</f>
        <v>1</v>
      </c>
      <c r="N8" s="12">
        <f t="array" ref="N8">MAX(IF($A8=TAB_Tache_reelle,TAB_Cumul_reel,""))</f>
        <v>2</v>
      </c>
      <c r="O8" s="10">
        <f>IF(ISBLANK($C8),"",IF(ISBLANK(F8),"",VLOOKUP($C8,LST_Cout,2,0)*F8))</f>
        <v>60</v>
      </c>
      <c r="P8" s="10" t="str">
        <f t="array" ref="P8">IF(C8="","",IF(J8="","",VLOOKUP($C8,LST_Cout,2,0)*J8))</f>
        <v/>
      </c>
      <c r="Q8" s="10" t="str">
        <f t="shared" si="0"/>
        <v/>
      </c>
    </row>
    <row r="9" spans="1:17">
      <c r="D9" s="15"/>
      <c r="E9" s="15"/>
      <c r="G9" s="16"/>
      <c r="H9" s="16"/>
      <c r="I9" s="16"/>
      <c r="J9" s="16"/>
      <c r="K9" s="17"/>
      <c r="L9" s="17"/>
      <c r="M9" s="16"/>
      <c r="N9" s="16"/>
      <c r="O9" s="16"/>
      <c r="P9" s="16"/>
      <c r="Q9" s="16"/>
    </row>
    <row r="10" spans="1:17">
      <c r="D10" s="15"/>
      <c r="E10" s="15"/>
      <c r="G10" s="18"/>
      <c r="H10" s="16"/>
      <c r="I10" s="16"/>
      <c r="J10" s="16"/>
      <c r="K10" s="17"/>
      <c r="L10" s="17"/>
      <c r="M10" s="16"/>
      <c r="N10" s="16"/>
      <c r="O10" s="16"/>
      <c r="P10" s="16"/>
      <c r="Q10" s="16"/>
    </row>
    <row r="11" spans="1:17">
      <c r="D11" s="15"/>
      <c r="E11" s="15"/>
      <c r="G11" s="16"/>
      <c r="H11" s="16"/>
      <c r="I11" s="16"/>
      <c r="J11" s="16"/>
      <c r="K11" s="17"/>
      <c r="L11" s="17"/>
      <c r="M11" s="16"/>
      <c r="N11" s="16"/>
      <c r="O11" s="16"/>
      <c r="P11" s="16"/>
      <c r="Q11" s="16"/>
    </row>
    <row r="12" spans="1:17">
      <c r="D12" s="15"/>
      <c r="E12" s="15"/>
      <c r="G12" s="16"/>
      <c r="H12" s="16"/>
      <c r="I12" s="16"/>
      <c r="J12" s="16"/>
      <c r="K12" s="17"/>
      <c r="L12" s="17"/>
      <c r="M12" s="16"/>
      <c r="N12" s="16"/>
      <c r="O12" s="16"/>
      <c r="P12" s="16"/>
      <c r="Q12" s="16"/>
    </row>
    <row r="13" spans="1:17">
      <c r="D13" s="15"/>
      <c r="E13" s="15"/>
      <c r="G13" s="16"/>
      <c r="H13" s="16"/>
      <c r="I13" s="16"/>
      <c r="J13" s="19"/>
      <c r="K13" s="17"/>
      <c r="L13" s="17"/>
      <c r="M13" s="16"/>
      <c r="N13" s="16"/>
      <c r="O13" s="16"/>
      <c r="P13" s="16"/>
      <c r="Q13" s="16"/>
    </row>
    <row r="14" spans="1:17">
      <c r="D14" s="15"/>
      <c r="E14" s="15"/>
      <c r="G14" s="16"/>
      <c r="H14" s="16"/>
      <c r="I14" s="16"/>
      <c r="J14" s="16"/>
      <c r="K14" s="17"/>
      <c r="L14" s="17"/>
      <c r="M14" s="16"/>
      <c r="N14" s="16"/>
      <c r="O14" s="16"/>
      <c r="P14" s="16"/>
      <c r="Q14" s="16"/>
    </row>
    <row r="15" spans="1:17">
      <c r="G15" s="16"/>
      <c r="H15" s="16"/>
      <c r="I15" s="16"/>
      <c r="J15" s="16"/>
      <c r="K15" s="17"/>
      <c r="L15" s="17"/>
      <c r="M15" s="16"/>
      <c r="N15" s="16"/>
      <c r="O15" s="16"/>
      <c r="P15" s="16"/>
      <c r="Q15" s="16"/>
    </row>
    <row r="16" spans="1:17">
      <c r="G16" s="16"/>
      <c r="H16" s="16"/>
      <c r="I16" s="16"/>
      <c r="J16" s="16"/>
      <c r="K16" s="17"/>
      <c r="L16" s="17"/>
      <c r="M16" s="16"/>
      <c r="N16" s="16"/>
      <c r="O16" s="16"/>
      <c r="P16" s="16"/>
      <c r="Q16" s="16"/>
    </row>
    <row r="17" spans="7:17">
      <c r="G17" s="16"/>
      <c r="H17" s="16"/>
      <c r="I17" s="16"/>
      <c r="J17" s="16"/>
      <c r="K17" s="17"/>
      <c r="L17" s="17"/>
      <c r="M17" s="16"/>
      <c r="N17" s="16"/>
      <c r="O17" s="16"/>
      <c r="P17" s="16"/>
      <c r="Q17" s="16"/>
    </row>
    <row r="18" spans="7:17">
      <c r="G18" s="16"/>
      <c r="H18" s="16"/>
      <c r="I18" s="16"/>
      <c r="J18" s="16"/>
      <c r="K18" s="17"/>
      <c r="L18" s="17"/>
      <c r="M18" s="16"/>
      <c r="N18" s="16"/>
      <c r="O18" s="16"/>
      <c r="P18" s="16"/>
      <c r="Q18" s="16"/>
    </row>
    <row r="19" spans="7:17">
      <c r="G19" s="16"/>
      <c r="H19" s="16"/>
      <c r="I19" s="16"/>
      <c r="J19" s="16"/>
      <c r="K19" s="17"/>
      <c r="L19" s="17"/>
      <c r="M19" s="16"/>
      <c r="N19" s="16"/>
      <c r="O19" s="16"/>
      <c r="P19" s="16"/>
      <c r="Q19" s="16"/>
    </row>
  </sheetData>
  <conditionalFormatting sqref="M4:M8">
    <cfRule type="dataBar" priority="2">
      <dataBar>
        <cfvo type="percent" val="0"/>
        <cfvo type="percent" val="100"/>
        <color rgb="FF63C384"/>
      </dataBar>
      <extLst>
        <ext xmlns:x14="http://schemas.microsoft.com/office/spreadsheetml/2009/9/main" uri="{B025F937-C7B1-47D3-B67F-A62EFF666E3E}">
          <x14:id>{D2CA7FDD-7011-4430-809F-CE9BD9044459}</x14:id>
        </ext>
      </extLst>
    </cfRule>
  </conditionalFormatting>
  <dataValidations disablePrompts="1" count="2">
    <dataValidation type="list" allowBlank="1" showInputMessage="1" showErrorMessage="1" sqref="A4:A9">
      <formula1>LST_Tache</formula1>
    </dataValidation>
    <dataValidation type="list" allowBlank="1" showInputMessage="1" showErrorMessage="1" sqref="C4:C8">
      <formula1>LST_Ressource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2CA7FDD-7011-4430-809F-CE9BD9044459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M4:M8</xm:sqref>
        </x14:conditionalFormatting>
        <x14:conditionalFormatting xmlns:xm="http://schemas.microsoft.com/office/excel/2006/main">
          <x14:cfRule type="iconSet" priority="1" id="{7775531C-1F4A-40E4-B581-0078E93F724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K4:K8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O29"/>
  <sheetViews>
    <sheetView workbookViewId="0">
      <selection activeCell="C7" sqref="C7"/>
    </sheetView>
  </sheetViews>
  <sheetFormatPr baseColWidth="10" defaultRowHeight="14" x14ac:dyDescent="0"/>
  <cols>
    <col min="1" max="1" width="8.5" bestFit="1" customWidth="1"/>
    <col min="2" max="2" width="10.6640625" bestFit="1" customWidth="1"/>
    <col min="3" max="3" width="10.6640625" style="1" bestFit="1" customWidth="1"/>
    <col min="4" max="4" width="9.1640625" style="1" bestFit="1" customWidth="1"/>
    <col min="5" max="5" width="12.33203125" bestFit="1" customWidth="1"/>
    <col min="6" max="6" width="14.33203125" bestFit="1" customWidth="1"/>
    <col min="7" max="7" width="13" bestFit="1" customWidth="1"/>
    <col min="8" max="8" width="14.83203125" bestFit="1" customWidth="1"/>
    <col min="9" max="9" width="14.6640625" bestFit="1" customWidth="1"/>
    <col min="10" max="10" width="16.1640625" style="1" bestFit="1" customWidth="1"/>
    <col min="11" max="11" width="18.33203125" customWidth="1"/>
    <col min="12" max="12" width="25.33203125" customWidth="1"/>
    <col min="13" max="13" width="15.83203125" bestFit="1" customWidth="1"/>
    <col min="14" max="14" width="29" bestFit="1" customWidth="1"/>
    <col min="15" max="15" width="20.83203125" style="1" customWidth="1"/>
  </cols>
  <sheetData>
    <row r="1" spans="1:15" s="13" customFormat="1" ht="40.5" customHeight="1">
      <c r="A1" s="22" t="s">
        <v>55</v>
      </c>
      <c r="B1" s="22" t="s">
        <v>19</v>
      </c>
      <c r="C1" s="27" t="s">
        <v>20</v>
      </c>
      <c r="D1" s="27" t="s">
        <v>21</v>
      </c>
      <c r="E1" s="22" t="s">
        <v>3</v>
      </c>
      <c r="F1" s="22" t="s">
        <v>11</v>
      </c>
      <c r="G1" s="22" t="s">
        <v>17</v>
      </c>
      <c r="H1" s="22" t="s">
        <v>22</v>
      </c>
      <c r="I1" s="27" t="s">
        <v>23</v>
      </c>
      <c r="J1" s="22" t="s">
        <v>54</v>
      </c>
      <c r="K1" s="22" t="s">
        <v>16</v>
      </c>
      <c r="L1" s="22" t="s">
        <v>51</v>
      </c>
      <c r="M1" s="22" t="s">
        <v>47</v>
      </c>
      <c r="N1" s="23" t="s">
        <v>24</v>
      </c>
    </row>
    <row r="2" spans="1:15">
      <c r="A2" s="16" t="s">
        <v>2</v>
      </c>
      <c r="B2" s="3">
        <v>42016</v>
      </c>
      <c r="C2" s="17" t="str">
        <f t="shared" ref="C2:C23" si="0">VLOOKUP(MONTH(B2),LST_Mois,2,0)</f>
        <v>Janvier</v>
      </c>
      <c r="D2" s="17">
        <f>YEAR(B2)</f>
        <v>2015</v>
      </c>
      <c r="E2" t="s">
        <v>4</v>
      </c>
      <c r="F2" s="19">
        <f t="shared" ref="F2:F23" si="1">IF(ISBLANK(E2),"",VLOOKUP($E2,LST_Cout,2,0))</f>
        <v>20</v>
      </c>
      <c r="G2" s="16" t="str">
        <f t="shared" ref="G2:G24" si="2">IF(ISBLANK(A2),"",VLOOKUP($A2,LST_Libelle_Tache,2,0))</f>
        <v>Étude des plans</v>
      </c>
      <c r="H2" s="16">
        <v>1</v>
      </c>
      <c r="I2" s="43">
        <v>1</v>
      </c>
      <c r="J2" s="19">
        <f t="shared" ref="J2:J24" si="3">IF(F2="","",F2*H2)</f>
        <v>20</v>
      </c>
      <c r="K2" s="16">
        <f>SUMIF($G$2:$G2,G2,$H$2:$H2)</f>
        <v>1</v>
      </c>
      <c r="L2" s="16">
        <f>IF(H2="","",(VLOOKUP(A2,TAB_Previsionel,6,0)-Suivi!K2))</f>
        <v>199</v>
      </c>
      <c r="M2" s="17">
        <f>IF(H2="","",IF(VLOOKUP(TAB_Reel[[#This Row],[Tâche]],TAB_Previsionel,6,0)&gt;=Suivi!K2,0,1))</f>
        <v>0</v>
      </c>
      <c r="N2" s="17">
        <f>IF(TAB_Reel[[#This Row],[Temps conso]]&gt;Données!$J$3,1,0)</f>
        <v>0</v>
      </c>
      <c r="O2"/>
    </row>
    <row r="3" spans="1:15">
      <c r="A3" s="16" t="s">
        <v>38</v>
      </c>
      <c r="B3" s="3">
        <v>42016</v>
      </c>
      <c r="C3" s="17" t="str">
        <f>VLOOKUP(MONTH(B3),LST_Mois,2,0)</f>
        <v>Janvier</v>
      </c>
      <c r="D3" s="17">
        <f>YEAR(B3)</f>
        <v>2015</v>
      </c>
      <c r="E3" t="s">
        <v>4</v>
      </c>
      <c r="F3" s="19">
        <f>IF(ISBLANK(E3),"",VLOOKUP($E3,LST_Cout,2,0))</f>
        <v>20</v>
      </c>
      <c r="G3" s="16" t="str">
        <f t="shared" si="2"/>
        <v>Poinçonnage</v>
      </c>
      <c r="H3" s="16">
        <v>2</v>
      </c>
      <c r="I3" s="43"/>
      <c r="J3" s="19">
        <f t="shared" si="3"/>
        <v>40</v>
      </c>
      <c r="K3" s="16">
        <f>SUMIF($G$2:$G3,G3,$H$2:$H3)</f>
        <v>2</v>
      </c>
      <c r="L3" s="44">
        <f>IF(H3="","",(VLOOKUP(A3,TAB_Previsionel,6,0)-Suivi!K3))</f>
        <v>98</v>
      </c>
      <c r="M3" s="45">
        <f>IF(H3="","",IF(VLOOKUP(TAB_Reel[[#This Row],[Tâche]],TAB_Previsionel,6,0)&gt;=Suivi!K3,0,1))</f>
        <v>0</v>
      </c>
      <c r="N3" s="45">
        <f>IF(TAB_Reel[[#This Row],[Temps conso]]&gt;Données!$J$3,1,0)</f>
        <v>0</v>
      </c>
      <c r="O3"/>
    </row>
    <row r="4" spans="1:15">
      <c r="A4" s="16" t="s">
        <v>41</v>
      </c>
      <c r="B4" s="3">
        <v>42016</v>
      </c>
      <c r="C4" s="17" t="str">
        <f>VLOOKUP(MONTH(B4),LST_Mois,2,0)</f>
        <v>Janvier</v>
      </c>
      <c r="D4" s="17">
        <f>YEAR(B4)</f>
        <v>2015</v>
      </c>
      <c r="E4" t="s">
        <v>4</v>
      </c>
      <c r="F4" s="19">
        <f>IF(ISBLANK(E4),"",VLOOKUP($E4,LST_Cout,2,0))</f>
        <v>20</v>
      </c>
      <c r="G4" s="16" t="str">
        <f t="shared" si="2"/>
        <v>Pliage</v>
      </c>
      <c r="H4" s="16">
        <v>3</v>
      </c>
      <c r="I4" s="43"/>
      <c r="J4" s="19">
        <f t="shared" si="3"/>
        <v>60</v>
      </c>
      <c r="K4" s="16">
        <f>SUMIF($G$2:$G4,G4,$H$2:$H4)</f>
        <v>3</v>
      </c>
      <c r="L4" s="44">
        <f>IF(H4="","",(VLOOKUP(A4,TAB_Previsionel,6,0)-Suivi!K4))</f>
        <v>297</v>
      </c>
      <c r="M4" s="45">
        <f>IF(H4="","",IF(VLOOKUP(TAB_Reel[[#This Row],[Tâche]],TAB_Previsionel,6,0)&gt;=Suivi!K4,0,1))</f>
        <v>0</v>
      </c>
      <c r="N4" s="45">
        <f>IF(TAB_Reel[[#This Row],[Temps conso]]&gt;Données!$J$3,1,0)</f>
        <v>0</v>
      </c>
      <c r="O4"/>
    </row>
    <row r="5" spans="1:15">
      <c r="A5" s="16" t="s">
        <v>38</v>
      </c>
      <c r="B5" s="3">
        <v>42076</v>
      </c>
      <c r="C5" s="17" t="str">
        <f>VLOOKUP(MONTH(B5),LST_Mois,2,0)</f>
        <v>Mars</v>
      </c>
      <c r="D5" s="17">
        <f>YEAR(B5)</f>
        <v>2015</v>
      </c>
      <c r="E5" t="s">
        <v>5</v>
      </c>
      <c r="F5" s="19">
        <f>IF(ISBLANK(E5),"",VLOOKUP($E5,LST_Cout,2,0))</f>
        <v>15</v>
      </c>
      <c r="G5" s="16" t="str">
        <f t="shared" si="2"/>
        <v>Poinçonnage</v>
      </c>
      <c r="H5" s="16">
        <v>5</v>
      </c>
      <c r="I5" s="43"/>
      <c r="J5" s="19">
        <f t="shared" si="3"/>
        <v>75</v>
      </c>
      <c r="K5" s="16">
        <f>SUMIF($G$2:$G5,G5,$H$2:$H5)</f>
        <v>7</v>
      </c>
      <c r="L5" s="44">
        <f>IF(H5="","",(VLOOKUP(A5,TAB_Previsionel,6,0)-Suivi!K5))</f>
        <v>93</v>
      </c>
      <c r="M5" s="45">
        <f>IF(H5="","",IF(VLOOKUP(TAB_Reel[[#This Row],[Tâche]],TAB_Previsionel,6,0)&gt;=Suivi!K5,0,1))</f>
        <v>0</v>
      </c>
      <c r="N5" s="45">
        <f>IF(TAB_Reel[[#This Row],[Temps conso]]&gt;Données!$J$3,1,0)</f>
        <v>0</v>
      </c>
      <c r="O5"/>
    </row>
    <row r="6" spans="1:15">
      <c r="A6" s="16" t="s">
        <v>2</v>
      </c>
      <c r="B6" s="3">
        <v>42017</v>
      </c>
      <c r="C6" s="17" t="str">
        <f t="shared" si="0"/>
        <v>Janvier</v>
      </c>
      <c r="D6" s="17">
        <f t="shared" ref="D6:D11" si="4">YEAR(B6)</f>
        <v>2015</v>
      </c>
      <c r="E6" t="s">
        <v>5</v>
      </c>
      <c r="F6" s="19">
        <f t="shared" si="1"/>
        <v>15</v>
      </c>
      <c r="G6" s="16" t="str">
        <f t="shared" si="2"/>
        <v>Étude des plans</v>
      </c>
      <c r="H6" s="16">
        <v>2</v>
      </c>
      <c r="I6" s="43"/>
      <c r="J6" s="19">
        <f t="shared" si="3"/>
        <v>30</v>
      </c>
      <c r="K6" s="16">
        <f>SUMIF($G$2:$G6,G6,$H$2:$H6)</f>
        <v>3</v>
      </c>
      <c r="L6" s="16">
        <f>IF(H6="","",(VLOOKUP(A6,TAB_Previsionel,6,0)-Suivi!K6))</f>
        <v>197</v>
      </c>
      <c r="M6" s="17">
        <f>IF(H6="","",IF(VLOOKUP(TAB_Reel[[#This Row],[Tâche]],TAB_Previsionel,6,0)&gt;=Suivi!K6,0,1))</f>
        <v>0</v>
      </c>
      <c r="N6" s="17">
        <f>IF(TAB_Reel[[#This Row],[Temps conso]]&gt;Données!$J$3,1,0)</f>
        <v>0</v>
      </c>
      <c r="O6"/>
    </row>
    <row r="7" spans="1:15">
      <c r="A7" s="16" t="s">
        <v>2</v>
      </c>
      <c r="B7" s="3">
        <v>42018</v>
      </c>
      <c r="C7" s="17" t="str">
        <f t="shared" si="0"/>
        <v>Janvier</v>
      </c>
      <c r="D7" s="17">
        <f t="shared" si="4"/>
        <v>2015</v>
      </c>
      <c r="E7" t="s">
        <v>4</v>
      </c>
      <c r="F7" s="19">
        <f t="shared" si="1"/>
        <v>20</v>
      </c>
      <c r="G7" s="16" t="str">
        <f t="shared" si="2"/>
        <v>Étude des plans</v>
      </c>
      <c r="H7" s="16">
        <v>1</v>
      </c>
      <c r="I7" s="43"/>
      <c r="J7" s="19">
        <f t="shared" si="3"/>
        <v>20</v>
      </c>
      <c r="K7" s="16">
        <f>SUMIF($G$2:$G7,G7,$H$2:$H7)</f>
        <v>4</v>
      </c>
      <c r="L7" s="16">
        <f>IF(H7="","",(VLOOKUP(A7,TAB_Previsionel,6,0)-Suivi!K7))</f>
        <v>196</v>
      </c>
      <c r="M7" s="17">
        <f>IF(H7="","",IF(VLOOKUP(TAB_Reel[[#This Row],[Tâche]],TAB_Previsionel,6,0)&gt;=Suivi!K7,0,1))</f>
        <v>0</v>
      </c>
      <c r="N7" s="17">
        <f>IF(TAB_Reel[[#This Row],[Temps conso]]&gt;Données!$J$3,1,0)</f>
        <v>0</v>
      </c>
      <c r="O7"/>
    </row>
    <row r="8" spans="1:15">
      <c r="A8" s="16" t="s">
        <v>41</v>
      </c>
      <c r="B8" s="3">
        <v>42109</v>
      </c>
      <c r="C8" s="17" t="str">
        <f t="shared" si="0"/>
        <v>Avril</v>
      </c>
      <c r="D8" s="17">
        <f t="shared" si="4"/>
        <v>2015</v>
      </c>
      <c r="E8" t="s">
        <v>4</v>
      </c>
      <c r="F8" s="19">
        <f t="shared" si="1"/>
        <v>20</v>
      </c>
      <c r="G8" s="16" t="str">
        <f t="shared" si="2"/>
        <v>Pliage</v>
      </c>
      <c r="H8" s="16">
        <v>3</v>
      </c>
      <c r="I8" s="43"/>
      <c r="J8" s="19">
        <f t="shared" si="3"/>
        <v>60</v>
      </c>
      <c r="K8" s="16">
        <f>SUMIF($G$2:$G8,G8,$H$2:$H8)</f>
        <v>6</v>
      </c>
      <c r="L8" s="16">
        <f>IF(H8="","",(VLOOKUP(A8,TAB_Previsionel,6,0)-Suivi!K8))</f>
        <v>294</v>
      </c>
      <c r="M8" s="17">
        <f>IF(H8="","",IF(VLOOKUP(TAB_Reel[[#This Row],[Tâche]],TAB_Previsionel,6,0)&gt;=Suivi!K8,0,1))</f>
        <v>0</v>
      </c>
      <c r="N8" s="17">
        <f>IF(TAB_Reel[[#This Row],[Temps conso]]&gt;Données!$J$3,1,0)</f>
        <v>0</v>
      </c>
      <c r="O8"/>
    </row>
    <row r="9" spans="1:15">
      <c r="A9" s="16" t="s">
        <v>2</v>
      </c>
      <c r="B9" s="3">
        <v>42051</v>
      </c>
      <c r="C9" s="17" t="str">
        <f t="shared" si="0"/>
        <v>Février</v>
      </c>
      <c r="D9" s="17">
        <f t="shared" si="4"/>
        <v>2015</v>
      </c>
      <c r="E9" t="s">
        <v>5</v>
      </c>
      <c r="F9" s="19">
        <f t="shared" si="1"/>
        <v>15</v>
      </c>
      <c r="G9" s="16" t="str">
        <f t="shared" si="2"/>
        <v>Étude des plans</v>
      </c>
      <c r="H9" s="16">
        <v>1</v>
      </c>
      <c r="I9" s="43"/>
      <c r="J9" s="19">
        <f t="shared" si="3"/>
        <v>15</v>
      </c>
      <c r="K9" s="16">
        <f>SUMIF($G$2:$G9,G9,$H$2:$H9)</f>
        <v>5</v>
      </c>
      <c r="L9" s="16">
        <f>IF(H9="","",(VLOOKUP(A9,TAB_Previsionel,6,0)-Suivi!K9))</f>
        <v>195</v>
      </c>
      <c r="M9" s="17">
        <f>IF(H9="","",IF(VLOOKUP(TAB_Reel[[#This Row],[Tâche]],TAB_Previsionel,6,0)&gt;=Suivi!K9,0,1))</f>
        <v>0</v>
      </c>
      <c r="N9" s="17">
        <f>IF(TAB_Reel[[#This Row],[Temps conso]]&gt;Données!$J$3,1,0)</f>
        <v>0</v>
      </c>
      <c r="O9"/>
    </row>
    <row r="10" spans="1:15">
      <c r="A10" s="16" t="s">
        <v>38</v>
      </c>
      <c r="B10" s="3">
        <v>42052</v>
      </c>
      <c r="C10" s="17" t="str">
        <f t="shared" si="0"/>
        <v>Février</v>
      </c>
      <c r="D10" s="17">
        <f t="shared" si="4"/>
        <v>2015</v>
      </c>
      <c r="E10" t="s">
        <v>5</v>
      </c>
      <c r="F10" s="19">
        <f t="shared" si="1"/>
        <v>15</v>
      </c>
      <c r="G10" s="16" t="str">
        <f t="shared" si="2"/>
        <v>Poinçonnage</v>
      </c>
      <c r="H10" s="16">
        <v>1</v>
      </c>
      <c r="I10" s="43">
        <v>0.25</v>
      </c>
      <c r="J10" s="19">
        <f t="shared" si="3"/>
        <v>15</v>
      </c>
      <c r="K10" s="16">
        <f>SUMIF($G$2:$G10,G10,$H$2:$H10)</f>
        <v>8</v>
      </c>
      <c r="L10" s="16">
        <f>IF(H10="","",(VLOOKUP(A10,TAB_Previsionel,6,0)-Suivi!K10))</f>
        <v>92</v>
      </c>
      <c r="M10" s="17">
        <f>IF(H10="","",IF(VLOOKUP(TAB_Reel[[#This Row],[Tâche]],TAB_Previsionel,6,0)&gt;=Suivi!K10,0,1))</f>
        <v>0</v>
      </c>
      <c r="N10" s="17">
        <f>IF(TAB_Reel[[#This Row],[Temps conso]]&gt;Données!$J$3,1,0)</f>
        <v>0</v>
      </c>
      <c r="O10"/>
    </row>
    <row r="11" spans="1:15">
      <c r="A11" s="16" t="s">
        <v>41</v>
      </c>
      <c r="B11" s="3">
        <v>42112</v>
      </c>
      <c r="C11" s="17" t="str">
        <f t="shared" si="0"/>
        <v>Avril</v>
      </c>
      <c r="D11" s="17">
        <f t="shared" si="4"/>
        <v>2015</v>
      </c>
      <c r="E11" t="s">
        <v>4</v>
      </c>
      <c r="F11" s="19">
        <f t="shared" si="1"/>
        <v>20</v>
      </c>
      <c r="G11" s="16" t="str">
        <f t="shared" si="2"/>
        <v>Pliage</v>
      </c>
      <c r="H11" s="16">
        <v>2</v>
      </c>
      <c r="I11" s="43"/>
      <c r="J11" s="19">
        <f t="shared" si="3"/>
        <v>40</v>
      </c>
      <c r="K11" s="16">
        <f>SUMIF($G$2:$G11,G11,$H$2:$H11)</f>
        <v>8</v>
      </c>
      <c r="L11" s="16">
        <f>IF(H11="","",(VLOOKUP(A11,TAB_Previsionel,6,0)-Suivi!K11))</f>
        <v>292</v>
      </c>
      <c r="M11" s="17">
        <f>IF(H11="","",IF(VLOOKUP(TAB_Reel[[#This Row],[Tâche]],TAB_Previsionel,6,0)&gt;=Suivi!K11,0,1))</f>
        <v>0</v>
      </c>
      <c r="N11" s="17">
        <f>IF(TAB_Reel[[#This Row],[Temps conso]]&gt;Données!$J$3,1,0)</f>
        <v>0</v>
      </c>
      <c r="O11"/>
    </row>
    <row r="12" spans="1:15">
      <c r="A12" s="16" t="s">
        <v>41</v>
      </c>
      <c r="B12" s="3">
        <v>42113</v>
      </c>
      <c r="C12" s="17" t="str">
        <f t="shared" si="0"/>
        <v>Avril</v>
      </c>
      <c r="D12" s="17">
        <f t="shared" ref="D12:D23" si="5">YEAR(B12)</f>
        <v>2015</v>
      </c>
      <c r="E12" t="s">
        <v>5</v>
      </c>
      <c r="F12" s="19">
        <f t="shared" si="1"/>
        <v>15</v>
      </c>
      <c r="G12" s="16" t="str">
        <f t="shared" si="2"/>
        <v>Pliage</v>
      </c>
      <c r="H12" s="16">
        <v>1</v>
      </c>
      <c r="I12" s="43"/>
      <c r="J12" s="19">
        <f t="shared" si="3"/>
        <v>15</v>
      </c>
      <c r="K12" s="16">
        <f>SUMIF($G$2:$G12,G12,$H$2:$H12)</f>
        <v>9</v>
      </c>
      <c r="L12" s="16">
        <f>IF(H12="","",(VLOOKUP(A12,TAB_Previsionel,6,0)-Suivi!K12))</f>
        <v>291</v>
      </c>
      <c r="M12" s="17">
        <f>IF(H12="","",IF(VLOOKUP(TAB_Reel[[#This Row],[Tâche]],TAB_Previsionel,6,0)&gt;=Suivi!K12,0,1))</f>
        <v>0</v>
      </c>
      <c r="N12" s="17">
        <f>IF(TAB_Reel[[#This Row],[Temps conso]]&gt;Données!$J$3,1,0)</f>
        <v>0</v>
      </c>
      <c r="O12"/>
    </row>
    <row r="13" spans="1:15">
      <c r="A13" s="16" t="s">
        <v>41</v>
      </c>
      <c r="B13" s="3">
        <v>42114</v>
      </c>
      <c r="C13" s="17" t="str">
        <f t="shared" si="0"/>
        <v>Avril</v>
      </c>
      <c r="D13" s="17">
        <f t="shared" si="5"/>
        <v>2015</v>
      </c>
      <c r="E13" t="s">
        <v>5</v>
      </c>
      <c r="F13" s="19">
        <f t="shared" si="1"/>
        <v>15</v>
      </c>
      <c r="G13" s="16" t="str">
        <f t="shared" si="2"/>
        <v>Pliage</v>
      </c>
      <c r="H13" s="16">
        <v>1</v>
      </c>
      <c r="I13" s="43"/>
      <c r="J13" s="19">
        <f t="shared" si="3"/>
        <v>15</v>
      </c>
      <c r="K13" s="16">
        <f>SUMIF($G$2:$G13,G13,$H$2:$H13)</f>
        <v>10</v>
      </c>
      <c r="L13" s="16">
        <f>IF(H13="","",(VLOOKUP(A13,TAB_Previsionel,6,0)-Suivi!K13))</f>
        <v>290</v>
      </c>
      <c r="M13" s="17">
        <f>IF(H13="","",IF(VLOOKUP(TAB_Reel[[#This Row],[Tâche]],TAB_Previsionel,6,0)&gt;=Suivi!K13,0,1))</f>
        <v>0</v>
      </c>
      <c r="N13" s="17">
        <f>IF(TAB_Reel[[#This Row],[Temps conso]]&gt;Données!$J$3,1,0)</f>
        <v>0</v>
      </c>
      <c r="O13"/>
    </row>
    <row r="14" spans="1:15">
      <c r="A14" s="16" t="s">
        <v>41</v>
      </c>
      <c r="B14" s="3">
        <v>42115</v>
      </c>
      <c r="C14" s="17" t="str">
        <f t="shared" si="0"/>
        <v>Avril</v>
      </c>
      <c r="D14" s="17">
        <f t="shared" si="5"/>
        <v>2015</v>
      </c>
      <c r="E14" t="s">
        <v>5</v>
      </c>
      <c r="F14" s="19">
        <f t="shared" si="1"/>
        <v>15</v>
      </c>
      <c r="G14" s="16" t="str">
        <f t="shared" si="2"/>
        <v>Pliage</v>
      </c>
      <c r="H14" s="16">
        <v>8</v>
      </c>
      <c r="I14" s="43"/>
      <c r="J14" s="19">
        <f t="shared" si="3"/>
        <v>120</v>
      </c>
      <c r="K14" s="16">
        <f>SUMIF($G$2:$G14,G14,$H$2:$H14)</f>
        <v>18</v>
      </c>
      <c r="L14" s="16">
        <f>IF(H14="","",(VLOOKUP(A14,TAB_Previsionel,6,0)-Suivi!K14))</f>
        <v>282</v>
      </c>
      <c r="M14" s="17">
        <f>IF(H14="","",IF(VLOOKUP(TAB_Reel[[#This Row],[Tâche]],TAB_Previsionel,6,0)&gt;=Suivi!K14,0,1))</f>
        <v>0</v>
      </c>
      <c r="N14" s="17">
        <f>IF(TAB_Reel[[#This Row],[Temps conso]]&gt;Données!$J$3,1,0)</f>
        <v>1</v>
      </c>
      <c r="O14"/>
    </row>
    <row r="15" spans="1:15">
      <c r="A15" s="16" t="s">
        <v>39</v>
      </c>
      <c r="B15" s="3">
        <v>42026</v>
      </c>
      <c r="C15" s="17" t="str">
        <f t="shared" si="0"/>
        <v>Janvier</v>
      </c>
      <c r="D15" s="17">
        <f t="shared" si="5"/>
        <v>2015</v>
      </c>
      <c r="E15" t="s">
        <v>5</v>
      </c>
      <c r="F15" s="19">
        <f t="shared" si="1"/>
        <v>15</v>
      </c>
      <c r="G15" s="16" t="str">
        <f t="shared" si="2"/>
        <v>Palétisation</v>
      </c>
      <c r="H15" s="16">
        <v>1</v>
      </c>
      <c r="I15" s="43"/>
      <c r="J15" s="19">
        <f t="shared" si="3"/>
        <v>15</v>
      </c>
      <c r="K15" s="16">
        <f>SUMIF($G$2:$G15,G15,$H$2:$H15)</f>
        <v>1</v>
      </c>
      <c r="L15" s="16">
        <f>IF(H15="","",(VLOOKUP(A15,TAB_Previsionel,6,0)-Suivi!K15))</f>
        <v>62</v>
      </c>
      <c r="M15" s="17">
        <f>IF(H15="","",IF(VLOOKUP(TAB_Reel[[#This Row],[Tâche]],TAB_Previsionel,6,0)&gt;=Suivi!K15,0,1))</f>
        <v>0</v>
      </c>
      <c r="N15" s="17">
        <f>IF(TAB_Reel[[#This Row],[Temps conso]]&gt;Données!$J$3,1,0)</f>
        <v>0</v>
      </c>
      <c r="O15"/>
    </row>
    <row r="16" spans="1:15">
      <c r="A16" s="16" t="s">
        <v>39</v>
      </c>
      <c r="B16" s="3">
        <v>42147</v>
      </c>
      <c r="C16" s="17" t="str">
        <f t="shared" si="0"/>
        <v>Mai</v>
      </c>
      <c r="D16" s="17">
        <f t="shared" si="5"/>
        <v>2015</v>
      </c>
      <c r="E16" t="s">
        <v>5</v>
      </c>
      <c r="F16" s="19">
        <f t="shared" si="1"/>
        <v>15</v>
      </c>
      <c r="G16" s="16" t="str">
        <f t="shared" si="2"/>
        <v>Palétisation</v>
      </c>
      <c r="H16" s="16">
        <v>1</v>
      </c>
      <c r="I16" s="43"/>
      <c r="J16" s="19">
        <f t="shared" si="3"/>
        <v>15</v>
      </c>
      <c r="K16" s="16">
        <f>SUMIF($G$2:$G16,G16,$H$2:$H16)</f>
        <v>2</v>
      </c>
      <c r="L16" s="16">
        <f>IF(H16="","",(VLOOKUP(A16,TAB_Previsionel,6,0)-Suivi!K16))</f>
        <v>61</v>
      </c>
      <c r="M16" s="17">
        <f>IF(H16="","",IF(VLOOKUP(TAB_Reel[[#This Row],[Tâche]],TAB_Previsionel,6,0)&gt;=Suivi!K16,0,1))</f>
        <v>0</v>
      </c>
      <c r="N16" s="17">
        <f>IF(TAB_Reel[[#This Row],[Temps conso]]&gt;Données!$J$3,1,0)</f>
        <v>0</v>
      </c>
      <c r="O16"/>
    </row>
    <row r="17" spans="1:15">
      <c r="A17" s="16" t="s">
        <v>39</v>
      </c>
      <c r="B17" s="3">
        <v>42148</v>
      </c>
      <c r="C17" s="17" t="str">
        <f t="shared" si="0"/>
        <v>Mai</v>
      </c>
      <c r="D17" s="17">
        <f t="shared" si="5"/>
        <v>2015</v>
      </c>
      <c r="E17" t="s">
        <v>5</v>
      </c>
      <c r="F17" s="19">
        <f t="shared" si="1"/>
        <v>15</v>
      </c>
      <c r="G17" s="16" t="str">
        <f t="shared" si="2"/>
        <v>Palétisation</v>
      </c>
      <c r="H17" s="16">
        <v>1</v>
      </c>
      <c r="I17" s="43"/>
      <c r="J17" s="19">
        <f t="shared" si="3"/>
        <v>15</v>
      </c>
      <c r="K17" s="16">
        <f>SUMIF($G$2:$G17,G17,$H$2:$H17)</f>
        <v>3</v>
      </c>
      <c r="L17" s="16">
        <f>IF(H17="","",(VLOOKUP(A17,TAB_Previsionel,6,0)-Suivi!K17))</f>
        <v>60</v>
      </c>
      <c r="M17" s="17">
        <f>IF(H17="","",IF(VLOOKUP(TAB_Reel[[#This Row],[Tâche]],TAB_Previsionel,6,0)&gt;=Suivi!K17,0,1))</f>
        <v>0</v>
      </c>
      <c r="N17" s="17">
        <f>IF(TAB_Reel[[#This Row],[Temps conso]]&gt;Données!$J$3,1,0)</f>
        <v>0</v>
      </c>
      <c r="O17"/>
    </row>
    <row r="18" spans="1:15">
      <c r="A18" s="16" t="s">
        <v>2</v>
      </c>
      <c r="B18" s="3">
        <v>42060</v>
      </c>
      <c r="C18" s="17" t="str">
        <f t="shared" si="0"/>
        <v>Février</v>
      </c>
      <c r="D18" s="17">
        <f t="shared" si="5"/>
        <v>2015</v>
      </c>
      <c r="E18" t="s">
        <v>5</v>
      </c>
      <c r="F18" s="19">
        <f t="shared" si="1"/>
        <v>15</v>
      </c>
      <c r="G18" s="16" t="str">
        <f t="shared" si="2"/>
        <v>Étude des plans</v>
      </c>
      <c r="H18" s="16">
        <v>1</v>
      </c>
      <c r="I18" s="43">
        <v>1</v>
      </c>
      <c r="J18" s="19">
        <f t="shared" si="3"/>
        <v>15</v>
      </c>
      <c r="K18" s="16">
        <f>SUMIF($G$2:$G18,G18,$H$2:$H18)</f>
        <v>6</v>
      </c>
      <c r="L18" s="16">
        <f>IF(H18="","",(VLOOKUP(A18,TAB_Previsionel,6,0)-Suivi!K18))</f>
        <v>194</v>
      </c>
      <c r="M18" s="17">
        <f>IF(H18="","",IF(VLOOKUP(TAB_Reel[[#This Row],[Tâche]],TAB_Previsionel,6,0)&gt;=Suivi!K18,0,1))</f>
        <v>0</v>
      </c>
      <c r="N18" s="17">
        <f>IF(TAB_Reel[[#This Row],[Temps conso]]&gt;Données!$J$3,1,0)</f>
        <v>0</v>
      </c>
      <c r="O18"/>
    </row>
    <row r="19" spans="1:15">
      <c r="A19" s="16" t="s">
        <v>40</v>
      </c>
      <c r="B19" s="3">
        <v>42242</v>
      </c>
      <c r="C19" s="17" t="str">
        <f t="shared" si="0"/>
        <v>Août</v>
      </c>
      <c r="D19" s="17">
        <f t="shared" si="5"/>
        <v>2015</v>
      </c>
      <c r="E19" t="s">
        <v>5</v>
      </c>
      <c r="F19" s="19">
        <f t="shared" si="1"/>
        <v>15</v>
      </c>
      <c r="G19" s="16" t="str">
        <f t="shared" si="2"/>
        <v>Expédition</v>
      </c>
      <c r="H19" s="16">
        <v>1</v>
      </c>
      <c r="I19" s="43"/>
      <c r="J19" s="19">
        <f t="shared" si="3"/>
        <v>15</v>
      </c>
      <c r="K19" s="16">
        <f>SUMIF($G$2:$G19,G19,$H$2:$H19)</f>
        <v>1</v>
      </c>
      <c r="L19" s="16">
        <f>IF(H19="","",(VLOOKUP(A19,TAB_Previsionel,6,0)-Suivi!K19))</f>
        <v>3</v>
      </c>
      <c r="M19" s="17">
        <f>IF(H19="","",IF(VLOOKUP(TAB_Reel[[#This Row],[Tâche]],TAB_Previsionel,6,0)&gt;=Suivi!K19,0,1))</f>
        <v>0</v>
      </c>
      <c r="N19" s="17">
        <f>IF(TAB_Reel[[#This Row],[Temps conso]]&gt;Données!$J$3,1,0)</f>
        <v>0</v>
      </c>
      <c r="O19"/>
    </row>
    <row r="20" spans="1:15">
      <c r="A20" s="16" t="s">
        <v>39</v>
      </c>
      <c r="B20" s="3">
        <v>42151</v>
      </c>
      <c r="C20" s="17" t="str">
        <f t="shared" si="0"/>
        <v>Mai</v>
      </c>
      <c r="D20" s="17">
        <f t="shared" si="5"/>
        <v>2015</v>
      </c>
      <c r="E20" t="s">
        <v>5</v>
      </c>
      <c r="F20" s="19">
        <f t="shared" si="1"/>
        <v>15</v>
      </c>
      <c r="G20" s="16" t="str">
        <f t="shared" si="2"/>
        <v>Palétisation</v>
      </c>
      <c r="H20" s="16">
        <v>1</v>
      </c>
      <c r="I20" s="43"/>
      <c r="J20" s="19">
        <f t="shared" si="3"/>
        <v>15</v>
      </c>
      <c r="K20" s="16">
        <f>SUMIF($G$2:$G20,G20,$H$2:$H20)</f>
        <v>4</v>
      </c>
      <c r="L20" s="16">
        <f>IF(H20="","",(VLOOKUP(A20,TAB_Previsionel,6,0)-Suivi!K20))</f>
        <v>59</v>
      </c>
      <c r="M20" s="17">
        <f>IF(H20="","",IF(VLOOKUP(TAB_Reel[[#This Row],[Tâche]],TAB_Previsionel,6,0)&gt;=Suivi!K20,0,1))</f>
        <v>0</v>
      </c>
      <c r="N20" s="17">
        <f>IF(TAB_Reel[[#This Row],[Temps conso]]&gt;Données!$J$3,1,0)</f>
        <v>0</v>
      </c>
      <c r="O20"/>
    </row>
    <row r="21" spans="1:15">
      <c r="A21" s="16" t="s">
        <v>40</v>
      </c>
      <c r="B21" s="3">
        <v>42244</v>
      </c>
      <c r="C21" s="17" t="str">
        <f t="shared" si="0"/>
        <v>Août</v>
      </c>
      <c r="D21" s="17">
        <f t="shared" si="5"/>
        <v>2015</v>
      </c>
      <c r="E21" t="s">
        <v>5</v>
      </c>
      <c r="F21" s="19">
        <f t="shared" si="1"/>
        <v>15</v>
      </c>
      <c r="G21" s="16" t="str">
        <f t="shared" si="2"/>
        <v>Expédition</v>
      </c>
      <c r="H21" s="16">
        <v>1</v>
      </c>
      <c r="I21" s="43">
        <v>1</v>
      </c>
      <c r="J21" s="19">
        <f t="shared" si="3"/>
        <v>15</v>
      </c>
      <c r="K21" s="16">
        <f>SUMIF($G$2:$G21,G21,$H$2:$H21)</f>
        <v>2</v>
      </c>
      <c r="L21" s="16">
        <f>IF(H21="","",(VLOOKUP(A21,TAB_Previsionel,6,0)-Suivi!K21))</f>
        <v>2</v>
      </c>
      <c r="M21" s="17">
        <f>IF(H21="","",IF(VLOOKUP(TAB_Reel[[#This Row],[Tâche]],TAB_Previsionel,6,0)&gt;=Suivi!K21,0,1))</f>
        <v>0</v>
      </c>
      <c r="N21" s="17">
        <f>IF(TAB_Reel[[#This Row],[Temps conso]]&gt;Données!$J$3,1,0)</f>
        <v>0</v>
      </c>
      <c r="O21"/>
    </row>
    <row r="22" spans="1:15">
      <c r="A22" s="16" t="s">
        <v>41</v>
      </c>
      <c r="B22" s="3">
        <v>42123</v>
      </c>
      <c r="C22" s="17" t="str">
        <f t="shared" si="0"/>
        <v>Avril</v>
      </c>
      <c r="D22" s="17">
        <f t="shared" si="5"/>
        <v>2015</v>
      </c>
      <c r="E22" t="s">
        <v>5</v>
      </c>
      <c r="F22" s="19">
        <f t="shared" si="1"/>
        <v>15</v>
      </c>
      <c r="G22" s="16" t="str">
        <f t="shared" si="2"/>
        <v>Pliage</v>
      </c>
      <c r="H22" s="16">
        <v>1</v>
      </c>
      <c r="I22" s="43">
        <v>0.8</v>
      </c>
      <c r="J22" s="19">
        <f t="shared" si="3"/>
        <v>15</v>
      </c>
      <c r="K22" s="16">
        <f>SUMIF($G$2:$G22,G22,$H$2:$H22)</f>
        <v>19</v>
      </c>
      <c r="L22" s="16">
        <f>IF(H22="","",(VLOOKUP(A22,TAB_Previsionel,6,0)-Suivi!K22))</f>
        <v>281</v>
      </c>
      <c r="M22" s="17">
        <f>IF(H22="","",IF(VLOOKUP(TAB_Reel[[#This Row],[Tâche]],TAB_Previsionel,6,0)&gt;=Suivi!K22,0,1))</f>
        <v>0</v>
      </c>
      <c r="N22" s="17">
        <f>IF(TAB_Reel[[#This Row],[Temps conso]]&gt;Données!$J$3,1,0)</f>
        <v>0</v>
      </c>
      <c r="O22"/>
    </row>
    <row r="23" spans="1:15">
      <c r="A23" s="16" t="s">
        <v>41</v>
      </c>
      <c r="B23" s="3">
        <v>42124</v>
      </c>
      <c r="C23" s="17" t="str">
        <f t="shared" si="0"/>
        <v>Avril</v>
      </c>
      <c r="D23" s="17">
        <f t="shared" si="5"/>
        <v>2015</v>
      </c>
      <c r="E23" t="s">
        <v>5</v>
      </c>
      <c r="F23" s="19">
        <f t="shared" si="1"/>
        <v>15</v>
      </c>
      <c r="G23" s="16" t="str">
        <f t="shared" si="2"/>
        <v>Pliage</v>
      </c>
      <c r="H23" s="16">
        <v>1</v>
      </c>
      <c r="I23" s="43">
        <v>1</v>
      </c>
      <c r="J23" s="19">
        <f t="shared" si="3"/>
        <v>15</v>
      </c>
      <c r="K23" s="16">
        <f>SUMIF($G$2:$G23,G23,$H$2:$H23)</f>
        <v>20</v>
      </c>
      <c r="L23" s="16">
        <f>IF(H23="","",(VLOOKUP(A23,TAB_Previsionel,6,0)-Suivi!K23))</f>
        <v>280</v>
      </c>
      <c r="M23" s="17">
        <f>IF(H23="","",IF(VLOOKUP(TAB_Reel[[#This Row],[Tâche]],TAB_Previsionel,6,0)&gt;=Suivi!K23,0,1))</f>
        <v>0</v>
      </c>
      <c r="N23" s="17">
        <f>IF(TAB_Reel[[#This Row],[Temps conso]]&gt;Données!$J$3,1,0)</f>
        <v>0</v>
      </c>
      <c r="O23"/>
    </row>
    <row r="24" spans="1:15">
      <c r="A24" s="16" t="s">
        <v>41</v>
      </c>
      <c r="B24" s="3">
        <v>42462</v>
      </c>
      <c r="C24" s="17" t="str">
        <f>VLOOKUP(MONTH(B24),LST_Mois,2,0)</f>
        <v>Avril</v>
      </c>
      <c r="D24" s="17">
        <f>YEAR(B24)</f>
        <v>2016</v>
      </c>
      <c r="E24" t="s">
        <v>4</v>
      </c>
      <c r="F24" s="19">
        <f>IF(ISBLANK(E24),"",VLOOKUP($E24,LST_Cout,2,0))</f>
        <v>20</v>
      </c>
      <c r="G24" s="16" t="str">
        <f t="shared" si="2"/>
        <v>Pliage</v>
      </c>
      <c r="H24" s="16">
        <v>4</v>
      </c>
      <c r="I24" s="43">
        <v>0.1</v>
      </c>
      <c r="J24" s="19">
        <f t="shared" si="3"/>
        <v>80</v>
      </c>
      <c r="K24" s="16">
        <f>SUMIF($G$2:$G24,G24,$H$2:$H24)</f>
        <v>24</v>
      </c>
      <c r="L24" s="44">
        <f>IF(H24="","",(VLOOKUP(A24,TAB_Previsionel,6,0)-Suivi!K24))</f>
        <v>276</v>
      </c>
      <c r="M24" s="45">
        <f>IF(H24="","",IF(VLOOKUP(TAB_Reel[[#This Row],[Tâche]],TAB_Previsionel,6,0)&gt;=Suivi!K24,0,1))</f>
        <v>0</v>
      </c>
      <c r="N24" s="45">
        <f>IF(TAB_Reel[[#This Row],[Temps conso]]&gt;Données!$J$3,1,0)</f>
        <v>0</v>
      </c>
      <c r="O24"/>
    </row>
    <row r="26" spans="1:15">
      <c r="C26" s="1" t="s">
        <v>48</v>
      </c>
      <c r="D26" s="1" t="s">
        <v>48</v>
      </c>
      <c r="F26" t="s">
        <v>48</v>
      </c>
      <c r="H26" t="s">
        <v>48</v>
      </c>
      <c r="K26" t="s">
        <v>48</v>
      </c>
      <c r="L26" t="s">
        <v>48</v>
      </c>
      <c r="M26" t="s">
        <v>48</v>
      </c>
      <c r="N26" t="s">
        <v>48</v>
      </c>
      <c r="O26" s="1" t="s">
        <v>48</v>
      </c>
    </row>
    <row r="29" spans="1:15">
      <c r="K29" s="1"/>
      <c r="O29"/>
    </row>
  </sheetData>
  <conditionalFormatting sqref="I2:I24">
    <cfRule type="dataBar" priority="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{46CEDD82-6057-4055-9A22-88E82DDEC93D}</x14:id>
        </ext>
      </extLst>
    </cfRule>
  </conditionalFormatting>
  <dataValidations count="2">
    <dataValidation type="list" allowBlank="1" showInputMessage="1" showErrorMessage="1" sqref="E2:E24">
      <formula1>LST_Ressource</formula1>
    </dataValidation>
    <dataValidation type="list" allowBlank="1" showInputMessage="1" showErrorMessage="1" sqref="A2:A24">
      <formula1>LST_Tache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CEDD82-6057-4055-9A22-88E82DDEC93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I2:I24</xm:sqref>
        </x14:conditionalFormatting>
        <x14:conditionalFormatting xmlns:xm="http://schemas.microsoft.com/office/excel/2006/main">
          <x14:cfRule type="iconSet" priority="3" id="{92919D37-983E-42DD-B99A-751D7E533871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M2:N24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G28"/>
  <sheetViews>
    <sheetView workbookViewId="0">
      <selection activeCell="B10" sqref="B10:F25"/>
    </sheetView>
  </sheetViews>
  <sheetFormatPr baseColWidth="10" defaultRowHeight="14" x14ac:dyDescent="0"/>
  <cols>
    <col min="2" max="2" width="10.83203125" style="47"/>
    <col min="3" max="3" width="12.33203125" style="47" bestFit="1" customWidth="1"/>
    <col min="4" max="4" width="14.83203125" style="47" bestFit="1" customWidth="1"/>
    <col min="5" max="5" width="18.33203125" style="47" customWidth="1"/>
    <col min="6" max="6" width="25.33203125" style="47" customWidth="1"/>
    <col min="7" max="16384" width="10.83203125" style="47"/>
  </cols>
  <sheetData>
    <row r="1" spans="1:7" customFormat="1" ht="15" thickBot="1"/>
    <row r="2" spans="1:7" customFormat="1" ht="15" thickTop="1">
      <c r="D2" s="25" t="s">
        <v>3</v>
      </c>
      <c r="E2" s="25" t="s">
        <v>20</v>
      </c>
      <c r="F2" s="25" t="s">
        <v>21</v>
      </c>
    </row>
    <row r="3" spans="1:7" customFormat="1" ht="15" thickBot="1">
      <c r="D3" s="26" t="s">
        <v>4</v>
      </c>
      <c r="E3" s="26"/>
      <c r="F3" s="26"/>
    </row>
    <row r="4" spans="1:7" customFormat="1" ht="16" thickTop="1" thickBot="1"/>
    <row r="5" spans="1:7" customFormat="1" ht="16" thickTop="1" thickBot="1">
      <c r="D5" s="30" t="s">
        <v>56</v>
      </c>
      <c r="E5" s="31"/>
    </row>
    <row r="6" spans="1:7" customFormat="1" ht="16" thickTop="1" thickBot="1">
      <c r="D6" s="33" t="s">
        <v>60</v>
      </c>
      <c r="E6" s="32">
        <f>SUM(Tableau11[Coût heure tâche])</f>
        <v>320</v>
      </c>
      <c r="F6" s="28"/>
    </row>
    <row r="7" spans="1:7" customFormat="1" ht="16" thickTop="1" thickBot="1">
      <c r="A7" s="28"/>
      <c r="B7" s="28"/>
      <c r="C7" s="28"/>
      <c r="D7" s="33" t="s">
        <v>59</v>
      </c>
      <c r="E7" s="50">
        <f>SUM(Tableau11[Cumul temps sur la tâche])</f>
        <v>48</v>
      </c>
      <c r="G7" s="28"/>
    </row>
    <row r="8" spans="1:7" customFormat="1" ht="15" thickTop="1">
      <c r="A8" s="28"/>
      <c r="B8" s="28"/>
      <c r="C8" s="28"/>
      <c r="D8" s="28"/>
      <c r="E8" s="28"/>
      <c r="F8" s="28"/>
      <c r="G8" s="28"/>
    </row>
    <row r="9" spans="1:7" customFormat="1">
      <c r="A9" s="28"/>
      <c r="B9" s="46" t="s">
        <v>19</v>
      </c>
      <c r="C9" s="46" t="s">
        <v>3</v>
      </c>
      <c r="D9" s="46" t="s">
        <v>52</v>
      </c>
      <c r="E9" s="46" t="s">
        <v>54</v>
      </c>
      <c r="F9" s="46" t="s">
        <v>16</v>
      </c>
      <c r="G9" s="28"/>
    </row>
    <row r="10" spans="1:7">
      <c r="A10" s="28"/>
      <c r="B10" s="3">
        <v>42016</v>
      </c>
      <c r="C10" t="s">
        <v>4</v>
      </c>
      <c r="D10" s="16" t="s">
        <v>37</v>
      </c>
      <c r="E10" s="19">
        <v>20</v>
      </c>
      <c r="F10" s="16">
        <v>1</v>
      </c>
    </row>
    <row r="11" spans="1:7">
      <c r="A11" s="28"/>
      <c r="B11" s="3">
        <v>42016</v>
      </c>
      <c r="C11" t="s">
        <v>4</v>
      </c>
      <c r="D11" s="16" t="s">
        <v>7</v>
      </c>
      <c r="E11" s="19">
        <v>40</v>
      </c>
      <c r="F11" s="16">
        <v>2</v>
      </c>
    </row>
    <row r="12" spans="1:7">
      <c r="A12" s="28"/>
      <c r="B12" s="3">
        <v>42016</v>
      </c>
      <c r="C12" t="s">
        <v>4</v>
      </c>
      <c r="D12" s="16" t="s">
        <v>8</v>
      </c>
      <c r="E12" s="19">
        <v>60</v>
      </c>
      <c r="F12" s="16">
        <v>3</v>
      </c>
    </row>
    <row r="13" spans="1:7">
      <c r="A13" s="28"/>
      <c r="B13" s="3">
        <v>42018</v>
      </c>
      <c r="C13" t="s">
        <v>4</v>
      </c>
      <c r="D13" s="16" t="s">
        <v>37</v>
      </c>
      <c r="E13" s="19">
        <v>20</v>
      </c>
      <c r="F13" s="16">
        <v>4</v>
      </c>
    </row>
    <row r="14" spans="1:7">
      <c r="A14" s="28"/>
      <c r="B14" s="3">
        <v>42109</v>
      </c>
      <c r="C14" t="s">
        <v>4</v>
      </c>
      <c r="D14" s="16" t="s">
        <v>8</v>
      </c>
      <c r="E14" s="19">
        <v>60</v>
      </c>
      <c r="F14" s="16">
        <v>6</v>
      </c>
    </row>
    <row r="15" spans="1:7">
      <c r="A15" s="28"/>
      <c r="B15" s="3">
        <v>42112</v>
      </c>
      <c r="C15" t="s">
        <v>4</v>
      </c>
      <c r="D15" s="16" t="s">
        <v>8</v>
      </c>
      <c r="E15" s="19">
        <v>40</v>
      </c>
      <c r="F15" s="16">
        <v>8</v>
      </c>
    </row>
    <row r="16" spans="1:7">
      <c r="A16" s="28"/>
      <c r="B16" s="3">
        <v>42096</v>
      </c>
      <c r="C16" t="s">
        <v>4</v>
      </c>
      <c r="D16" s="16" t="s">
        <v>8</v>
      </c>
      <c r="E16" s="19">
        <v>80</v>
      </c>
      <c r="F16" s="16">
        <v>24</v>
      </c>
    </row>
    <row r="17" spans="1:5">
      <c r="A17" s="28"/>
      <c r="B17" s="49"/>
      <c r="E17" s="48"/>
    </row>
    <row r="18" spans="1:5">
      <c r="A18" s="28"/>
      <c r="B18" s="49"/>
      <c r="E18" s="48"/>
    </row>
    <row r="19" spans="1:5">
      <c r="A19" s="28"/>
      <c r="B19" s="49"/>
      <c r="E19" s="48"/>
    </row>
    <row r="20" spans="1:5">
      <c r="A20" s="28"/>
      <c r="B20" s="49"/>
      <c r="E20" s="48"/>
    </row>
    <row r="21" spans="1:5">
      <c r="A21" s="28"/>
      <c r="B21" s="49"/>
      <c r="E21" s="48"/>
    </row>
    <row r="22" spans="1:5">
      <c r="A22" s="28"/>
      <c r="B22" s="49"/>
      <c r="E22" s="48"/>
    </row>
    <row r="23" spans="1:5">
      <c r="A23" s="28"/>
      <c r="B23" s="49"/>
      <c r="E23" s="48"/>
    </row>
    <row r="24" spans="1:5">
      <c r="A24" s="28"/>
      <c r="B24" s="49"/>
      <c r="E24" s="48"/>
    </row>
    <row r="25" spans="1:5">
      <c r="A25" s="28"/>
      <c r="B25" s="49"/>
      <c r="E25" s="48"/>
    </row>
    <row r="26" spans="1:5">
      <c r="A26" s="28"/>
    </row>
    <row r="27" spans="1:5">
      <c r="A27" s="28"/>
    </row>
    <row r="28" spans="1:5">
      <c r="A28" s="28"/>
    </row>
  </sheetData>
  <dataValidations count="3">
    <dataValidation type="list" allowBlank="1" showInputMessage="1" showErrorMessage="1" sqref="D3">
      <formula1>LST_Ressource</formula1>
    </dataValidation>
    <dataValidation type="list" allowBlank="1" showInputMessage="1" showErrorMessage="1" sqref="F3">
      <formula1>LST_Annee</formula1>
    </dataValidation>
    <dataValidation type="list" allowBlank="1" showInputMessage="1" showErrorMessage="1" sqref="E3">
      <formula1>LST_Mois_Mois</formula1>
    </dataValidation>
  </dataValidations>
  <pageMargins left="0.7" right="0.7" top="0.75" bottom="0.75" header="0.3" footer="0.3"/>
  <pageSetup paperSize="9" orientation="portrait"/>
  <ignoredErrors>
    <ignoredError sqref="E6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4">
                <anchor moveWithCells="1" sizeWithCells="1">
                  <from>
                    <xdr:col>7</xdr:col>
                    <xdr:colOff>63500</xdr:colOff>
                    <xdr:row>1</xdr:row>
                    <xdr:rowOff>50800</xdr:rowOff>
                  </from>
                  <to>
                    <xdr:col>8</xdr:col>
                    <xdr:colOff>685800</xdr:colOff>
                    <xdr:row>4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V22"/>
  <sheetViews>
    <sheetView tabSelected="1" workbookViewId="0">
      <selection activeCell="V16" sqref="V16"/>
    </sheetView>
  </sheetViews>
  <sheetFormatPr baseColWidth="10" defaultRowHeight="14" x14ac:dyDescent="0"/>
  <cols>
    <col min="1" max="1" width="3.1640625" bestFit="1" customWidth="1"/>
    <col min="2" max="3" width="23.6640625" customWidth="1"/>
    <col min="4" max="17" width="4.6640625" customWidth="1"/>
  </cols>
  <sheetData>
    <row r="1" spans="1:22" ht="45">
      <c r="B1" s="34"/>
      <c r="C1" s="34"/>
      <c r="D1" s="51">
        <f>DATE(YEAR(MIN(Tab_Previsionnel[Date début prévisionnelle])),MONTH(MIN(Tab_Previsionnel[Date début prévisionnelle])),1)</f>
        <v>42005</v>
      </c>
      <c r="E1" s="51">
        <f>DATE(YEAR(MIN(IF(EDATE(D1,1)&gt;MAX(Tab_Previsionnel[Date fin prévisionnelle]),"",IF(MAX(Tab_Previsionnel[Date fin prévisionnelle])&gt;=EDATE(D1,1),EDATE(D1,1),MAX(Tab_Previsionnel[Date fin prévisionnelle]))))),MONTH(MIN(IF(EDATE(D1,1)&gt;MAX(Tab_Previsionnel[Date fin prévisionnelle]),"",IF(MAX(Tab_Previsionnel[Date fin prévisionnelle])&gt;=EDATE(D1,1),EDATE(D1,1),MAX(Tab_Previsionnel[Date fin prévisionnelle]))))),1)</f>
        <v>42036</v>
      </c>
      <c r="F1" s="51">
        <f>DATE(YEAR(MIN(IF(EDATE(E1,1)&gt;MAX(Tab_Previsionnel[Date fin prévisionnelle]),"",IF(MAX(Tab_Previsionnel[Date fin prévisionnelle])&gt;=EDATE(E1,1),EDATE(E1,1),MAX(Tab_Previsionnel[Date fin prévisionnelle]))))),MONTH(MIN(IF(EDATE(E1,1)&gt;MAX(Tab_Previsionnel[Date fin prévisionnelle]),"",IF(MAX(Tab_Previsionnel[Date fin prévisionnelle])&gt;=EDATE(E1,1),EDATE(E1,1),MAX(Tab_Previsionnel[Date fin prévisionnelle]))))),1)</f>
        <v>42064</v>
      </c>
      <c r="G1" s="51">
        <f>DATE(YEAR(MIN(IF(EDATE(F1,1)&gt;MAX(Tab_Previsionnel[Date fin prévisionnelle]),"",IF(MAX(Tab_Previsionnel[Date fin prévisionnelle])&gt;=EDATE(F1,1),EDATE(F1,1),MAX(Tab_Previsionnel[Date fin prévisionnelle]))))),MONTH(MIN(IF(EDATE(F1,1)&gt;MAX(Tab_Previsionnel[Date fin prévisionnelle]),"",IF(MAX(Tab_Previsionnel[Date fin prévisionnelle])&gt;=EDATE(F1,1),EDATE(F1,1),MAX(Tab_Previsionnel[Date fin prévisionnelle]))))),1)</f>
        <v>42095</v>
      </c>
      <c r="H1" s="51">
        <f>DATE(YEAR(MIN(IF(EDATE(G1,1)&gt;MAX(Tab_Previsionnel[Date fin prévisionnelle]),"",IF(MAX(Tab_Previsionnel[Date fin prévisionnelle])&gt;=EDATE(G1,1),EDATE(G1,1),MAX(Tab_Previsionnel[Date fin prévisionnelle]))))),MONTH(MIN(IF(EDATE(G1,1)&gt;MAX(Tab_Previsionnel[Date fin prévisionnelle]),"",IF(MAX(Tab_Previsionnel[Date fin prévisionnelle])&gt;=EDATE(G1,1),EDATE(G1,1),MAX(Tab_Previsionnel[Date fin prévisionnelle]))))),1)</f>
        <v>42125</v>
      </c>
      <c r="I1" s="51">
        <f>DATE(YEAR(MIN(IF(EDATE(H1,1)&gt;MAX(Tab_Previsionnel[Date fin prévisionnelle]),"",IF(MAX(Tab_Previsionnel[Date fin prévisionnelle])&gt;=EDATE(H1,1),EDATE(H1,1),MAX(Tab_Previsionnel[Date fin prévisionnelle]))))),MONTH(MIN(IF(EDATE(H1,1)&gt;MAX(Tab_Previsionnel[Date fin prévisionnelle]),"",IF(MAX(Tab_Previsionnel[Date fin prévisionnelle])&gt;=EDATE(H1,1),EDATE(H1,1),MAX(Tab_Previsionnel[Date fin prévisionnelle]))))),1)</f>
        <v>42156</v>
      </c>
      <c r="J1" s="51">
        <f>DATE(YEAR(MIN(IF(EDATE(I1,1)&gt;MAX(Tab_Previsionnel[Date fin prévisionnelle]),"",IF(MAX(Tab_Previsionnel[Date fin prévisionnelle])&gt;=EDATE(I1,1),EDATE(I1,1),MAX(Tab_Previsionnel[Date fin prévisionnelle]))))),MONTH(MIN(IF(EDATE(I1,1)&gt;MAX(Tab_Previsionnel[Date fin prévisionnelle]),"",IF(MAX(Tab_Previsionnel[Date fin prévisionnelle])&gt;=EDATE(I1,1),EDATE(I1,1),MAX(Tab_Previsionnel[Date fin prévisionnelle]))))),1)</f>
        <v>42186</v>
      </c>
      <c r="K1" s="51">
        <f>DATE(YEAR(MIN(IF(EDATE(J1,1)&gt;MAX(Tab_Previsionnel[Date fin prévisionnelle]),"",IF(MAX(Tab_Previsionnel[Date fin prévisionnelle])&gt;=EDATE(J1,1),EDATE(J1,1),MAX(Tab_Previsionnel[Date fin prévisionnelle]))))),MONTH(MIN(IF(EDATE(J1,1)&gt;MAX(Tab_Previsionnel[Date fin prévisionnelle]),"",IF(MAX(Tab_Previsionnel[Date fin prévisionnelle])&gt;=EDATE(J1,1),EDATE(J1,1),MAX(Tab_Previsionnel[Date fin prévisionnelle]))))),1)</f>
        <v>42217</v>
      </c>
      <c r="L1" s="51">
        <f>DATE(YEAR(MIN(IF(EDATE(K1,1)&gt;MAX(Tab_Previsionnel[Date fin prévisionnelle]),"",IF(MAX(Tab_Previsionnel[Date fin prévisionnelle])&gt;=EDATE(K1,1),EDATE(K1,1),MAX(Tab_Previsionnel[Date fin prévisionnelle]))))),MONTH(MIN(IF(EDATE(K1,1)&gt;MAX(Tab_Previsionnel[Date fin prévisionnelle]),"",IF(MAX(Tab_Previsionnel[Date fin prévisionnelle])&gt;=EDATE(K1,1),EDATE(K1,1),MAX(Tab_Previsionnel[Date fin prévisionnelle]))))),1)</f>
        <v>42248</v>
      </c>
      <c r="M1" s="51">
        <f>DATE(YEAR(MIN(IF(EDATE(L1,1)&gt;MAX(Tab_Previsionnel[Date fin prévisionnelle]),"",IF(MAX(Tab_Previsionnel[Date fin prévisionnelle])&gt;=EDATE(L1,1),EDATE(L1,1),MAX(Tab_Previsionnel[Date fin prévisionnelle]))))),MONTH(MIN(IF(EDATE(L1,1)&gt;MAX(Tab_Previsionnel[Date fin prévisionnelle]),"",IF(MAX(Tab_Previsionnel[Date fin prévisionnelle])&gt;=EDATE(L1,1),EDATE(L1,1),MAX(Tab_Previsionnel[Date fin prévisionnelle]))))),1)</f>
        <v>42278</v>
      </c>
      <c r="N1" s="51">
        <f>DATE(YEAR(MIN(IF(EDATE(M1,1)&gt;MAX(Tab_Previsionnel[Date fin prévisionnelle]),"",IF(MAX(Tab_Previsionnel[Date fin prévisionnelle])&gt;=EDATE(M1,1),EDATE(M1,1),MAX(Tab_Previsionnel[Date fin prévisionnelle]))))),MONTH(MIN(IF(EDATE(M1,1)&gt;MAX(Tab_Previsionnel[Date fin prévisionnelle]),"",IF(MAX(Tab_Previsionnel[Date fin prévisionnelle])&gt;=EDATE(M1,1),EDATE(M1,1),MAX(Tab_Previsionnel[Date fin prévisionnelle]))))),1)</f>
        <v>42309</v>
      </c>
      <c r="O1" s="51">
        <f>DATE(YEAR(MIN(IF(EDATE(N1,1)&gt;MAX(Tab_Previsionnel[Date fin prévisionnelle]),"",IF(MAX(Tab_Previsionnel[Date fin prévisionnelle])&gt;=EDATE(N1,1),EDATE(N1,1),MAX(Tab_Previsionnel[Date fin prévisionnelle]))))),MONTH(MIN(IF(EDATE(N1,1)&gt;MAX(Tab_Previsionnel[Date fin prévisionnelle]),"",IF(MAX(Tab_Previsionnel[Date fin prévisionnelle])&gt;=EDATE(N1,1),EDATE(N1,1),MAX(Tab_Previsionnel[Date fin prévisionnelle]))))),1)</f>
        <v>42339</v>
      </c>
      <c r="P1" s="51" t="e">
        <f>DATE(YEAR(MIN(IF(EDATE(O1,1)&gt;MAX(Tab_Previsionnel[Durée prévisionnelle]),"",IF(MAX(Tab_Previsionnel[Durée prévisionnelle])&gt;=EDATE(O1,1),EDATE(O1,1),MAX(Tab_Previsionnel[Durée prévisionnelle]))))),MONTH(MIN(IF(EDATE(O1,1)&gt;MAX(Tab_Previsionnel[Durée prévisionnelle]),"",IF(MAX(Tab_Previsionnel[Durée prévisionnelle])&gt;=EDATE(O1,1),EDATE(O1,1),MAX(Tab_Previsionnel[Durée prévisionnelle]))))),1)</f>
        <v>#VALUE!</v>
      </c>
      <c r="Q1" s="51" t="e">
        <f>DATE(YEAR(MIN(IF(EDATE(P1,1)&gt;MAX(Tab_Previsionnel[Durée prévisionnelle]),"",IF(MAX(Tab_Previsionnel[Durée prévisionnelle])&gt;=EDATE(P1,1),EDATE(P1,1),MAX(Tab_Previsionnel[Durée prévisionnelle]))))),MONTH(MIN(IF(EDATE(P1,1)&gt;MAX(Tab_Previsionnel[Durée prévisionnelle]),"",IF(MAX(Tab_Previsionnel[Durée prévisionnelle])&gt;=EDATE(P1,1),EDATE(P1,1),MAX(Tab_Previsionnel[Durée prévisionnelle]))))),1)</f>
        <v>#VALUE!</v>
      </c>
      <c r="R1" s="34"/>
      <c r="S1" s="34"/>
    </row>
    <row r="2" spans="1:22">
      <c r="A2" s="55" t="s">
        <v>2</v>
      </c>
      <c r="B2" s="53" t="s">
        <v>37</v>
      </c>
      <c r="C2" t="s">
        <v>61</v>
      </c>
      <c r="D2" t="str">
        <f t="shared" ref="D2:O3" si="0">IF(EOMONTH(D$1,0)&lt;=VLOOKUP($A2,TAB_Previsionel,4,0),0,IF(AND(IF(D$1&lt;=VLOOKUP($A2,TAB_Previsionel,4,0),1,IF(EOMONTH(D$1,-1)&lt;VLOOKUP($A2,TAB_Previsionel,4,0),0,1)),IF(EOMONTH(D$1,-1)&lt;=VLOOKUP($A2,TAB_Previsionel,5,0),1,0))=TRUE,"",0))</f>
        <v/>
      </c>
      <c r="E2" t="str">
        <f t="shared" si="0"/>
        <v/>
      </c>
      <c r="F2" t="str">
        <f t="shared" si="0"/>
        <v/>
      </c>
      <c r="G2" t="str">
        <f t="shared" si="0"/>
        <v/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  <c r="N2">
        <f t="shared" si="0"/>
        <v>0</v>
      </c>
      <c r="O2">
        <f t="shared" si="0"/>
        <v>0</v>
      </c>
    </row>
    <row r="3" spans="1:22">
      <c r="A3" s="55"/>
      <c r="B3" s="53"/>
      <c r="C3" t="s">
        <v>62</v>
      </c>
      <c r="D3" s="52">
        <f>IF(VLOOKUP(MONTH(D$1),LST_Mois,2,0)=VLOOKUP(MONTH(VLOOKUP($A2,TAB_Reel[],2,0)),LST_Mois,2,0),1,0)</f>
        <v>1</v>
      </c>
      <c r="E3" s="52">
        <f>IF(AND(IF(E$1&lt;=VLOOKUP($A2,TAB_Reel[],2,0),1,0),IF(EOMONTH(E$1,0)&gt;=VLOOKUP($A2,TAB_Reel[],2,0),1,0))=TRUE,1,0)</f>
        <v>0</v>
      </c>
      <c r="F3" s="52">
        <f>IF(AND(IF(F$1&lt;=VLOOKUP($A2,TAB_Reel[],2,0),1,0),IF(EOMONTH(F$1,0)&gt;=VLOOKUP($A2,TAB_Reel[],2,0),1,0))=TRUE,1,0)</f>
        <v>0</v>
      </c>
      <c r="G3" s="52">
        <f>IF(AND(IF(G$1&lt;=VLOOKUP($A2,TAB_Reel[],2,0),1,0),IF(EOMONTH(G$1,0)&gt;=VLOOKUP($A2,TAB_Reel[],2,0),1,0))=TRUE,1,0)</f>
        <v>0</v>
      </c>
      <c r="H3" s="52">
        <f>IF(AND(IF(H$1&lt;=VLOOKUP($A2,TAB_Reel[],2,0),1,0),IF(EOMONTH(H$1,0)&gt;=VLOOKUP($A2,TAB_Reel[],2,0),1,0))=TRUE,1,0)</f>
        <v>0</v>
      </c>
      <c r="I3" s="52">
        <f>IF(AND(IF(I$1&lt;=VLOOKUP($A2,TAB_Reel[],2,0),1,0),IF(EOMONTH(I$1,0)&gt;=VLOOKUP($A2,TAB_Reel[],2,0),1,0))=TRUE,1,0)</f>
        <v>0</v>
      </c>
      <c r="J3" s="52">
        <f>IF(AND(IF(J$1&lt;=VLOOKUP($A2,TAB_Reel[],2,0),1,0),IF(EOMONTH(J$1,0)&gt;=VLOOKUP($A2,TAB_Reel[],2,0),1,0))=TRUE,1,0)</f>
        <v>0</v>
      </c>
      <c r="K3" s="52">
        <f>IF(AND(IF(K$1&lt;=VLOOKUP($A2,TAB_Reel[],2,0),1,0),IF(EOMONTH(K$1,0)&gt;=VLOOKUP($A2,TAB_Reel[],2,0),1,0))=TRUE,1,0)</f>
        <v>0</v>
      </c>
      <c r="L3" s="52">
        <f>IF(AND(IF(L$1&lt;=VLOOKUP($A2,TAB_Reel[],2,0),1,0),IF(EOMONTH(L$1,0)&gt;=VLOOKUP($A2,TAB_Reel[],2,0),1,0))=TRUE,1,0)</f>
        <v>0</v>
      </c>
      <c r="M3" s="52">
        <f>IF(AND(IF(M$1&lt;=VLOOKUP($A2,TAB_Reel[],2,0),1,0),IF(EOMONTH(M$1,0)&gt;=VLOOKUP($A2,TAB_Reel[],2,0),1,0))=TRUE,1,0)</f>
        <v>0</v>
      </c>
      <c r="N3" s="52">
        <f>IF(AND(IF(N$1&lt;=VLOOKUP($A2,TAB_Reel[],2,0),1,0),IF(EOMONTH(N$1,0)&gt;=VLOOKUP($A2,TAB_Reel[],2,0),1,0))=TRUE,1,0)</f>
        <v>0</v>
      </c>
      <c r="O3" s="52">
        <f>IF(AND(IF(O$1&lt;=VLOOKUP($A2,TAB_Reel[],2,0),1,0),IF(EOMONTH(O$1,0)&gt;=VLOOKUP($A2,TAB_Reel[],2,0),1,0))=TRUE,1,0)</f>
        <v>0</v>
      </c>
    </row>
    <row r="4" spans="1:22">
      <c r="A4" s="55" t="s">
        <v>38</v>
      </c>
      <c r="B4" s="53" t="s">
        <v>7</v>
      </c>
      <c r="C4" t="s">
        <v>61</v>
      </c>
      <c r="D4">
        <f t="shared" ref="D4:O4" si="1">IF(EOMONTH(D$1,0)&lt;=VLOOKUP($A4,TAB_Previsionel,4,0),0,IF(AND(IF(D$1&lt;=VLOOKUP($A4,TAB_Previsionel,4,0),1,IF(EOMONTH(D$1,-1)&lt;VLOOKUP($A4,TAB_Previsionel,4,0),0,1)),IF(EOMONTH(D$1,-1)&lt;=VLOOKUP($A4,TAB_Previsionel,5,0),1,0))=TRUE,"",0))</f>
        <v>0</v>
      </c>
      <c r="E4" t="str">
        <f t="shared" si="1"/>
        <v/>
      </c>
      <c r="F4" t="str">
        <f t="shared" si="1"/>
        <v/>
      </c>
      <c r="G4" t="str">
        <f t="shared" si="1"/>
        <v/>
      </c>
      <c r="H4" t="str">
        <f t="shared" si="1"/>
        <v/>
      </c>
      <c r="I4">
        <f t="shared" si="1"/>
        <v>0</v>
      </c>
      <c r="J4">
        <f t="shared" si="1"/>
        <v>0</v>
      </c>
      <c r="K4">
        <f t="shared" si="1"/>
        <v>0</v>
      </c>
      <c r="L4">
        <f t="shared" si="1"/>
        <v>0</v>
      </c>
      <c r="M4">
        <f t="shared" si="1"/>
        <v>0</v>
      </c>
      <c r="N4">
        <f t="shared" si="1"/>
        <v>0</v>
      </c>
      <c r="O4">
        <f t="shared" si="1"/>
        <v>0</v>
      </c>
    </row>
    <row r="5" spans="1:22">
      <c r="A5" s="55"/>
      <c r="B5" s="53"/>
      <c r="C5" t="s">
        <v>62</v>
      </c>
    </row>
    <row r="6" spans="1:22">
      <c r="A6" s="55" t="s">
        <v>41</v>
      </c>
      <c r="B6" s="53" t="s">
        <v>8</v>
      </c>
      <c r="C6" t="s">
        <v>61</v>
      </c>
      <c r="D6">
        <f t="shared" ref="D6:O6" si="2">IF(EOMONTH(D$1,0)&lt;=VLOOKUP($A6,TAB_Previsionel,4,0),0,IF(AND(IF(D$1&lt;=VLOOKUP($A6,TAB_Previsionel,4,0),1,IF(EOMONTH(D$1,-1)&lt;VLOOKUP($A6,TAB_Previsionel,4,0),0,1)),IF(EOMONTH(D$1,-1)&lt;=VLOOKUP($A6,TAB_Previsionel,5,0),1,0))=TRUE,"",0))</f>
        <v>0</v>
      </c>
      <c r="E6">
        <f t="shared" si="2"/>
        <v>0</v>
      </c>
      <c r="F6">
        <f t="shared" si="2"/>
        <v>0</v>
      </c>
      <c r="G6" t="str">
        <f t="shared" si="2"/>
        <v/>
      </c>
      <c r="H6" t="str">
        <f t="shared" si="2"/>
        <v/>
      </c>
      <c r="I6" t="str">
        <f t="shared" si="2"/>
        <v/>
      </c>
      <c r="J6" t="str">
        <f t="shared" si="2"/>
        <v/>
      </c>
      <c r="K6" t="str">
        <f t="shared" si="2"/>
        <v/>
      </c>
      <c r="L6">
        <f t="shared" si="2"/>
        <v>0</v>
      </c>
      <c r="M6">
        <f t="shared" si="2"/>
        <v>0</v>
      </c>
      <c r="N6">
        <f t="shared" si="2"/>
        <v>0</v>
      </c>
      <c r="O6">
        <f t="shared" si="2"/>
        <v>0</v>
      </c>
    </row>
    <row r="7" spans="1:22">
      <c r="A7" s="55"/>
      <c r="B7" s="53"/>
      <c r="C7" t="s">
        <v>62</v>
      </c>
      <c r="S7" s="52"/>
      <c r="T7" s="3"/>
    </row>
    <row r="8" spans="1:22">
      <c r="A8" s="55" t="s">
        <v>39</v>
      </c>
      <c r="B8" s="53" t="s">
        <v>9</v>
      </c>
      <c r="C8" t="s">
        <v>61</v>
      </c>
      <c r="D8">
        <f t="shared" ref="D8:O8" si="3">IF(EOMONTH(D$1,0)&lt;=VLOOKUP($A8,TAB_Previsionel,4,0),0,IF(AND(IF(D$1&lt;=VLOOKUP($A8,TAB_Previsionel,4,0),1,IF(EOMONTH(D$1,-1)&lt;VLOOKUP($A8,TAB_Previsionel,4,0),0,1)),IF(EOMONTH(D$1,-1)&lt;=VLOOKUP($A8,TAB_Previsionel,5,0),1,0))=TRUE,"",0))</f>
        <v>0</v>
      </c>
      <c r="E8">
        <f t="shared" si="3"/>
        <v>0</v>
      </c>
      <c r="F8">
        <f t="shared" si="3"/>
        <v>0</v>
      </c>
      <c r="G8">
        <f t="shared" si="3"/>
        <v>0</v>
      </c>
      <c r="H8" t="str">
        <f t="shared" si="3"/>
        <v/>
      </c>
      <c r="I8" t="str">
        <f t="shared" si="3"/>
        <v/>
      </c>
      <c r="J8" t="str">
        <f t="shared" si="3"/>
        <v/>
      </c>
      <c r="K8" t="str">
        <f t="shared" si="3"/>
        <v/>
      </c>
      <c r="L8" t="str">
        <f t="shared" si="3"/>
        <v/>
      </c>
      <c r="M8">
        <f t="shared" si="3"/>
        <v>0</v>
      </c>
      <c r="N8">
        <f t="shared" si="3"/>
        <v>0</v>
      </c>
      <c r="O8">
        <f t="shared" si="3"/>
        <v>0</v>
      </c>
      <c r="S8" s="3"/>
      <c r="T8" t="s">
        <v>65</v>
      </c>
      <c r="U8">
        <f>IF(VLOOKUP(MONTH(MONTH(D$1)),LST_Mois,2,0)=VLOOKUP(U9,TAB_Reel[],3,0),1,0)</f>
        <v>1</v>
      </c>
      <c r="V8" t="s">
        <v>66</v>
      </c>
    </row>
    <row r="9" spans="1:22">
      <c r="A9" s="55"/>
      <c r="B9" s="53"/>
      <c r="C9" t="s">
        <v>62</v>
      </c>
      <c r="T9" t="str">
        <f>VLOOKUP(U9,TAB_Reel[],3,0)</f>
        <v>Janvier</v>
      </c>
      <c r="U9" s="54" t="s">
        <v>2</v>
      </c>
      <c r="V9" t="s">
        <v>67</v>
      </c>
    </row>
    <row r="10" spans="1:22">
      <c r="A10" s="55" t="s">
        <v>40</v>
      </c>
      <c r="B10" s="53" t="s">
        <v>6</v>
      </c>
      <c r="C10" t="s">
        <v>61</v>
      </c>
      <c r="D10">
        <f t="shared" ref="D10:O10" si="4">IF(EOMONTH(D$1,0)&lt;=VLOOKUP($A10,TAB_Previsionel,4,0),0,IF(AND(IF(D$1&lt;=VLOOKUP($A10,TAB_Previsionel,4,0),1,IF(EOMONTH(D$1,-1)&lt;VLOOKUP($A10,TAB_Previsionel,4,0),0,1)),IF(EOMONTH(D$1,-1)&lt;=VLOOKUP($A10,TAB_Previsionel,5,0),1,0))=TRUE,"",0))</f>
        <v>0</v>
      </c>
      <c r="E10">
        <f t="shared" si="4"/>
        <v>0</v>
      </c>
      <c r="F10">
        <f t="shared" si="4"/>
        <v>0</v>
      </c>
      <c r="G10">
        <f t="shared" si="4"/>
        <v>0</v>
      </c>
      <c r="H10">
        <f t="shared" si="4"/>
        <v>0</v>
      </c>
      <c r="I10">
        <f t="shared" si="4"/>
        <v>0</v>
      </c>
      <c r="J10" t="str">
        <f t="shared" si="4"/>
        <v/>
      </c>
      <c r="K10" t="str">
        <f t="shared" si="4"/>
        <v/>
      </c>
      <c r="L10" t="str">
        <f t="shared" si="4"/>
        <v/>
      </c>
      <c r="M10" t="str">
        <f t="shared" si="4"/>
        <v/>
      </c>
      <c r="N10" t="str">
        <f t="shared" si="4"/>
        <v/>
      </c>
      <c r="O10" t="str">
        <f t="shared" si="4"/>
        <v/>
      </c>
      <c r="T10" t="s">
        <v>63</v>
      </c>
      <c r="U10" t="str">
        <f>VLOOKUP(MONTH(VLOOKUP($A2,TAB_Reel[],2,0)),LST_Mois,2,0)</f>
        <v>Janvier</v>
      </c>
    </row>
    <row r="11" spans="1:22">
      <c r="A11" s="55"/>
      <c r="B11" s="53"/>
      <c r="C11" t="s">
        <v>62</v>
      </c>
      <c r="T11" t="s">
        <v>64</v>
      </c>
      <c r="U11" t="str">
        <f>VLOOKUP(MONTH(MONTH(D$1)),LST_Mois,2,0)</f>
        <v>Janvier</v>
      </c>
    </row>
    <row r="16" spans="1:22">
      <c r="U16" t="e">
        <f>IF(AND(IF(D$1&lt;=VLOOKUP($A3,TAB_Reel[],2,0),1,0),IF(EOMONTH(D$1,0)&gt;=VLOOKUP($A3,TAB_Reel[],2,0),1,0))=TRUE,"",0)</f>
        <v>#N/A</v>
      </c>
    </row>
    <row r="17" spans="4:21">
      <c r="U17" t="e">
        <f>AND(IF(D$1&lt;=VLOOKUP($A3,TAB_Reel[],2,0),1,0),IF(EOMONTH(D$1,0)&gt;=VLOOKUP($A3,TAB_Reel[],2,0),1,0))</f>
        <v>#N/A</v>
      </c>
    </row>
    <row r="18" spans="4:21">
      <c r="D18" s="3"/>
      <c r="E18" s="42"/>
      <c r="L18" s="42"/>
      <c r="M18" s="42"/>
      <c r="N18" s="42"/>
      <c r="O18" s="42"/>
      <c r="P18" s="42"/>
      <c r="U18" s="54"/>
    </row>
    <row r="19" spans="4:21">
      <c r="U19" s="54"/>
    </row>
    <row r="20" spans="4:21">
      <c r="U20" s="54"/>
    </row>
    <row r="21" spans="4:21">
      <c r="U21" s="54"/>
    </row>
    <row r="22" spans="4:21">
      <c r="U22" s="54"/>
    </row>
  </sheetData>
  <mergeCells count="10">
    <mergeCell ref="A2:A3"/>
    <mergeCell ref="A4:A5"/>
    <mergeCell ref="A6:A7"/>
    <mergeCell ref="A8:A9"/>
    <mergeCell ref="A10:A11"/>
    <mergeCell ref="B2:B3"/>
    <mergeCell ref="B4:B5"/>
    <mergeCell ref="B6:B7"/>
    <mergeCell ref="B8:B9"/>
    <mergeCell ref="B10:B11"/>
  </mergeCells>
  <conditionalFormatting sqref="D2:O2 D4:O4 D6:O6 D8:O8 D10:O10">
    <cfRule type="containsBlanks" dxfId="3" priority="5">
      <formula>LEN(TRIM(D2))=0</formula>
    </cfRule>
    <cfRule type="notContainsBlanks" dxfId="2" priority="6">
      <formula>LEN(TRIM(D2))&gt;0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L14"/>
  <sheetViews>
    <sheetView workbookViewId="0">
      <selection activeCell="A3" sqref="A3"/>
    </sheetView>
  </sheetViews>
  <sheetFormatPr baseColWidth="10" defaultRowHeight="14" x14ac:dyDescent="0"/>
  <cols>
    <col min="2" max="2" width="14.6640625" bestFit="1" customWidth="1"/>
    <col min="8" max="8" width="12" bestFit="1" customWidth="1"/>
  </cols>
  <sheetData>
    <row r="1" spans="1:12" ht="15" thickBot="1"/>
    <row r="2" spans="1:12" ht="15" thickBot="1">
      <c r="A2" s="36" t="s">
        <v>1</v>
      </c>
      <c r="B2" s="36" t="s">
        <v>42</v>
      </c>
      <c r="D2" s="37" t="s">
        <v>58</v>
      </c>
      <c r="E2" s="36" t="s">
        <v>20</v>
      </c>
      <c r="G2" s="36" t="s">
        <v>3</v>
      </c>
      <c r="H2" s="36" t="s">
        <v>11</v>
      </c>
      <c r="J2" s="36" t="s">
        <v>50</v>
      </c>
      <c r="L2" s="36" t="s">
        <v>53</v>
      </c>
    </row>
    <row r="3" spans="1:12">
      <c r="A3" s="38" t="s">
        <v>2</v>
      </c>
      <c r="B3" s="38" t="s">
        <v>37</v>
      </c>
      <c r="D3" s="38">
        <v>1</v>
      </c>
      <c r="E3" s="38" t="s">
        <v>25</v>
      </c>
      <c r="G3" s="38" t="s">
        <v>4</v>
      </c>
      <c r="H3" s="40">
        <v>20</v>
      </c>
      <c r="J3" s="38">
        <v>7</v>
      </c>
      <c r="L3" s="38">
        <v>2012</v>
      </c>
    </row>
    <row r="4" spans="1:12">
      <c r="A4" s="39" t="s">
        <v>38</v>
      </c>
      <c r="B4" s="39" t="s">
        <v>7</v>
      </c>
      <c r="D4" s="39">
        <v>2</v>
      </c>
      <c r="E4" s="39" t="s">
        <v>26</v>
      </c>
      <c r="G4" s="39" t="s">
        <v>5</v>
      </c>
      <c r="H4" s="41">
        <v>15</v>
      </c>
      <c r="L4" s="39">
        <v>2013</v>
      </c>
    </row>
    <row r="5" spans="1:12">
      <c r="A5" s="39" t="s">
        <v>41</v>
      </c>
      <c r="B5" s="39" t="s">
        <v>8</v>
      </c>
      <c r="D5" s="39">
        <v>3</v>
      </c>
      <c r="E5" s="39" t="s">
        <v>27</v>
      </c>
      <c r="L5" s="39">
        <v>2014</v>
      </c>
    </row>
    <row r="6" spans="1:12">
      <c r="A6" s="39" t="s">
        <v>39</v>
      </c>
      <c r="B6" s="39" t="s">
        <v>9</v>
      </c>
      <c r="D6" s="39">
        <v>4</v>
      </c>
      <c r="E6" s="39" t="s">
        <v>28</v>
      </c>
      <c r="L6" s="39">
        <v>2015</v>
      </c>
    </row>
    <row r="7" spans="1:12">
      <c r="A7" s="39" t="s">
        <v>40</v>
      </c>
      <c r="B7" s="39" t="s">
        <v>6</v>
      </c>
      <c r="D7" s="39">
        <v>5</v>
      </c>
      <c r="E7" s="39" t="s">
        <v>29</v>
      </c>
      <c r="L7" s="39">
        <v>2016</v>
      </c>
    </row>
    <row r="8" spans="1:12">
      <c r="D8" s="39">
        <v>6</v>
      </c>
      <c r="E8" s="39" t="s">
        <v>30</v>
      </c>
      <c r="L8" s="39">
        <v>2017</v>
      </c>
    </row>
    <row r="9" spans="1:12">
      <c r="D9" s="39">
        <v>7</v>
      </c>
      <c r="E9" s="39" t="s">
        <v>31</v>
      </c>
      <c r="L9" s="39">
        <v>2018</v>
      </c>
    </row>
    <row r="10" spans="1:12">
      <c r="D10" s="39">
        <v>8</v>
      </c>
      <c r="E10" s="39" t="s">
        <v>32</v>
      </c>
      <c r="L10" s="39">
        <v>2019</v>
      </c>
    </row>
    <row r="11" spans="1:12">
      <c r="D11" s="39">
        <v>9</v>
      </c>
      <c r="E11" s="39" t="s">
        <v>33</v>
      </c>
      <c r="L11" s="39">
        <v>2020</v>
      </c>
    </row>
    <row r="12" spans="1:12">
      <c r="D12" s="39">
        <v>10</v>
      </c>
      <c r="E12" s="39" t="s">
        <v>34</v>
      </c>
      <c r="L12" s="39">
        <v>2021</v>
      </c>
    </row>
    <row r="13" spans="1:12">
      <c r="D13" s="39">
        <v>11</v>
      </c>
      <c r="E13" s="39" t="s">
        <v>35</v>
      </c>
      <c r="L13" s="39">
        <v>2022</v>
      </c>
    </row>
    <row r="14" spans="1:12">
      <c r="D14" s="39">
        <v>12</v>
      </c>
      <c r="E14" s="39" t="s">
        <v>36</v>
      </c>
      <c r="L14" s="39">
        <v>2023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Prévisionnel</vt:lpstr>
      <vt:lpstr>Suivi</vt:lpstr>
      <vt:lpstr>Tri sélectif</vt:lpstr>
      <vt:lpstr>Planning réel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2015-02-09T19:45:01Z</dcterms:modified>
</cp:coreProperties>
</file>